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skominfo" sheetId="1" r:id="rId1"/>
  </sheets>
  <definedNames>
    <definedName name="_xlnm.Print_Area" localSheetId="0">Diskominfo!$A$1:$AM$70</definedName>
    <definedName name="_xlnm.Print_Titles" localSheetId="0">Diskominfo!$7:$12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1" i="1" l="1"/>
  <c r="Z33" i="1"/>
  <c r="AB38" i="1"/>
  <c r="AE38" i="1"/>
  <c r="AB39" i="1" l="1"/>
  <c r="AE50" i="1" l="1"/>
  <c r="AB50" i="1"/>
  <c r="E39" i="1"/>
  <c r="W39" i="1"/>
  <c r="T39" i="1"/>
  <c r="Q39" i="1"/>
  <c r="N39" i="1"/>
  <c r="W47" i="1" l="1"/>
  <c r="T47" i="1"/>
  <c r="Q47" i="1"/>
  <c r="W33" i="1"/>
  <c r="T33" i="1"/>
  <c r="Q33" i="1"/>
  <c r="Y32" i="1" l="1"/>
  <c r="Y17" i="1"/>
  <c r="W14" i="1"/>
  <c r="Y46" i="1"/>
  <c r="W46" i="1"/>
  <c r="Y38" i="1"/>
  <c r="Y29" i="1"/>
  <c r="Y24" i="1"/>
  <c r="Y13" i="1"/>
  <c r="M46" i="1" l="1"/>
  <c r="M32" i="1"/>
  <c r="M38" i="1"/>
  <c r="T14" i="1" l="1"/>
  <c r="Q14" i="1"/>
  <c r="V46" i="1"/>
  <c r="T46" i="1"/>
  <c r="V38" i="1"/>
  <c r="V32" i="1"/>
  <c r="V29" i="1"/>
  <c r="V24" i="1"/>
  <c r="V17" i="1"/>
  <c r="V13" i="1"/>
  <c r="J46" i="1" l="1"/>
  <c r="N33" i="1"/>
  <c r="Q46" i="1" l="1"/>
  <c r="N46" i="1"/>
  <c r="K47" i="1"/>
  <c r="K46" i="1"/>
  <c r="H47" i="1"/>
  <c r="H46" i="1"/>
  <c r="N47" i="1"/>
  <c r="H38" i="1"/>
  <c r="H39" i="1"/>
  <c r="Z41" i="1"/>
  <c r="AG41" i="1" s="1"/>
  <c r="AJ41" i="1" s="1"/>
  <c r="Z39" i="1"/>
  <c r="S46" i="1" l="1"/>
  <c r="S38" i="1"/>
  <c r="S32" i="1"/>
  <c r="S29" i="1"/>
  <c r="S24" i="1"/>
  <c r="S17" i="1"/>
  <c r="S13" i="1"/>
  <c r="AD49" i="1"/>
  <c r="J38" i="1" l="1"/>
  <c r="J32" i="1"/>
  <c r="J24" i="1" l="1"/>
  <c r="J17" i="1"/>
  <c r="N14" i="1" l="1"/>
  <c r="AG39" i="1" l="1"/>
  <c r="AJ39" i="1" s="1"/>
  <c r="Z34" i="1"/>
  <c r="AB34" i="1" s="1"/>
  <c r="P46" i="1" l="1"/>
  <c r="E47" i="1"/>
  <c r="E49" i="1"/>
  <c r="Z47" i="1"/>
  <c r="P38" i="1"/>
  <c r="P32" i="1"/>
  <c r="N32" i="1"/>
  <c r="P29" i="1"/>
  <c r="P24" i="1"/>
  <c r="P17" i="1"/>
  <c r="G48" i="1"/>
  <c r="G46" i="1" s="1"/>
  <c r="M24" i="1"/>
  <c r="E30" i="1"/>
  <c r="E34" i="1"/>
  <c r="AI37" i="1"/>
  <c r="AL37" i="1" s="1"/>
  <c r="AG37" i="1"/>
  <c r="AJ37" i="1" s="1"/>
  <c r="AG36" i="1"/>
  <c r="AJ36" i="1" s="1"/>
  <c r="AI36" i="1"/>
  <c r="AL36" i="1" s="1"/>
  <c r="E46" i="1"/>
  <c r="E48" i="1"/>
  <c r="AI49" i="1"/>
  <c r="AL49" i="1" s="1"/>
  <c r="Z49" i="1"/>
  <c r="G34" i="1"/>
  <c r="G35" i="1"/>
  <c r="G40" i="1"/>
  <c r="G38" i="1" s="1"/>
  <c r="AI44" i="1"/>
  <c r="AL44" i="1" s="1"/>
  <c r="AI42" i="1"/>
  <c r="AL42" i="1" s="1"/>
  <c r="AG42" i="1"/>
  <c r="AJ42" i="1" s="1"/>
  <c r="AD40" i="1"/>
  <c r="Z40" i="1"/>
  <c r="AG43" i="1"/>
  <c r="AJ43" i="1" s="1"/>
  <c r="AI43" i="1"/>
  <c r="AL43" i="1" s="1"/>
  <c r="K33" i="1"/>
  <c r="H33" i="1"/>
  <c r="K32" i="1"/>
  <c r="H32" i="1"/>
  <c r="G31" i="1"/>
  <c r="G30" i="1"/>
  <c r="G29" i="1" s="1"/>
  <c r="E28" i="1"/>
  <c r="E27" i="1"/>
  <c r="E25" i="1"/>
  <c r="G28" i="1"/>
  <c r="G27" i="1"/>
  <c r="G26" i="1"/>
  <c r="G25" i="1"/>
  <c r="G23" i="1"/>
  <c r="G22" i="1"/>
  <c r="G21" i="1"/>
  <c r="G20" i="1"/>
  <c r="G19" i="1"/>
  <c r="G18" i="1"/>
  <c r="G17" i="1" s="1"/>
  <c r="E19" i="1"/>
  <c r="E21" i="1"/>
  <c r="E22" i="1"/>
  <c r="E23" i="1"/>
  <c r="E18" i="1"/>
  <c r="G16" i="1"/>
  <c r="G15" i="1"/>
  <c r="G13" i="1" s="1"/>
  <c r="E16" i="1"/>
  <c r="E15" i="1"/>
  <c r="J13" i="1"/>
  <c r="P13" i="1"/>
  <c r="M13" i="1"/>
  <c r="AB33" i="1" l="1"/>
  <c r="G32" i="1"/>
  <c r="G24" i="1"/>
  <c r="AG33" i="1"/>
  <c r="AJ33" i="1" s="1"/>
  <c r="AG40" i="1"/>
  <c r="AJ40" i="1" s="1"/>
  <c r="AB40" i="1"/>
  <c r="AI40" i="1"/>
  <c r="AL40" i="1" s="1"/>
  <c r="AE40" i="1"/>
  <c r="AG49" i="1"/>
  <c r="AJ49" i="1" s="1"/>
  <c r="AB49" i="1"/>
  <c r="AG47" i="1"/>
  <c r="AJ47" i="1" s="1"/>
  <c r="AB47" i="1"/>
  <c r="M29" i="1"/>
  <c r="AD31" i="1"/>
  <c r="Z31" i="1"/>
  <c r="AD30" i="1"/>
  <c r="Z30" i="1"/>
  <c r="AD29" i="1"/>
  <c r="Z29" i="1"/>
  <c r="AD28" i="1"/>
  <c r="Z28" i="1"/>
  <c r="AG29" i="1" l="1"/>
  <c r="AJ29" i="1" s="1"/>
  <c r="AB29" i="1"/>
  <c r="AI29" i="1"/>
  <c r="AL29" i="1" s="1"/>
  <c r="AE29" i="1"/>
  <c r="AI31" i="1"/>
  <c r="AL31" i="1" s="1"/>
  <c r="AE31" i="1"/>
  <c r="AG28" i="1"/>
  <c r="AJ28" i="1" s="1"/>
  <c r="AB28" i="1"/>
  <c r="AG31" i="1"/>
  <c r="AJ31" i="1" s="1"/>
  <c r="AB31" i="1"/>
  <c r="AG30" i="1"/>
  <c r="AJ30" i="1" s="1"/>
  <c r="AB30" i="1"/>
  <c r="AI28" i="1"/>
  <c r="AL28" i="1" s="1"/>
  <c r="AE28" i="1"/>
  <c r="AI30" i="1"/>
  <c r="AL30" i="1" s="1"/>
  <c r="AE30" i="1"/>
  <c r="AD48" i="1"/>
  <c r="Z48" i="1"/>
  <c r="AD35" i="1"/>
  <c r="M17" i="1"/>
  <c r="AI35" i="1" l="1"/>
  <c r="AL35" i="1" s="1"/>
  <c r="AE35" i="1"/>
  <c r="AG48" i="1"/>
  <c r="AJ48" i="1" s="1"/>
  <c r="AB48" i="1"/>
  <c r="AI48" i="1"/>
  <c r="AL48" i="1" s="1"/>
  <c r="AE48" i="1"/>
  <c r="Z14" i="1"/>
  <c r="AB14" i="1" s="1"/>
  <c r="AG14" i="1" l="1"/>
  <c r="AJ14" i="1" s="1"/>
  <c r="AD27" i="1"/>
  <c r="Z27" i="1"/>
  <c r="AG27" i="1" l="1"/>
  <c r="AJ27" i="1" s="1"/>
  <c r="AB27" i="1"/>
  <c r="AI27" i="1"/>
  <c r="AL27" i="1" s="1"/>
  <c r="AE27" i="1"/>
  <c r="AD46" i="1"/>
  <c r="Z46" i="1"/>
  <c r="AI45" i="1"/>
  <c r="AL45" i="1" s="1"/>
  <c r="AD38" i="1"/>
  <c r="Z38" i="1"/>
  <c r="AD34" i="1"/>
  <c r="AG34" i="1"/>
  <c r="AJ34" i="1" s="1"/>
  <c r="AD32" i="1"/>
  <c r="Z32" i="1"/>
  <c r="AD26" i="1"/>
  <c r="Z26" i="1"/>
  <c r="AD25" i="1"/>
  <c r="Z25" i="1"/>
  <c r="AD24" i="1"/>
  <c r="Z24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AD17" i="1"/>
  <c r="Z17" i="1"/>
  <c r="AB17" i="1" s="1"/>
  <c r="AD15" i="1"/>
  <c r="Z15" i="1"/>
  <c r="AD16" i="1"/>
  <c r="Z16" i="1"/>
  <c r="AP13" i="1"/>
  <c r="AD13" i="1"/>
  <c r="Z13" i="1"/>
  <c r="AI16" i="1" l="1"/>
  <c r="AL16" i="1" s="1"/>
  <c r="AE16" i="1"/>
  <c r="AI17" i="1"/>
  <c r="AL17" i="1" s="1"/>
  <c r="AE17" i="1"/>
  <c r="AG19" i="1"/>
  <c r="AJ19" i="1" s="1"/>
  <c r="AB19" i="1"/>
  <c r="AI20" i="1"/>
  <c r="AL20" i="1" s="1"/>
  <c r="AI23" i="1"/>
  <c r="AL23" i="1" s="1"/>
  <c r="AE23" i="1"/>
  <c r="AI25" i="1"/>
  <c r="AL25" i="1" s="1"/>
  <c r="AE25" i="1"/>
  <c r="AI32" i="1"/>
  <c r="AL32" i="1" s="1"/>
  <c r="AE32" i="1"/>
  <c r="AI38" i="1"/>
  <c r="AL38" i="1" s="1"/>
  <c r="AI13" i="1"/>
  <c r="AL13" i="1" s="1"/>
  <c r="AE13" i="1"/>
  <c r="AG15" i="1"/>
  <c r="AJ15" i="1" s="1"/>
  <c r="AB15" i="1"/>
  <c r="AG18" i="1"/>
  <c r="AJ18" i="1" s="1"/>
  <c r="AB18" i="1"/>
  <c r="AI19" i="1"/>
  <c r="AL19" i="1" s="1"/>
  <c r="AE19" i="1"/>
  <c r="AG22" i="1"/>
  <c r="AJ22" i="1" s="1"/>
  <c r="AB22" i="1"/>
  <c r="AG24" i="1"/>
  <c r="AJ24" i="1" s="1"/>
  <c r="AB24" i="1"/>
  <c r="AG26" i="1"/>
  <c r="AJ26" i="1" s="1"/>
  <c r="AB26" i="1"/>
  <c r="AI15" i="1"/>
  <c r="AL15" i="1" s="1"/>
  <c r="AE15" i="1"/>
  <c r="AI18" i="1"/>
  <c r="AL18" i="1" s="1"/>
  <c r="AE18" i="1"/>
  <c r="AG21" i="1"/>
  <c r="AJ21" i="1" s="1"/>
  <c r="AB21" i="1"/>
  <c r="AI22" i="1"/>
  <c r="AL22" i="1" s="1"/>
  <c r="AE22" i="1"/>
  <c r="AI24" i="1"/>
  <c r="AL24" i="1" s="1"/>
  <c r="AE24" i="1"/>
  <c r="AI26" i="1"/>
  <c r="AL26" i="1" s="1"/>
  <c r="AE26" i="1"/>
  <c r="AI34" i="1"/>
  <c r="AL34" i="1" s="1"/>
  <c r="AE34" i="1"/>
  <c r="AG46" i="1"/>
  <c r="AJ46" i="1" s="1"/>
  <c r="AB46" i="1"/>
  <c r="AG16" i="1"/>
  <c r="AJ16" i="1" s="1"/>
  <c r="AB16" i="1"/>
  <c r="AG20" i="1"/>
  <c r="AJ20" i="1" s="1"/>
  <c r="AI21" i="1"/>
  <c r="AL21" i="1" s="1"/>
  <c r="AE21" i="1"/>
  <c r="AG23" i="1"/>
  <c r="AJ23" i="1" s="1"/>
  <c r="AB23" i="1"/>
  <c r="AG25" i="1"/>
  <c r="AJ25" i="1" s="1"/>
  <c r="AB25" i="1"/>
  <c r="AG32" i="1"/>
  <c r="AJ32" i="1" s="1"/>
  <c r="AB32" i="1"/>
  <c r="AG38" i="1"/>
  <c r="AJ38" i="1" s="1"/>
  <c r="AI46" i="1"/>
  <c r="AL46" i="1" s="1"/>
  <c r="AE46" i="1"/>
  <c r="AG17" i="1"/>
  <c r="AJ17" i="1" s="1"/>
  <c r="AG13" i="1"/>
  <c r="AE51" i="1" l="1"/>
  <c r="AJ13" i="1"/>
  <c r="AB13" i="1"/>
  <c r="AB51" i="1" l="1"/>
</calcChain>
</file>

<file path=xl/comments1.xml><?xml version="1.0" encoding="utf-8"?>
<comments xmlns="http://schemas.openxmlformats.org/spreadsheetml/2006/main">
  <authors>
    <author>W10 PRO</author>
  </authors>
  <commentList>
    <comment ref="H32" authorId="0" shapeId="0">
      <text>
        <r>
          <rPr>
            <b/>
            <sz val="11"/>
            <color indexed="81"/>
            <rFont val="Tahoma"/>
            <family val="2"/>
          </rPr>
          <t xml:space="preserve">Jumlah Perangkat Daerah yang melaksanakan KIP di bagi dengan jumlah Perangkat Daerah dikali 100 </t>
        </r>
      </text>
    </comment>
    <comment ref="H33" authorId="0" shapeId="0">
      <text>
        <r>
          <rPr>
            <b/>
            <sz val="11"/>
            <color indexed="81"/>
            <rFont val="Tahoma"/>
            <family val="2"/>
          </rPr>
          <t>Jumlah Kegiatan pemerintah Kabupaten HSS yang terpublikasi dibagi jumlah seluruh kegiatan pemerintah Kabupaten HSS yang terlaksana dikali 100</t>
        </r>
      </text>
    </comment>
    <comment ref="Q41" authorId="0" shapeId="0">
      <text>
        <r>
          <rPr>
            <b/>
            <sz val="12"/>
            <color indexed="81"/>
            <rFont val="Tahoma"/>
            <family val="2"/>
          </rPr>
          <t>1. Bag Kesra Setda : Aplikasi Beasiswa Skripsi
2. Dinas Kesehatan:Aplikasi Update COVID-19
3. Inspektorat: Aplikasi DICEK
4. Dispoarapar: Aplikasi SIMBIOSIS
5. Bappelitbangda: Aplikasi Geo Portal
6. Dinas Ketahanan Pangan: Aplikasi SIDAKAT</t>
        </r>
      </text>
    </comment>
    <comment ref="T41" authorId="0" shapeId="0">
      <text>
        <r>
          <rPr>
            <b/>
            <sz val="12"/>
            <color indexed="81"/>
            <rFont val="Tahoma"/>
            <family val="2"/>
          </rPr>
          <t>1. Bag Kesra Setda : Aplikasi Beasiswa Skripsi
2. Dinas Kesehatan:Aplikasi Update COVID-19
3. Inspektorat: Aplikasi DICEK
4. Dispoarapar: Aplikasi SIMBIOSIS
5. Bappelitbangda: Aplikasi Geo Portal
6. Dinas Ketahanan Pangan: Aplikasi SIDAKAT</t>
        </r>
      </text>
    </comment>
    <comment ref="W41" authorId="0" shapeId="0">
      <text>
        <r>
          <rPr>
            <b/>
            <sz val="12"/>
            <color indexed="81"/>
            <rFont val="Tahoma"/>
            <family val="2"/>
          </rPr>
          <t>1. Bag Kesra Setda : Aplikasi Beasiswa Skripsi
2. Dinas Kesehatan:Aplikasi Update COVID-19
3. Inspektorat: Aplikasi DICEK
4. Dispoarapar: Aplikasi SIMBIOSIS
5. Bappelitbangda: Aplikasi Geo Portal
6. Dinas Ketahanan Pangan: Aplikasi SIDAKAT</t>
        </r>
      </text>
    </comment>
  </commentList>
</comments>
</file>

<file path=xl/sharedStrings.xml><?xml version="1.0" encoding="utf-8"?>
<sst xmlns="http://schemas.openxmlformats.org/spreadsheetml/2006/main" count="519" uniqueCount="134">
  <si>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</si>
  <si>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</si>
  <si>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</si>
  <si>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</si>
  <si>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</si>
  <si>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</si>
  <si>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</si>
  <si>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</si>
  <si>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</si>
  <si>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</si>
  <si>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</si>
  <si>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</si>
  <si>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</si>
  <si>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</si>
  <si>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</si>
  <si>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</si>
  <si>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</si>
  <si>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</si>
  <si>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</si>
  <si>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</si>
  <si>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</si>
  <si>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</si>
  <si>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</si>
  <si>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</si>
  <si>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</si>
  <si>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</si>
  <si>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</si>
  <si>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</si>
  <si>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</si>
  <si>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</si>
  <si>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</si>
  <si>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</si>
  <si>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Program Peningkatan Sarana dan Prasarana Aparatur</t>
  </si>
  <si>
    <t>Pemeliharaan rutin/berkala kendaraan dinas/operasional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</si>
  <si>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</si>
  <si>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</si>
  <si>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</si>
  <si>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</si>
  <si>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</si>
  <si>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</si>
  <si>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</si>
  <si>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</si>
  <si>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</si>
  <si>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</si>
  <si>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</si>
  <si>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</si>
  <si>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</si>
  <si>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</si>
  <si>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</si>
  <si>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</si>
  <si>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</si>
  <si>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</si>
  <si>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</si>
  <si>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</si>
  <si>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</si>
  <si>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</si>
  <si>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</si>
  <si>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</si>
  <si>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</si>
  <si>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Bln</t>
  </si>
  <si>
    <t>%</t>
  </si>
  <si>
    <t>Laporan Keuangan yang Memenuhi Aspek Kualitas</t>
  </si>
  <si>
    <t>Dokumen AKIP yang Memenuhi Aspek Kualitas</t>
  </si>
  <si>
    <t>Pelayanan administrasi sesuai standar</t>
  </si>
  <si>
    <t>Tingkat pemenuhan aspek kualitas dokumen keuangan daerah</t>
  </si>
  <si>
    <t>Dok</t>
  </si>
  <si>
    <t>Penyediaan Jasa dan Administrasi Kantor</t>
  </si>
  <si>
    <t>Penyediaan jasa komunikasi, sumber daya air dan listrik</t>
  </si>
  <si>
    <t>Penyebarluasan Informasi Tugas Pokok Dan Fungsi SKPD</t>
  </si>
  <si>
    <t>Penyediaan makanan dan minuman</t>
  </si>
  <si>
    <t>Kegiatan Penyediaan Jasa Tenaga Pendukung Administrasi/Teknis Lainnya</t>
  </si>
  <si>
    <t>Rapat Rapat Koordinasi, Konsultasi dan Lapangan</t>
  </si>
  <si>
    <t>Penyediaan peralatan dan perlengkapan kantor</t>
  </si>
  <si>
    <t>Pemeliharaan peralatan dan perlengkapan kantor</t>
  </si>
  <si>
    <t>DINAS KOMUNIKASI DAN INFORMATIKA</t>
  </si>
  <si>
    <t>Dinas Komunikasi dan Informatika</t>
  </si>
  <si>
    <t>Pemeliharaan rutin/berkala gedung kantor</t>
  </si>
  <si>
    <t xml:space="preserve">Pelayanan administrasi sesuai standar </t>
  </si>
  <si>
    <t xml:space="preserve">Gedung Kantor kondisi baik </t>
  </si>
  <si>
    <t xml:space="preserve">Mobil dan kendaraan operasional kondisi baik </t>
  </si>
  <si>
    <t>Peralatan dan perlengkapan kantor kondisi baik</t>
  </si>
  <si>
    <t>Program Peningkatan Pelayanan Kinerja Perangkat Daerah</t>
  </si>
  <si>
    <t>Peningkatan Pengelolaan Informasi dan Dokumentasi Daerah</t>
  </si>
  <si>
    <t>Sosialisasi Teknologi dan Informatika</t>
  </si>
  <si>
    <t xml:space="preserve">Perangkat Daerah yang melaksanakan KIP </t>
  </si>
  <si>
    <t>SKPD yang terkoneksi jaringan internet dan atau intranet ke Server Center Diskominfo</t>
  </si>
  <si>
    <t>PD</t>
  </si>
  <si>
    <t>Meningkatnya Penggunaaan Sistem Informasi Daerah</t>
  </si>
  <si>
    <t>Program Pelayanan Informasi dan Media Massa</t>
  </si>
  <si>
    <t>Penyebarluasan Informasi Pembangunan Daerah</t>
  </si>
  <si>
    <t xml:space="preserve">Jumlah Produksi Informasi Yang Terpublikasi </t>
  </si>
  <si>
    <t>Persentase Perangkat Daerah yang melaksanakan Keterbukaan Informasi Publik (KIP)</t>
  </si>
  <si>
    <t xml:space="preserve">Persentase Kegiatan Pemerintah Kabupaten HSS yang Terpublikasi </t>
  </si>
  <si>
    <t>Informasi</t>
  </si>
  <si>
    <t>Program Pemanfaatan Teknologi Informasi</t>
  </si>
  <si>
    <t>Pengembangan Sistem Pemerintahan Berbasis Elektronik (SPBE)</t>
  </si>
  <si>
    <t>Jumlah Aplikasi e-Government yang berfungsi dengan baik</t>
  </si>
  <si>
    <t xml:space="preserve">Jumlah SKPD/Desa yang Terkoneksi dengan Intranet ke Server Center Diskominfo </t>
  </si>
  <si>
    <t>Aplikasi</t>
  </si>
  <si>
    <t>Program Pelayanan Statistik dan Sandi Daerah</t>
  </si>
  <si>
    <t>Penyusunan dan Pengumpulan Data dan Statistik Daerah</t>
  </si>
  <si>
    <t xml:space="preserve">Jumlah Dokumen Statistik Daerah yang dikeluarkan </t>
  </si>
  <si>
    <t>Buku</t>
  </si>
  <si>
    <t>Tingkat Kepuasan Pelayanan</t>
  </si>
  <si>
    <t>Keg</t>
  </si>
  <si>
    <t>Pembinaan dan Pengembangan Sumber Daya Komunikasi dan Informasi</t>
  </si>
  <si>
    <t>Sosialisasi Kegiatan Teknologi dan Informatika</t>
  </si>
  <si>
    <t>Pengendalian dan Pengawasan Menara Telekomunikasi</t>
  </si>
  <si>
    <t>Peningkatan Pelayanan Akses Internet</t>
  </si>
  <si>
    <t xml:space="preserve">Jumlah SKPD/Desa yang terkoneksi dengan intranet ke Server Center Diskominfo </t>
  </si>
  <si>
    <t xml:space="preserve">Jumlah Aplikasi e-Government yang berfungsi dengan baik </t>
  </si>
  <si>
    <t>Peningkatan Pelayanan Sandi</t>
  </si>
  <si>
    <t xml:space="preserve">Jumlah informasi yang diamankan </t>
  </si>
  <si>
    <t>Telegram Senapati</t>
  </si>
  <si>
    <t xml:space="preserve">Jumlah ketersediaan data statistik </t>
  </si>
  <si>
    <t>Paket Acara LPPL Kandangan TV</t>
  </si>
  <si>
    <t>Perangkat Daerah  yang  melaksanakan Keterbukaan Informasi Publik (KIP)</t>
  </si>
  <si>
    <t>Tingkat pemenuhan aspek kualitas dokumen AKIP</t>
  </si>
  <si>
    <t>Realisasi dan Tingkat Capaian Kinerja dan Anggaran Renja Perangkat Daerah yang Dievaluasi</t>
  </si>
  <si>
    <t>[kolom (12)(K) : kolom (7)(K)] x 100%</t>
  </si>
  <si>
    <t>[kolom (12)(Rp) : kolom (7)(Rp)] x 100%</t>
  </si>
  <si>
    <t>Paket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</si>
  <si>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</si>
  <si>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</si>
  <si>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</si>
  <si>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</si>
  <si>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</si>
  <si>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</si>
  <si>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Komunikasi dan Informatika</t>
  </si>
  <si>
    <t>Hj. RAHMAWATY, ST, MT</t>
  </si>
  <si>
    <t>NIP. 19710726 199703 2 005</t>
  </si>
  <si>
    <t>PERIODE PELAKSANAAN TRIWULAN IV TAHUN 2020</t>
  </si>
  <si>
    <t>Kandangan, 4 Januari 2021</t>
  </si>
  <si>
    <t>Peningkatan Sarana dan Prasarana LPPL Kandangan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</si>
</sst>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6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8" fillId="0" borderId="15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top" wrapText="1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2" fontId="8" fillId="0" borderId="11" xfId="0" applyNumberFormat="1" applyFont="1" applyFill="1" applyBorder="1" applyAlignment="1">
      <alignment horizontal="center" vertical="top" wrapText="1"/>
    </xf>
    <xf numFmtId="166" fontId="8" fillId="0" borderId="2" xfId="2" applyFont="1" applyFill="1" applyBorder="1" applyAlignment="1">
      <alignment vertical="top"/>
    </xf>
    <xf numFmtId="9" fontId="6" fillId="0" borderId="2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6" fillId="0" borderId="2" xfId="2" applyNumberFormat="1" applyFont="1" applyFill="1" applyBorder="1" applyAlignment="1">
      <alignment horizontal="center" vertical="top" wrapText="1"/>
    </xf>
    <xf numFmtId="166" fontId="8" fillId="0" borderId="15" xfId="2" applyFont="1" applyFill="1" applyBorder="1" applyAlignment="1">
      <alignment vertical="top"/>
    </xf>
    <xf numFmtId="1" fontId="6" fillId="0" borderId="2" xfId="0" applyNumberFormat="1" applyFont="1" applyFill="1" applyBorder="1" applyAlignment="1">
      <alignment horizontal="center" vertical="top" wrapText="1"/>
    </xf>
    <xf numFmtId="0" fontId="8" fillId="0" borderId="2" xfId="2" applyNumberFormat="1" applyFont="1" applyFill="1" applyBorder="1" applyAlignment="1">
      <alignment horizontal="center" vertical="top" wrapText="1"/>
    </xf>
    <xf numFmtId="0" fontId="8" fillId="0" borderId="6" xfId="2" applyNumberFormat="1" applyFont="1" applyFill="1" applyBorder="1" applyAlignment="1">
      <alignment horizontal="center" vertical="top" wrapText="1"/>
    </xf>
    <xf numFmtId="9" fontId="8" fillId="0" borderId="6" xfId="0" applyNumberFormat="1" applyFont="1" applyFill="1" applyBorder="1" applyAlignment="1">
      <alignment horizontal="center" vertical="top" wrapText="1"/>
    </xf>
    <xf numFmtId="0" fontId="8" fillId="0" borderId="15" xfId="2" applyNumberFormat="1" applyFont="1" applyFill="1" applyBorder="1" applyAlignment="1">
      <alignment horizontal="center" vertical="top" wrapText="1"/>
    </xf>
    <xf numFmtId="1" fontId="8" fillId="0" borderId="6" xfId="0" applyNumberFormat="1" applyFont="1" applyFill="1" applyBorder="1" applyAlignment="1">
      <alignment horizontal="center" vertical="top" wrapText="1"/>
    </xf>
    <xf numFmtId="9" fontId="8" fillId="0" borderId="6" xfId="0" applyNumberFormat="1" applyFont="1" applyFill="1" applyBorder="1" applyAlignment="1">
      <alignment horizontal="center" vertical="top"/>
    </xf>
    <xf numFmtId="9" fontId="8" fillId="0" borderId="11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" fontId="8" fillId="0" borderId="6" xfId="0" applyNumberFormat="1" applyFont="1" applyFill="1" applyBorder="1" applyAlignment="1">
      <alignment horizontal="center" vertical="top"/>
    </xf>
    <xf numFmtId="1" fontId="8" fillId="0" borderId="15" xfId="0" applyNumberFormat="1" applyFont="1" applyFill="1" applyBorder="1" applyAlignment="1">
      <alignment horizontal="center" vertical="top"/>
    </xf>
    <xf numFmtId="2" fontId="8" fillId="0" borderId="6" xfId="0" applyNumberFormat="1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1" fontId="8" fillId="0" borderId="11" xfId="0" applyNumberFormat="1" applyFont="1" applyFill="1" applyBorder="1" applyAlignment="1">
      <alignment horizontal="center" vertical="top"/>
    </xf>
    <xf numFmtId="2" fontId="8" fillId="0" borderId="11" xfId="0" applyNumberFormat="1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5" fontId="6" fillId="0" borderId="6" xfId="1" quotePrefix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166" fontId="8" fillId="0" borderId="15" xfId="0" applyNumberFormat="1" applyFont="1" applyFill="1" applyBorder="1" applyAlignment="1">
      <alignment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vertical="top"/>
    </xf>
    <xf numFmtId="9" fontId="6" fillId="0" borderId="6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/>
    </xf>
    <xf numFmtId="0" fontId="4" fillId="3" borderId="15" xfId="0" applyFont="1" applyFill="1" applyBorder="1"/>
    <xf numFmtId="0" fontId="8" fillId="0" borderId="6" xfId="0" applyFont="1" applyFill="1" applyBorder="1" applyAlignment="1">
      <alignment horizontal="left" vertical="top" wrapText="1"/>
    </xf>
    <xf numFmtId="166" fontId="8" fillId="0" borderId="6" xfId="2" applyFont="1" applyFill="1" applyBorder="1" applyAlignment="1">
      <alignment vertical="top"/>
    </xf>
    <xf numFmtId="165" fontId="8" fillId="0" borderId="6" xfId="1" applyNumberFormat="1" applyFont="1" applyFill="1" applyBorder="1" applyAlignment="1">
      <alignment vertical="top"/>
    </xf>
    <xf numFmtId="165" fontId="8" fillId="0" borderId="6" xfId="1" quotePrefix="1" applyNumberFormat="1" applyFont="1" applyFill="1" applyBorder="1" applyAlignment="1">
      <alignment vertical="top"/>
    </xf>
    <xf numFmtId="166" fontId="8" fillId="0" borderId="6" xfId="0" applyNumberFormat="1" applyFont="1" applyFill="1" applyBorder="1" applyAlignment="1">
      <alignment vertical="top"/>
    </xf>
    <xf numFmtId="0" fontId="8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66"/>
  <sheetViews>
    <sheetView tabSelected="1" showRuler="0" view="pageBreakPreview" topLeftCell="A31" zoomScale="70" zoomScaleNormal="40" zoomScaleSheetLayoutView="70" zoomScalePageLayoutView="55" workbookViewId="0">
      <selection activeCell="C35" sqref="C35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7.7109375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6.8554687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7" style="2" customWidth="1"/>
    <col min="36" max="36" width="8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"/>
    </row>
    <row r="2" spans="1:45" ht="23.2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3"/>
    </row>
    <row r="3" spans="1:45" ht="23.25" x14ac:dyDescent="0.35">
      <c r="A3" s="138" t="s">
        <v>74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3"/>
    </row>
    <row r="4" spans="1:45" ht="23.25" x14ac:dyDescent="0.35">
      <c r="A4" s="139" t="s">
        <v>131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"/>
    </row>
    <row r="5" spans="1:45" ht="18" x14ac:dyDescent="0.2">
      <c r="A5" s="140" t="s">
        <v>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</row>
    <row r="6" spans="1:45" ht="18" x14ac:dyDescent="0.25">
      <c r="A6" s="123" t="s">
        <v>74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</row>
    <row r="7" spans="1:45" ht="81" customHeight="1" x14ac:dyDescent="0.2">
      <c r="A7" s="133" t="s">
        <v>3</v>
      </c>
      <c r="B7" s="133" t="s">
        <v>4</v>
      </c>
      <c r="C7" s="134" t="s">
        <v>5</v>
      </c>
      <c r="D7" s="134" t="s">
        <v>6</v>
      </c>
      <c r="E7" s="124" t="s">
        <v>7</v>
      </c>
      <c r="F7" s="125"/>
      <c r="G7" s="126"/>
      <c r="H7" s="124" t="s">
        <v>8</v>
      </c>
      <c r="I7" s="125"/>
      <c r="J7" s="126"/>
      <c r="K7" s="124" t="s">
        <v>9</v>
      </c>
      <c r="L7" s="125"/>
      <c r="M7" s="125"/>
      <c r="N7" s="124" t="s">
        <v>10</v>
      </c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6"/>
      <c r="Z7" s="124" t="s">
        <v>118</v>
      </c>
      <c r="AA7" s="125"/>
      <c r="AB7" s="125"/>
      <c r="AC7" s="125"/>
      <c r="AD7" s="125"/>
      <c r="AE7" s="125"/>
      <c r="AF7" s="126"/>
      <c r="AG7" s="124" t="s">
        <v>11</v>
      </c>
      <c r="AH7" s="125"/>
      <c r="AI7" s="126"/>
      <c r="AJ7" s="124" t="s">
        <v>12</v>
      </c>
      <c r="AK7" s="125"/>
      <c r="AL7" s="125"/>
      <c r="AM7" s="144" t="s">
        <v>13</v>
      </c>
      <c r="AO7" s="4"/>
      <c r="AP7" s="4"/>
      <c r="AQ7" s="4"/>
      <c r="AR7" s="4"/>
      <c r="AS7" s="4"/>
    </row>
    <row r="8" spans="1:45" ht="18" customHeight="1" x14ac:dyDescent="0.2">
      <c r="A8" s="133"/>
      <c r="B8" s="133"/>
      <c r="C8" s="134"/>
      <c r="D8" s="134"/>
      <c r="E8" s="135"/>
      <c r="F8" s="136"/>
      <c r="G8" s="137"/>
      <c r="H8" s="135"/>
      <c r="I8" s="136"/>
      <c r="J8" s="137"/>
      <c r="K8" s="127"/>
      <c r="L8" s="128"/>
      <c r="M8" s="128"/>
      <c r="N8" s="127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9"/>
      <c r="Z8" s="127"/>
      <c r="AA8" s="128"/>
      <c r="AB8" s="128"/>
      <c r="AC8" s="128"/>
      <c r="AD8" s="128"/>
      <c r="AE8" s="128"/>
      <c r="AF8" s="129"/>
      <c r="AG8" s="127"/>
      <c r="AH8" s="128"/>
      <c r="AI8" s="129"/>
      <c r="AJ8" s="127"/>
      <c r="AK8" s="128"/>
      <c r="AL8" s="128"/>
      <c r="AM8" s="145"/>
    </row>
    <row r="9" spans="1:45" ht="15.75" customHeight="1" x14ac:dyDescent="0.2">
      <c r="A9" s="133"/>
      <c r="B9" s="133"/>
      <c r="C9" s="134"/>
      <c r="D9" s="134"/>
      <c r="E9" s="127"/>
      <c r="F9" s="128"/>
      <c r="G9" s="129"/>
      <c r="H9" s="127"/>
      <c r="I9" s="128"/>
      <c r="J9" s="129"/>
      <c r="K9" s="146">
        <v>2020</v>
      </c>
      <c r="L9" s="147"/>
      <c r="M9" s="148"/>
      <c r="N9" s="130" t="s">
        <v>14</v>
      </c>
      <c r="O9" s="131"/>
      <c r="P9" s="132"/>
      <c r="Q9" s="130" t="s">
        <v>15</v>
      </c>
      <c r="R9" s="131"/>
      <c r="S9" s="132"/>
      <c r="T9" s="130" t="s">
        <v>16</v>
      </c>
      <c r="U9" s="131"/>
      <c r="V9" s="132"/>
      <c r="W9" s="130" t="s">
        <v>17</v>
      </c>
      <c r="X9" s="131"/>
      <c r="Y9" s="132"/>
      <c r="Z9" s="130">
        <v>2020</v>
      </c>
      <c r="AA9" s="131"/>
      <c r="AB9" s="131"/>
      <c r="AC9" s="131"/>
      <c r="AD9" s="131"/>
      <c r="AE9" s="131"/>
      <c r="AF9" s="132"/>
      <c r="AG9" s="130">
        <v>2020</v>
      </c>
      <c r="AH9" s="131"/>
      <c r="AI9" s="132"/>
      <c r="AJ9" s="130">
        <v>2020</v>
      </c>
      <c r="AK9" s="131"/>
      <c r="AL9" s="132"/>
      <c r="AM9" s="5"/>
    </row>
    <row r="10" spans="1:45" s="7" customFormat="1" ht="15.75" x14ac:dyDescent="0.25">
      <c r="A10" s="158">
        <v>1</v>
      </c>
      <c r="B10" s="158">
        <v>2</v>
      </c>
      <c r="C10" s="158">
        <v>3</v>
      </c>
      <c r="D10" s="158">
        <v>4</v>
      </c>
      <c r="E10" s="141">
        <v>5</v>
      </c>
      <c r="F10" s="142"/>
      <c r="G10" s="143"/>
      <c r="H10" s="141">
        <v>6</v>
      </c>
      <c r="I10" s="142"/>
      <c r="J10" s="143"/>
      <c r="K10" s="159">
        <v>7</v>
      </c>
      <c r="L10" s="160"/>
      <c r="M10" s="161"/>
      <c r="N10" s="159">
        <v>8</v>
      </c>
      <c r="O10" s="160"/>
      <c r="P10" s="161"/>
      <c r="Q10" s="159">
        <v>9</v>
      </c>
      <c r="R10" s="160"/>
      <c r="S10" s="161"/>
      <c r="T10" s="159">
        <v>10</v>
      </c>
      <c r="U10" s="160"/>
      <c r="V10" s="161"/>
      <c r="W10" s="159">
        <v>11</v>
      </c>
      <c r="X10" s="160"/>
      <c r="Y10" s="161"/>
      <c r="Z10" s="149">
        <v>12</v>
      </c>
      <c r="AA10" s="150"/>
      <c r="AB10" s="150"/>
      <c r="AC10" s="150"/>
      <c r="AD10" s="150"/>
      <c r="AE10" s="150"/>
      <c r="AF10" s="151"/>
      <c r="AG10" s="149">
        <v>13</v>
      </c>
      <c r="AH10" s="150"/>
      <c r="AI10" s="151"/>
      <c r="AJ10" s="149">
        <v>14</v>
      </c>
      <c r="AK10" s="150"/>
      <c r="AL10" s="151"/>
      <c r="AM10" s="6">
        <v>15</v>
      </c>
    </row>
    <row r="11" spans="1:45" s="7" customFormat="1" ht="87" customHeight="1" x14ac:dyDescent="0.2">
      <c r="A11" s="162"/>
      <c r="B11" s="162"/>
      <c r="C11" s="162"/>
      <c r="D11" s="162"/>
      <c r="E11" s="152" t="s">
        <v>18</v>
      </c>
      <c r="F11" s="153"/>
      <c r="G11" s="156" t="s">
        <v>19</v>
      </c>
      <c r="H11" s="152" t="s">
        <v>18</v>
      </c>
      <c r="I11" s="153"/>
      <c r="J11" s="156" t="s">
        <v>19</v>
      </c>
      <c r="K11" s="152" t="s">
        <v>18</v>
      </c>
      <c r="L11" s="153"/>
      <c r="M11" s="158" t="s">
        <v>19</v>
      </c>
      <c r="N11" s="152" t="s">
        <v>18</v>
      </c>
      <c r="O11" s="153"/>
      <c r="P11" s="158" t="s">
        <v>19</v>
      </c>
      <c r="Q11" s="152" t="s">
        <v>18</v>
      </c>
      <c r="R11" s="153"/>
      <c r="S11" s="158" t="s">
        <v>19</v>
      </c>
      <c r="T11" s="152" t="s">
        <v>18</v>
      </c>
      <c r="U11" s="153"/>
      <c r="V11" s="158" t="s">
        <v>19</v>
      </c>
      <c r="W11" s="152" t="s">
        <v>18</v>
      </c>
      <c r="X11" s="153"/>
      <c r="Y11" s="158" t="s">
        <v>19</v>
      </c>
      <c r="Z11" s="141" t="s">
        <v>20</v>
      </c>
      <c r="AA11" s="143"/>
      <c r="AB11" s="141" t="s">
        <v>119</v>
      </c>
      <c r="AC11" s="143"/>
      <c r="AD11" s="8" t="s">
        <v>21</v>
      </c>
      <c r="AE11" s="141" t="s">
        <v>120</v>
      </c>
      <c r="AF11" s="143"/>
      <c r="AG11" s="141" t="s">
        <v>22</v>
      </c>
      <c r="AH11" s="143"/>
      <c r="AI11" s="8" t="s">
        <v>23</v>
      </c>
      <c r="AJ11" s="141" t="s">
        <v>24</v>
      </c>
      <c r="AK11" s="143"/>
      <c r="AL11" s="8" t="s">
        <v>25</v>
      </c>
      <c r="AM11" s="9"/>
    </row>
    <row r="12" spans="1:45" s="7" customFormat="1" ht="15.75" x14ac:dyDescent="0.2">
      <c r="A12" s="156"/>
      <c r="B12" s="156"/>
      <c r="C12" s="156"/>
      <c r="D12" s="156"/>
      <c r="E12" s="154"/>
      <c r="F12" s="155"/>
      <c r="G12" s="157"/>
      <c r="H12" s="154"/>
      <c r="I12" s="155"/>
      <c r="J12" s="157"/>
      <c r="K12" s="154"/>
      <c r="L12" s="155"/>
      <c r="M12" s="156"/>
      <c r="N12" s="154"/>
      <c r="O12" s="155"/>
      <c r="P12" s="156"/>
      <c r="Q12" s="154"/>
      <c r="R12" s="155"/>
      <c r="S12" s="156"/>
      <c r="T12" s="154"/>
      <c r="U12" s="155"/>
      <c r="V12" s="156"/>
      <c r="W12" s="154"/>
      <c r="X12" s="155"/>
      <c r="Y12" s="156"/>
      <c r="Z12" s="154" t="s">
        <v>18</v>
      </c>
      <c r="AA12" s="155"/>
      <c r="AB12" s="154" t="s">
        <v>18</v>
      </c>
      <c r="AC12" s="155"/>
      <c r="AD12" s="10" t="s">
        <v>19</v>
      </c>
      <c r="AE12" s="154" t="s">
        <v>19</v>
      </c>
      <c r="AF12" s="155"/>
      <c r="AG12" s="154" t="s">
        <v>18</v>
      </c>
      <c r="AH12" s="155"/>
      <c r="AI12" s="10" t="s">
        <v>19</v>
      </c>
      <c r="AJ12" s="154" t="s">
        <v>18</v>
      </c>
      <c r="AK12" s="155"/>
      <c r="AL12" s="10" t="s">
        <v>19</v>
      </c>
      <c r="AM12" s="111"/>
    </row>
    <row r="13" spans="1:45" ht="123.75" customHeight="1" x14ac:dyDescent="0.2">
      <c r="A13" s="50">
        <v>1</v>
      </c>
      <c r="B13" s="14" t="s">
        <v>26</v>
      </c>
      <c r="C13" s="51" t="s">
        <v>27</v>
      </c>
      <c r="D13" s="16" t="s">
        <v>117</v>
      </c>
      <c r="E13" s="47">
        <v>89.02</v>
      </c>
      <c r="F13" s="48" t="s">
        <v>58</v>
      </c>
      <c r="G13" s="94">
        <f>SUM(G15:G16)</f>
        <v>50000000</v>
      </c>
      <c r="H13" s="47">
        <v>80.239999999999995</v>
      </c>
      <c r="I13" s="48" t="s">
        <v>58</v>
      </c>
      <c r="J13" s="94">
        <f>SUM(J15:J16)</f>
        <v>9546000</v>
      </c>
      <c r="K13" s="47">
        <v>82.55</v>
      </c>
      <c r="L13" s="48" t="s">
        <v>58</v>
      </c>
      <c r="M13" s="94">
        <f>SUM(M15:M16)</f>
        <v>9000000</v>
      </c>
      <c r="N13" s="47">
        <v>0.25</v>
      </c>
      <c r="O13" s="48" t="s">
        <v>58</v>
      </c>
      <c r="P13" s="94">
        <f>SUM(P15:P16)</f>
        <v>600000</v>
      </c>
      <c r="Q13" s="107">
        <v>0</v>
      </c>
      <c r="R13" s="48" t="s">
        <v>58</v>
      </c>
      <c r="S13" s="94">
        <f>SUM(S15:S16)</f>
        <v>4200000</v>
      </c>
      <c r="T13" s="107">
        <v>0</v>
      </c>
      <c r="U13" s="48" t="s">
        <v>58</v>
      </c>
      <c r="V13" s="94">
        <f>SUM(V15:V16)</f>
        <v>0</v>
      </c>
      <c r="W13" s="107">
        <v>0</v>
      </c>
      <c r="X13" s="48" t="s">
        <v>58</v>
      </c>
      <c r="Y13" s="94">
        <f>SUM(Y15:Y16)</f>
        <v>4200000</v>
      </c>
      <c r="Z13" s="73">
        <f>N13+Q13+T13+W13</f>
        <v>0.25</v>
      </c>
      <c r="AA13" s="48" t="s">
        <v>58</v>
      </c>
      <c r="AB13" s="73">
        <f>AG13/K13*100</f>
        <v>97.504542701393092</v>
      </c>
      <c r="AC13" s="71" t="s">
        <v>60</v>
      </c>
      <c r="AD13" s="95">
        <f>P13+S13+V13+Y13</f>
        <v>9000000</v>
      </c>
      <c r="AE13" s="96">
        <f>AD13/M13*100</f>
        <v>100</v>
      </c>
      <c r="AF13" s="50" t="s">
        <v>60</v>
      </c>
      <c r="AG13" s="73">
        <f>H13+Z13</f>
        <v>80.489999999999995</v>
      </c>
      <c r="AH13" s="48" t="s">
        <v>58</v>
      </c>
      <c r="AI13" s="95">
        <f>J13+AD13</f>
        <v>18546000</v>
      </c>
      <c r="AJ13" s="71">
        <f>AG13/E13*100</f>
        <v>90.417883621658063</v>
      </c>
      <c r="AK13" s="71" t="s">
        <v>60</v>
      </c>
      <c r="AL13" s="96">
        <f>AI13/G13*100</f>
        <v>37.092000000000006</v>
      </c>
      <c r="AM13" s="22" t="s">
        <v>75</v>
      </c>
      <c r="AP13" s="23">
        <f t="shared" ref="AP13:AP21" si="0">P13+S13+V13+Y13</f>
        <v>9000000</v>
      </c>
    </row>
    <row r="14" spans="1:45" ht="118.5" customHeight="1" x14ac:dyDescent="0.2">
      <c r="A14" s="13"/>
      <c r="B14" s="14"/>
      <c r="C14" s="15"/>
      <c r="D14" s="16" t="s">
        <v>64</v>
      </c>
      <c r="E14" s="47">
        <v>100</v>
      </c>
      <c r="F14" s="48" t="s">
        <v>60</v>
      </c>
      <c r="G14" s="43"/>
      <c r="H14" s="47">
        <v>100</v>
      </c>
      <c r="I14" s="48" t="s">
        <v>60</v>
      </c>
      <c r="J14" s="43"/>
      <c r="K14" s="47">
        <v>100</v>
      </c>
      <c r="L14" s="48" t="s">
        <v>60</v>
      </c>
      <c r="M14" s="43"/>
      <c r="N14" s="47">
        <f>N16/K16*100</f>
        <v>33.333333333333329</v>
      </c>
      <c r="O14" s="48" t="s">
        <v>60</v>
      </c>
      <c r="P14" s="43"/>
      <c r="Q14" s="107">
        <f>Q16/K16*100</f>
        <v>25</v>
      </c>
      <c r="R14" s="48" t="s">
        <v>60</v>
      </c>
      <c r="S14" s="43"/>
      <c r="T14" s="107">
        <f>T16/K16*100</f>
        <v>33.333333333333329</v>
      </c>
      <c r="U14" s="48" t="s">
        <v>60</v>
      </c>
      <c r="V14" s="43"/>
      <c r="W14" s="107">
        <f>W16/K16*100</f>
        <v>8.3333333333333321</v>
      </c>
      <c r="X14" s="48" t="s">
        <v>60</v>
      </c>
      <c r="Y14" s="43"/>
      <c r="Z14" s="73">
        <f>N14+Q14+T14+W14</f>
        <v>99.999999999999986</v>
      </c>
      <c r="AA14" s="48" t="s">
        <v>60</v>
      </c>
      <c r="AB14" s="73">
        <f>Z14/K14*100</f>
        <v>99.999999999999986</v>
      </c>
      <c r="AC14" s="71" t="s">
        <v>60</v>
      </c>
      <c r="AD14" s="72"/>
      <c r="AE14" s="97"/>
      <c r="AF14" s="108"/>
      <c r="AG14" s="73">
        <f>H14+Z14</f>
        <v>200</v>
      </c>
      <c r="AH14" s="48" t="s">
        <v>60</v>
      </c>
      <c r="AI14" s="72"/>
      <c r="AJ14" s="73">
        <f>AG14/E14*100</f>
        <v>200</v>
      </c>
      <c r="AK14" s="71" t="s">
        <v>60</v>
      </c>
      <c r="AL14" s="97"/>
      <c r="AM14" s="22"/>
      <c r="AP14" s="23"/>
    </row>
    <row r="15" spans="1:45" ht="75" x14ac:dyDescent="0.2">
      <c r="A15" s="13"/>
      <c r="B15" s="14"/>
      <c r="C15" s="24" t="s">
        <v>29</v>
      </c>
      <c r="D15" s="29" t="s">
        <v>62</v>
      </c>
      <c r="E15" s="17">
        <f>15*5</f>
        <v>75</v>
      </c>
      <c r="F15" s="18" t="s">
        <v>65</v>
      </c>
      <c r="G15" s="53">
        <f>5000000*5</f>
        <v>25000000</v>
      </c>
      <c r="H15" s="17">
        <v>15</v>
      </c>
      <c r="I15" s="18" t="s">
        <v>65</v>
      </c>
      <c r="J15" s="20">
        <v>4774000</v>
      </c>
      <c r="K15" s="17">
        <v>15</v>
      </c>
      <c r="L15" s="18" t="s">
        <v>65</v>
      </c>
      <c r="M15" s="21">
        <v>4500000</v>
      </c>
      <c r="N15" s="17">
        <v>6</v>
      </c>
      <c r="O15" s="18" t="s">
        <v>65</v>
      </c>
      <c r="P15" s="21">
        <v>300000</v>
      </c>
      <c r="Q15" s="17">
        <v>3</v>
      </c>
      <c r="R15" s="18" t="s">
        <v>65</v>
      </c>
      <c r="S15" s="21">
        <v>2100000</v>
      </c>
      <c r="T15" s="17">
        <v>3</v>
      </c>
      <c r="U15" s="18" t="s">
        <v>65</v>
      </c>
      <c r="V15" s="21">
        <v>0</v>
      </c>
      <c r="W15" s="17">
        <v>3</v>
      </c>
      <c r="X15" s="18" t="s">
        <v>65</v>
      </c>
      <c r="Y15" s="21">
        <v>2100000</v>
      </c>
      <c r="Z15" s="76">
        <f>N15+Q15+T15+W15</f>
        <v>15</v>
      </c>
      <c r="AA15" s="18" t="s">
        <v>65</v>
      </c>
      <c r="AB15" s="74">
        <f>Z15/K15*100</f>
        <v>100</v>
      </c>
      <c r="AC15" s="36" t="s">
        <v>60</v>
      </c>
      <c r="AD15" s="42">
        <f>P15+S15+V15+Y15</f>
        <v>4500000</v>
      </c>
      <c r="AE15" s="74">
        <f>AD15/M15*100</f>
        <v>100</v>
      </c>
      <c r="AF15" s="36" t="s">
        <v>60</v>
      </c>
      <c r="AG15" s="76">
        <f>H15+Z15</f>
        <v>30</v>
      </c>
      <c r="AH15" s="18" t="s">
        <v>65</v>
      </c>
      <c r="AI15" s="42">
        <f>J15+AD15</f>
        <v>9274000</v>
      </c>
      <c r="AJ15" s="36">
        <f>AG15/E15*100</f>
        <v>40</v>
      </c>
      <c r="AK15" s="36" t="s">
        <v>60</v>
      </c>
      <c r="AL15" s="74">
        <f>AI15/G15*100</f>
        <v>37.096000000000004</v>
      </c>
      <c r="AM15" s="11"/>
      <c r="AP15" s="23"/>
    </row>
    <row r="16" spans="1:45" ht="90" x14ac:dyDescent="0.2">
      <c r="A16" s="13"/>
      <c r="B16" s="14"/>
      <c r="C16" s="24" t="s">
        <v>28</v>
      </c>
      <c r="D16" s="29" t="s">
        <v>61</v>
      </c>
      <c r="E16" s="17">
        <f>12*5</f>
        <v>60</v>
      </c>
      <c r="F16" s="18" t="s">
        <v>65</v>
      </c>
      <c r="G16" s="53">
        <f>5000000*5</f>
        <v>25000000</v>
      </c>
      <c r="H16" s="17">
        <v>12</v>
      </c>
      <c r="I16" s="18" t="s">
        <v>65</v>
      </c>
      <c r="J16" s="20">
        <v>4772000</v>
      </c>
      <c r="K16" s="17">
        <v>12</v>
      </c>
      <c r="L16" s="18" t="s">
        <v>65</v>
      </c>
      <c r="M16" s="21">
        <v>4500000</v>
      </c>
      <c r="N16" s="17">
        <v>4</v>
      </c>
      <c r="O16" s="18" t="s">
        <v>65</v>
      </c>
      <c r="P16" s="21">
        <v>300000</v>
      </c>
      <c r="Q16" s="17">
        <v>3</v>
      </c>
      <c r="R16" s="18" t="s">
        <v>65</v>
      </c>
      <c r="S16" s="21">
        <v>2100000</v>
      </c>
      <c r="T16" s="17">
        <v>4</v>
      </c>
      <c r="U16" s="18" t="s">
        <v>65</v>
      </c>
      <c r="V16" s="21">
        <v>0</v>
      </c>
      <c r="W16" s="17">
        <v>1</v>
      </c>
      <c r="X16" s="18" t="s">
        <v>65</v>
      </c>
      <c r="Y16" s="21">
        <v>2100000</v>
      </c>
      <c r="Z16" s="76">
        <f t="shared" ref="Z16:Z48" si="1">N16+Q16+T16+W16</f>
        <v>12</v>
      </c>
      <c r="AA16" s="18" t="s">
        <v>65</v>
      </c>
      <c r="AB16" s="74">
        <f>Z16/K16*100</f>
        <v>100</v>
      </c>
      <c r="AC16" s="36" t="s">
        <v>60</v>
      </c>
      <c r="AD16" s="42">
        <f>P16+S16+V16+Y16</f>
        <v>4500000</v>
      </c>
      <c r="AE16" s="74">
        <f>AD16/M16*100</f>
        <v>100</v>
      </c>
      <c r="AF16" s="36" t="s">
        <v>60</v>
      </c>
      <c r="AG16" s="76">
        <f t="shared" ref="AG16:AG48" si="2">H16+Z16</f>
        <v>24</v>
      </c>
      <c r="AH16" s="18" t="s">
        <v>65</v>
      </c>
      <c r="AI16" s="42">
        <f t="shared" ref="AI16:AI48" si="3">J16+AD16</f>
        <v>9272000</v>
      </c>
      <c r="AJ16" s="36">
        <f>AG16/E16*100</f>
        <v>40</v>
      </c>
      <c r="AK16" s="36" t="s">
        <v>60</v>
      </c>
      <c r="AL16" s="74">
        <f t="shared" ref="AL16:AL48" si="4">AI16/G16*100</f>
        <v>37.088000000000001</v>
      </c>
      <c r="AM16" s="11"/>
      <c r="AP16" s="23"/>
    </row>
    <row r="17" spans="1:42" ht="85.5" customHeight="1" x14ac:dyDescent="0.2">
      <c r="A17" s="50">
        <v>2</v>
      </c>
      <c r="B17" s="51" t="s">
        <v>30</v>
      </c>
      <c r="C17" s="14" t="s">
        <v>31</v>
      </c>
      <c r="D17" s="15" t="s">
        <v>103</v>
      </c>
      <c r="E17" s="47">
        <v>100</v>
      </c>
      <c r="F17" s="48" t="s">
        <v>60</v>
      </c>
      <c r="G17" s="43">
        <f>SUM(G18:G23)</f>
        <v>8918552000</v>
      </c>
      <c r="H17" s="47">
        <v>100</v>
      </c>
      <c r="I17" s="48" t="s">
        <v>60</v>
      </c>
      <c r="J17" s="43">
        <f>SUM(J18:J23)</f>
        <v>1886280764</v>
      </c>
      <c r="K17" s="47">
        <v>100</v>
      </c>
      <c r="L17" s="48" t="s">
        <v>60</v>
      </c>
      <c r="M17" s="43">
        <f>SUM(M18:M23)</f>
        <v>1461851400</v>
      </c>
      <c r="N17" s="47">
        <v>25</v>
      </c>
      <c r="O17" s="48" t="s">
        <v>60</v>
      </c>
      <c r="P17" s="43">
        <f>SUM(P18:P23)</f>
        <v>167823129</v>
      </c>
      <c r="Q17" s="47">
        <v>25</v>
      </c>
      <c r="R17" s="48" t="s">
        <v>60</v>
      </c>
      <c r="S17" s="43">
        <f>SUM(S18:S23)</f>
        <v>448779366</v>
      </c>
      <c r="T17" s="47">
        <v>25</v>
      </c>
      <c r="U17" s="48" t="s">
        <v>60</v>
      </c>
      <c r="V17" s="43">
        <f>SUM(V18:V23)</f>
        <v>186892313</v>
      </c>
      <c r="W17" s="47">
        <v>25</v>
      </c>
      <c r="X17" s="48" t="s">
        <v>60</v>
      </c>
      <c r="Y17" s="43">
        <f>SUM(Y18:Y23)</f>
        <v>520710946</v>
      </c>
      <c r="Z17" s="75">
        <f t="shared" si="1"/>
        <v>100</v>
      </c>
      <c r="AA17" s="48" t="s">
        <v>60</v>
      </c>
      <c r="AB17" s="73">
        <f>Z17/K17*100</f>
        <v>100</v>
      </c>
      <c r="AC17" s="71" t="s">
        <v>60</v>
      </c>
      <c r="AD17" s="70">
        <f t="shared" ref="AD17:AD49" si="5">P17+S17+V17+Y17</f>
        <v>1324205754</v>
      </c>
      <c r="AE17" s="73">
        <f>AD17/M17*100</f>
        <v>90.584156091378375</v>
      </c>
      <c r="AF17" s="71" t="s">
        <v>60</v>
      </c>
      <c r="AG17" s="75">
        <f t="shared" si="2"/>
        <v>200</v>
      </c>
      <c r="AH17" s="48" t="s">
        <v>60</v>
      </c>
      <c r="AI17" s="70">
        <f t="shared" si="3"/>
        <v>3210486518</v>
      </c>
      <c r="AJ17" s="73">
        <f t="shared" ref="AJ17:AJ48" si="6">AG17/E17*100</f>
        <v>200</v>
      </c>
      <c r="AK17" s="71" t="s">
        <v>60</v>
      </c>
      <c r="AL17" s="73">
        <f t="shared" si="4"/>
        <v>35.997844919220071</v>
      </c>
      <c r="AM17" s="11"/>
      <c r="AP17" s="23"/>
    </row>
    <row r="18" spans="1:42" ht="60" x14ac:dyDescent="0.2">
      <c r="A18" s="13"/>
      <c r="B18" s="14"/>
      <c r="C18" s="29" t="s">
        <v>66</v>
      </c>
      <c r="D18" s="24" t="s">
        <v>63</v>
      </c>
      <c r="E18" s="17">
        <f>12*5</f>
        <v>60</v>
      </c>
      <c r="F18" s="25" t="s">
        <v>59</v>
      </c>
      <c r="G18" s="59">
        <f>89088400*5</f>
        <v>445442000</v>
      </c>
      <c r="H18" s="45">
        <v>12</v>
      </c>
      <c r="I18" s="25" t="s">
        <v>59</v>
      </c>
      <c r="J18" s="27">
        <v>54846400</v>
      </c>
      <c r="K18" s="45">
        <v>12</v>
      </c>
      <c r="L18" s="25" t="s">
        <v>59</v>
      </c>
      <c r="M18" s="28">
        <v>60439400</v>
      </c>
      <c r="N18" s="45">
        <v>3</v>
      </c>
      <c r="O18" s="25" t="s">
        <v>59</v>
      </c>
      <c r="P18" s="28">
        <v>2750000</v>
      </c>
      <c r="Q18" s="45">
        <v>3</v>
      </c>
      <c r="R18" s="25" t="s">
        <v>59</v>
      </c>
      <c r="S18" s="28">
        <v>23150350</v>
      </c>
      <c r="T18" s="45">
        <v>3</v>
      </c>
      <c r="U18" s="25" t="s">
        <v>59</v>
      </c>
      <c r="V18" s="28">
        <v>6661000</v>
      </c>
      <c r="W18" s="45">
        <v>3</v>
      </c>
      <c r="X18" s="25" t="s">
        <v>59</v>
      </c>
      <c r="Y18" s="28">
        <v>27309800</v>
      </c>
      <c r="Z18" s="76">
        <f t="shared" si="1"/>
        <v>12</v>
      </c>
      <c r="AA18" s="25" t="s">
        <v>59</v>
      </c>
      <c r="AB18" s="74">
        <f>Z18/K18*100</f>
        <v>100</v>
      </c>
      <c r="AC18" s="36" t="s">
        <v>60</v>
      </c>
      <c r="AD18" s="42">
        <f t="shared" si="5"/>
        <v>59871150</v>
      </c>
      <c r="AE18" s="74">
        <f>AD18/M18*100</f>
        <v>99.059802049656355</v>
      </c>
      <c r="AF18" s="36" t="s">
        <v>60</v>
      </c>
      <c r="AG18" s="76">
        <f t="shared" si="2"/>
        <v>24</v>
      </c>
      <c r="AH18" s="25" t="s">
        <v>59</v>
      </c>
      <c r="AI18" s="42">
        <f t="shared" si="3"/>
        <v>114717550</v>
      </c>
      <c r="AJ18" s="74">
        <f t="shared" si="6"/>
        <v>40</v>
      </c>
      <c r="AK18" s="36" t="s">
        <v>60</v>
      </c>
      <c r="AL18" s="74">
        <f t="shared" si="4"/>
        <v>25.753644694483231</v>
      </c>
      <c r="AM18" s="31"/>
      <c r="AP18" s="23">
        <f t="shared" si="0"/>
        <v>59871150</v>
      </c>
    </row>
    <row r="19" spans="1:42" ht="93" customHeight="1" x14ac:dyDescent="0.2">
      <c r="A19" s="13"/>
      <c r="B19" s="14"/>
      <c r="C19" s="29" t="s">
        <v>67</v>
      </c>
      <c r="D19" s="29" t="s">
        <v>63</v>
      </c>
      <c r="E19" s="17">
        <f t="shared" ref="E19:E28" si="7">12*5</f>
        <v>60</v>
      </c>
      <c r="F19" s="18" t="s">
        <v>59</v>
      </c>
      <c r="G19" s="53">
        <f>606320000*5</f>
        <v>3031600000</v>
      </c>
      <c r="H19" s="46">
        <v>12</v>
      </c>
      <c r="I19" s="18" t="s">
        <v>59</v>
      </c>
      <c r="J19" s="20">
        <v>760319015</v>
      </c>
      <c r="K19" s="46">
        <v>12</v>
      </c>
      <c r="L19" s="18" t="s">
        <v>59</v>
      </c>
      <c r="M19" s="21">
        <v>604220000</v>
      </c>
      <c r="N19" s="46">
        <v>3</v>
      </c>
      <c r="O19" s="18" t="s">
        <v>59</v>
      </c>
      <c r="P19" s="21">
        <v>65319180</v>
      </c>
      <c r="Q19" s="46">
        <v>3</v>
      </c>
      <c r="R19" s="18" t="s">
        <v>59</v>
      </c>
      <c r="S19" s="21">
        <v>191291831</v>
      </c>
      <c r="T19" s="46">
        <v>3</v>
      </c>
      <c r="U19" s="18" t="s">
        <v>59</v>
      </c>
      <c r="V19" s="21">
        <v>44547961</v>
      </c>
      <c r="W19" s="46">
        <v>3</v>
      </c>
      <c r="X19" s="18" t="s">
        <v>59</v>
      </c>
      <c r="Y19" s="21">
        <v>265653500</v>
      </c>
      <c r="Z19" s="76">
        <f t="shared" si="1"/>
        <v>12</v>
      </c>
      <c r="AA19" s="18" t="s">
        <v>59</v>
      </c>
      <c r="AB19" s="74">
        <f t="shared" ref="AB19:AB40" si="8">Z19/K19*100</f>
        <v>100</v>
      </c>
      <c r="AC19" s="36" t="s">
        <v>60</v>
      </c>
      <c r="AD19" s="42">
        <f t="shared" si="5"/>
        <v>566812472</v>
      </c>
      <c r="AE19" s="74">
        <f t="shared" ref="AE19:AE34" si="9">AD19/M19*100</f>
        <v>93.808955678395293</v>
      </c>
      <c r="AF19" s="36" t="s">
        <v>60</v>
      </c>
      <c r="AG19" s="76">
        <f t="shared" si="2"/>
        <v>24</v>
      </c>
      <c r="AH19" s="18" t="s">
        <v>59</v>
      </c>
      <c r="AI19" s="42">
        <f t="shared" si="3"/>
        <v>1327131487</v>
      </c>
      <c r="AJ19" s="74">
        <f t="shared" si="6"/>
        <v>40</v>
      </c>
      <c r="AK19" s="36" t="s">
        <v>60</v>
      </c>
      <c r="AL19" s="74">
        <f t="shared" si="4"/>
        <v>43.776602685050797</v>
      </c>
      <c r="AM19" s="11"/>
      <c r="AP19" s="23">
        <f t="shared" si="0"/>
        <v>566812472</v>
      </c>
    </row>
    <row r="20" spans="1:42" ht="81.75" customHeight="1" x14ac:dyDescent="0.2">
      <c r="A20" s="13"/>
      <c r="B20" s="14"/>
      <c r="C20" s="117" t="s">
        <v>68</v>
      </c>
      <c r="D20" s="118" t="s">
        <v>63</v>
      </c>
      <c r="E20" s="17">
        <v>15</v>
      </c>
      <c r="F20" s="18" t="s">
        <v>104</v>
      </c>
      <c r="G20" s="53">
        <f>16500000*5</f>
        <v>82500000</v>
      </c>
      <c r="H20" s="46">
        <v>3</v>
      </c>
      <c r="I20" s="18" t="s">
        <v>104</v>
      </c>
      <c r="J20" s="20">
        <v>13568000</v>
      </c>
      <c r="K20" s="46">
        <v>3</v>
      </c>
      <c r="L20" s="18" t="s">
        <v>104</v>
      </c>
      <c r="M20" s="21">
        <v>0</v>
      </c>
      <c r="N20" s="46"/>
      <c r="O20" s="18"/>
      <c r="P20" s="21"/>
      <c r="Q20" s="46"/>
      <c r="R20" s="18"/>
      <c r="S20" s="21"/>
      <c r="T20" s="46"/>
      <c r="U20" s="18"/>
      <c r="V20" s="21"/>
      <c r="W20" s="46"/>
      <c r="X20" s="18"/>
      <c r="Y20" s="21"/>
      <c r="Z20" s="76"/>
      <c r="AA20" s="18"/>
      <c r="AB20" s="74"/>
      <c r="AC20" s="36"/>
      <c r="AD20" s="42"/>
      <c r="AE20" s="74"/>
      <c r="AF20" s="36"/>
      <c r="AG20" s="76">
        <f t="shared" si="2"/>
        <v>3</v>
      </c>
      <c r="AH20" s="18" t="s">
        <v>104</v>
      </c>
      <c r="AI20" s="42">
        <f t="shared" si="3"/>
        <v>13568000</v>
      </c>
      <c r="AJ20" s="74">
        <f t="shared" si="6"/>
        <v>20</v>
      </c>
      <c r="AK20" s="36" t="s">
        <v>60</v>
      </c>
      <c r="AL20" s="74">
        <f t="shared" si="4"/>
        <v>16.446060606060605</v>
      </c>
      <c r="AM20" s="11"/>
      <c r="AP20" s="23">
        <f t="shared" si="0"/>
        <v>0</v>
      </c>
    </row>
    <row r="21" spans="1:42" ht="60" x14ac:dyDescent="0.2">
      <c r="A21" s="13"/>
      <c r="B21" s="14"/>
      <c r="C21" s="29" t="s">
        <v>69</v>
      </c>
      <c r="D21" s="29" t="s">
        <v>63</v>
      </c>
      <c r="E21" s="17">
        <f t="shared" si="7"/>
        <v>60</v>
      </c>
      <c r="F21" s="18" t="s">
        <v>59</v>
      </c>
      <c r="G21" s="53">
        <f>23352000*5</f>
        <v>116760000</v>
      </c>
      <c r="H21" s="46">
        <v>12</v>
      </c>
      <c r="I21" s="18" t="s">
        <v>59</v>
      </c>
      <c r="J21" s="20">
        <v>14634000</v>
      </c>
      <c r="K21" s="46">
        <v>12</v>
      </c>
      <c r="L21" s="18" t="s">
        <v>59</v>
      </c>
      <c r="M21" s="21">
        <v>11192000</v>
      </c>
      <c r="N21" s="46">
        <v>3</v>
      </c>
      <c r="O21" s="18" t="s">
        <v>59</v>
      </c>
      <c r="P21" s="21">
        <v>2328000</v>
      </c>
      <c r="Q21" s="46">
        <v>3</v>
      </c>
      <c r="R21" s="18" t="s">
        <v>59</v>
      </c>
      <c r="S21" s="21">
        <v>1032000</v>
      </c>
      <c r="T21" s="46">
        <v>3</v>
      </c>
      <c r="U21" s="18" t="s">
        <v>59</v>
      </c>
      <c r="V21" s="21">
        <v>600000</v>
      </c>
      <c r="W21" s="46">
        <v>3</v>
      </c>
      <c r="X21" s="18" t="s">
        <v>59</v>
      </c>
      <c r="Y21" s="21">
        <v>6932000</v>
      </c>
      <c r="Z21" s="76">
        <f t="shared" si="1"/>
        <v>12</v>
      </c>
      <c r="AA21" s="18" t="s">
        <v>59</v>
      </c>
      <c r="AB21" s="74">
        <f t="shared" si="8"/>
        <v>100</v>
      </c>
      <c r="AC21" s="36" t="s">
        <v>60</v>
      </c>
      <c r="AD21" s="42">
        <f t="shared" si="5"/>
        <v>10892000</v>
      </c>
      <c r="AE21" s="74">
        <f t="shared" si="9"/>
        <v>97.319513938527521</v>
      </c>
      <c r="AF21" s="36" t="s">
        <v>60</v>
      </c>
      <c r="AG21" s="76">
        <f t="shared" si="2"/>
        <v>24</v>
      </c>
      <c r="AH21" s="18" t="s">
        <v>59</v>
      </c>
      <c r="AI21" s="42">
        <f t="shared" si="3"/>
        <v>25526000</v>
      </c>
      <c r="AJ21" s="74">
        <f t="shared" si="6"/>
        <v>40</v>
      </c>
      <c r="AK21" s="36" t="s">
        <v>60</v>
      </c>
      <c r="AL21" s="74">
        <f t="shared" si="4"/>
        <v>21.8619390202124</v>
      </c>
      <c r="AM21" s="11"/>
      <c r="AP21" s="23">
        <f t="shared" si="0"/>
        <v>10892000</v>
      </c>
    </row>
    <row r="22" spans="1:42" ht="111.75" customHeight="1" x14ac:dyDescent="0.2">
      <c r="A22" s="13"/>
      <c r="B22" s="14"/>
      <c r="C22" s="24" t="s">
        <v>70</v>
      </c>
      <c r="D22" s="29" t="s">
        <v>63</v>
      </c>
      <c r="E22" s="17">
        <f t="shared" si="7"/>
        <v>60</v>
      </c>
      <c r="F22" s="18" t="s">
        <v>59</v>
      </c>
      <c r="G22" s="53">
        <f>708750000*5</f>
        <v>3543750000</v>
      </c>
      <c r="H22" s="46">
        <v>12</v>
      </c>
      <c r="I22" s="18" t="s">
        <v>59</v>
      </c>
      <c r="J22" s="20">
        <v>741888785</v>
      </c>
      <c r="K22" s="46">
        <v>12</v>
      </c>
      <c r="L22" s="18" t="s">
        <v>59</v>
      </c>
      <c r="M22" s="21">
        <v>689000000</v>
      </c>
      <c r="N22" s="46">
        <v>3</v>
      </c>
      <c r="O22" s="18" t="s">
        <v>59</v>
      </c>
      <c r="P22" s="21">
        <v>85273332</v>
      </c>
      <c r="Q22" s="46">
        <v>3</v>
      </c>
      <c r="R22" s="18" t="s">
        <v>59</v>
      </c>
      <c r="S22" s="21">
        <v>219714085</v>
      </c>
      <c r="T22" s="46">
        <v>3</v>
      </c>
      <c r="U22" s="18" t="s">
        <v>59</v>
      </c>
      <c r="V22" s="21">
        <v>105262352</v>
      </c>
      <c r="W22" s="46">
        <v>3</v>
      </c>
      <c r="X22" s="18" t="s">
        <v>59</v>
      </c>
      <c r="Y22" s="21">
        <v>182607646</v>
      </c>
      <c r="Z22" s="76">
        <f t="shared" si="1"/>
        <v>12</v>
      </c>
      <c r="AA22" s="18" t="s">
        <v>59</v>
      </c>
      <c r="AB22" s="74">
        <f t="shared" si="8"/>
        <v>100</v>
      </c>
      <c r="AC22" s="36" t="s">
        <v>60</v>
      </c>
      <c r="AD22" s="42">
        <f t="shared" si="5"/>
        <v>592857415</v>
      </c>
      <c r="AE22" s="74">
        <f t="shared" si="9"/>
        <v>86.04606894049347</v>
      </c>
      <c r="AF22" s="36" t="s">
        <v>60</v>
      </c>
      <c r="AG22" s="76">
        <f t="shared" si="2"/>
        <v>24</v>
      </c>
      <c r="AH22" s="18" t="s">
        <v>59</v>
      </c>
      <c r="AI22" s="42">
        <f t="shared" si="3"/>
        <v>1334746200</v>
      </c>
      <c r="AJ22" s="74">
        <f t="shared" si="6"/>
        <v>40</v>
      </c>
      <c r="AK22" s="36" t="s">
        <v>60</v>
      </c>
      <c r="AL22" s="74">
        <f t="shared" si="4"/>
        <v>37.66479576719577</v>
      </c>
      <c r="AM22" s="11"/>
      <c r="AP22" s="23"/>
    </row>
    <row r="23" spans="1:42" ht="79.5" customHeight="1" x14ac:dyDescent="0.2">
      <c r="A23" s="13"/>
      <c r="B23" s="14"/>
      <c r="C23" s="24" t="s">
        <v>71</v>
      </c>
      <c r="D23" s="29" t="s">
        <v>63</v>
      </c>
      <c r="E23" s="17">
        <f t="shared" si="7"/>
        <v>60</v>
      </c>
      <c r="F23" s="18" t="s">
        <v>59</v>
      </c>
      <c r="G23" s="53">
        <f>339700000*5</f>
        <v>1698500000</v>
      </c>
      <c r="H23" s="17">
        <v>12</v>
      </c>
      <c r="I23" s="18" t="s">
        <v>59</v>
      </c>
      <c r="J23" s="20">
        <v>301024564</v>
      </c>
      <c r="K23" s="17">
        <v>12</v>
      </c>
      <c r="L23" s="18" t="s">
        <v>59</v>
      </c>
      <c r="M23" s="21">
        <v>97000000</v>
      </c>
      <c r="N23" s="17">
        <v>3</v>
      </c>
      <c r="O23" s="18" t="s">
        <v>59</v>
      </c>
      <c r="P23" s="21">
        <v>12152617</v>
      </c>
      <c r="Q23" s="17">
        <v>3</v>
      </c>
      <c r="R23" s="18" t="s">
        <v>59</v>
      </c>
      <c r="S23" s="21">
        <v>13591100</v>
      </c>
      <c r="T23" s="17">
        <v>3</v>
      </c>
      <c r="U23" s="18" t="s">
        <v>59</v>
      </c>
      <c r="V23" s="21">
        <v>29821000</v>
      </c>
      <c r="W23" s="17">
        <v>3</v>
      </c>
      <c r="X23" s="18" t="s">
        <v>59</v>
      </c>
      <c r="Y23" s="21">
        <v>38208000</v>
      </c>
      <c r="Z23" s="76">
        <f t="shared" si="1"/>
        <v>12</v>
      </c>
      <c r="AA23" s="18" t="s">
        <v>59</v>
      </c>
      <c r="AB23" s="74">
        <f t="shared" si="8"/>
        <v>100</v>
      </c>
      <c r="AC23" s="36" t="s">
        <v>60</v>
      </c>
      <c r="AD23" s="42">
        <f t="shared" si="5"/>
        <v>93772717</v>
      </c>
      <c r="AE23" s="74">
        <f t="shared" si="9"/>
        <v>96.672904123711348</v>
      </c>
      <c r="AF23" s="36" t="s">
        <v>60</v>
      </c>
      <c r="AG23" s="76">
        <f t="shared" si="2"/>
        <v>24</v>
      </c>
      <c r="AH23" s="18" t="s">
        <v>59</v>
      </c>
      <c r="AI23" s="42">
        <f t="shared" si="3"/>
        <v>394797281</v>
      </c>
      <c r="AJ23" s="74">
        <f t="shared" si="6"/>
        <v>40</v>
      </c>
      <c r="AK23" s="36" t="s">
        <v>60</v>
      </c>
      <c r="AL23" s="74">
        <f t="shared" si="4"/>
        <v>23.243878775390051</v>
      </c>
      <c r="AM23" s="11"/>
      <c r="AP23" s="23"/>
    </row>
    <row r="24" spans="1:42" ht="97.5" customHeight="1" x14ac:dyDescent="0.2">
      <c r="A24" s="13"/>
      <c r="B24" s="14"/>
      <c r="C24" s="15" t="s">
        <v>32</v>
      </c>
      <c r="D24" s="15" t="s">
        <v>103</v>
      </c>
      <c r="E24" s="47">
        <v>100</v>
      </c>
      <c r="F24" s="48" t="s">
        <v>60</v>
      </c>
      <c r="G24" s="44">
        <f>SUM(G25:G28)</f>
        <v>1726291500</v>
      </c>
      <c r="H24" s="47">
        <v>100</v>
      </c>
      <c r="I24" s="48" t="s">
        <v>60</v>
      </c>
      <c r="J24" s="44">
        <f>SUM(J25:J28)</f>
        <v>624535063</v>
      </c>
      <c r="K24" s="47">
        <v>100</v>
      </c>
      <c r="L24" s="48" t="s">
        <v>60</v>
      </c>
      <c r="M24" s="44">
        <f>SUM(M25:M28)</f>
        <v>126908300</v>
      </c>
      <c r="N24" s="47">
        <v>25</v>
      </c>
      <c r="O24" s="48" t="s">
        <v>60</v>
      </c>
      <c r="P24" s="44">
        <f>SUM(P25:P28)</f>
        <v>4346000</v>
      </c>
      <c r="Q24" s="47">
        <v>25</v>
      </c>
      <c r="R24" s="48" t="s">
        <v>60</v>
      </c>
      <c r="S24" s="44">
        <f>SUM(S25:S28)</f>
        <v>14400309</v>
      </c>
      <c r="T24" s="47">
        <v>25</v>
      </c>
      <c r="U24" s="48" t="s">
        <v>60</v>
      </c>
      <c r="V24" s="44">
        <f>SUM(V25:V28)</f>
        <v>7115423</v>
      </c>
      <c r="W24" s="47">
        <v>25</v>
      </c>
      <c r="X24" s="48" t="s">
        <v>60</v>
      </c>
      <c r="Y24" s="44">
        <f>SUM(Y25:Y28)</f>
        <v>74841740</v>
      </c>
      <c r="Z24" s="75">
        <f t="shared" si="1"/>
        <v>100</v>
      </c>
      <c r="AA24" s="48" t="s">
        <v>60</v>
      </c>
      <c r="AB24" s="73">
        <f t="shared" si="8"/>
        <v>100</v>
      </c>
      <c r="AC24" s="71" t="s">
        <v>60</v>
      </c>
      <c r="AD24" s="70">
        <f t="shared" si="5"/>
        <v>100703472</v>
      </c>
      <c r="AE24" s="73">
        <f t="shared" si="9"/>
        <v>79.351367877435905</v>
      </c>
      <c r="AF24" s="71" t="s">
        <v>60</v>
      </c>
      <c r="AG24" s="75">
        <f t="shared" si="2"/>
        <v>200</v>
      </c>
      <c r="AH24" s="48" t="s">
        <v>60</v>
      </c>
      <c r="AI24" s="70">
        <f t="shared" si="3"/>
        <v>725238535</v>
      </c>
      <c r="AJ24" s="73">
        <f t="shared" si="6"/>
        <v>200</v>
      </c>
      <c r="AK24" s="71" t="s">
        <v>60</v>
      </c>
      <c r="AL24" s="73">
        <f t="shared" si="4"/>
        <v>42.011359900688845</v>
      </c>
      <c r="AM24" s="11"/>
      <c r="AP24" s="23"/>
    </row>
    <row r="25" spans="1:42" ht="75" x14ac:dyDescent="0.2">
      <c r="A25" s="13"/>
      <c r="B25" s="14"/>
      <c r="C25" s="24" t="s">
        <v>72</v>
      </c>
      <c r="D25" s="29" t="s">
        <v>77</v>
      </c>
      <c r="E25" s="17">
        <f t="shared" si="7"/>
        <v>60</v>
      </c>
      <c r="F25" s="18" t="s">
        <v>59</v>
      </c>
      <c r="G25" s="53">
        <f>160558300*5</f>
        <v>802791500</v>
      </c>
      <c r="H25" s="17">
        <v>12</v>
      </c>
      <c r="I25" s="18" t="s">
        <v>59</v>
      </c>
      <c r="J25" s="20">
        <v>501771300</v>
      </c>
      <c r="K25" s="17">
        <v>12</v>
      </c>
      <c r="L25" s="18" t="s">
        <v>59</v>
      </c>
      <c r="M25" s="21">
        <v>5908300</v>
      </c>
      <c r="N25" s="17">
        <v>3</v>
      </c>
      <c r="O25" s="18" t="s">
        <v>59</v>
      </c>
      <c r="P25" s="21">
        <v>1498000</v>
      </c>
      <c r="Q25" s="17">
        <v>3</v>
      </c>
      <c r="R25" s="18" t="s">
        <v>59</v>
      </c>
      <c r="S25" s="21">
        <v>605000</v>
      </c>
      <c r="T25" s="17">
        <v>3</v>
      </c>
      <c r="U25" s="18" t="s">
        <v>59</v>
      </c>
      <c r="V25" s="21">
        <v>725000</v>
      </c>
      <c r="W25" s="17">
        <v>3</v>
      </c>
      <c r="X25" s="18" t="s">
        <v>59</v>
      </c>
      <c r="Y25" s="21">
        <v>1960300</v>
      </c>
      <c r="Z25" s="76">
        <f t="shared" si="1"/>
        <v>12</v>
      </c>
      <c r="AA25" s="18" t="s">
        <v>59</v>
      </c>
      <c r="AB25" s="74">
        <f t="shared" si="8"/>
        <v>100</v>
      </c>
      <c r="AC25" s="36" t="s">
        <v>60</v>
      </c>
      <c r="AD25" s="42">
        <f t="shared" si="5"/>
        <v>4788300</v>
      </c>
      <c r="AE25" s="74">
        <f t="shared" si="9"/>
        <v>81.043616607145879</v>
      </c>
      <c r="AF25" s="36" t="s">
        <v>60</v>
      </c>
      <c r="AG25" s="76">
        <f t="shared" si="2"/>
        <v>24</v>
      </c>
      <c r="AH25" s="18" t="s">
        <v>59</v>
      </c>
      <c r="AI25" s="42">
        <f t="shared" si="3"/>
        <v>506559600</v>
      </c>
      <c r="AJ25" s="74">
        <f t="shared" si="6"/>
        <v>40</v>
      </c>
      <c r="AK25" s="36" t="s">
        <v>60</v>
      </c>
      <c r="AL25" s="74">
        <f t="shared" si="4"/>
        <v>63.099771235744271</v>
      </c>
      <c r="AM25" s="11"/>
      <c r="AP25" s="23"/>
    </row>
    <row r="26" spans="1:42" ht="75" x14ac:dyDescent="0.2">
      <c r="A26" s="13"/>
      <c r="B26" s="14"/>
      <c r="C26" s="24" t="s">
        <v>76</v>
      </c>
      <c r="D26" s="29" t="s">
        <v>78</v>
      </c>
      <c r="E26" s="17">
        <v>5</v>
      </c>
      <c r="F26" s="18" t="s">
        <v>121</v>
      </c>
      <c r="G26" s="53">
        <f>27500000*5</f>
        <v>137500000</v>
      </c>
      <c r="H26" s="17">
        <v>1</v>
      </c>
      <c r="I26" s="18" t="s">
        <v>121</v>
      </c>
      <c r="J26" s="20">
        <v>45705533</v>
      </c>
      <c r="K26" s="17">
        <v>1</v>
      </c>
      <c r="L26" s="18" t="s">
        <v>121</v>
      </c>
      <c r="M26" s="21">
        <v>27500000</v>
      </c>
      <c r="N26" s="17">
        <v>0</v>
      </c>
      <c r="O26" s="18" t="s">
        <v>121</v>
      </c>
      <c r="P26" s="21">
        <v>0</v>
      </c>
      <c r="Q26" s="17">
        <v>1</v>
      </c>
      <c r="R26" s="18" t="s">
        <v>121</v>
      </c>
      <c r="S26" s="21">
        <v>0</v>
      </c>
      <c r="T26" s="17">
        <v>0</v>
      </c>
      <c r="U26" s="18" t="s">
        <v>121</v>
      </c>
      <c r="V26" s="21">
        <v>0</v>
      </c>
      <c r="W26" s="17">
        <v>0</v>
      </c>
      <c r="X26" s="18" t="s">
        <v>121</v>
      </c>
      <c r="Y26" s="21">
        <v>27126931</v>
      </c>
      <c r="Z26" s="76">
        <f t="shared" si="1"/>
        <v>1</v>
      </c>
      <c r="AA26" s="18" t="s">
        <v>121</v>
      </c>
      <c r="AB26" s="74">
        <f t="shared" si="8"/>
        <v>100</v>
      </c>
      <c r="AC26" s="36" t="s">
        <v>60</v>
      </c>
      <c r="AD26" s="42">
        <f t="shared" si="5"/>
        <v>27126931</v>
      </c>
      <c r="AE26" s="74">
        <f t="shared" si="9"/>
        <v>98.643385454545452</v>
      </c>
      <c r="AF26" s="36" t="s">
        <v>60</v>
      </c>
      <c r="AG26" s="76">
        <f t="shared" si="2"/>
        <v>2</v>
      </c>
      <c r="AH26" s="18" t="s">
        <v>121</v>
      </c>
      <c r="AI26" s="42">
        <f t="shared" si="3"/>
        <v>72832464</v>
      </c>
      <c r="AJ26" s="74">
        <f t="shared" si="6"/>
        <v>40</v>
      </c>
      <c r="AK26" s="36" t="s">
        <v>60</v>
      </c>
      <c r="AL26" s="74">
        <f t="shared" si="4"/>
        <v>52.96906472727273</v>
      </c>
      <c r="AM26" s="11"/>
      <c r="AP26" s="23"/>
    </row>
    <row r="27" spans="1:42" ht="90" x14ac:dyDescent="0.2">
      <c r="A27" s="13"/>
      <c r="B27" s="14"/>
      <c r="C27" s="24" t="s">
        <v>33</v>
      </c>
      <c r="D27" s="29" t="s">
        <v>79</v>
      </c>
      <c r="E27" s="17">
        <f t="shared" si="7"/>
        <v>60</v>
      </c>
      <c r="F27" s="18" t="s">
        <v>59</v>
      </c>
      <c r="G27" s="53">
        <f>63900000*5</f>
        <v>319500000</v>
      </c>
      <c r="H27" s="17">
        <v>12</v>
      </c>
      <c r="I27" s="18" t="s">
        <v>59</v>
      </c>
      <c r="J27" s="20">
        <v>32743730</v>
      </c>
      <c r="K27" s="17">
        <v>12</v>
      </c>
      <c r="L27" s="18" t="s">
        <v>59</v>
      </c>
      <c r="M27" s="21">
        <v>36700000</v>
      </c>
      <c r="N27" s="17">
        <v>3</v>
      </c>
      <c r="O27" s="18" t="s">
        <v>59</v>
      </c>
      <c r="P27" s="21">
        <v>2848000</v>
      </c>
      <c r="Q27" s="17">
        <v>3</v>
      </c>
      <c r="R27" s="18" t="s">
        <v>59</v>
      </c>
      <c r="S27" s="21">
        <v>1390309</v>
      </c>
      <c r="T27" s="17">
        <v>3</v>
      </c>
      <c r="U27" s="18" t="s">
        <v>59</v>
      </c>
      <c r="V27" s="21">
        <v>3240423</v>
      </c>
      <c r="W27" s="17">
        <v>3</v>
      </c>
      <c r="X27" s="18" t="s">
        <v>59</v>
      </c>
      <c r="Y27" s="21">
        <v>11148509</v>
      </c>
      <c r="Z27" s="76">
        <f t="shared" ref="Z27" si="10">N27+Q27+T27+W27</f>
        <v>12</v>
      </c>
      <c r="AA27" s="18" t="s">
        <v>59</v>
      </c>
      <c r="AB27" s="74">
        <f t="shared" si="8"/>
        <v>100</v>
      </c>
      <c r="AC27" s="36" t="s">
        <v>60</v>
      </c>
      <c r="AD27" s="42">
        <f t="shared" ref="AD27" si="11">P27+S27+V27+Y27</f>
        <v>18627241</v>
      </c>
      <c r="AE27" s="74">
        <f t="shared" si="9"/>
        <v>50.755425068119884</v>
      </c>
      <c r="AF27" s="36" t="s">
        <v>60</v>
      </c>
      <c r="AG27" s="76">
        <f t="shared" ref="AG27" si="12">H27+Z27</f>
        <v>24</v>
      </c>
      <c r="AH27" s="18" t="s">
        <v>59</v>
      </c>
      <c r="AI27" s="42">
        <f t="shared" ref="AI27" si="13">J27+AD27</f>
        <v>51370971</v>
      </c>
      <c r="AJ27" s="74">
        <f t="shared" ref="AJ27" si="14">AG27/E27*100</f>
        <v>40</v>
      </c>
      <c r="AK27" s="36" t="s">
        <v>60</v>
      </c>
      <c r="AL27" s="74">
        <f t="shared" ref="AL27" si="15">AI27/G27*100</f>
        <v>16.07855117370892</v>
      </c>
      <c r="AM27" s="11"/>
      <c r="AP27" s="23"/>
    </row>
    <row r="28" spans="1:42" ht="75" x14ac:dyDescent="0.2">
      <c r="A28" s="13"/>
      <c r="B28" s="14"/>
      <c r="C28" s="24" t="s">
        <v>73</v>
      </c>
      <c r="D28" s="29" t="s">
        <v>80</v>
      </c>
      <c r="E28" s="17">
        <f t="shared" si="7"/>
        <v>60</v>
      </c>
      <c r="F28" s="18" t="s">
        <v>59</v>
      </c>
      <c r="G28" s="53">
        <f>93300000*5</f>
        <v>466500000</v>
      </c>
      <c r="H28" s="17">
        <v>12</v>
      </c>
      <c r="I28" s="18" t="s">
        <v>59</v>
      </c>
      <c r="J28" s="20">
        <v>44314500</v>
      </c>
      <c r="K28" s="17">
        <v>12</v>
      </c>
      <c r="L28" s="18" t="s">
        <v>59</v>
      </c>
      <c r="M28" s="21">
        <v>56800000</v>
      </c>
      <c r="N28" s="17">
        <v>3</v>
      </c>
      <c r="O28" s="18" t="s">
        <v>59</v>
      </c>
      <c r="P28" s="21">
        <v>0</v>
      </c>
      <c r="Q28" s="17">
        <v>3</v>
      </c>
      <c r="R28" s="18" t="s">
        <v>59</v>
      </c>
      <c r="S28" s="21">
        <v>12405000</v>
      </c>
      <c r="T28" s="17">
        <v>3</v>
      </c>
      <c r="U28" s="18" t="s">
        <v>59</v>
      </c>
      <c r="V28" s="21">
        <v>3150000</v>
      </c>
      <c r="W28" s="17">
        <v>3</v>
      </c>
      <c r="X28" s="18" t="s">
        <v>59</v>
      </c>
      <c r="Y28" s="21">
        <v>34606000</v>
      </c>
      <c r="Z28" s="76">
        <f t="shared" ref="Z28:Z31" si="16">N28+Q28+T28+W28</f>
        <v>12</v>
      </c>
      <c r="AA28" s="18" t="s">
        <v>59</v>
      </c>
      <c r="AB28" s="74">
        <f t="shared" si="8"/>
        <v>100</v>
      </c>
      <c r="AC28" s="36" t="s">
        <v>60</v>
      </c>
      <c r="AD28" s="42">
        <f t="shared" ref="AD28:AD31" si="17">P28+S28+V28+Y28</f>
        <v>50161000</v>
      </c>
      <c r="AE28" s="74">
        <f t="shared" si="9"/>
        <v>88.311619718309871</v>
      </c>
      <c r="AF28" s="36" t="s">
        <v>60</v>
      </c>
      <c r="AG28" s="76">
        <f t="shared" ref="AG28:AG29" si="18">H28+Z28</f>
        <v>24</v>
      </c>
      <c r="AH28" s="18" t="s">
        <v>59</v>
      </c>
      <c r="AI28" s="42">
        <f t="shared" ref="AI28:AI31" si="19">J28+AD28</f>
        <v>94475500</v>
      </c>
      <c r="AJ28" s="74">
        <f t="shared" ref="AJ28:AJ29" si="20">AG28/E28*100</f>
        <v>40</v>
      </c>
      <c r="AK28" s="36" t="s">
        <v>60</v>
      </c>
      <c r="AL28" s="74">
        <f t="shared" ref="AL28:AL31" si="21">AI28/G28*100</f>
        <v>20.251982851018223</v>
      </c>
      <c r="AM28" s="11"/>
      <c r="AP28" s="23"/>
    </row>
    <row r="29" spans="1:42" ht="97.5" customHeight="1" x14ac:dyDescent="0.2">
      <c r="A29" s="13"/>
      <c r="B29" s="14"/>
      <c r="C29" s="15" t="s">
        <v>81</v>
      </c>
      <c r="D29" s="15" t="s">
        <v>103</v>
      </c>
      <c r="E29" s="47">
        <v>100</v>
      </c>
      <c r="F29" s="48" t="s">
        <v>60</v>
      </c>
      <c r="G29" s="44">
        <f>SUM(G30:G31)</f>
        <v>184275000</v>
      </c>
      <c r="H29" s="47"/>
      <c r="I29" s="48"/>
      <c r="J29" s="44"/>
      <c r="K29" s="47">
        <v>100</v>
      </c>
      <c r="L29" s="48" t="s">
        <v>60</v>
      </c>
      <c r="M29" s="44">
        <f>SUM(M30:M31)</f>
        <v>8082500</v>
      </c>
      <c r="N29" s="47">
        <v>25</v>
      </c>
      <c r="O29" s="48" t="s">
        <v>60</v>
      </c>
      <c r="P29" s="44">
        <f>SUM(P30:P31)</f>
        <v>2626250</v>
      </c>
      <c r="Q29" s="47">
        <v>25</v>
      </c>
      <c r="R29" s="48" t="s">
        <v>60</v>
      </c>
      <c r="S29" s="44">
        <f>SUM(S30:S31)</f>
        <v>965000</v>
      </c>
      <c r="T29" s="47">
        <v>25</v>
      </c>
      <c r="U29" s="48" t="s">
        <v>60</v>
      </c>
      <c r="V29" s="44">
        <f>SUM(V30:V31)</f>
        <v>0</v>
      </c>
      <c r="W29" s="47">
        <v>25</v>
      </c>
      <c r="X29" s="48" t="s">
        <v>60</v>
      </c>
      <c r="Y29" s="44">
        <f>SUM(Y30:Y31)</f>
        <v>350000</v>
      </c>
      <c r="Z29" s="75">
        <f t="shared" si="16"/>
        <v>100</v>
      </c>
      <c r="AA29" s="48" t="s">
        <v>60</v>
      </c>
      <c r="AB29" s="73">
        <f t="shared" si="8"/>
        <v>100</v>
      </c>
      <c r="AC29" s="71" t="s">
        <v>60</v>
      </c>
      <c r="AD29" s="70">
        <f t="shared" si="17"/>
        <v>3941250</v>
      </c>
      <c r="AE29" s="73">
        <f t="shared" si="9"/>
        <v>48.762759047324465</v>
      </c>
      <c r="AF29" s="71" t="s">
        <v>60</v>
      </c>
      <c r="AG29" s="75">
        <f t="shared" si="18"/>
        <v>100</v>
      </c>
      <c r="AH29" s="48" t="s">
        <v>60</v>
      </c>
      <c r="AI29" s="70">
        <f t="shared" si="19"/>
        <v>3941250</v>
      </c>
      <c r="AJ29" s="73">
        <f t="shared" si="20"/>
        <v>100</v>
      </c>
      <c r="AK29" s="71" t="s">
        <v>60</v>
      </c>
      <c r="AL29" s="73">
        <f t="shared" si="21"/>
        <v>2.1387871387871389</v>
      </c>
      <c r="AM29" s="11"/>
      <c r="AP29" s="23"/>
    </row>
    <row r="30" spans="1:42" ht="75" x14ac:dyDescent="0.2">
      <c r="A30" s="13"/>
      <c r="B30" s="14"/>
      <c r="C30" s="24" t="s">
        <v>82</v>
      </c>
      <c r="D30" s="29" t="s">
        <v>84</v>
      </c>
      <c r="E30" s="17">
        <f>38*4</f>
        <v>152</v>
      </c>
      <c r="F30" s="18" t="s">
        <v>86</v>
      </c>
      <c r="G30" s="53">
        <f>14345000*5</f>
        <v>71725000</v>
      </c>
      <c r="H30" s="19"/>
      <c r="I30" s="18"/>
      <c r="J30" s="20"/>
      <c r="K30" s="17">
        <v>38</v>
      </c>
      <c r="L30" s="18" t="s">
        <v>86</v>
      </c>
      <c r="M30" s="21">
        <v>3972500</v>
      </c>
      <c r="N30" s="17">
        <v>38</v>
      </c>
      <c r="O30" s="18" t="s">
        <v>86</v>
      </c>
      <c r="P30" s="21">
        <v>2626250</v>
      </c>
      <c r="Q30" s="17">
        <v>0</v>
      </c>
      <c r="R30" s="18" t="s">
        <v>86</v>
      </c>
      <c r="S30" s="21">
        <v>0</v>
      </c>
      <c r="T30" s="17">
        <v>0</v>
      </c>
      <c r="U30" s="18" t="s">
        <v>86</v>
      </c>
      <c r="V30" s="21">
        <v>0</v>
      </c>
      <c r="W30" s="17">
        <v>0</v>
      </c>
      <c r="X30" s="18" t="s">
        <v>86</v>
      </c>
      <c r="Y30" s="21">
        <v>350000</v>
      </c>
      <c r="Z30" s="76">
        <f t="shared" si="16"/>
        <v>38</v>
      </c>
      <c r="AA30" s="18" t="s">
        <v>86</v>
      </c>
      <c r="AB30" s="74">
        <f t="shared" si="8"/>
        <v>100</v>
      </c>
      <c r="AC30" s="36" t="s">
        <v>60</v>
      </c>
      <c r="AD30" s="42">
        <f t="shared" si="17"/>
        <v>2976250</v>
      </c>
      <c r="AE30" s="74">
        <f t="shared" si="9"/>
        <v>74.921334172435493</v>
      </c>
      <c r="AF30" s="36" t="s">
        <v>60</v>
      </c>
      <c r="AG30" s="76">
        <f>H30+Z30</f>
        <v>38</v>
      </c>
      <c r="AH30" s="18" t="s">
        <v>86</v>
      </c>
      <c r="AI30" s="42">
        <f t="shared" si="19"/>
        <v>2976250</v>
      </c>
      <c r="AJ30" s="74">
        <f>AG30/E30*100</f>
        <v>25</v>
      </c>
      <c r="AK30" s="36" t="s">
        <v>60</v>
      </c>
      <c r="AL30" s="74">
        <f t="shared" si="21"/>
        <v>4.1495294527710005</v>
      </c>
      <c r="AM30" s="11"/>
      <c r="AP30" s="23"/>
    </row>
    <row r="31" spans="1:42" ht="120" x14ac:dyDescent="0.2">
      <c r="A31" s="13"/>
      <c r="B31" s="14"/>
      <c r="C31" s="24" t="s">
        <v>83</v>
      </c>
      <c r="D31" s="29" t="s">
        <v>85</v>
      </c>
      <c r="E31" s="17">
        <v>38</v>
      </c>
      <c r="F31" s="18" t="s">
        <v>86</v>
      </c>
      <c r="G31" s="53">
        <f>22510000*5</f>
        <v>112550000</v>
      </c>
      <c r="H31" s="19"/>
      <c r="I31" s="18"/>
      <c r="J31" s="20"/>
      <c r="K31" s="17">
        <v>23</v>
      </c>
      <c r="L31" s="18" t="s">
        <v>86</v>
      </c>
      <c r="M31" s="21">
        <v>4110000</v>
      </c>
      <c r="N31" s="17">
        <v>19</v>
      </c>
      <c r="O31" s="18" t="s">
        <v>86</v>
      </c>
      <c r="P31" s="21">
        <v>0</v>
      </c>
      <c r="Q31" s="17">
        <v>0</v>
      </c>
      <c r="R31" s="18" t="s">
        <v>86</v>
      </c>
      <c r="S31" s="21">
        <v>965000</v>
      </c>
      <c r="T31" s="17">
        <v>0</v>
      </c>
      <c r="U31" s="18" t="s">
        <v>86</v>
      </c>
      <c r="V31" s="21">
        <v>0</v>
      </c>
      <c r="W31" s="17">
        <v>0</v>
      </c>
      <c r="X31" s="18" t="s">
        <v>86</v>
      </c>
      <c r="Y31" s="21">
        <v>0</v>
      </c>
      <c r="Z31" s="76">
        <f t="shared" si="16"/>
        <v>19</v>
      </c>
      <c r="AA31" s="18" t="s">
        <v>86</v>
      </c>
      <c r="AB31" s="74">
        <f t="shared" si="8"/>
        <v>82.608695652173907</v>
      </c>
      <c r="AC31" s="36" t="s">
        <v>60</v>
      </c>
      <c r="AD31" s="42">
        <f t="shared" si="17"/>
        <v>965000</v>
      </c>
      <c r="AE31" s="74">
        <f t="shared" si="9"/>
        <v>23.479318734793186</v>
      </c>
      <c r="AF31" s="36" t="s">
        <v>60</v>
      </c>
      <c r="AG31" s="76">
        <f>H31+Z31</f>
        <v>19</v>
      </c>
      <c r="AH31" s="18" t="s">
        <v>86</v>
      </c>
      <c r="AI31" s="42">
        <f t="shared" si="19"/>
        <v>965000</v>
      </c>
      <c r="AJ31" s="74">
        <f>AG31/E31*100</f>
        <v>50</v>
      </c>
      <c r="AK31" s="36" t="s">
        <v>60</v>
      </c>
      <c r="AL31" s="74">
        <f t="shared" si="21"/>
        <v>0.85739671257219019</v>
      </c>
      <c r="AM31" s="11"/>
      <c r="AP31" s="23"/>
    </row>
    <row r="32" spans="1:42" ht="141.75" x14ac:dyDescent="0.2">
      <c r="A32" s="50">
        <v>23</v>
      </c>
      <c r="B32" s="51" t="s">
        <v>87</v>
      </c>
      <c r="C32" s="51" t="s">
        <v>88</v>
      </c>
      <c r="D32" s="16" t="s">
        <v>91</v>
      </c>
      <c r="E32" s="58">
        <v>100</v>
      </c>
      <c r="F32" s="54" t="s">
        <v>60</v>
      </c>
      <c r="G32" s="94">
        <f>SUM(G34:G37)</f>
        <v>15971455000</v>
      </c>
      <c r="H32" s="58">
        <f>38/38*100</f>
        <v>100</v>
      </c>
      <c r="I32" s="54" t="s">
        <v>60</v>
      </c>
      <c r="J32" s="94">
        <f>SUM(J34:J37)</f>
        <v>2852881083</v>
      </c>
      <c r="K32" s="58">
        <f>38/38*100</f>
        <v>100</v>
      </c>
      <c r="L32" s="54" t="s">
        <v>60</v>
      </c>
      <c r="M32" s="94">
        <f>SUM(M34:M37)</f>
        <v>2528900000</v>
      </c>
      <c r="N32" s="58">
        <f>38/38*100</f>
        <v>100</v>
      </c>
      <c r="O32" s="54" t="s">
        <v>60</v>
      </c>
      <c r="P32" s="94">
        <f>SUM(P34:P37)</f>
        <v>281419000</v>
      </c>
      <c r="Q32" s="58">
        <v>0</v>
      </c>
      <c r="R32" s="54" t="s">
        <v>60</v>
      </c>
      <c r="S32" s="94">
        <f>SUM(S34:S37)</f>
        <v>865049000</v>
      </c>
      <c r="T32" s="58">
        <v>0</v>
      </c>
      <c r="U32" s="54" t="s">
        <v>60</v>
      </c>
      <c r="V32" s="94">
        <f>SUM(V34:V37)</f>
        <v>375001000</v>
      </c>
      <c r="W32" s="58">
        <v>0</v>
      </c>
      <c r="X32" s="54" t="s">
        <v>60</v>
      </c>
      <c r="Y32" s="94">
        <f>SUM(Y34:Y37)</f>
        <v>956286751</v>
      </c>
      <c r="Z32" s="75">
        <f t="shared" si="1"/>
        <v>100</v>
      </c>
      <c r="AA32" s="54" t="s">
        <v>60</v>
      </c>
      <c r="AB32" s="73">
        <f t="shared" si="8"/>
        <v>100</v>
      </c>
      <c r="AC32" s="71" t="s">
        <v>60</v>
      </c>
      <c r="AD32" s="95">
        <f t="shared" si="5"/>
        <v>2477755751</v>
      </c>
      <c r="AE32" s="96">
        <f t="shared" si="9"/>
        <v>97.977608881331804</v>
      </c>
      <c r="AF32" s="50" t="s">
        <v>60</v>
      </c>
      <c r="AG32" s="75">
        <f t="shared" si="2"/>
        <v>200</v>
      </c>
      <c r="AH32" s="54" t="s">
        <v>60</v>
      </c>
      <c r="AI32" s="95">
        <f t="shared" si="3"/>
        <v>5330636834</v>
      </c>
      <c r="AJ32" s="73">
        <f t="shared" si="6"/>
        <v>200</v>
      </c>
      <c r="AK32" s="71" t="s">
        <v>60</v>
      </c>
      <c r="AL32" s="96">
        <f t="shared" si="4"/>
        <v>33.376025127328724</v>
      </c>
      <c r="AM32" s="11"/>
      <c r="AP32" s="23"/>
    </row>
    <row r="33" spans="1:42" ht="98.25" customHeight="1" x14ac:dyDescent="0.2">
      <c r="A33" s="13"/>
      <c r="B33" s="14"/>
      <c r="C33" s="15"/>
      <c r="D33" s="16" t="s">
        <v>92</v>
      </c>
      <c r="E33" s="58">
        <v>100</v>
      </c>
      <c r="F33" s="54" t="s">
        <v>60</v>
      </c>
      <c r="G33" s="12"/>
      <c r="H33" s="60">
        <f>500/500*100</f>
        <v>100</v>
      </c>
      <c r="I33" s="54" t="s">
        <v>60</v>
      </c>
      <c r="J33" s="27"/>
      <c r="K33" s="60">
        <f>500/500*100</f>
        <v>100</v>
      </c>
      <c r="L33" s="54" t="s">
        <v>60</v>
      </c>
      <c r="M33" s="43"/>
      <c r="N33" s="107">
        <f>N34/500*100</f>
        <v>46.2</v>
      </c>
      <c r="O33" s="54" t="s">
        <v>60</v>
      </c>
      <c r="P33" s="43"/>
      <c r="Q33" s="107">
        <f>Q34/500*100</f>
        <v>56.599999999999994</v>
      </c>
      <c r="R33" s="54" t="s">
        <v>60</v>
      </c>
      <c r="S33" s="43"/>
      <c r="T33" s="107">
        <f>T34/500*100</f>
        <v>55.600000000000009</v>
      </c>
      <c r="U33" s="54" t="s">
        <v>60</v>
      </c>
      <c r="V33" s="43"/>
      <c r="W33" s="107">
        <f>W34/500*100</f>
        <v>38</v>
      </c>
      <c r="X33" s="54" t="s">
        <v>60</v>
      </c>
      <c r="Y33" s="43"/>
      <c r="Z33" s="73">
        <f>N33+Q33+T33+W33</f>
        <v>196.4</v>
      </c>
      <c r="AA33" s="54" t="s">
        <v>60</v>
      </c>
      <c r="AB33" s="73">
        <f t="shared" si="8"/>
        <v>196.4</v>
      </c>
      <c r="AC33" s="71" t="s">
        <v>60</v>
      </c>
      <c r="AD33" s="98"/>
      <c r="AE33" s="97"/>
      <c r="AF33" s="108"/>
      <c r="AG33" s="75">
        <f t="shared" si="2"/>
        <v>296.39999999999998</v>
      </c>
      <c r="AH33" s="54" t="s">
        <v>60</v>
      </c>
      <c r="AI33" s="98"/>
      <c r="AJ33" s="73">
        <f t="shared" ref="AJ33" si="22">AG33/E33*100</f>
        <v>296.39999999999998</v>
      </c>
      <c r="AK33" s="71" t="s">
        <v>60</v>
      </c>
      <c r="AL33" s="80"/>
      <c r="AM33" s="11"/>
      <c r="AP33" s="23"/>
    </row>
    <row r="34" spans="1:42" ht="90" x14ac:dyDescent="0.2">
      <c r="A34" s="13"/>
      <c r="B34" s="14"/>
      <c r="C34" s="24" t="s">
        <v>133</v>
      </c>
      <c r="D34" s="29" t="s">
        <v>90</v>
      </c>
      <c r="E34" s="62">
        <f>500*4</f>
        <v>2000</v>
      </c>
      <c r="F34" s="63" t="s">
        <v>93</v>
      </c>
      <c r="G34" s="53">
        <f>458650000*5</f>
        <v>2293250000</v>
      </c>
      <c r="H34" s="65">
        <v>500</v>
      </c>
      <c r="I34" s="63" t="s">
        <v>93</v>
      </c>
      <c r="J34" s="20">
        <v>457974745</v>
      </c>
      <c r="K34" s="55">
        <v>500</v>
      </c>
      <c r="L34" s="63" t="s">
        <v>93</v>
      </c>
      <c r="M34" s="21">
        <v>104000000</v>
      </c>
      <c r="N34" s="68">
        <v>231</v>
      </c>
      <c r="O34" s="63" t="s">
        <v>93</v>
      </c>
      <c r="P34" s="21">
        <v>0</v>
      </c>
      <c r="Q34" s="103">
        <v>283</v>
      </c>
      <c r="R34" s="63" t="s">
        <v>93</v>
      </c>
      <c r="S34" s="21">
        <v>0</v>
      </c>
      <c r="T34" s="103">
        <v>278</v>
      </c>
      <c r="U34" s="63" t="s">
        <v>93</v>
      </c>
      <c r="V34" s="21">
        <v>0</v>
      </c>
      <c r="W34" s="103">
        <v>190</v>
      </c>
      <c r="X34" s="63" t="s">
        <v>93</v>
      </c>
      <c r="Y34" s="21">
        <v>98350000</v>
      </c>
      <c r="Z34" s="77">
        <f>N34+Q34+T34+W34</f>
        <v>982</v>
      </c>
      <c r="AA34" s="63" t="s">
        <v>93</v>
      </c>
      <c r="AB34" s="79">
        <f t="shared" si="8"/>
        <v>196.4</v>
      </c>
      <c r="AC34" s="81" t="s">
        <v>60</v>
      </c>
      <c r="AD34" s="42">
        <f t="shared" si="5"/>
        <v>98350000</v>
      </c>
      <c r="AE34" s="79">
        <f t="shared" si="9"/>
        <v>94.567307692307693</v>
      </c>
      <c r="AF34" s="81" t="s">
        <v>60</v>
      </c>
      <c r="AG34" s="77">
        <f t="shared" si="2"/>
        <v>1482</v>
      </c>
      <c r="AH34" s="63" t="s">
        <v>93</v>
      </c>
      <c r="AI34" s="42">
        <f t="shared" si="3"/>
        <v>556324745</v>
      </c>
      <c r="AJ34" s="79">
        <f t="shared" si="6"/>
        <v>74.099999999999994</v>
      </c>
      <c r="AK34" s="81" t="s">
        <v>60</v>
      </c>
      <c r="AL34" s="74">
        <f t="shared" si="4"/>
        <v>24.259227951597079</v>
      </c>
      <c r="AM34" s="11"/>
      <c r="AP34" s="23"/>
    </row>
    <row r="35" spans="1:42" ht="75" x14ac:dyDescent="0.2">
      <c r="A35" s="13"/>
      <c r="B35" s="14"/>
      <c r="C35" s="24" t="s">
        <v>89</v>
      </c>
      <c r="D35" s="29" t="s">
        <v>90</v>
      </c>
      <c r="E35" s="64"/>
      <c r="F35" s="30"/>
      <c r="G35" s="53">
        <f>2679030000*5</f>
        <v>13395150000</v>
      </c>
      <c r="H35" s="57"/>
      <c r="I35" s="30"/>
      <c r="J35" s="20">
        <v>2282944241</v>
      </c>
      <c r="K35" s="57"/>
      <c r="L35" s="30"/>
      <c r="M35" s="21">
        <v>2424900000</v>
      </c>
      <c r="N35" s="69"/>
      <c r="O35" s="25"/>
      <c r="P35" s="21">
        <v>281419000</v>
      </c>
      <c r="Q35" s="104"/>
      <c r="R35" s="25"/>
      <c r="S35" s="21">
        <v>865049000</v>
      </c>
      <c r="T35" s="104"/>
      <c r="U35" s="25"/>
      <c r="V35" s="21">
        <v>375001000</v>
      </c>
      <c r="W35" s="104"/>
      <c r="X35" s="25"/>
      <c r="Y35" s="21">
        <v>857936751</v>
      </c>
      <c r="Z35" s="78"/>
      <c r="AA35" s="30"/>
      <c r="AB35" s="80"/>
      <c r="AC35" s="82"/>
      <c r="AD35" s="42">
        <f t="shared" ref="AD35" si="23">P35+S35+V35+Y35</f>
        <v>2379405751</v>
      </c>
      <c r="AE35" s="79">
        <f t="shared" ref="AE35" si="24">AD35/M35*100</f>
        <v>98.123871128706341</v>
      </c>
      <c r="AF35" s="81" t="s">
        <v>60</v>
      </c>
      <c r="AG35" s="78"/>
      <c r="AH35" s="30"/>
      <c r="AI35" s="42">
        <f t="shared" ref="AI35:AI36" si="25">J35+AD35</f>
        <v>4662349992</v>
      </c>
      <c r="AJ35" s="80"/>
      <c r="AK35" s="82"/>
      <c r="AL35" s="74">
        <f t="shared" ref="AL35:AL36" si="26">AI35/G35*100</f>
        <v>34.806254442839382</v>
      </c>
      <c r="AM35" s="11"/>
      <c r="AP35" s="23"/>
    </row>
    <row r="36" spans="1:42" ht="75" x14ac:dyDescent="0.2">
      <c r="A36" s="13"/>
      <c r="B36" s="14"/>
      <c r="C36" s="99" t="s">
        <v>115</v>
      </c>
      <c r="D36" s="100" t="s">
        <v>90</v>
      </c>
      <c r="E36" s="61">
        <v>500</v>
      </c>
      <c r="F36" s="49" t="s">
        <v>93</v>
      </c>
      <c r="G36" s="53">
        <v>269100000</v>
      </c>
      <c r="H36" s="46">
        <v>500</v>
      </c>
      <c r="I36" s="49" t="s">
        <v>93</v>
      </c>
      <c r="J36" s="20">
        <v>108133347</v>
      </c>
      <c r="K36" s="17"/>
      <c r="L36" s="49"/>
      <c r="M36" s="21"/>
      <c r="N36" s="17"/>
      <c r="O36" s="18"/>
      <c r="P36" s="21"/>
      <c r="Q36" s="17"/>
      <c r="R36" s="18"/>
      <c r="S36" s="21"/>
      <c r="T36" s="17"/>
      <c r="U36" s="18"/>
      <c r="V36" s="21"/>
      <c r="W36" s="17"/>
      <c r="X36" s="18"/>
      <c r="Y36" s="21"/>
      <c r="Z36" s="76"/>
      <c r="AA36" s="49"/>
      <c r="AB36" s="74"/>
      <c r="AC36" s="36"/>
      <c r="AD36" s="42"/>
      <c r="AE36" s="74"/>
      <c r="AF36" s="36"/>
      <c r="AG36" s="76">
        <f t="shared" ref="AG36" si="27">H36+Z36</f>
        <v>500</v>
      </c>
      <c r="AH36" s="49" t="s">
        <v>93</v>
      </c>
      <c r="AI36" s="42">
        <f t="shared" si="25"/>
        <v>108133347</v>
      </c>
      <c r="AJ36" s="74">
        <f t="shared" ref="AJ36" si="28">AG36/E36*100</f>
        <v>100</v>
      </c>
      <c r="AK36" s="36" t="s">
        <v>60</v>
      </c>
      <c r="AL36" s="74">
        <f t="shared" si="26"/>
        <v>40.183332218506131</v>
      </c>
      <c r="AM36" s="11"/>
      <c r="AP36" s="23"/>
    </row>
    <row r="37" spans="1:42" ht="105" x14ac:dyDescent="0.2">
      <c r="A37" s="13"/>
      <c r="B37" s="14"/>
      <c r="C37" s="99" t="s">
        <v>82</v>
      </c>
      <c r="D37" s="100" t="s">
        <v>116</v>
      </c>
      <c r="E37" s="17">
        <v>38</v>
      </c>
      <c r="F37" s="18" t="s">
        <v>86</v>
      </c>
      <c r="G37" s="59">
        <v>13955000</v>
      </c>
      <c r="H37" s="17">
        <v>38</v>
      </c>
      <c r="I37" s="18" t="s">
        <v>86</v>
      </c>
      <c r="J37" s="20">
        <v>3828750</v>
      </c>
      <c r="K37" s="57"/>
      <c r="L37" s="30"/>
      <c r="M37" s="21"/>
      <c r="N37" s="17"/>
      <c r="O37" s="18"/>
      <c r="P37" s="21"/>
      <c r="Q37" s="17"/>
      <c r="R37" s="18"/>
      <c r="S37" s="21"/>
      <c r="T37" s="17"/>
      <c r="U37" s="18"/>
      <c r="V37" s="21"/>
      <c r="W37" s="17"/>
      <c r="X37" s="18"/>
      <c r="Y37" s="21"/>
      <c r="Z37" s="76"/>
      <c r="AA37" s="18"/>
      <c r="AB37" s="74"/>
      <c r="AC37" s="36"/>
      <c r="AD37" s="42"/>
      <c r="AE37" s="74"/>
      <c r="AF37" s="36"/>
      <c r="AG37" s="76">
        <f t="shared" ref="AG37" si="29">H37+Z37</f>
        <v>38</v>
      </c>
      <c r="AH37" s="18" t="s">
        <v>86</v>
      </c>
      <c r="AI37" s="42">
        <f t="shared" ref="AI37" si="30">J37+AD37</f>
        <v>3828750</v>
      </c>
      <c r="AJ37" s="74">
        <f t="shared" ref="AJ37" si="31">AG37/E37*100</f>
        <v>100</v>
      </c>
      <c r="AK37" s="36" t="s">
        <v>60</v>
      </c>
      <c r="AL37" s="74">
        <f t="shared" ref="AL37" si="32">AI37/G37*100</f>
        <v>27.436402723038338</v>
      </c>
      <c r="AM37" s="11"/>
      <c r="AP37" s="23"/>
    </row>
    <row r="38" spans="1:42" ht="148.5" customHeight="1" x14ac:dyDescent="0.2">
      <c r="A38" s="13"/>
      <c r="B38" s="14"/>
      <c r="C38" s="51" t="s">
        <v>94</v>
      </c>
      <c r="D38" s="16" t="s">
        <v>97</v>
      </c>
      <c r="E38" s="47">
        <v>38</v>
      </c>
      <c r="F38" s="48" t="s">
        <v>86</v>
      </c>
      <c r="G38" s="94">
        <f>SUM(G40:G45)</f>
        <v>13570390000</v>
      </c>
      <c r="H38" s="60">
        <f>H43</f>
        <v>15</v>
      </c>
      <c r="I38" s="48" t="s">
        <v>86</v>
      </c>
      <c r="J38" s="94">
        <f>SUM(J40:J45)</f>
        <v>1016801788</v>
      </c>
      <c r="K38" s="109">
        <v>23</v>
      </c>
      <c r="L38" s="106" t="s">
        <v>86</v>
      </c>
      <c r="M38" s="94">
        <f>SUM(M40:M45)</f>
        <v>1289308257</v>
      </c>
      <c r="N38" s="109">
        <v>4</v>
      </c>
      <c r="O38" s="106" t="s">
        <v>86</v>
      </c>
      <c r="P38" s="94">
        <f>SUM(P40:P45)</f>
        <v>97500000</v>
      </c>
      <c r="Q38" s="109">
        <v>0</v>
      </c>
      <c r="R38" s="106" t="s">
        <v>86</v>
      </c>
      <c r="S38" s="94">
        <f>SUM(S40:S45)</f>
        <v>327000000</v>
      </c>
      <c r="T38" s="109">
        <v>4</v>
      </c>
      <c r="U38" s="106" t="s">
        <v>86</v>
      </c>
      <c r="V38" s="94">
        <f>SUM(V40:V45)</f>
        <v>65000000</v>
      </c>
      <c r="W38" s="109">
        <v>0</v>
      </c>
      <c r="X38" s="106" t="s">
        <v>86</v>
      </c>
      <c r="Y38" s="94">
        <f>SUM(Y40:Y45)</f>
        <v>791764000</v>
      </c>
      <c r="Z38" s="110">
        <f t="shared" si="1"/>
        <v>8</v>
      </c>
      <c r="AA38" s="105" t="s">
        <v>86</v>
      </c>
      <c r="AB38" s="96">
        <f>AG38/K38*100</f>
        <v>100</v>
      </c>
      <c r="AC38" s="50" t="s">
        <v>60</v>
      </c>
      <c r="AD38" s="95">
        <f t="shared" si="5"/>
        <v>1281264000</v>
      </c>
      <c r="AE38" s="96">
        <f>AD38/M38*100</f>
        <v>99.376079618173108</v>
      </c>
      <c r="AF38" s="50" t="s">
        <v>60</v>
      </c>
      <c r="AG38" s="75">
        <f t="shared" si="2"/>
        <v>23</v>
      </c>
      <c r="AH38" s="48" t="s">
        <v>86</v>
      </c>
      <c r="AI38" s="95">
        <f t="shared" si="3"/>
        <v>2298065788</v>
      </c>
      <c r="AJ38" s="73">
        <f t="shared" si="6"/>
        <v>60.526315789473685</v>
      </c>
      <c r="AK38" s="71" t="s">
        <v>60</v>
      </c>
      <c r="AL38" s="96">
        <f t="shared" si="4"/>
        <v>16.93441226081196</v>
      </c>
      <c r="AM38" s="11"/>
      <c r="AP38" s="23"/>
    </row>
    <row r="39" spans="1:42" ht="102" customHeight="1" x14ac:dyDescent="0.2">
      <c r="A39" s="13"/>
      <c r="B39" s="14"/>
      <c r="C39" s="15"/>
      <c r="D39" s="16" t="s">
        <v>96</v>
      </c>
      <c r="E39" s="47">
        <f>E413</f>
        <v>0</v>
      </c>
      <c r="F39" s="54" t="s">
        <v>98</v>
      </c>
      <c r="G39" s="12"/>
      <c r="H39" s="47">
        <f>H42</f>
        <v>5</v>
      </c>
      <c r="I39" s="54" t="s">
        <v>98</v>
      </c>
      <c r="J39" s="27"/>
      <c r="K39" s="47">
        <v>15</v>
      </c>
      <c r="L39" s="54" t="s">
        <v>98</v>
      </c>
      <c r="M39" s="43"/>
      <c r="N39" s="47">
        <f>N41</f>
        <v>0</v>
      </c>
      <c r="O39" s="54" t="s">
        <v>98</v>
      </c>
      <c r="P39" s="43"/>
      <c r="Q39" s="47">
        <f>Q41</f>
        <v>6</v>
      </c>
      <c r="R39" s="54" t="s">
        <v>98</v>
      </c>
      <c r="S39" s="43"/>
      <c r="T39" s="47">
        <f>T41</f>
        <v>3</v>
      </c>
      <c r="U39" s="54" t="s">
        <v>98</v>
      </c>
      <c r="V39" s="43"/>
      <c r="W39" s="47">
        <f>W41</f>
        <v>1</v>
      </c>
      <c r="X39" s="54" t="s">
        <v>98</v>
      </c>
      <c r="Y39" s="43"/>
      <c r="Z39" s="110">
        <f t="shared" si="1"/>
        <v>10</v>
      </c>
      <c r="AA39" s="54" t="s">
        <v>98</v>
      </c>
      <c r="AB39" s="96">
        <f>AG39/K39*100</f>
        <v>100</v>
      </c>
      <c r="AC39" s="50" t="s">
        <v>60</v>
      </c>
      <c r="AD39" s="98"/>
      <c r="AE39" s="97"/>
      <c r="AF39" s="108"/>
      <c r="AG39" s="75">
        <f t="shared" si="2"/>
        <v>15</v>
      </c>
      <c r="AH39" s="54" t="s">
        <v>98</v>
      </c>
      <c r="AI39" s="98"/>
      <c r="AJ39" s="73" t="e">
        <f t="shared" ref="AJ39" si="33">AG39/E39*100</f>
        <v>#DIV/0!</v>
      </c>
      <c r="AK39" s="71" t="s">
        <v>60</v>
      </c>
      <c r="AL39" s="80"/>
      <c r="AM39" s="11"/>
      <c r="AP39" s="23"/>
    </row>
    <row r="40" spans="1:42" ht="120" x14ac:dyDescent="0.2">
      <c r="A40" s="13"/>
      <c r="B40" s="14"/>
      <c r="C40" s="112" t="s">
        <v>95</v>
      </c>
      <c r="D40" s="29" t="s">
        <v>85</v>
      </c>
      <c r="E40" s="17">
        <v>38</v>
      </c>
      <c r="F40" s="18" t="s">
        <v>86</v>
      </c>
      <c r="G40" s="113">
        <f>7300350000+4950000000</f>
        <v>12250350000</v>
      </c>
      <c r="H40" s="46"/>
      <c r="I40" s="18"/>
      <c r="J40" s="114"/>
      <c r="K40" s="17">
        <v>23</v>
      </c>
      <c r="L40" s="49" t="s">
        <v>86</v>
      </c>
      <c r="M40" s="115">
        <v>1289308257</v>
      </c>
      <c r="N40" s="17">
        <v>19</v>
      </c>
      <c r="O40" s="49" t="s">
        <v>86</v>
      </c>
      <c r="P40" s="115">
        <v>97500000</v>
      </c>
      <c r="Q40" s="17">
        <v>0</v>
      </c>
      <c r="R40" s="49" t="s">
        <v>86</v>
      </c>
      <c r="S40" s="115">
        <v>327000000</v>
      </c>
      <c r="T40" s="17">
        <v>0</v>
      </c>
      <c r="U40" s="49" t="s">
        <v>86</v>
      </c>
      <c r="V40" s="115">
        <v>65000000</v>
      </c>
      <c r="W40" s="17">
        <v>0</v>
      </c>
      <c r="X40" s="49" t="s">
        <v>86</v>
      </c>
      <c r="Y40" s="115">
        <v>791764000</v>
      </c>
      <c r="Z40" s="76">
        <f t="shared" ref="Z40:Z41" si="34">N40+Q40+T40+W40</f>
        <v>19</v>
      </c>
      <c r="AA40" s="18" t="s">
        <v>86</v>
      </c>
      <c r="AB40" s="74">
        <f t="shared" si="8"/>
        <v>82.608695652173907</v>
      </c>
      <c r="AC40" s="36" t="s">
        <v>60</v>
      </c>
      <c r="AD40" s="116">
        <f t="shared" ref="AD40" si="35">P40+S40+V40+Y40</f>
        <v>1281264000</v>
      </c>
      <c r="AE40" s="79">
        <f t="shared" ref="AE40" si="36">AD40/M40*100</f>
        <v>99.376079618173108</v>
      </c>
      <c r="AF40" s="81" t="s">
        <v>60</v>
      </c>
      <c r="AG40" s="76">
        <f>H40+Z40</f>
        <v>19</v>
      </c>
      <c r="AH40" s="18" t="s">
        <v>86</v>
      </c>
      <c r="AI40" s="116">
        <f t="shared" ref="AI40:AI42" si="37">J40+AD40</f>
        <v>1281264000</v>
      </c>
      <c r="AJ40" s="74">
        <f>AG40/E40*100</f>
        <v>50</v>
      </c>
      <c r="AK40" s="36" t="s">
        <v>60</v>
      </c>
      <c r="AL40" s="79">
        <f t="shared" ref="AL40:AL42" si="38">AI40/G40*100</f>
        <v>10.458999130637084</v>
      </c>
      <c r="AM40" s="11"/>
      <c r="AP40" s="23"/>
    </row>
    <row r="41" spans="1:42" ht="135" customHeight="1" x14ac:dyDescent="0.2">
      <c r="A41" s="13"/>
      <c r="B41" s="14"/>
      <c r="C41" s="24"/>
      <c r="D41" s="29" t="s">
        <v>110</v>
      </c>
      <c r="E41" s="17">
        <v>38</v>
      </c>
      <c r="F41" s="49" t="s">
        <v>98</v>
      </c>
      <c r="G41" s="59"/>
      <c r="H41" s="17"/>
      <c r="I41" s="49"/>
      <c r="J41" s="27"/>
      <c r="K41" s="17">
        <v>15</v>
      </c>
      <c r="L41" s="49" t="s">
        <v>98</v>
      </c>
      <c r="M41" s="28"/>
      <c r="N41" s="17">
        <v>0</v>
      </c>
      <c r="O41" s="49" t="s">
        <v>98</v>
      </c>
      <c r="P41" s="28"/>
      <c r="Q41" s="17">
        <v>6</v>
      </c>
      <c r="R41" s="49" t="s">
        <v>98</v>
      </c>
      <c r="S41" s="28"/>
      <c r="T41" s="17">
        <v>3</v>
      </c>
      <c r="U41" s="49" t="s">
        <v>98</v>
      </c>
      <c r="V41" s="28"/>
      <c r="W41" s="17">
        <v>1</v>
      </c>
      <c r="X41" s="49" t="s">
        <v>98</v>
      </c>
      <c r="Y41" s="28"/>
      <c r="Z41" s="76">
        <f t="shared" si="34"/>
        <v>10</v>
      </c>
      <c r="AA41" s="49" t="s">
        <v>98</v>
      </c>
      <c r="AB41" s="74">
        <f>(H42+Z41)/K41*100</f>
        <v>100</v>
      </c>
      <c r="AC41" s="36" t="s">
        <v>60</v>
      </c>
      <c r="AD41" s="98"/>
      <c r="AE41" s="80"/>
      <c r="AF41" s="82"/>
      <c r="AG41" s="76">
        <f t="shared" ref="AG41" si="39">H41+Z41</f>
        <v>10</v>
      </c>
      <c r="AH41" s="49" t="s">
        <v>98</v>
      </c>
      <c r="AI41" s="98"/>
      <c r="AJ41" s="74">
        <f t="shared" ref="AJ41" si="40">AG41/E41*100</f>
        <v>26.315789473684209</v>
      </c>
      <c r="AK41" s="36" t="s">
        <v>60</v>
      </c>
      <c r="AL41" s="80"/>
      <c r="AM41" s="11"/>
      <c r="AP41" s="23"/>
    </row>
    <row r="42" spans="1:42" ht="135" customHeight="1" x14ac:dyDescent="0.2">
      <c r="A42" s="13"/>
      <c r="B42" s="14"/>
      <c r="C42" s="99" t="s">
        <v>105</v>
      </c>
      <c r="D42" s="100" t="s">
        <v>110</v>
      </c>
      <c r="E42" s="17">
        <v>5</v>
      </c>
      <c r="F42" s="49" t="s">
        <v>98</v>
      </c>
      <c r="G42" s="53">
        <v>1186780000</v>
      </c>
      <c r="H42" s="17">
        <v>5</v>
      </c>
      <c r="I42" s="49" t="s">
        <v>98</v>
      </c>
      <c r="J42" s="20">
        <v>901619788</v>
      </c>
      <c r="K42" s="17"/>
      <c r="L42" s="49"/>
      <c r="M42" s="21"/>
      <c r="N42" s="17"/>
      <c r="O42" s="18"/>
      <c r="P42" s="21"/>
      <c r="Q42" s="17"/>
      <c r="R42" s="18"/>
      <c r="S42" s="21"/>
      <c r="T42" s="17"/>
      <c r="U42" s="18"/>
      <c r="V42" s="21"/>
      <c r="W42" s="17"/>
      <c r="X42" s="18"/>
      <c r="Y42" s="21"/>
      <c r="Z42" s="76"/>
      <c r="AA42" s="49"/>
      <c r="AB42" s="74"/>
      <c r="AC42" s="36"/>
      <c r="AD42" s="42"/>
      <c r="AE42" s="74"/>
      <c r="AF42" s="36"/>
      <c r="AG42" s="76">
        <f t="shared" ref="AG42" si="41">H42+Z42</f>
        <v>5</v>
      </c>
      <c r="AH42" s="49" t="s">
        <v>98</v>
      </c>
      <c r="AI42" s="42">
        <f t="shared" si="37"/>
        <v>901619788</v>
      </c>
      <c r="AJ42" s="74">
        <f t="shared" ref="AJ42" si="42">AG42/E42*100</f>
        <v>100</v>
      </c>
      <c r="AK42" s="36" t="s">
        <v>60</v>
      </c>
      <c r="AL42" s="74">
        <f t="shared" si="38"/>
        <v>75.971939870911214</v>
      </c>
      <c r="AM42" s="11"/>
      <c r="AP42" s="23"/>
    </row>
    <row r="43" spans="1:42" ht="123" customHeight="1" x14ac:dyDescent="0.2">
      <c r="A43" s="13"/>
      <c r="B43" s="14"/>
      <c r="C43" s="99" t="s">
        <v>106</v>
      </c>
      <c r="D43" s="101" t="s">
        <v>109</v>
      </c>
      <c r="E43" s="55">
        <v>15</v>
      </c>
      <c r="F43" s="66" t="s">
        <v>86</v>
      </c>
      <c r="G43" s="53">
        <v>49250000</v>
      </c>
      <c r="H43" s="65">
        <v>15</v>
      </c>
      <c r="I43" s="66" t="s">
        <v>86</v>
      </c>
      <c r="J43" s="20">
        <v>31877000</v>
      </c>
      <c r="K43" s="17"/>
      <c r="L43" s="66"/>
      <c r="M43" s="21"/>
      <c r="N43" s="17"/>
      <c r="O43" s="18"/>
      <c r="P43" s="21"/>
      <c r="Q43" s="17"/>
      <c r="R43" s="18"/>
      <c r="S43" s="21"/>
      <c r="T43" s="17"/>
      <c r="U43" s="18"/>
      <c r="V43" s="21"/>
      <c r="W43" s="17"/>
      <c r="X43" s="18"/>
      <c r="Y43" s="21"/>
      <c r="Z43" s="76"/>
      <c r="AA43" s="18"/>
      <c r="AB43" s="79"/>
      <c r="AC43" s="81"/>
      <c r="AD43" s="42"/>
      <c r="AE43" s="79"/>
      <c r="AF43" s="81"/>
      <c r="AG43" s="77">
        <f t="shared" ref="AG43" si="43">H43+Z43</f>
        <v>15</v>
      </c>
      <c r="AH43" s="66" t="s">
        <v>86</v>
      </c>
      <c r="AI43" s="42">
        <f t="shared" ref="AI43:AI44" si="44">J43+AD43</f>
        <v>31877000</v>
      </c>
      <c r="AJ43" s="79">
        <f t="shared" ref="AJ43" si="45">AG43/E43*100</f>
        <v>100</v>
      </c>
      <c r="AK43" s="81" t="s">
        <v>60</v>
      </c>
      <c r="AL43" s="74">
        <f t="shared" ref="AL43:AL44" si="46">AI43/G43*100</f>
        <v>64.7248730964467</v>
      </c>
      <c r="AM43" s="11"/>
      <c r="AP43" s="23"/>
    </row>
    <row r="44" spans="1:42" ht="90" x14ac:dyDescent="0.2">
      <c r="A44" s="13"/>
      <c r="B44" s="14"/>
      <c r="C44" s="99" t="s">
        <v>107</v>
      </c>
      <c r="D44" s="102"/>
      <c r="E44" s="56"/>
      <c r="F44" s="67"/>
      <c r="G44" s="53">
        <v>34010000</v>
      </c>
      <c r="H44" s="52"/>
      <c r="I44" s="67"/>
      <c r="J44" s="20">
        <v>33505000</v>
      </c>
      <c r="K44" s="17"/>
      <c r="L44" s="49"/>
      <c r="M44" s="21"/>
      <c r="N44" s="17"/>
      <c r="O44" s="18"/>
      <c r="P44" s="21"/>
      <c r="Q44" s="17"/>
      <c r="R44" s="18"/>
      <c r="S44" s="21"/>
      <c r="T44" s="17"/>
      <c r="U44" s="18"/>
      <c r="V44" s="21"/>
      <c r="W44" s="17"/>
      <c r="X44" s="18"/>
      <c r="Y44" s="21"/>
      <c r="Z44" s="76"/>
      <c r="AA44" s="18"/>
      <c r="AB44" s="84"/>
      <c r="AC44" s="85"/>
      <c r="AD44" s="42"/>
      <c r="AE44" s="84"/>
      <c r="AF44" s="85"/>
      <c r="AG44" s="83"/>
      <c r="AH44" s="67"/>
      <c r="AI44" s="42">
        <f t="shared" si="44"/>
        <v>33505000</v>
      </c>
      <c r="AJ44" s="84"/>
      <c r="AK44" s="85"/>
      <c r="AL44" s="74">
        <f t="shared" si="46"/>
        <v>98.515142605116139</v>
      </c>
      <c r="AM44" s="11"/>
      <c r="AP44" s="23"/>
    </row>
    <row r="45" spans="1:42" ht="60" x14ac:dyDescent="0.2">
      <c r="A45" s="13"/>
      <c r="B45" s="14"/>
      <c r="C45" s="99" t="s">
        <v>108</v>
      </c>
      <c r="D45" s="99"/>
      <c r="E45" s="57"/>
      <c r="F45" s="25"/>
      <c r="G45" s="53">
        <v>50000000</v>
      </c>
      <c r="H45" s="26"/>
      <c r="I45" s="25"/>
      <c r="J45" s="20">
        <v>49800000</v>
      </c>
      <c r="K45" s="17"/>
      <c r="L45" s="49"/>
      <c r="M45" s="21"/>
      <c r="N45" s="17"/>
      <c r="O45" s="18"/>
      <c r="P45" s="21"/>
      <c r="Q45" s="17"/>
      <c r="R45" s="18"/>
      <c r="S45" s="21"/>
      <c r="T45" s="17"/>
      <c r="U45" s="18"/>
      <c r="V45" s="21"/>
      <c r="W45" s="17"/>
      <c r="X45" s="18"/>
      <c r="Y45" s="21"/>
      <c r="Z45" s="76"/>
      <c r="AA45" s="18"/>
      <c r="AB45" s="80"/>
      <c r="AC45" s="82"/>
      <c r="AD45" s="42"/>
      <c r="AE45" s="80"/>
      <c r="AF45" s="82"/>
      <c r="AG45" s="78"/>
      <c r="AH45" s="25"/>
      <c r="AI45" s="42">
        <f t="shared" si="3"/>
        <v>49800000</v>
      </c>
      <c r="AJ45" s="80"/>
      <c r="AK45" s="82"/>
      <c r="AL45" s="74">
        <f t="shared" si="4"/>
        <v>99.6</v>
      </c>
      <c r="AM45" s="11"/>
      <c r="AP45" s="23"/>
    </row>
    <row r="46" spans="1:42" ht="78.75" x14ac:dyDescent="0.2">
      <c r="A46" s="50">
        <v>29</v>
      </c>
      <c r="B46" s="51" t="s">
        <v>30</v>
      </c>
      <c r="C46" s="51" t="s">
        <v>99</v>
      </c>
      <c r="D46" s="16" t="s">
        <v>114</v>
      </c>
      <c r="E46" s="47">
        <f>3*5</f>
        <v>15</v>
      </c>
      <c r="F46" s="48" t="s">
        <v>102</v>
      </c>
      <c r="G46" s="94">
        <f>SUM(G48:G49)</f>
        <v>468265000</v>
      </c>
      <c r="H46" s="47">
        <f>H48</f>
        <v>3</v>
      </c>
      <c r="I46" s="48" t="s">
        <v>102</v>
      </c>
      <c r="J46" s="94">
        <f>SUM(J48:J49)</f>
        <v>73835000</v>
      </c>
      <c r="K46" s="47">
        <f>K48</f>
        <v>3</v>
      </c>
      <c r="L46" s="48" t="s">
        <v>102</v>
      </c>
      <c r="M46" s="94">
        <f>SUM(M48:M49)</f>
        <v>53063500</v>
      </c>
      <c r="N46" s="47">
        <f>N48</f>
        <v>0</v>
      </c>
      <c r="O46" s="48" t="s">
        <v>102</v>
      </c>
      <c r="P46" s="94">
        <f>SUM(P48:P49)</f>
        <v>0</v>
      </c>
      <c r="Q46" s="47">
        <f>Q48</f>
        <v>0</v>
      </c>
      <c r="R46" s="48" t="s">
        <v>102</v>
      </c>
      <c r="S46" s="94">
        <f>SUM(S48:S49)</f>
        <v>0</v>
      </c>
      <c r="T46" s="47">
        <f>T48</f>
        <v>0</v>
      </c>
      <c r="U46" s="48" t="s">
        <v>102</v>
      </c>
      <c r="V46" s="94">
        <f>SUM(V48:V49)</f>
        <v>0</v>
      </c>
      <c r="W46" s="47">
        <f>W48</f>
        <v>3</v>
      </c>
      <c r="X46" s="48" t="s">
        <v>102</v>
      </c>
      <c r="Y46" s="94">
        <f>SUM(Y48:Y49)</f>
        <v>47413500</v>
      </c>
      <c r="Z46" s="75">
        <f t="shared" si="1"/>
        <v>3</v>
      </c>
      <c r="AA46" s="48" t="s">
        <v>102</v>
      </c>
      <c r="AB46" s="73">
        <f t="shared" ref="AB46:AB49" si="47">Z46/K46*100</f>
        <v>100</v>
      </c>
      <c r="AC46" s="71" t="s">
        <v>60</v>
      </c>
      <c r="AD46" s="95">
        <f t="shared" si="5"/>
        <v>47413500</v>
      </c>
      <c r="AE46" s="96">
        <f t="shared" ref="AE46:AE48" si="48">AD46/M46*100</f>
        <v>89.35237969602457</v>
      </c>
      <c r="AF46" s="50" t="s">
        <v>60</v>
      </c>
      <c r="AG46" s="75">
        <f t="shared" si="2"/>
        <v>6</v>
      </c>
      <c r="AH46" s="48" t="s">
        <v>102</v>
      </c>
      <c r="AI46" s="95">
        <f t="shared" si="3"/>
        <v>121248500</v>
      </c>
      <c r="AJ46" s="73">
        <f t="shared" si="6"/>
        <v>40</v>
      </c>
      <c r="AK46" s="71" t="s">
        <v>60</v>
      </c>
      <c r="AL46" s="96">
        <f t="shared" si="4"/>
        <v>25.89313743286387</v>
      </c>
      <c r="AM46" s="11"/>
      <c r="AP46" s="23"/>
    </row>
    <row r="47" spans="1:42" ht="94.5" x14ac:dyDescent="0.2">
      <c r="A47" s="13"/>
      <c r="B47" s="14"/>
      <c r="C47" s="15"/>
      <c r="D47" s="16" t="s">
        <v>112</v>
      </c>
      <c r="E47" s="47">
        <f>240*5</f>
        <v>1200</v>
      </c>
      <c r="F47" s="54" t="s">
        <v>113</v>
      </c>
      <c r="G47" s="43"/>
      <c r="H47" s="60">
        <f>H49</f>
        <v>242</v>
      </c>
      <c r="I47" s="54" t="s">
        <v>113</v>
      </c>
      <c r="J47" s="43"/>
      <c r="K47" s="47">
        <f>K49</f>
        <v>240</v>
      </c>
      <c r="L47" s="54" t="s">
        <v>113</v>
      </c>
      <c r="M47" s="43"/>
      <c r="N47" s="47">
        <f>N49</f>
        <v>119</v>
      </c>
      <c r="O47" s="54" t="s">
        <v>113</v>
      </c>
      <c r="P47" s="28"/>
      <c r="Q47" s="47">
        <f>Q49</f>
        <v>202</v>
      </c>
      <c r="R47" s="54" t="s">
        <v>113</v>
      </c>
      <c r="S47" s="28"/>
      <c r="T47" s="47">
        <f>T49</f>
        <v>114</v>
      </c>
      <c r="U47" s="54" t="s">
        <v>113</v>
      </c>
      <c r="V47" s="28"/>
      <c r="W47" s="47">
        <f>W49</f>
        <v>104</v>
      </c>
      <c r="X47" s="54" t="s">
        <v>113</v>
      </c>
      <c r="Y47" s="28"/>
      <c r="Z47" s="75">
        <f t="shared" ref="Z47" si="49">N47+Q47+T47+W47</f>
        <v>539</v>
      </c>
      <c r="AA47" s="54" t="s">
        <v>113</v>
      </c>
      <c r="AB47" s="73">
        <f t="shared" si="47"/>
        <v>224.58333333333331</v>
      </c>
      <c r="AC47" s="71" t="s">
        <v>60</v>
      </c>
      <c r="AD47" s="72"/>
      <c r="AE47" s="97"/>
      <c r="AF47" s="108"/>
      <c r="AG47" s="75">
        <f t="shared" ref="AG47" si="50">H47+Z47</f>
        <v>781</v>
      </c>
      <c r="AH47" s="54" t="s">
        <v>113</v>
      </c>
      <c r="AI47" s="72"/>
      <c r="AJ47" s="73">
        <f t="shared" ref="AJ47" si="51">AG47/E47*100</f>
        <v>65.083333333333343</v>
      </c>
      <c r="AK47" s="71" t="s">
        <v>60</v>
      </c>
      <c r="AL47" s="97"/>
      <c r="AM47" s="11"/>
      <c r="AP47" s="23"/>
    </row>
    <row r="48" spans="1:42" ht="90" x14ac:dyDescent="0.2">
      <c r="A48" s="13"/>
      <c r="B48" s="14"/>
      <c r="C48" s="24" t="s">
        <v>100</v>
      </c>
      <c r="D48" s="29" t="s">
        <v>101</v>
      </c>
      <c r="E48" s="17">
        <f>3*5</f>
        <v>15</v>
      </c>
      <c r="F48" s="18" t="s">
        <v>102</v>
      </c>
      <c r="G48" s="53">
        <f>92105000*5</f>
        <v>460525000</v>
      </c>
      <c r="H48" s="17">
        <v>3</v>
      </c>
      <c r="I48" s="18" t="s">
        <v>102</v>
      </c>
      <c r="J48" s="20">
        <v>67015000</v>
      </c>
      <c r="K48" s="17">
        <v>3</v>
      </c>
      <c r="L48" s="18" t="s">
        <v>102</v>
      </c>
      <c r="M48" s="21">
        <v>53063500</v>
      </c>
      <c r="N48" s="17">
        <v>0</v>
      </c>
      <c r="O48" s="18" t="s">
        <v>102</v>
      </c>
      <c r="P48" s="21">
        <v>0</v>
      </c>
      <c r="Q48" s="17">
        <v>0</v>
      </c>
      <c r="R48" s="18" t="s">
        <v>102</v>
      </c>
      <c r="S48" s="21">
        <v>0</v>
      </c>
      <c r="T48" s="17">
        <v>0</v>
      </c>
      <c r="U48" s="18" t="s">
        <v>102</v>
      </c>
      <c r="V48" s="21">
        <v>0</v>
      </c>
      <c r="W48" s="17">
        <v>3</v>
      </c>
      <c r="X48" s="18" t="s">
        <v>102</v>
      </c>
      <c r="Y48" s="21">
        <v>47413500</v>
      </c>
      <c r="Z48" s="76">
        <f t="shared" si="1"/>
        <v>3</v>
      </c>
      <c r="AA48" s="18" t="s">
        <v>102</v>
      </c>
      <c r="AB48" s="74">
        <f t="shared" si="47"/>
        <v>100</v>
      </c>
      <c r="AC48" s="36" t="s">
        <v>60</v>
      </c>
      <c r="AD48" s="42">
        <f t="shared" si="5"/>
        <v>47413500</v>
      </c>
      <c r="AE48" s="79">
        <f t="shared" si="48"/>
        <v>89.35237969602457</v>
      </c>
      <c r="AF48" s="81" t="s">
        <v>60</v>
      </c>
      <c r="AG48" s="76">
        <f t="shared" si="2"/>
        <v>6</v>
      </c>
      <c r="AH48" s="18" t="s">
        <v>102</v>
      </c>
      <c r="AI48" s="42">
        <f t="shared" si="3"/>
        <v>114428500</v>
      </c>
      <c r="AJ48" s="74">
        <f t="shared" si="6"/>
        <v>40</v>
      </c>
      <c r="AK48" s="36" t="s">
        <v>60</v>
      </c>
      <c r="AL48" s="74">
        <f t="shared" si="4"/>
        <v>24.847402421149773</v>
      </c>
      <c r="AM48" s="11"/>
      <c r="AP48" s="23"/>
    </row>
    <row r="49" spans="1:42" ht="90" x14ac:dyDescent="0.2">
      <c r="A49" s="13"/>
      <c r="B49" s="14"/>
      <c r="C49" s="99" t="s">
        <v>111</v>
      </c>
      <c r="D49" s="100" t="s">
        <v>112</v>
      </c>
      <c r="E49" s="17">
        <f>240*5</f>
        <v>1200</v>
      </c>
      <c r="F49" s="49" t="s">
        <v>113</v>
      </c>
      <c r="G49" s="53">
        <v>7740000</v>
      </c>
      <c r="H49" s="46">
        <v>242</v>
      </c>
      <c r="I49" s="49" t="s">
        <v>113</v>
      </c>
      <c r="J49" s="20">
        <v>6820000</v>
      </c>
      <c r="K49" s="17">
        <v>240</v>
      </c>
      <c r="L49" s="49" t="s">
        <v>113</v>
      </c>
      <c r="M49" s="21">
        <v>0</v>
      </c>
      <c r="N49" s="17">
        <v>119</v>
      </c>
      <c r="O49" s="49" t="s">
        <v>113</v>
      </c>
      <c r="P49" s="21">
        <v>0</v>
      </c>
      <c r="Q49" s="17">
        <v>202</v>
      </c>
      <c r="R49" s="49" t="s">
        <v>113</v>
      </c>
      <c r="S49" s="21">
        <v>0</v>
      </c>
      <c r="T49" s="17">
        <v>114</v>
      </c>
      <c r="U49" s="49" t="s">
        <v>113</v>
      </c>
      <c r="V49" s="21">
        <v>0</v>
      </c>
      <c r="W49" s="17">
        <v>104</v>
      </c>
      <c r="X49" s="49" t="s">
        <v>113</v>
      </c>
      <c r="Y49" s="21">
        <v>0</v>
      </c>
      <c r="Z49" s="76">
        <f t="shared" ref="Z49" si="52">N49+Q49+T49+W49</f>
        <v>539</v>
      </c>
      <c r="AA49" s="49" t="s">
        <v>113</v>
      </c>
      <c r="AB49" s="74">
        <f t="shared" si="47"/>
        <v>224.58333333333331</v>
      </c>
      <c r="AC49" s="36" t="s">
        <v>60</v>
      </c>
      <c r="AD49" s="42">
        <f t="shared" si="5"/>
        <v>0</v>
      </c>
      <c r="AE49" s="74"/>
      <c r="AF49" s="36"/>
      <c r="AG49" s="76">
        <f t="shared" ref="AG49" si="53">H49+Z49</f>
        <v>781</v>
      </c>
      <c r="AH49" s="49" t="s">
        <v>113</v>
      </c>
      <c r="AI49" s="42">
        <f t="shared" ref="AI49" si="54">J49+AD49</f>
        <v>6820000</v>
      </c>
      <c r="AJ49" s="74">
        <f>AG49/E49*100</f>
        <v>65.083333333333343</v>
      </c>
      <c r="AK49" s="36" t="s">
        <v>60</v>
      </c>
      <c r="AL49" s="74">
        <f>AI49/G49*100</f>
        <v>88.113695090439279</v>
      </c>
      <c r="AM49" s="11"/>
      <c r="AP49" s="23"/>
    </row>
    <row r="50" spans="1:42" ht="15" x14ac:dyDescent="0.2">
      <c r="A50" s="164" t="s">
        <v>34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6"/>
      <c r="AB50" s="119">
        <f>AVERAGE(AB13:AB49)</f>
        <v>113.95477933353131</v>
      </c>
      <c r="AC50" s="88"/>
      <c r="AD50" s="86"/>
      <c r="AE50" s="119">
        <f>AVERAGE(AE13,AE17,AE24,AE29,AE32,AE38,AE46)</f>
        <v>86.486335887381173</v>
      </c>
      <c r="AF50" s="88"/>
      <c r="AG50" s="87"/>
      <c r="AH50" s="88"/>
      <c r="AI50" s="87"/>
      <c r="AJ50" s="87"/>
      <c r="AK50" s="88"/>
      <c r="AL50" s="89"/>
      <c r="AM50" s="11"/>
    </row>
    <row r="51" spans="1:42" ht="15" x14ac:dyDescent="0.2">
      <c r="A51" s="164" t="s">
        <v>35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6"/>
      <c r="AB51" s="32" t="str">
        <f>IF(AB50&gt;=91,"Sangat Tinggi",IF(AB50&gt;=76,"Tinggi",IF(AB50&gt;=66,"Sedang",IF(AB50&gt;=51,"Rendah",IF(AB50&lt;=50,"Sangat Rendah")))))</f>
        <v>Sangat Tinggi</v>
      </c>
      <c r="AC51" s="88"/>
      <c r="AD51" s="90"/>
      <c r="AE51" s="32" t="str">
        <f>IF(AE50&gt;=91,"Sangat Tinggi",IF(AE50&gt;=76,"Tinggi",IF(AE50&gt;=66,"Sedang",IF(AE50&gt;=51,"Rendah",IF(AE50&lt;=50,"Sangat Rendah")))))</f>
        <v>Tinggi</v>
      </c>
      <c r="AF51" s="88"/>
      <c r="AG51" s="91"/>
      <c r="AH51" s="88"/>
      <c r="AI51" s="92"/>
      <c r="AJ51" s="91"/>
      <c r="AK51" s="88"/>
      <c r="AL51" s="93"/>
      <c r="AM51" s="11"/>
    </row>
    <row r="52" spans="1:42" ht="15" x14ac:dyDescent="0.2">
      <c r="A52" s="163" t="s">
        <v>36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1"/>
    </row>
    <row r="53" spans="1:42" ht="15" x14ac:dyDescent="0.2">
      <c r="A53" s="163" t="s">
        <v>37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1"/>
    </row>
    <row r="54" spans="1:42" ht="15" x14ac:dyDescent="0.2">
      <c r="A54" s="163" t="s">
        <v>38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1"/>
    </row>
    <row r="55" spans="1:42" ht="15" x14ac:dyDescent="0.2">
      <c r="A55" s="163" t="s">
        <v>39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33"/>
    </row>
    <row r="56" spans="1:42" ht="15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5"/>
      <c r="AB56" s="34"/>
      <c r="AC56" s="35"/>
      <c r="AD56" s="34"/>
      <c r="AE56" s="34"/>
      <c r="AF56" s="35"/>
      <c r="AG56" s="34"/>
      <c r="AH56" s="35"/>
      <c r="AI56" s="34"/>
      <c r="AJ56" s="34"/>
      <c r="AK56" s="35"/>
      <c r="AL56" s="34"/>
    </row>
    <row r="57" spans="1:42" ht="15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120" t="s">
        <v>122</v>
      </c>
      <c r="AA57" s="120"/>
      <c r="AB57" s="120"/>
      <c r="AC57" s="120"/>
      <c r="AD57" s="120"/>
      <c r="AE57" s="120"/>
      <c r="AF57" s="35"/>
      <c r="AG57" s="34"/>
      <c r="AH57" s="120" t="s">
        <v>123</v>
      </c>
      <c r="AI57" s="120"/>
      <c r="AJ57" s="120"/>
      <c r="AK57" s="120"/>
      <c r="AL57" s="120"/>
      <c r="AM57" s="120"/>
    </row>
    <row r="58" spans="1:42" ht="15.75" x14ac:dyDescent="0.25">
      <c r="A58" s="40"/>
      <c r="B58" s="41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120" t="s">
        <v>132</v>
      </c>
      <c r="AA58" s="120"/>
      <c r="AB58" s="120"/>
      <c r="AC58" s="120"/>
      <c r="AD58" s="120"/>
      <c r="AE58" s="120"/>
      <c r="AF58" s="35"/>
      <c r="AG58" s="34"/>
      <c r="AH58" s="120" t="s">
        <v>132</v>
      </c>
      <c r="AI58" s="120"/>
      <c r="AJ58" s="120"/>
      <c r="AK58" s="120"/>
      <c r="AL58" s="120"/>
      <c r="AM58" s="120"/>
    </row>
    <row r="59" spans="1:42" ht="15" x14ac:dyDescent="0.2">
      <c r="Z59" s="120" t="s">
        <v>128</v>
      </c>
      <c r="AA59" s="120"/>
      <c r="AB59" s="120"/>
      <c r="AC59" s="120"/>
      <c r="AD59" s="120"/>
      <c r="AE59" s="120"/>
      <c r="AH59" s="120" t="s">
        <v>124</v>
      </c>
      <c r="AI59" s="120"/>
      <c r="AJ59" s="120"/>
      <c r="AK59" s="120"/>
      <c r="AL59" s="120"/>
      <c r="AM59" s="120"/>
    </row>
    <row r="60" spans="1:42" ht="15" x14ac:dyDescent="0.2">
      <c r="Z60" s="120" t="s">
        <v>125</v>
      </c>
      <c r="AA60" s="120"/>
      <c r="AB60" s="120"/>
      <c r="AC60" s="120"/>
      <c r="AD60" s="120"/>
      <c r="AE60" s="120"/>
      <c r="AH60" s="120" t="s">
        <v>125</v>
      </c>
      <c r="AI60" s="120"/>
      <c r="AJ60" s="120"/>
      <c r="AK60" s="120"/>
      <c r="AL60" s="120"/>
      <c r="AM60" s="120"/>
    </row>
    <row r="61" spans="1:42" ht="51" x14ac:dyDescent="0.2">
      <c r="A61" s="37" t="s">
        <v>40</v>
      </c>
      <c r="B61" s="37" t="s">
        <v>41</v>
      </c>
      <c r="C61" s="37" t="s">
        <v>42</v>
      </c>
      <c r="Z61" s="34"/>
      <c r="AA61" s="35"/>
      <c r="AB61" s="34"/>
      <c r="AC61" s="35"/>
      <c r="AD61" s="34"/>
      <c r="AH61" s="34"/>
      <c r="AI61" s="35"/>
      <c r="AJ61" s="34"/>
      <c r="AK61" s="35"/>
      <c r="AL61" s="34"/>
    </row>
    <row r="62" spans="1:42" ht="25.5" x14ac:dyDescent="0.25">
      <c r="A62" s="38" t="s">
        <v>43</v>
      </c>
      <c r="B62" s="38" t="s">
        <v>44</v>
      </c>
      <c r="C62" s="38" t="s">
        <v>45</v>
      </c>
      <c r="Z62" s="121" t="s">
        <v>129</v>
      </c>
      <c r="AA62" s="121"/>
      <c r="AB62" s="121"/>
      <c r="AC62" s="121"/>
      <c r="AD62" s="121"/>
      <c r="AE62" s="121"/>
      <c r="AH62" s="121" t="s">
        <v>126</v>
      </c>
      <c r="AI62" s="121"/>
      <c r="AJ62" s="121"/>
      <c r="AK62" s="121"/>
      <c r="AL62" s="121"/>
      <c r="AM62" s="121"/>
    </row>
    <row r="63" spans="1:42" ht="25.5" x14ac:dyDescent="0.2">
      <c r="A63" s="38" t="s">
        <v>46</v>
      </c>
      <c r="B63" s="38" t="s">
        <v>47</v>
      </c>
      <c r="C63" s="38" t="s">
        <v>48</v>
      </c>
      <c r="Z63" s="122" t="s">
        <v>130</v>
      </c>
      <c r="AA63" s="122"/>
      <c r="AB63" s="122"/>
      <c r="AC63" s="122"/>
      <c r="AD63" s="122"/>
      <c r="AE63" s="122"/>
      <c r="AH63" s="122" t="s">
        <v>127</v>
      </c>
      <c r="AI63" s="122"/>
      <c r="AJ63" s="122"/>
      <c r="AK63" s="122"/>
      <c r="AL63" s="122"/>
      <c r="AM63" s="122"/>
    </row>
    <row r="64" spans="1:42" ht="25.5" x14ac:dyDescent="0.2">
      <c r="A64" s="38" t="s">
        <v>49</v>
      </c>
      <c r="B64" s="38" t="s">
        <v>50</v>
      </c>
      <c r="C64" s="38" t="s">
        <v>51</v>
      </c>
    </row>
    <row r="65" spans="1:3" ht="25.5" x14ac:dyDescent="0.2">
      <c r="A65" s="38" t="s">
        <v>52</v>
      </c>
      <c r="B65" s="38" t="s">
        <v>53</v>
      </c>
      <c r="C65" s="38" t="s">
        <v>54</v>
      </c>
    </row>
    <row r="66" spans="1:3" ht="25.5" x14ac:dyDescent="0.2">
      <c r="A66" s="38" t="s">
        <v>55</v>
      </c>
      <c r="B66" s="39" t="s">
        <v>56</v>
      </c>
      <c r="C66" s="38" t="s">
        <v>57</v>
      </c>
    </row>
  </sheetData>
  <mergeCells count="82">
    <mergeCell ref="A53:AL53"/>
    <mergeCell ref="A54:AL54"/>
    <mergeCell ref="A55:AL55"/>
    <mergeCell ref="A50:AA50"/>
    <mergeCell ref="A51:AA51"/>
    <mergeCell ref="A10:A12"/>
    <mergeCell ref="B10:B12"/>
    <mergeCell ref="C10:C12"/>
    <mergeCell ref="D10:D12"/>
    <mergeCell ref="A52:AL52"/>
    <mergeCell ref="Q11:R12"/>
    <mergeCell ref="S11:S12"/>
    <mergeCell ref="Z12:AA12"/>
    <mergeCell ref="AE11:AF11"/>
    <mergeCell ref="AE12:AF12"/>
    <mergeCell ref="T11:U12"/>
    <mergeCell ref="V11:V12"/>
    <mergeCell ref="W11:X12"/>
    <mergeCell ref="Y11:Y12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AG12:AH12"/>
    <mergeCell ref="AJ12:AK12"/>
    <mergeCell ref="Z11:AA11"/>
    <mergeCell ref="AG11:AH11"/>
    <mergeCell ref="AJ11:AK11"/>
    <mergeCell ref="AB11:AC11"/>
    <mergeCell ref="AB12:AC12"/>
    <mergeCell ref="W10:Y10"/>
    <mergeCell ref="E11:F12"/>
    <mergeCell ref="G11:G12"/>
    <mergeCell ref="H11:I12"/>
    <mergeCell ref="J11:J12"/>
    <mergeCell ref="K11:L12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10:AF10"/>
    <mergeCell ref="H7:J9"/>
    <mergeCell ref="A1:AL1"/>
    <mergeCell ref="A2:AL2"/>
    <mergeCell ref="A3:AL3"/>
    <mergeCell ref="A4:AL4"/>
    <mergeCell ref="A5:AL5"/>
    <mergeCell ref="A6:AL6"/>
    <mergeCell ref="Z7:AF8"/>
    <mergeCell ref="Z9:AF9"/>
    <mergeCell ref="A7:A9"/>
    <mergeCell ref="B7:B9"/>
    <mergeCell ref="C7:C9"/>
    <mergeCell ref="D7:D9"/>
    <mergeCell ref="E7:G9"/>
    <mergeCell ref="Z57:AE57"/>
    <mergeCell ref="AH57:AM57"/>
    <mergeCell ref="Z58:AE58"/>
    <mergeCell ref="AH58:AM58"/>
    <mergeCell ref="Z59:AE59"/>
    <mergeCell ref="AH59:AM59"/>
    <mergeCell ref="Z60:AE60"/>
    <mergeCell ref="AH60:AM60"/>
    <mergeCell ref="Z62:AE62"/>
    <mergeCell ref="AH62:AM62"/>
    <mergeCell ref="Z63:AE63"/>
    <mergeCell ref="AH63:AM63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Diskominfo</vt:lpstr>
      <vt:lpstr>Diskominfo!Print_Area</vt:lpstr>
      <vt:lpstr>Diskominfo!Print_Titles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2021-10-25T06:34:59Z</dcterms:modified>
</cp:coreProperties>
</file>