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ata Avin\2023\"/>
    </mc:Choice>
  </mc:AlternateContent>
  <xr:revisionPtr revIDLastSave="0" documentId="13_ncr:1_{7FABEE96-ADA6-4083-AF28-2E3BB6D7BC4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inas PMD Tri II" sheetId="6" r:id="rId1"/>
    <sheet name="Dinas PMD Tri III" sheetId="7" r:id="rId2"/>
    <sheet name="Dinas PMD Tri IV" sheetId="9" r:id="rId3"/>
  </sheets>
  <definedNames>
    <definedName name="_xlnm.Print_Area" localSheetId="0">'Dinas PMD Tri II'!$A$1:$AE$77</definedName>
    <definedName name="_xlnm.Print_Area" localSheetId="1">'Dinas PMD Tri III'!$A$1:$AE$82</definedName>
    <definedName name="_xlnm.Print_Area" localSheetId="2">'Dinas PMD Tri IV'!$A$1:$AE$82</definedName>
    <definedName name="_xlnm.Print_Titles" localSheetId="0">'Dinas PMD Tri II'!$7:$12</definedName>
    <definedName name="_xlnm.Print_Titles" localSheetId="1">'Dinas PMD Tri III'!$7:$12</definedName>
    <definedName name="_xlnm.Print_Titles" localSheetId="2">'Dinas PMD Tri IV'!$7:$12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9" l="1"/>
  <c r="S56" i="9" l="1"/>
  <c r="S54" i="9" s="1"/>
  <c r="T39" i="9"/>
  <c r="U39" i="9" s="1"/>
  <c r="T40" i="9"/>
  <c r="U40" i="9" s="1"/>
  <c r="S29" i="9"/>
  <c r="S46" i="9"/>
  <c r="S44" i="9" s="1"/>
  <c r="W61" i="9"/>
  <c r="AA61" i="9" s="1"/>
  <c r="W59" i="9"/>
  <c r="X59" i="9" s="1"/>
  <c r="W49" i="9"/>
  <c r="AA49" i="9" s="1"/>
  <c r="S42" i="9"/>
  <c r="S41" i="9" s="1"/>
  <c r="S38" i="9"/>
  <c r="S37" i="9" s="1"/>
  <c r="S33" i="9"/>
  <c r="W20" i="9"/>
  <c r="AA20" i="9" s="1"/>
  <c r="W21" i="9"/>
  <c r="X21" i="9" s="1"/>
  <c r="W23" i="9"/>
  <c r="X23" i="9" s="1"/>
  <c r="W24" i="9"/>
  <c r="X24" i="9" s="1"/>
  <c r="W25" i="9"/>
  <c r="X25" i="9" s="1"/>
  <c r="W26" i="9"/>
  <c r="X26" i="9" s="1"/>
  <c r="W27" i="9"/>
  <c r="X27" i="9" s="1"/>
  <c r="W19" i="9"/>
  <c r="X19" i="9" s="1"/>
  <c r="T61" i="9"/>
  <c r="U61" i="9" s="1"/>
  <c r="G61" i="9"/>
  <c r="W60" i="9"/>
  <c r="AA60" i="9" s="1"/>
  <c r="T60" i="9"/>
  <c r="Z60" i="9" s="1"/>
  <c r="G60" i="9"/>
  <c r="T59" i="9"/>
  <c r="Z59" i="9" s="1"/>
  <c r="G59" i="9"/>
  <c r="T58" i="9"/>
  <c r="Z58" i="9" s="1"/>
  <c r="U58" i="9" s="1"/>
  <c r="O58" i="9"/>
  <c r="M58" i="9"/>
  <c r="T57" i="9"/>
  <c r="Z57" i="9" s="1"/>
  <c r="U57" i="9" s="1"/>
  <c r="M57" i="9"/>
  <c r="W57" i="9" s="1"/>
  <c r="AA57" i="9" s="1"/>
  <c r="T56" i="9"/>
  <c r="Z56" i="9" s="1"/>
  <c r="U56" i="9" s="1"/>
  <c r="Q56" i="9"/>
  <c r="Q54" i="9" s="1"/>
  <c r="O56" i="9"/>
  <c r="O54" i="9" s="1"/>
  <c r="M56" i="9"/>
  <c r="M54" i="9" s="1"/>
  <c r="K56" i="9"/>
  <c r="K54" i="9" s="1"/>
  <c r="I56" i="9"/>
  <c r="I54" i="9" s="1"/>
  <c r="T55" i="9"/>
  <c r="Z55" i="9" s="1"/>
  <c r="U55" i="9" s="1"/>
  <c r="Q55" i="9"/>
  <c r="O55" i="9"/>
  <c r="T54" i="9"/>
  <c r="Z54" i="9" s="1"/>
  <c r="U54" i="9" s="1"/>
  <c r="AA53" i="9"/>
  <c r="Z53" i="9"/>
  <c r="W52" i="9"/>
  <c r="X52" i="9" s="1"/>
  <c r="T52" i="9"/>
  <c r="U52" i="9" s="1"/>
  <c r="G52" i="9"/>
  <c r="G46" i="9" s="1"/>
  <c r="G44" i="9" s="1"/>
  <c r="W51" i="9"/>
  <c r="AA51" i="9" s="1"/>
  <c r="T51" i="9"/>
  <c r="U51" i="9" s="1"/>
  <c r="W50" i="9"/>
  <c r="X50" i="9" s="1"/>
  <c r="T50" i="9"/>
  <c r="Z50" i="9" s="1"/>
  <c r="T49" i="9"/>
  <c r="U49" i="9" s="1"/>
  <c r="W48" i="9"/>
  <c r="X48" i="9" s="1"/>
  <c r="T48" i="9"/>
  <c r="Z48" i="9" s="1"/>
  <c r="T47" i="9"/>
  <c r="Z47" i="9" s="1"/>
  <c r="U47" i="9" s="1"/>
  <c r="Q47" i="9"/>
  <c r="Q45" i="9" s="1"/>
  <c r="M47" i="9"/>
  <c r="M45" i="9" s="1"/>
  <c r="Q46" i="9"/>
  <c r="Q44" i="9" s="1"/>
  <c r="O46" i="9"/>
  <c r="O44" i="9" s="1"/>
  <c r="N46" i="9"/>
  <c r="M46" i="9"/>
  <c r="M44" i="9" s="1"/>
  <c r="L46" i="9"/>
  <c r="K46" i="9"/>
  <c r="K44" i="9" s="1"/>
  <c r="I46" i="9"/>
  <c r="I44" i="9" s="1"/>
  <c r="T45" i="9"/>
  <c r="Z45" i="9" s="1"/>
  <c r="U45" i="9" s="1"/>
  <c r="O45" i="9"/>
  <c r="T44" i="9"/>
  <c r="Z44" i="9" s="1"/>
  <c r="U44" i="9" s="1"/>
  <c r="W43" i="9"/>
  <c r="X43" i="9" s="1"/>
  <c r="T43" i="9"/>
  <c r="Z43" i="9" s="1"/>
  <c r="G43" i="9"/>
  <c r="G42" i="9" s="1"/>
  <c r="G41" i="9" s="1"/>
  <c r="Q42" i="9"/>
  <c r="Q41" i="9" s="1"/>
  <c r="O42" i="9"/>
  <c r="O41" i="9" s="1"/>
  <c r="M42" i="9"/>
  <c r="M41" i="9" s="1"/>
  <c r="K42" i="9"/>
  <c r="K41" i="9" s="1"/>
  <c r="J42" i="9"/>
  <c r="I42" i="9"/>
  <c r="I41" i="9" s="1"/>
  <c r="H42" i="9"/>
  <c r="E42" i="9"/>
  <c r="T41" i="9"/>
  <c r="Z41" i="9" s="1"/>
  <c r="U41" i="9" s="1"/>
  <c r="W40" i="9"/>
  <c r="X40" i="9" s="1"/>
  <c r="W39" i="9"/>
  <c r="AA39" i="9" s="1"/>
  <c r="Q38" i="9"/>
  <c r="Q37" i="9" s="1"/>
  <c r="O38" i="9"/>
  <c r="O37" i="9" s="1"/>
  <c r="N38" i="9"/>
  <c r="M38" i="9"/>
  <c r="L38" i="9"/>
  <c r="K38" i="9"/>
  <c r="K37" i="9" s="1"/>
  <c r="I38" i="9"/>
  <c r="I37" i="9" s="1"/>
  <c r="G38" i="9"/>
  <c r="G37" i="9" s="1"/>
  <c r="N37" i="9"/>
  <c r="L37" i="9"/>
  <c r="AA36" i="9"/>
  <c r="Z36" i="9"/>
  <c r="W35" i="9"/>
  <c r="AA35" i="9" s="1"/>
  <c r="T35" i="9"/>
  <c r="U35" i="9" s="1"/>
  <c r="W34" i="9"/>
  <c r="X34" i="9" s="1"/>
  <c r="T34" i="9"/>
  <c r="Z34" i="9" s="1"/>
  <c r="T33" i="9"/>
  <c r="U33" i="9" s="1"/>
  <c r="Q33" i="9"/>
  <c r="O33" i="9"/>
  <c r="M33" i="9"/>
  <c r="K33" i="9"/>
  <c r="I33" i="9"/>
  <c r="G33" i="9"/>
  <c r="W32" i="9"/>
  <c r="AA32" i="9" s="1"/>
  <c r="T32" i="9"/>
  <c r="U32" i="9" s="1"/>
  <c r="W31" i="9"/>
  <c r="X31" i="9" s="1"/>
  <c r="T31" i="9"/>
  <c r="Z31" i="9" s="1"/>
  <c r="W30" i="9"/>
  <c r="AA30" i="9" s="1"/>
  <c r="T30" i="9"/>
  <c r="U30" i="9" s="1"/>
  <c r="T29" i="9"/>
  <c r="Z29" i="9" s="1"/>
  <c r="Q29" i="9"/>
  <c r="O29" i="9"/>
  <c r="M29" i="9"/>
  <c r="K29" i="9"/>
  <c r="I29" i="9"/>
  <c r="G29" i="9"/>
  <c r="AA28" i="9"/>
  <c r="Z28" i="9"/>
  <c r="T27" i="9"/>
  <c r="U27" i="9" s="1"/>
  <c r="I27" i="9"/>
  <c r="T26" i="9"/>
  <c r="Z26" i="9" s="1"/>
  <c r="T25" i="9"/>
  <c r="U25" i="9" s="1"/>
  <c r="T24" i="9"/>
  <c r="Z24" i="9" s="1"/>
  <c r="T23" i="9"/>
  <c r="U23" i="9" s="1"/>
  <c r="T22" i="9"/>
  <c r="Z22" i="9" s="1"/>
  <c r="Q22" i="9"/>
  <c r="O22" i="9"/>
  <c r="M22" i="9"/>
  <c r="K22" i="9"/>
  <c r="G22" i="9"/>
  <c r="T21" i="9"/>
  <c r="Z21" i="9" s="1"/>
  <c r="T20" i="9"/>
  <c r="U20" i="9" s="1"/>
  <c r="T19" i="9"/>
  <c r="Z19" i="9" s="1"/>
  <c r="W18" i="9"/>
  <c r="X18" i="9" s="1"/>
  <c r="T18" i="9"/>
  <c r="U18" i="9" s="1"/>
  <c r="Q17" i="9"/>
  <c r="O17" i="9"/>
  <c r="M17" i="9"/>
  <c r="L17" i="9"/>
  <c r="T17" i="9" s="1"/>
  <c r="K17" i="9"/>
  <c r="J17" i="9"/>
  <c r="I17" i="9"/>
  <c r="G17" i="9"/>
  <c r="W16" i="9"/>
  <c r="AA16" i="9" s="1"/>
  <c r="T16" i="9"/>
  <c r="U16" i="9" s="1"/>
  <c r="T15" i="9"/>
  <c r="Z15" i="9" s="1"/>
  <c r="Q14" i="9"/>
  <c r="P14" i="9"/>
  <c r="O14" i="9"/>
  <c r="N14" i="9"/>
  <c r="M14" i="9"/>
  <c r="L14" i="9"/>
  <c r="K14" i="9"/>
  <c r="I14" i="9"/>
  <c r="G14" i="9"/>
  <c r="T13" i="9"/>
  <c r="U13" i="9" s="1"/>
  <c r="S14" i="7"/>
  <c r="S13" i="7" s="1"/>
  <c r="T58" i="7"/>
  <c r="Z58" i="7" s="1"/>
  <c r="U58" i="7" s="1"/>
  <c r="O58" i="7"/>
  <c r="M58" i="7"/>
  <c r="T57" i="7"/>
  <c r="Z57" i="7" s="1"/>
  <c r="U57" i="7" s="1"/>
  <c r="Q55" i="7"/>
  <c r="M57" i="7"/>
  <c r="W57" i="7" s="1"/>
  <c r="AA57" i="7" s="1"/>
  <c r="O55" i="7"/>
  <c r="T55" i="7"/>
  <c r="T42" i="9" l="1"/>
  <c r="Z42" i="9" s="1"/>
  <c r="U42" i="9" s="1"/>
  <c r="W54" i="9"/>
  <c r="T38" i="9"/>
  <c r="Z38" i="9" s="1"/>
  <c r="U38" i="9" s="1"/>
  <c r="T37" i="9"/>
  <c r="Z37" i="9" s="1"/>
  <c r="U37" i="9" s="1"/>
  <c r="S22" i="9"/>
  <c r="W22" i="9" s="1"/>
  <c r="X22" i="9" s="1"/>
  <c r="S17" i="9"/>
  <c r="W17" i="9" s="1"/>
  <c r="X17" i="9" s="1"/>
  <c r="U26" i="9"/>
  <c r="AA25" i="9"/>
  <c r="AA26" i="9"/>
  <c r="U21" i="9"/>
  <c r="U22" i="9"/>
  <c r="W46" i="9"/>
  <c r="X46" i="9" s="1"/>
  <c r="W44" i="9"/>
  <c r="U60" i="9"/>
  <c r="AA24" i="9"/>
  <c r="AA48" i="9"/>
  <c r="AA23" i="9"/>
  <c r="Z18" i="9"/>
  <c r="AA40" i="9"/>
  <c r="U48" i="9"/>
  <c r="G56" i="9"/>
  <c r="G54" i="9" s="1"/>
  <c r="X16" i="9"/>
  <c r="X20" i="9"/>
  <c r="U24" i="9"/>
  <c r="X51" i="9"/>
  <c r="O13" i="9"/>
  <c r="T14" i="9"/>
  <c r="Z14" i="9" s="1"/>
  <c r="AA18" i="9"/>
  <c r="AA19" i="9"/>
  <c r="AA21" i="9"/>
  <c r="AA27" i="9"/>
  <c r="W29" i="9"/>
  <c r="AA29" i="9" s="1"/>
  <c r="AA31" i="9"/>
  <c r="Q13" i="9"/>
  <c r="AA34" i="9"/>
  <c r="W42" i="9"/>
  <c r="AA42" i="9" s="1"/>
  <c r="AA43" i="9"/>
  <c r="T46" i="9"/>
  <c r="Z46" i="9" s="1"/>
  <c r="U46" i="9" s="1"/>
  <c r="X49" i="9"/>
  <c r="AA50" i="9"/>
  <c r="AA52" i="9"/>
  <c r="M55" i="9"/>
  <c r="W55" i="9" s="1"/>
  <c r="AA55" i="9" s="1"/>
  <c r="U59" i="9"/>
  <c r="G13" i="9"/>
  <c r="M13" i="9"/>
  <c r="K13" i="9"/>
  <c r="U15" i="9"/>
  <c r="U19" i="9"/>
  <c r="W38" i="9"/>
  <c r="X38" i="9" s="1"/>
  <c r="W41" i="9"/>
  <c r="U43" i="9"/>
  <c r="W45" i="9"/>
  <c r="AA45" i="9" s="1"/>
  <c r="U50" i="9"/>
  <c r="W58" i="9"/>
  <c r="AA58" i="9" s="1"/>
  <c r="AA59" i="9"/>
  <c r="X61" i="9"/>
  <c r="Z17" i="9"/>
  <c r="U17" i="9"/>
  <c r="Z40" i="9"/>
  <c r="Z52" i="9"/>
  <c r="Z20" i="9"/>
  <c r="Z23" i="9"/>
  <c r="Z25" i="9"/>
  <c r="U29" i="9"/>
  <c r="X30" i="9"/>
  <c r="U31" i="9"/>
  <c r="X32" i="9"/>
  <c r="U34" i="9"/>
  <c r="X35" i="9"/>
  <c r="X39" i="9"/>
  <c r="Z49" i="9"/>
  <c r="Z51" i="9"/>
  <c r="W56" i="9"/>
  <c r="X60" i="9"/>
  <c r="Z61" i="9"/>
  <c r="Z13" i="9"/>
  <c r="W47" i="9"/>
  <c r="AA47" i="9" s="1"/>
  <c r="Z16" i="9"/>
  <c r="I22" i="9"/>
  <c r="Z27" i="9"/>
  <c r="Z30" i="9"/>
  <c r="Z32" i="9"/>
  <c r="Z33" i="9"/>
  <c r="Z35" i="9"/>
  <c r="M37" i="9"/>
  <c r="W37" i="9" s="1"/>
  <c r="X37" i="9" s="1"/>
  <c r="Z39" i="9"/>
  <c r="W33" i="9"/>
  <c r="X33" i="9" s="1"/>
  <c r="W58" i="7"/>
  <c r="AA58" i="7" s="1"/>
  <c r="M55" i="7"/>
  <c r="W55" i="7" s="1"/>
  <c r="AA55" i="7" s="1"/>
  <c r="Z55" i="7"/>
  <c r="U55" i="7" s="1"/>
  <c r="AA44" i="9" l="1"/>
  <c r="X44" i="9"/>
  <c r="AA41" i="9"/>
  <c r="X41" i="9"/>
  <c r="AA46" i="9"/>
  <c r="X29" i="9"/>
  <c r="AA22" i="9"/>
  <c r="AA38" i="9"/>
  <c r="X42" i="9"/>
  <c r="AA54" i="9"/>
  <c r="AA17" i="9"/>
  <c r="X54" i="9"/>
  <c r="U14" i="9"/>
  <c r="U62" i="9" s="1"/>
  <c r="U63" i="9" s="1"/>
  <c r="AA37" i="9"/>
  <c r="AA33" i="9"/>
  <c r="I13" i="9"/>
  <c r="X56" i="9"/>
  <c r="AA56" i="9"/>
  <c r="T47" i="7"/>
  <c r="Z47" i="7" s="1"/>
  <c r="U47" i="7" s="1"/>
  <c r="Q47" i="7"/>
  <c r="Q45" i="7" s="1"/>
  <c r="M47" i="7"/>
  <c r="O45" i="7"/>
  <c r="T45" i="7"/>
  <c r="Z45" i="7" s="1"/>
  <c r="U45" i="7" s="1"/>
  <c r="W47" i="7" l="1"/>
  <c r="AA47" i="7" s="1"/>
  <c r="M45" i="7"/>
  <c r="W45" i="7" s="1"/>
  <c r="AA45" i="7" s="1"/>
  <c r="N38" i="7" l="1"/>
  <c r="N37" i="7"/>
  <c r="L37" i="7"/>
  <c r="W61" i="7" l="1"/>
  <c r="T61" i="7"/>
  <c r="U61" i="7" s="1"/>
  <c r="G61" i="7"/>
  <c r="W60" i="7"/>
  <c r="X60" i="7" s="1"/>
  <c r="T60" i="7"/>
  <c r="Z60" i="7" s="1"/>
  <c r="G60" i="7"/>
  <c r="W59" i="7"/>
  <c r="X59" i="7" s="1"/>
  <c r="T59" i="7"/>
  <c r="U59" i="7" s="1"/>
  <c r="G59" i="7"/>
  <c r="Q56" i="7"/>
  <c r="Q54" i="7" s="1"/>
  <c r="O56" i="7"/>
  <c r="O54" i="7" s="1"/>
  <c r="M56" i="7"/>
  <c r="K56" i="7"/>
  <c r="K54" i="7" s="1"/>
  <c r="I56" i="7"/>
  <c r="I54" i="7" s="1"/>
  <c r="T54" i="7"/>
  <c r="Z54" i="7" s="1"/>
  <c r="U54" i="7" s="1"/>
  <c r="AA53" i="7"/>
  <c r="Z53" i="7"/>
  <c r="W52" i="7"/>
  <c r="T52" i="7"/>
  <c r="U52" i="7" s="1"/>
  <c r="G52" i="7"/>
  <c r="G46" i="7" s="1"/>
  <c r="G44" i="7" s="1"/>
  <c r="W51" i="7"/>
  <c r="X51" i="7" s="1"/>
  <c r="T51" i="7"/>
  <c r="Z51" i="7" s="1"/>
  <c r="W50" i="7"/>
  <c r="AA50" i="7" s="1"/>
  <c r="T50" i="7"/>
  <c r="U50" i="7" s="1"/>
  <c r="W49" i="7"/>
  <c r="X49" i="7" s="1"/>
  <c r="T49" i="7"/>
  <c r="Z49" i="7" s="1"/>
  <c r="W48" i="7"/>
  <c r="AA48" i="7" s="1"/>
  <c r="T48" i="7"/>
  <c r="U48" i="7" s="1"/>
  <c r="Q46" i="7"/>
  <c r="Q44" i="7" s="1"/>
  <c r="O46" i="7"/>
  <c r="O44" i="7" s="1"/>
  <c r="N46" i="7"/>
  <c r="M46" i="7"/>
  <c r="M44" i="7" s="1"/>
  <c r="L46" i="7"/>
  <c r="K46" i="7"/>
  <c r="K44" i="7" s="1"/>
  <c r="I46" i="7"/>
  <c r="I44" i="7" s="1"/>
  <c r="W43" i="7"/>
  <c r="X43" i="7" s="1"/>
  <c r="T43" i="7"/>
  <c r="U43" i="7" s="1"/>
  <c r="G43" i="7"/>
  <c r="G42" i="7" s="1"/>
  <c r="G41" i="7" s="1"/>
  <c r="T42" i="7"/>
  <c r="Q42" i="7"/>
  <c r="Q41" i="7" s="1"/>
  <c r="O42" i="7"/>
  <c r="O41" i="7" s="1"/>
  <c r="M42" i="7"/>
  <c r="K42" i="7"/>
  <c r="K41" i="7" s="1"/>
  <c r="J42" i="7"/>
  <c r="I42" i="7"/>
  <c r="I41" i="7" s="1"/>
  <c r="H42" i="7"/>
  <c r="E42" i="7"/>
  <c r="T41" i="7"/>
  <c r="Z41" i="7" s="1"/>
  <c r="W40" i="7"/>
  <c r="X40" i="7" s="1"/>
  <c r="T40" i="7"/>
  <c r="U40" i="7" s="1"/>
  <c r="W39" i="7"/>
  <c r="T39" i="7"/>
  <c r="U39" i="7" s="1"/>
  <c r="Q38" i="7"/>
  <c r="Q37" i="7" s="1"/>
  <c r="O38" i="7"/>
  <c r="O37" i="7" s="1"/>
  <c r="M38" i="7"/>
  <c r="M37" i="7" s="1"/>
  <c r="L38" i="7"/>
  <c r="T38" i="7" s="1"/>
  <c r="Z38" i="7" s="1"/>
  <c r="U38" i="7" s="1"/>
  <c r="K38" i="7"/>
  <c r="K37" i="7" s="1"/>
  <c r="I38" i="7"/>
  <c r="I37" i="7" s="1"/>
  <c r="G38" i="7"/>
  <c r="G37" i="7" s="1"/>
  <c r="T37" i="7"/>
  <c r="Z37" i="7" s="1"/>
  <c r="U37" i="7" s="1"/>
  <c r="AA36" i="7"/>
  <c r="Z36" i="7"/>
  <c r="W35" i="7"/>
  <c r="AA35" i="7" s="1"/>
  <c r="T35" i="7"/>
  <c r="U35" i="7" s="1"/>
  <c r="W34" i="7"/>
  <c r="X34" i="7" s="1"/>
  <c r="T34" i="7"/>
  <c r="Z34" i="7" s="1"/>
  <c r="T33" i="7"/>
  <c r="U33" i="7" s="1"/>
  <c r="Q33" i="7"/>
  <c r="O33" i="7"/>
  <c r="M33" i="7"/>
  <c r="K33" i="7"/>
  <c r="I33" i="7"/>
  <c r="G33" i="7"/>
  <c r="W32" i="7"/>
  <c r="X32" i="7" s="1"/>
  <c r="T32" i="7"/>
  <c r="U32" i="7" s="1"/>
  <c r="W31" i="7"/>
  <c r="X31" i="7" s="1"/>
  <c r="T31" i="7"/>
  <c r="Z31" i="7" s="1"/>
  <c r="W30" i="7"/>
  <c r="X30" i="7" s="1"/>
  <c r="T30" i="7"/>
  <c r="U30" i="7" s="1"/>
  <c r="T29" i="7"/>
  <c r="Z29" i="7" s="1"/>
  <c r="Q29" i="7"/>
  <c r="O29" i="7"/>
  <c r="M29" i="7"/>
  <c r="K29" i="7"/>
  <c r="I29" i="7"/>
  <c r="G29" i="7"/>
  <c r="AA28" i="7"/>
  <c r="Z28" i="7"/>
  <c r="W27" i="7"/>
  <c r="X27" i="7" s="1"/>
  <c r="T27" i="7"/>
  <c r="U27" i="7" s="1"/>
  <c r="I27" i="7"/>
  <c r="I22" i="7" s="1"/>
  <c r="W26" i="7"/>
  <c r="T26" i="7"/>
  <c r="U26" i="7" s="1"/>
  <c r="W25" i="7"/>
  <c r="X25" i="7" s="1"/>
  <c r="T25" i="7"/>
  <c r="U25" i="7" s="1"/>
  <c r="W24" i="7"/>
  <c r="T24" i="7"/>
  <c r="U24" i="7" s="1"/>
  <c r="W23" i="7"/>
  <c r="X23" i="7" s="1"/>
  <c r="T23" i="7"/>
  <c r="U23" i="7" s="1"/>
  <c r="T22" i="7"/>
  <c r="U22" i="7" s="1"/>
  <c r="Q22" i="7"/>
  <c r="O22" i="7"/>
  <c r="M22" i="7"/>
  <c r="K22" i="7"/>
  <c r="G22" i="7"/>
  <c r="W21" i="7"/>
  <c r="X21" i="7" s="1"/>
  <c r="T21" i="7"/>
  <c r="U21" i="7" s="1"/>
  <c r="W20" i="7"/>
  <c r="AA20" i="7" s="1"/>
  <c r="T20" i="7"/>
  <c r="Z20" i="7" s="1"/>
  <c r="W19" i="7"/>
  <c r="T19" i="7"/>
  <c r="U19" i="7" s="1"/>
  <c r="W18" i="7"/>
  <c r="X18" i="7" s="1"/>
  <c r="T18" i="7"/>
  <c r="Z18" i="7" s="1"/>
  <c r="Q17" i="7"/>
  <c r="O17" i="7"/>
  <c r="M17" i="7"/>
  <c r="L17" i="7"/>
  <c r="T17" i="7" s="1"/>
  <c r="K17" i="7"/>
  <c r="J17" i="7"/>
  <c r="I17" i="7"/>
  <c r="G17" i="7"/>
  <c r="W16" i="7"/>
  <c r="T16" i="7"/>
  <c r="U16" i="7" s="1"/>
  <c r="W15" i="7"/>
  <c r="X15" i="7" s="1"/>
  <c r="T15" i="7"/>
  <c r="U15" i="7" s="1"/>
  <c r="Q14" i="7"/>
  <c r="P14" i="7"/>
  <c r="O14" i="7"/>
  <c r="N14" i="7"/>
  <c r="M14" i="7"/>
  <c r="L14" i="7"/>
  <c r="K14" i="7"/>
  <c r="I14" i="7"/>
  <c r="G14" i="7"/>
  <c r="T13" i="7"/>
  <c r="U13" i="7" s="1"/>
  <c r="T18" i="6"/>
  <c r="G56" i="7" l="1"/>
  <c r="G54" i="7" s="1"/>
  <c r="M13" i="7"/>
  <c r="U60" i="7"/>
  <c r="AA51" i="7"/>
  <c r="AA60" i="7"/>
  <c r="T14" i="7"/>
  <c r="U14" i="7" s="1"/>
  <c r="Q13" i="7"/>
  <c r="AA21" i="7"/>
  <c r="W42" i="7"/>
  <c r="X42" i="7" s="1"/>
  <c r="O13" i="7"/>
  <c r="U49" i="7"/>
  <c r="AA15" i="7"/>
  <c r="U18" i="7"/>
  <c r="W33" i="7"/>
  <c r="X33" i="7" s="1"/>
  <c r="U31" i="7"/>
  <c r="AA43" i="7"/>
  <c r="AA32" i="7"/>
  <c r="X35" i="7"/>
  <c r="U41" i="7"/>
  <c r="T44" i="7"/>
  <c r="Z44" i="7" s="1"/>
  <c r="U44" i="7" s="1"/>
  <c r="AA49" i="7"/>
  <c r="U51" i="7"/>
  <c r="I13" i="7"/>
  <c r="G13" i="7"/>
  <c r="AA18" i="7"/>
  <c r="AA30" i="7"/>
  <c r="AA31" i="7"/>
  <c r="M41" i="7"/>
  <c r="W41" i="7" s="1"/>
  <c r="Z42" i="7"/>
  <c r="U42" i="7" s="1"/>
  <c r="W37" i="7"/>
  <c r="X37" i="7" s="1"/>
  <c r="W14" i="7"/>
  <c r="X14" i="7" s="1"/>
  <c r="X20" i="7"/>
  <c r="Z23" i="7"/>
  <c r="U34" i="7"/>
  <c r="Z40" i="7"/>
  <c r="X48" i="7"/>
  <c r="X50" i="7"/>
  <c r="K13" i="7"/>
  <c r="T46" i="7"/>
  <c r="Z46" i="7" s="1"/>
  <c r="U46" i="7" s="1"/>
  <c r="T56" i="7"/>
  <c r="Z56" i="7" s="1"/>
  <c r="U56" i="7" s="1"/>
  <c r="Z59" i="7"/>
  <c r="AA23" i="7"/>
  <c r="AA27" i="7"/>
  <c r="W38" i="7"/>
  <c r="AA38" i="7" s="1"/>
  <c r="AA40" i="7"/>
  <c r="AA25" i="7"/>
  <c r="W29" i="7"/>
  <c r="U29" i="7"/>
  <c r="AA34" i="7"/>
  <c r="AA59" i="7"/>
  <c r="U17" i="7"/>
  <c r="Z17" i="7"/>
  <c r="W44" i="7"/>
  <c r="W56" i="7"/>
  <c r="X56" i="7" s="1"/>
  <c r="Z15" i="7"/>
  <c r="AA19" i="7"/>
  <c r="X19" i="7"/>
  <c r="Z25" i="7"/>
  <c r="AA39" i="7"/>
  <c r="X39" i="7"/>
  <c r="AA52" i="7"/>
  <c r="X52" i="7"/>
  <c r="AA61" i="7"/>
  <c r="X61" i="7"/>
  <c r="AA16" i="7"/>
  <c r="X16" i="7"/>
  <c r="AA26" i="7"/>
  <c r="X26" i="7"/>
  <c r="Z21" i="7"/>
  <c r="AA24" i="7"/>
  <c r="X24" i="7"/>
  <c r="Z22" i="7"/>
  <c r="Z27" i="7"/>
  <c r="Z30" i="7"/>
  <c r="Z32" i="7"/>
  <c r="Z33" i="7"/>
  <c r="Z35" i="7"/>
  <c r="Z43" i="7"/>
  <c r="W46" i="7"/>
  <c r="X46" i="7" s="1"/>
  <c r="Z48" i="7"/>
  <c r="Z50" i="7"/>
  <c r="Z13" i="7"/>
  <c r="Z16" i="7"/>
  <c r="W17" i="7"/>
  <c r="X17" i="7" s="1"/>
  <c r="Z19" i="7"/>
  <c r="U20" i="7"/>
  <c r="Z24" i="7"/>
  <c r="Z26" i="7"/>
  <c r="Z39" i="7"/>
  <c r="Z52" i="7"/>
  <c r="M54" i="7"/>
  <c r="W54" i="7" s="1"/>
  <c r="Z61" i="7"/>
  <c r="W22" i="7"/>
  <c r="X22" i="7" s="1"/>
  <c r="Q53" i="6"/>
  <c r="Q52" i="6" s="1"/>
  <c r="Q45" i="6"/>
  <c r="Q44" i="6" s="1"/>
  <c r="Q42" i="6"/>
  <c r="Q41" i="6" s="1"/>
  <c r="Q38" i="6"/>
  <c r="Q37" i="6" s="1"/>
  <c r="Q33" i="6"/>
  <c r="Q29" i="6"/>
  <c r="Q22" i="6"/>
  <c r="Q17" i="6"/>
  <c r="Q14" i="6"/>
  <c r="P14" i="6"/>
  <c r="X41" i="7" l="1"/>
  <c r="AH41" i="7"/>
  <c r="X54" i="7"/>
  <c r="AH54" i="7"/>
  <c r="X44" i="7"/>
  <c r="AH44" i="7"/>
  <c r="X38" i="7"/>
  <c r="W13" i="7"/>
  <c r="AA13" i="7" s="1"/>
  <c r="Z14" i="7"/>
  <c r="AA42" i="7"/>
  <c r="AH13" i="7"/>
  <c r="AA33" i="7"/>
  <c r="AA41" i="7"/>
  <c r="AA14" i="7"/>
  <c r="U62" i="7"/>
  <c r="U63" i="7" s="1"/>
  <c r="X29" i="7"/>
  <c r="AA29" i="7"/>
  <c r="AA44" i="7"/>
  <c r="AA17" i="7"/>
  <c r="AA37" i="7"/>
  <c r="AA56" i="7"/>
  <c r="AA54" i="7"/>
  <c r="AA46" i="7"/>
  <c r="AA22" i="7"/>
  <c r="Q13" i="6"/>
  <c r="N52" i="6"/>
  <c r="AH62" i="7" l="1"/>
  <c r="X13" i="7"/>
  <c r="X62" i="7" s="1"/>
  <c r="X63" i="7" s="1"/>
  <c r="N53" i="6"/>
  <c r="W46" i="6" l="1"/>
  <c r="X46" i="6" s="1"/>
  <c r="T46" i="6"/>
  <c r="Z46" i="6" s="1"/>
  <c r="N45" i="6"/>
  <c r="N44" i="6"/>
  <c r="U46" i="6" l="1"/>
  <c r="AA46" i="6"/>
  <c r="N14" i="6"/>
  <c r="O53" i="6" l="1"/>
  <c r="O52" i="6" s="1"/>
  <c r="O45" i="6"/>
  <c r="O44" i="6" s="1"/>
  <c r="O42" i="6"/>
  <c r="O41" i="6" s="1"/>
  <c r="O38" i="6"/>
  <c r="O37" i="6" s="1"/>
  <c r="O33" i="6"/>
  <c r="O29" i="6"/>
  <c r="O22" i="6"/>
  <c r="O17" i="6"/>
  <c r="O14" i="6"/>
  <c r="O13" i="6" l="1"/>
  <c r="W56" i="6"/>
  <c r="T56" i="6"/>
  <c r="Z56" i="6" s="1"/>
  <c r="G56" i="6"/>
  <c r="W55" i="6"/>
  <c r="X55" i="6" s="1"/>
  <c r="T55" i="6"/>
  <c r="Z55" i="6" s="1"/>
  <c r="G55" i="6"/>
  <c r="W54" i="6"/>
  <c r="AA54" i="6" s="1"/>
  <c r="T54" i="6"/>
  <c r="U54" i="6" s="1"/>
  <c r="G54" i="6"/>
  <c r="M53" i="6"/>
  <c r="W53" i="6" s="1"/>
  <c r="L53" i="6"/>
  <c r="T53" i="6" s="1"/>
  <c r="Z53" i="6" s="1"/>
  <c r="U53" i="6" s="1"/>
  <c r="K53" i="6"/>
  <c r="K52" i="6" s="1"/>
  <c r="I53" i="6"/>
  <c r="E53" i="6"/>
  <c r="T52" i="6"/>
  <c r="Z52" i="6" s="1"/>
  <c r="U52" i="6" s="1"/>
  <c r="E52" i="6"/>
  <c r="AA51" i="6"/>
  <c r="Z51" i="6"/>
  <c r="W50" i="6"/>
  <c r="AA50" i="6" s="1"/>
  <c r="T50" i="6"/>
  <c r="U50" i="6" s="1"/>
  <c r="G50" i="6"/>
  <c r="G45" i="6" s="1"/>
  <c r="G44" i="6" s="1"/>
  <c r="W49" i="6"/>
  <c r="AA49" i="6" s="1"/>
  <c r="T49" i="6"/>
  <c r="U49" i="6" s="1"/>
  <c r="W48" i="6"/>
  <c r="X48" i="6" s="1"/>
  <c r="T48" i="6"/>
  <c r="Z48" i="6" s="1"/>
  <c r="W47" i="6"/>
  <c r="AA47" i="6" s="1"/>
  <c r="T47" i="6"/>
  <c r="U47" i="6" s="1"/>
  <c r="M45" i="6"/>
  <c r="W45" i="6" s="1"/>
  <c r="L45" i="6"/>
  <c r="T45" i="6" s="1"/>
  <c r="Z45" i="6" s="1"/>
  <c r="U45" i="6" s="1"/>
  <c r="K45" i="6"/>
  <c r="K44" i="6" s="1"/>
  <c r="I45" i="6"/>
  <c r="I44" i="6" s="1"/>
  <c r="E45" i="6"/>
  <c r="L44" i="6"/>
  <c r="T44" i="6" s="1"/>
  <c r="Z44" i="6" s="1"/>
  <c r="U44" i="6" s="1"/>
  <c r="E44" i="6"/>
  <c r="W43" i="6"/>
  <c r="X43" i="6" s="1"/>
  <c r="T43" i="6"/>
  <c r="Z43" i="6" s="1"/>
  <c r="G43" i="6"/>
  <c r="G42" i="6" s="1"/>
  <c r="G41" i="6" s="1"/>
  <c r="T42" i="6"/>
  <c r="M42" i="6"/>
  <c r="W42" i="6" s="1"/>
  <c r="K42" i="6"/>
  <c r="K41" i="6" s="1"/>
  <c r="J42" i="6"/>
  <c r="I42" i="6"/>
  <c r="H42" i="6"/>
  <c r="E42" i="6"/>
  <c r="L41" i="6"/>
  <c r="T41" i="6" s="1"/>
  <c r="Z41" i="6" s="1"/>
  <c r="J41" i="6"/>
  <c r="E41" i="6"/>
  <c r="W40" i="6"/>
  <c r="T40" i="6"/>
  <c r="Z40" i="6" s="1"/>
  <c r="W39" i="6"/>
  <c r="AA39" i="6" s="1"/>
  <c r="T39" i="6"/>
  <c r="U39" i="6" s="1"/>
  <c r="M38" i="6"/>
  <c r="M37" i="6" s="1"/>
  <c r="W37" i="6" s="1"/>
  <c r="L38" i="6"/>
  <c r="T38" i="6" s="1"/>
  <c r="Z38" i="6" s="1"/>
  <c r="U38" i="6" s="1"/>
  <c r="K38" i="6"/>
  <c r="K37" i="6" s="1"/>
  <c r="I38" i="6"/>
  <c r="I37" i="6" s="1"/>
  <c r="G38" i="6"/>
  <c r="G37" i="6" s="1"/>
  <c r="T37" i="6"/>
  <c r="Z37" i="6" s="1"/>
  <c r="U37" i="6" s="1"/>
  <c r="AA36" i="6"/>
  <c r="Z36" i="6"/>
  <c r="W35" i="6"/>
  <c r="X35" i="6" s="1"/>
  <c r="T35" i="6"/>
  <c r="Z35" i="6" s="1"/>
  <c r="W34" i="6"/>
  <c r="AA34" i="6" s="1"/>
  <c r="T34" i="6"/>
  <c r="U34" i="6" s="1"/>
  <c r="T33" i="6"/>
  <c r="Z33" i="6" s="1"/>
  <c r="M33" i="6"/>
  <c r="W33" i="6" s="1"/>
  <c r="K33" i="6"/>
  <c r="I33" i="6"/>
  <c r="G33" i="6"/>
  <c r="W32" i="6"/>
  <c r="AA32" i="6" s="1"/>
  <c r="T32" i="6"/>
  <c r="U32" i="6" s="1"/>
  <c r="W31" i="6"/>
  <c r="X31" i="6" s="1"/>
  <c r="T31" i="6"/>
  <c r="Z31" i="6" s="1"/>
  <c r="W30" i="6"/>
  <c r="AA30" i="6" s="1"/>
  <c r="T30" i="6"/>
  <c r="U30" i="6" s="1"/>
  <c r="T29" i="6"/>
  <c r="Z29" i="6" s="1"/>
  <c r="M29" i="6"/>
  <c r="W29" i="6" s="1"/>
  <c r="K29" i="6"/>
  <c r="I29" i="6"/>
  <c r="G29" i="6"/>
  <c r="AA28" i="6"/>
  <c r="Z28" i="6"/>
  <c r="W27" i="6"/>
  <c r="X27" i="6" s="1"/>
  <c r="T27" i="6"/>
  <c r="Z27" i="6" s="1"/>
  <c r="I27" i="6"/>
  <c r="I22" i="6" s="1"/>
  <c r="W26" i="6"/>
  <c r="AA26" i="6" s="1"/>
  <c r="T26" i="6"/>
  <c r="U26" i="6" s="1"/>
  <c r="W25" i="6"/>
  <c r="X25" i="6" s="1"/>
  <c r="T25" i="6"/>
  <c r="Z25" i="6" s="1"/>
  <c r="W24" i="6"/>
  <c r="AA24" i="6" s="1"/>
  <c r="T24" i="6"/>
  <c r="U24" i="6" s="1"/>
  <c r="W23" i="6"/>
  <c r="X23" i="6" s="1"/>
  <c r="T23" i="6"/>
  <c r="Z23" i="6" s="1"/>
  <c r="T22" i="6"/>
  <c r="U22" i="6" s="1"/>
  <c r="M22" i="6"/>
  <c r="AH22" i="6" s="1"/>
  <c r="K22" i="6"/>
  <c r="G22" i="6"/>
  <c r="AH21" i="6"/>
  <c r="W21" i="6"/>
  <c r="X21" i="6" s="1"/>
  <c r="T21" i="6"/>
  <c r="U21" i="6" s="1"/>
  <c r="AH20" i="6"/>
  <c r="W20" i="6"/>
  <c r="AA20" i="6" s="1"/>
  <c r="T20" i="6"/>
  <c r="U20" i="6" s="1"/>
  <c r="AH19" i="6"/>
  <c r="W19" i="6"/>
  <c r="X19" i="6" s="1"/>
  <c r="T19" i="6"/>
  <c r="Z19" i="6" s="1"/>
  <c r="AH18" i="6"/>
  <c r="Z18" i="6"/>
  <c r="W18" i="6"/>
  <c r="X18" i="6" s="1"/>
  <c r="U18" i="6"/>
  <c r="M17" i="6"/>
  <c r="L17" i="6"/>
  <c r="T17" i="6" s="1"/>
  <c r="Z17" i="6" s="1"/>
  <c r="K17" i="6"/>
  <c r="J17" i="6"/>
  <c r="I17" i="6"/>
  <c r="G17" i="6"/>
  <c r="W16" i="6"/>
  <c r="X16" i="6" s="1"/>
  <c r="T16" i="6"/>
  <c r="U16" i="6" s="1"/>
  <c r="W15" i="6"/>
  <c r="X15" i="6" s="1"/>
  <c r="T15" i="6"/>
  <c r="Z15" i="6" s="1"/>
  <c r="M14" i="6"/>
  <c r="W14" i="6" s="1"/>
  <c r="L14" i="6"/>
  <c r="T14" i="6" s="1"/>
  <c r="U14" i="6" s="1"/>
  <c r="K14" i="6"/>
  <c r="I14" i="6"/>
  <c r="G14" i="6"/>
  <c r="T13" i="6"/>
  <c r="U13" i="6" s="1"/>
  <c r="G53" i="6" l="1"/>
  <c r="G52" i="6" s="1"/>
  <c r="AA45" i="6"/>
  <c r="X29" i="6"/>
  <c r="X33" i="6"/>
  <c r="W38" i="6"/>
  <c r="X38" i="6" s="1"/>
  <c r="U41" i="6"/>
  <c r="X53" i="6"/>
  <c r="X42" i="6"/>
  <c r="M44" i="6"/>
  <c r="W44" i="6" s="1"/>
  <c r="AA44" i="6" s="1"/>
  <c r="AA37" i="6"/>
  <c r="X24" i="6"/>
  <c r="Z42" i="6"/>
  <c r="U42" i="6" s="1"/>
  <c r="G13" i="6"/>
  <c r="X39" i="6"/>
  <c r="U23" i="6"/>
  <c r="W22" i="6"/>
  <c r="X22" i="6" s="1"/>
  <c r="U19" i="6"/>
  <c r="M13" i="6"/>
  <c r="W13" i="6" s="1"/>
  <c r="K13" i="6"/>
  <c r="Z14" i="6"/>
  <c r="AA18" i="6"/>
  <c r="AA21" i="6"/>
  <c r="X26" i="6"/>
  <c r="U27" i="6"/>
  <c r="X30" i="6"/>
  <c r="X49" i="6"/>
  <c r="M52" i="6"/>
  <c r="W52" i="6" s="1"/>
  <c r="X52" i="6" s="1"/>
  <c r="AA31" i="6"/>
  <c r="Z16" i="6"/>
  <c r="X37" i="6"/>
  <c r="U33" i="6"/>
  <c r="U29" i="6"/>
  <c r="Z22" i="6"/>
  <c r="U55" i="6"/>
  <c r="U56" i="6"/>
  <c r="Z50" i="6"/>
  <c r="U48" i="6"/>
  <c r="U43" i="6"/>
  <c r="U40" i="6"/>
  <c r="Z39" i="6"/>
  <c r="U35" i="6"/>
  <c r="U31" i="6"/>
  <c r="Z26" i="6"/>
  <c r="U25" i="6"/>
  <c r="U15" i="6"/>
  <c r="AA33" i="6"/>
  <c r="AA29" i="6"/>
  <c r="AA55" i="6"/>
  <c r="X54" i="6"/>
  <c r="X50" i="6"/>
  <c r="AA48" i="6"/>
  <c r="X47" i="6"/>
  <c r="AA43" i="6"/>
  <c r="AA35" i="6"/>
  <c r="X34" i="6"/>
  <c r="X32" i="6"/>
  <c r="AA27" i="6"/>
  <c r="AA25" i="6"/>
  <c r="AA16" i="6"/>
  <c r="Z13" i="6"/>
  <c r="X14" i="6"/>
  <c r="AH17" i="6"/>
  <c r="W17" i="6"/>
  <c r="X17" i="6" s="1"/>
  <c r="I41" i="6"/>
  <c r="AA42" i="6"/>
  <c r="AA15" i="6"/>
  <c r="U17" i="6"/>
  <c r="AA19" i="6"/>
  <c r="X20" i="6"/>
  <c r="X40" i="6"/>
  <c r="AA40" i="6"/>
  <c r="X45" i="6"/>
  <c r="AA53" i="6"/>
  <c r="X56" i="6"/>
  <c r="AA56" i="6"/>
  <c r="I13" i="6"/>
  <c r="AA14" i="6"/>
  <c r="Z21" i="6"/>
  <c r="AA23" i="6"/>
  <c r="Z24" i="6"/>
  <c r="Z54" i="6"/>
  <c r="Z20" i="6"/>
  <c r="Z30" i="6"/>
  <c r="Z32" i="6"/>
  <c r="Z34" i="6"/>
  <c r="Z47" i="6"/>
  <c r="Z49" i="6"/>
  <c r="M41" i="6"/>
  <c r="W41" i="6" s="1"/>
  <c r="X41" i="6" s="1"/>
  <c r="I52" i="6"/>
  <c r="AH13" i="6" l="1"/>
  <c r="AA22" i="6"/>
  <c r="AA38" i="6"/>
  <c r="X13" i="6"/>
  <c r="AA52" i="6"/>
  <c r="X44" i="6"/>
  <c r="U57" i="6"/>
  <c r="U58" i="6" s="1"/>
  <c r="AA17" i="6"/>
  <c r="AA13" i="6"/>
  <c r="AA41" i="6"/>
  <c r="X57" i="6" l="1"/>
  <c r="X58" i="6" s="1"/>
  <c r="S14" i="9"/>
  <c r="S13" i="9" s="1"/>
  <c r="AH62" i="9" s="1"/>
  <c r="W15" i="9"/>
  <c r="X15" i="9" s="1"/>
  <c r="W13" i="9" l="1"/>
  <c r="AA15" i="9"/>
  <c r="W14" i="9"/>
  <c r="X14" i="9" l="1"/>
  <c r="AA14" i="9"/>
  <c r="X13" i="9"/>
  <c r="X62" i="9" s="1"/>
  <c r="X63" i="9" s="1"/>
  <c r="AA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W10 PRO</author>
    <author>Windows User</author>
    <author>USER</author>
  </authors>
  <commentList>
    <comment ref="J41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Jumlah BUMDes berkembang/Jumlah seluruh BUMDesx100</t>
        </r>
      </text>
    </comment>
    <comment ref="J44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Jumlah Pemdes yg tertib administrasi desa/Jumlah seluruh desax100</t>
        </r>
      </text>
    </comment>
    <comment ref="J53" authorId="1" shapeId="0" xr:uid="{00000000-0006-0000-0000-000003000000}">
      <text>
        <r>
          <rPr>
            <b/>
            <sz val="12"/>
            <color indexed="81"/>
            <rFont val="Tahoma"/>
            <family val="2"/>
          </rPr>
          <t>Jumlah LKD aktid/jumlah seluruh LKDx100</t>
        </r>
      </text>
    </comment>
    <comment ref="R55" authorId="2" shapeId="0" xr:uid="{00000000-0006-0000-0000-000004000000}">
      <text>
        <r>
          <rPr>
            <b/>
            <sz val="12"/>
            <color indexed="81"/>
            <rFont val="Tahoma"/>
            <family val="2"/>
          </rPr>
          <t>Rencana direalisasikan di bulan Okt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USER</author>
  </authors>
  <commentList>
    <comment ref="J56" authorId="0" shapeId="0" xr:uid="{0C61042D-05A8-4D20-85AA-0094765DB903}">
      <text>
        <r>
          <rPr>
            <b/>
            <sz val="12"/>
            <color indexed="81"/>
            <rFont val="Tahoma"/>
            <family val="2"/>
          </rPr>
          <t>Jumlah LKD aktid/jumlah seluruh LKDx100</t>
        </r>
      </text>
    </comment>
    <comment ref="R60" authorId="1" shapeId="0" xr:uid="{DCE28F24-A9CE-4391-864E-E8FAE7ECA9B1}">
      <text>
        <r>
          <rPr>
            <b/>
            <sz val="12"/>
            <color indexed="81"/>
            <rFont val="Tahoma"/>
            <family val="2"/>
          </rPr>
          <t>Rencana direalisasikan di bulan Okt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USER</author>
  </authors>
  <commentList>
    <comment ref="J56" authorId="0" shapeId="0" xr:uid="{C9C7D69C-8946-4757-B79E-34890A61862C}">
      <text>
        <r>
          <rPr>
            <b/>
            <sz val="12"/>
            <color indexed="81"/>
            <rFont val="Tahoma"/>
            <family val="2"/>
          </rPr>
          <t>Jumlah LKD aktid/jumlah seluruh LKDx100</t>
        </r>
      </text>
    </comment>
    <comment ref="R60" authorId="1" shapeId="0" xr:uid="{111D5BCB-99BE-4E76-8B06-A438662BA38D}">
      <text>
        <r>
          <rPr>
            <b/>
            <sz val="12"/>
            <color indexed="81"/>
            <rFont val="Tahoma"/>
            <family val="2"/>
          </rPr>
          <t>Rencana direalisasikan di bulan Okt</t>
        </r>
      </text>
    </comment>
  </commentList>
</comments>
</file>

<file path=xl/sharedStrings.xml><?xml version="1.0" encoding="utf-8"?>
<sst xmlns="http://schemas.openxmlformats.org/spreadsheetml/2006/main" count="1106" uniqueCount="199">
  <si>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</si>
  <si>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</si>
  <si>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</si>
  <si>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</si>
  <si>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</si>
  <si>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</si>
  <si>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</si>
  <si>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</si>
  <si>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</si>
  <si>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</si>
  <si>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</si>
  <si>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</si>
  <si>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</si>
  <si>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</si>
  <si>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</si>
  <si>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</si>
  <si>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</si>
  <si>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</si>
  <si>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</si>
  <si>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</si>
  <si>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</si>
  <si>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</si>
  <si>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</si>
  <si>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</si>
  <si>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</si>
  <si>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</si>
  <si>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</si>
  <si>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</si>
  <si>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</si>
  <si>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</si>
  <si>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</si>
  <si>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</si>
  <si>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</si>
  <si>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</si>
  <si>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</si>
  <si>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</si>
  <si>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</si>
  <si>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</si>
  <si>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</si>
  <si>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</si>
  <si>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</si>
  <si>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</si>
  <si>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</si>
  <si>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</si>
  <si>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DINAS PEMBERDAYAAN MASYARAKAT DAN DESA</t>
  </si>
  <si>
    <t>Dinas Pemberdayaan Masyarakat dan Desa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</si>
  <si>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</si>
  <si>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</si>
  <si>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</si>
  <si>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</si>
  <si>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Kabupaten Hulu Sungai Selatan</t>
  </si>
  <si>
    <t>Kepala Dinas Pemberdayaan Masyarakat dan Desa</t>
  </si>
  <si>
    <t>SUSILO ADIANTO, S.STP,M.Si</t>
  </si>
  <si>
    <t>NIP. 19831221 200212 1 002</t>
  </si>
  <si>
    <t>Program Penunjang Urusan Pemerintahan Daerah Kabupaten/Kota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</si>
  <si>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</si>
  <si>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</si>
  <si>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</si>
  <si>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</si>
  <si>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</si>
  <si>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Lap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</si>
  <si>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</si>
  <si>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</si>
  <si>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</si>
  <si>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</si>
  <si>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</si>
  <si>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</si>
  <si>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</si>
  <si>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</si>
  <si>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</si>
  <si>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</si>
  <si>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</si>
  <si>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</si>
  <si>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</si>
  <si>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</si>
  <si>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</si>
  <si>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</si>
  <si>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</si>
  <si>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Peningkatan Kerjasama Desa</t>
  </si>
  <si>
    <t>Fasilitasi Kerjasama antar Desa</t>
  </si>
  <si>
    <t>Program Administrasi Pemerintahan Desa</t>
  </si>
  <si>
    <t>Pembinaan dan Pengawasan Penyelenggaraan Administrasi Pemerintahan Desa</t>
  </si>
  <si>
    <t>Fasilitasi Penyusunan Perencanaan Pembangunan Desa</t>
  </si>
  <si>
    <t>Pembinaan Peningkatan Kapasitas Anggota BPD</t>
  </si>
  <si>
    <t>Fasilitasi Evaluasi Perkembangan Desa serta Lomba Desa dan Kelurahan</t>
  </si>
  <si>
    <t xml:space="preserve">Program Pemberdayaan Lembaga Kemasyarakatan, Lembaga Adat dan Masyarakat Hukum Adat </t>
  </si>
  <si>
    <t>Fasilitasi Tim Penggerak PKK dalam Penyelenggaraan Gerakan Pemberdayaan Masyarakat dan Kesejahteraan Keluarga</t>
  </si>
  <si>
    <t>Jumlah dokumen administrasi Keuangan sesuai standar</t>
  </si>
  <si>
    <t>Persentase Badan Usaha Milik Desa (BUMDesa) yang berkembang</t>
  </si>
  <si>
    <t>Fasilitasi Kerjasama Antar Desa dengan Pihak Ketiga dalam Kabupaten / Kota</t>
  </si>
  <si>
    <t>Perencanaan, Pengangnggaran dan Evaluasi Kinerja Perangkat Daerah</t>
  </si>
  <si>
    <t>Jumlah dokumen Perencanaan dan Evaluasi Kinerja yang berkualitas</t>
  </si>
  <si>
    <t>Fasilitasi Pemerintah Desa dalam Pemanfaatan Teknologi Tepat Guna</t>
  </si>
  <si>
    <t>Jumlah Penyediaan Jasa Penunjang Urusan Pemerintahan Daerah Sesuai Kebutuhan</t>
  </si>
  <si>
    <t>Persentase Pelayanan Administrasi Umum Sesuai Kebutuhan</t>
  </si>
  <si>
    <t>Penyediaan Jasa Pemeliharaan, Biaya Pemeliharaan, Pajak dan Perizinan Kendaraan Dinas Operasional atau Lapangan Sesuai Kebutuhan</t>
  </si>
  <si>
    <t>Persentase Pemerintahan Desa Kategori Cepat Berkembang</t>
  </si>
  <si>
    <t>Persentase Penyelenggaraan Pemerintah Desa Yang Tertib dalam Administrasi Desa</t>
  </si>
  <si>
    <t>Persentase Status Desa Maju</t>
  </si>
  <si>
    <t>Persentase Lembaga Kemasyarakatan Desa Yang aktif</t>
  </si>
  <si>
    <t>Meningkatnya tata kelola administrasi perkantoran</t>
  </si>
  <si>
    <t xml:space="preserve">Meningkatnya kinerja  penyelenggaraan Pemerintahan Desa </t>
  </si>
  <si>
    <t>Meningkatnya pemberdayaan lembaga kemasyarakatan desa</t>
  </si>
  <si>
    <t>Tingkat kepuasan pelayanan</t>
  </si>
  <si>
    <t>Meningkatnya Persentase Badan Usaha Milik Desa Kategori Berkembang</t>
  </si>
  <si>
    <t>Peningkatan Kapasitas Kelembagaan Lembaga Kemasyarakatan Desa/Kelurahan (RT, RW, PKK, Posyandu, LPM, dan Karang Taruna) Lembaga Adat Desa/Kelurahan dan Masyarakat Hukum Adat</t>
  </si>
  <si>
    <t>Pemberdayaan Lembaga Kemasyarakatan yang Bergerak di Bidang Pemberdayaan Desa dan Lembaga Adat Tingkat Daerah Kabupaten/Kota Serta Pemberdayaan Masyarakat Hukum Adat yang masyarakat Pelakunya Hukum Adat yang sama Dalam Daerah Kabupaten/Kota</t>
  </si>
  <si>
    <t>Persentase BUMDes Yang Memperoleh Keuntungan/Laba untuk PADes</t>
  </si>
  <si>
    <t>Jumlah Dokumen Bahan Bacaan dan Peraturan Perundang-Undangan yang Disediakan</t>
  </si>
  <si>
    <t>Paket</t>
  </si>
  <si>
    <t>Jumlah Dokumen Hasil Penyusunan Produk Hukum Desa</t>
  </si>
  <si>
    <t>Jumlah Dokumen Hasil Fasilitasi Manajemen Pemerintahan Desa</t>
  </si>
  <si>
    <t>Org</t>
  </si>
  <si>
    <t>Lembaga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</si>
  <si>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</si>
  <si>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</si>
  <si>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</si>
  <si>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</si>
  <si>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Jumlah Dokumen Hasil Evaluasi Perkembangan Desa serta Lomba Desa dan Kelurahan</t>
  </si>
  <si>
    <t>Jumlah Dokumen Kerja Sama Antar Desa dengan Pihak Ketiga dalam Kabupaten/Kota</t>
  </si>
  <si>
    <t>Program Penataan Desa</t>
  </si>
  <si>
    <t>Penyelenggaraan Penataan Desa</t>
  </si>
  <si>
    <t>Fasilitasi Tata Wilayah Desa</t>
  </si>
  <si>
    <t>Fasilitasi Sarana dan Prasarana Desa</t>
  </si>
  <si>
    <t>Fasilitasi Penyusunan Produk Hukum Desa</t>
  </si>
  <si>
    <t xml:space="preserve">Penyelenggaraan Pemilihan, Pengangkatan dan Pemberhentian Kepala Desa </t>
  </si>
  <si>
    <t xml:space="preserve">Fasilitasi Manajemen Pemerintahan Desa </t>
  </si>
  <si>
    <t>Jumlah Laporan Hasil Penyelenggaraan Pemilihan, Pengangkatan dan Pemberhentian Kepala Desa</t>
  </si>
  <si>
    <t>Jumlah Lembaga Kemasyarakatan Desa/Kelurahan (RT, RW, PKK, Posyandu, LPM, dan Karang Taruna), Lembaga Adat Desa/Kelurahan dan Masyarakat Hukum Adat yang Ditingkatkan Kapasitasnya</t>
  </si>
  <si>
    <t>Jumlah Laporan Hasil Fasilitasi Pemerintah Desa dalam Pemanfaatan Teknologi Tepat Guna</t>
  </si>
  <si>
    <t>Jumlah Dokumen Hasil Fasilitasi Tim Penggerak PKK dalam Penyelenggaraan Gerakan Pemberdayaan Masyarakat dan Kesejahteraan Keluarga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</si>
  <si>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</si>
  <si>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</si>
  <si>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</si>
  <si>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</si>
  <si>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</si>
  <si>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</si>
  <si>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</si>
  <si>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</si>
  <si>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</si>
  <si>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</si>
  <si>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</si>
  <si>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</si>
  <si>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</si>
  <si>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</si>
  <si>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</si>
  <si>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Sarana dan Prasarana Gedung Kantor atau Bangunan Lainnya yang Dipelihara/Direhabilitasi</t>
  </si>
  <si>
    <t>Jumlah Gedung Kantor dan Bangunan Lainnya yang  Dipelihara/Direhabilitasi</t>
  </si>
  <si>
    <t>Unit</t>
  </si>
  <si>
    <t>Desa</t>
  </si>
  <si>
    <t>Jumlah Dokumen Hasil Penyusunan Perencanaan Pembangunan Desa</t>
  </si>
  <si>
    <t>Jumlah Anggota BPD yang Mengikuti Pembinaan Peningkatan Kapasitas</t>
  </si>
  <si>
    <t>Meningkatnya pemberdayaan Pemerintahan  desa Berkembang</t>
  </si>
  <si>
    <t>Persentase pemerintahan desa yang tertata dengan baik</t>
  </si>
  <si>
    <t>40,27</t>
  </si>
  <si>
    <t>Persentase desa dengan   Tata Wilayah yang sudah ditetapkan dengan peraturan</t>
  </si>
  <si>
    <t>18,75</t>
  </si>
  <si>
    <t>Jumlah desa yang selesai penetapan batas wilayahnya</t>
  </si>
  <si>
    <t>Pembangunan Kantor Desa Kaliring kecamatan Padang Batung</t>
  </si>
  <si>
    <t>unit</t>
  </si>
  <si>
    <t>Faktor pendorong keberhasilan pencapaian</t>
  </si>
  <si>
    <t xml:space="preserve">Faktor penghambat pencapaian kinerja: </t>
  </si>
  <si>
    <t>Tindak lanjut yang diperlukan dalam triwulan berikutnya</t>
  </si>
  <si>
    <t>Tindak lanjut yang diperlukan dalam Renja Perangkat Daerah Kabupaten berikutnya</t>
  </si>
  <si>
    <t>PERIODE PELAKSANAAN TRIWULAN III TAHUN 2022</t>
  </si>
  <si>
    <t>Kandangan,           Oktober 2022</t>
  </si>
  <si>
    <t>Meningkatnya Kualitas Perencanaan Desa</t>
  </si>
  <si>
    <t xml:space="preserve">Persentase Kesesuaian RKPDes Terhadap RPJMDes  </t>
  </si>
  <si>
    <t>Prosentase Kepala Desa dan Perangkat Desa yang telah mengikuti Bimtek</t>
  </si>
  <si>
    <t xml:space="preserve">Meningkatnya Kapasitas Kepala Desa Dan Perangkat Desa </t>
  </si>
  <si>
    <t>50%</t>
  </si>
  <si>
    <t>Pemerintahan Desa Yang Tertib Dalam Pengelolaan Administrasi dan Keuangan Desa</t>
  </si>
  <si>
    <t>Persentase Penyelenggaraan Pemerintahan Desa Yang tertib dalam  Administrasi Desa serta Tertib Pengelolaan Dana Desa</t>
  </si>
  <si>
    <t xml:space="preserve">Memastikan Masyarakat Desa usia  25 s.d 35 tahun   Mengikuti Pendidikan Formal </t>
  </si>
  <si>
    <t xml:space="preserve">Persentase  Desa  dengan RKP yang Memuat   Kegiatan Kejar Paket B  </t>
  </si>
  <si>
    <t>Meningkatnya Desa Sehat  Sejahtera</t>
  </si>
  <si>
    <t>Persentase Desa Sehat Sejahtera</t>
  </si>
  <si>
    <t>Meningkatnya Desa Yang Layak Air Bersih dan  Sanitasi</t>
  </si>
  <si>
    <t>Prosentase Desa Layak Air Bersih Dan Sanitasi</t>
  </si>
  <si>
    <t xml:space="preserve">Memastikan  Kemudahan  Layanan Kesehatan Bagi Warga Desa </t>
  </si>
  <si>
    <t>Persentase Desa Dengan 5 Pos Layanan Kesehatan</t>
  </si>
  <si>
    <t>Meningkatkan Kader Penggerak Masyarakat  Desa Yang  Berkualitas</t>
  </si>
  <si>
    <t>Persentase Jumlah Kader Pembangunan Manusia, Kader PKK, Kader Posyandu,  dan Petugas Samping Desa  Yang Terlatih.</t>
  </si>
  <si>
    <t>Meningkatkan Kader Penggerak Masyarakat (KPM) Berkualitas</t>
  </si>
  <si>
    <t>Prosentase  Kader Pengurus RW, Pengurus RT, Pengurus LPM dan Petugas PLD yang Terlatih Menyusun Perencanaan Desa</t>
  </si>
  <si>
    <t>Terlaksananya Penyelenggaraan Penataan  Desa</t>
  </si>
  <si>
    <t>Terpenuhinya Dokumen Kesepakatan Batas Desa</t>
  </si>
  <si>
    <t>Persentase desa yang telah melaksanakan kesepakatan batas desa</t>
  </si>
  <si>
    <t>Meningkatnya Kapasitas  Pengurus BUMDes</t>
  </si>
  <si>
    <t>Persentase  Pengurus BUMDes yang  Mengikuti Pelatihan Manajemen Bumdes</t>
  </si>
  <si>
    <t>Meningkatnya  BUMDes yang Berkontribusi Dalam Peningkatan PADes</t>
  </si>
  <si>
    <t>Kandangan,       6 Oktober 2022</t>
  </si>
  <si>
    <t>Faktor pendorong keberhasilan pencapaian : Kebijakan Pemerintah Daerah Sangat Mendukung Pembangunan Desa.</t>
  </si>
  <si>
    <t>Tindak lanjut yang diperlukan dalam triwulan berikutnya : Angaran dikembalikan ke kas daerah</t>
  </si>
  <si>
    <t>Tindak lanjut yang diperlukan dalam Renja Perangkat Daerah Kabupaten berikutnya : Pembangunan Kantor  Desa Kaliring dilaksanakan dengan Belanja Bantuan Langsung ke Desa  melalui Alokasi Dana Desa</t>
  </si>
  <si>
    <t>Faktor penghambat pencapaian kinerja: Pada Sub kegiatan Sarana dan Prasarana Desa yaitu pembangunan kantor desa kaliring di tunda ke tahun 2023 karena terkendala dalam pencataan aset.</t>
  </si>
  <si>
    <t>-</t>
  </si>
  <si>
    <t>PERIODE PELAKSANAAN TRIWULAN IV TAHUN 2022</t>
  </si>
  <si>
    <t>Kandangan,      8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</si>
</sst>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1"/>
      <name val="Tahoma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2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164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left" vertical="top" wrapText="1"/>
    </xf>
    <xf numFmtId="164" fontId="8" fillId="0" borderId="15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2" xfId="0" applyFont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6" fillId="0" borderId="0" xfId="0" applyFont="1"/>
    <xf numFmtId="41" fontId="8" fillId="0" borderId="2" xfId="0" applyNumberFormat="1" applyFont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center" vertical="top" wrapText="1"/>
    </xf>
    <xf numFmtId="41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6" fillId="0" borderId="6" xfId="1" quotePrefix="1" applyNumberFormat="1" applyFont="1" applyFill="1" applyBorder="1" applyAlignment="1">
      <alignment vertical="top"/>
    </xf>
    <xf numFmtId="41" fontId="8" fillId="0" borderId="2" xfId="2" applyFont="1" applyFill="1" applyBorder="1" applyAlignment="1">
      <alignment horizontal="center" vertical="top"/>
    </xf>
    <xf numFmtId="41" fontId="6" fillId="0" borderId="6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horizontal="center" vertical="top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41" fontId="8" fillId="6" borderId="2" xfId="2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 wrapText="1"/>
    </xf>
    <xf numFmtId="164" fontId="8" fillId="6" borderId="2" xfId="1" quotePrefix="1" applyNumberFormat="1" applyFont="1" applyFill="1" applyBorder="1" applyAlignment="1">
      <alignment vertical="top"/>
    </xf>
    <xf numFmtId="0" fontId="6" fillId="6" borderId="2" xfId="0" applyFont="1" applyFill="1" applyBorder="1" applyAlignment="1">
      <alignment horizontal="center" vertical="top" wrapText="1"/>
    </xf>
    <xf numFmtId="164" fontId="6" fillId="6" borderId="2" xfId="1" quotePrefix="1" applyNumberFormat="1" applyFont="1" applyFill="1" applyBorder="1" applyAlignment="1">
      <alignment vertical="top"/>
    </xf>
    <xf numFmtId="2" fontId="6" fillId="6" borderId="2" xfId="0" applyNumberFormat="1" applyFont="1" applyFill="1" applyBorder="1" applyAlignment="1">
      <alignment horizontal="center" vertical="top" wrapText="1"/>
    </xf>
    <xf numFmtId="0" fontId="17" fillId="0" borderId="11" xfId="0" applyFont="1" applyBorder="1"/>
    <xf numFmtId="0" fontId="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vertical="top" wrapText="1"/>
    </xf>
    <xf numFmtId="0" fontId="13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3" fillId="7" borderId="15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164" fontId="8" fillId="0" borderId="0" xfId="0" applyNumberFormat="1" applyFont="1"/>
    <xf numFmtId="0" fontId="6" fillId="6" borderId="2" xfId="0" applyFont="1" applyFill="1" applyBorder="1" applyAlignment="1">
      <alignment horizontal="left" vertical="top" wrapText="1"/>
    </xf>
    <xf numFmtId="9" fontId="6" fillId="6" borderId="2" xfId="0" applyNumberFormat="1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horizontal="left" vertical="top" wrapText="1"/>
    </xf>
    <xf numFmtId="9" fontId="8" fillId="6" borderId="2" xfId="0" applyNumberFormat="1" applyFont="1" applyFill="1" applyBorder="1" applyAlignment="1">
      <alignment horizontal="center" vertical="top" wrapText="1"/>
    </xf>
    <xf numFmtId="9" fontId="6" fillId="6" borderId="2" xfId="0" applyNumberFormat="1" applyFont="1" applyFill="1" applyBorder="1" applyAlignment="1">
      <alignment horizontal="center" vertical="top"/>
    </xf>
    <xf numFmtId="164" fontId="6" fillId="6" borderId="6" xfId="1" quotePrefix="1" applyNumberFormat="1" applyFont="1" applyFill="1" applyBorder="1" applyAlignment="1">
      <alignment vertical="top"/>
    </xf>
    <xf numFmtId="9" fontId="8" fillId="6" borderId="2" xfId="0" applyNumberFormat="1" applyFont="1" applyFill="1" applyBorder="1" applyAlignment="1">
      <alignment horizontal="center" vertical="top"/>
    </xf>
    <xf numFmtId="1" fontId="6" fillId="6" borderId="15" xfId="0" applyNumberFormat="1" applyFont="1" applyFill="1" applyBorder="1" applyAlignment="1">
      <alignment horizontal="center" vertical="top" wrapText="1"/>
    </xf>
    <xf numFmtId="9" fontId="6" fillId="6" borderId="15" xfId="0" applyNumberFormat="1" applyFont="1" applyFill="1" applyBorder="1" applyAlignment="1">
      <alignment horizontal="center" vertical="top"/>
    </xf>
    <xf numFmtId="1" fontId="8" fillId="6" borderId="15" xfId="0" applyNumberFormat="1" applyFont="1" applyFill="1" applyBorder="1" applyAlignment="1">
      <alignment horizontal="center" vertical="top" wrapText="1"/>
    </xf>
    <xf numFmtId="9" fontId="8" fillId="6" borderId="15" xfId="0" applyNumberFormat="1" applyFont="1" applyFill="1" applyBorder="1" applyAlignment="1">
      <alignment horizontal="center" vertical="top"/>
    </xf>
    <xf numFmtId="1" fontId="8" fillId="6" borderId="2" xfId="0" applyNumberFormat="1" applyFont="1" applyFill="1" applyBorder="1" applyAlignment="1">
      <alignment horizontal="center" vertical="top" wrapText="1"/>
    </xf>
    <xf numFmtId="165" fontId="6" fillId="6" borderId="2" xfId="0" applyNumberFormat="1" applyFont="1" applyFill="1" applyBorder="1" applyAlignment="1">
      <alignment horizontal="center" vertical="top"/>
    </xf>
    <xf numFmtId="2" fontId="6" fillId="6" borderId="2" xfId="0" applyNumberFormat="1" applyFont="1" applyFill="1" applyBorder="1" applyAlignment="1">
      <alignment horizontal="center" vertical="top"/>
    </xf>
    <xf numFmtId="0" fontId="8" fillId="6" borderId="2" xfId="0" quotePrefix="1" applyFont="1" applyFill="1" applyBorder="1" applyAlignment="1">
      <alignment horizontal="center" vertical="top" wrapText="1"/>
    </xf>
    <xf numFmtId="164" fontId="8" fillId="6" borderId="2" xfId="1" applyNumberFormat="1" applyFont="1" applyFill="1" applyBorder="1" applyAlignment="1">
      <alignment vertical="top"/>
    </xf>
    <xf numFmtId="1" fontId="6" fillId="6" borderId="2" xfId="0" applyNumberFormat="1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7" fillId="0" borderId="0" xfId="0" applyFont="1"/>
    <xf numFmtId="164" fontId="6" fillId="0" borderId="0" xfId="1" quotePrefix="1" applyNumberFormat="1" applyFont="1" applyFill="1" applyBorder="1" applyAlignment="1">
      <alignment vertical="top"/>
    </xf>
    <xf numFmtId="9" fontId="8" fillId="0" borderId="2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164" fontId="4" fillId="0" borderId="0" xfId="0" applyNumberFormat="1" applyFont="1"/>
    <xf numFmtId="164" fontId="6" fillId="6" borderId="15" xfId="1" quotePrefix="1" applyNumberFormat="1" applyFont="1" applyFill="1" applyBorder="1" applyAlignment="1">
      <alignment vertical="top"/>
    </xf>
    <xf numFmtId="1" fontId="6" fillId="6" borderId="15" xfId="0" quotePrefix="1" applyNumberFormat="1" applyFont="1" applyFill="1" applyBorder="1" applyAlignment="1">
      <alignment horizontal="center" vertical="top"/>
    </xf>
    <xf numFmtId="1" fontId="6" fillId="6" borderId="6" xfId="0" applyNumberFormat="1" applyFont="1" applyFill="1" applyBorder="1" applyAlignment="1">
      <alignment horizontal="center" vertical="top"/>
    </xf>
    <xf numFmtId="2" fontId="6" fillId="6" borderId="6" xfId="0" applyNumberFormat="1" applyFont="1" applyFill="1" applyBorder="1" applyAlignment="1">
      <alignment horizontal="center" vertical="top"/>
    </xf>
    <xf numFmtId="2" fontId="6" fillId="6" borderId="15" xfId="0" applyNumberFormat="1" applyFont="1" applyFill="1" applyBorder="1" applyAlignment="1">
      <alignment horizontal="center" vertical="top"/>
    </xf>
    <xf numFmtId="2" fontId="6" fillId="6" borderId="6" xfId="0" applyNumberFormat="1" applyFont="1" applyFill="1" applyBorder="1" applyAlignment="1">
      <alignment horizontal="center" vertical="top" wrapText="1"/>
    </xf>
    <xf numFmtId="2" fontId="6" fillId="6" borderId="15" xfId="0" applyNumberFormat="1" applyFont="1" applyFill="1" applyBorder="1" applyAlignment="1">
      <alignment horizontal="center" vertical="top" wrapText="1"/>
    </xf>
    <xf numFmtId="164" fontId="6" fillId="0" borderId="15" xfId="1" quotePrefix="1" applyNumberFormat="1" applyFont="1" applyFill="1" applyBorder="1" applyAlignment="1">
      <alignment vertical="top"/>
    </xf>
    <xf numFmtId="1" fontId="6" fillId="6" borderId="15" xfId="0" applyNumberFormat="1" applyFont="1" applyFill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 wrapText="1"/>
    </xf>
    <xf numFmtId="0" fontId="6" fillId="6" borderId="1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9" fontId="6" fillId="6" borderId="6" xfId="0" applyNumberFormat="1" applyFont="1" applyFill="1" applyBorder="1" applyAlignment="1">
      <alignment horizontal="center" vertical="top" wrapText="1"/>
    </xf>
    <xf numFmtId="9" fontId="6" fillId="6" borderId="15" xfId="0" applyNumberFormat="1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9" fontId="6" fillId="6" borderId="11" xfId="0" applyNumberFormat="1" applyFont="1" applyFill="1" applyBorder="1" applyAlignment="1">
      <alignment horizontal="center" vertical="top" wrapText="1"/>
    </xf>
    <xf numFmtId="164" fontId="6" fillId="6" borderId="11" xfId="1" quotePrefix="1" applyNumberFormat="1" applyFont="1" applyFill="1" applyBorder="1" applyAlignment="1">
      <alignment vertical="top"/>
    </xf>
    <xf numFmtId="2" fontId="6" fillId="6" borderId="11" xfId="0" applyNumberFormat="1" applyFont="1" applyFill="1" applyBorder="1" applyAlignment="1">
      <alignment horizontal="center" vertical="top"/>
    </xf>
    <xf numFmtId="2" fontId="6" fillId="6" borderId="11" xfId="0" applyNumberFormat="1" applyFont="1" applyFill="1" applyBorder="1" applyAlignment="1">
      <alignment horizontal="center" vertical="top" wrapText="1"/>
    </xf>
    <xf numFmtId="164" fontId="6" fillId="0" borderId="11" xfId="1" quotePrefix="1" applyNumberFormat="1" applyFont="1" applyFill="1" applyBorder="1" applyAlignment="1">
      <alignment vertical="top"/>
    </xf>
    <xf numFmtId="2" fontId="6" fillId="0" borderId="11" xfId="0" applyNumberFormat="1" applyFont="1" applyBorder="1" applyAlignment="1">
      <alignment horizontal="center" vertical="top" wrapText="1"/>
    </xf>
    <xf numFmtId="9" fontId="6" fillId="6" borderId="6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41" fontId="4" fillId="0" borderId="0" xfId="0" applyNumberFormat="1" applyFont="1"/>
    <xf numFmtId="41" fontId="17" fillId="0" borderId="0" xfId="0" applyNumberFormat="1" applyFont="1"/>
    <xf numFmtId="0" fontId="6" fillId="8" borderId="6" xfId="0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center" vertical="top" wrapText="1"/>
    </xf>
    <xf numFmtId="9" fontId="6" fillId="8" borderId="2" xfId="0" applyNumberFormat="1" applyFont="1" applyFill="1" applyBorder="1" applyAlignment="1">
      <alignment horizontal="center" vertical="top"/>
    </xf>
    <xf numFmtId="164" fontId="6" fillId="8" borderId="6" xfId="1" quotePrefix="1" applyNumberFormat="1" applyFont="1" applyFill="1" applyBorder="1" applyAlignment="1">
      <alignment vertical="top"/>
    </xf>
    <xf numFmtId="1" fontId="6" fillId="8" borderId="2" xfId="0" applyNumberFormat="1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center" vertical="top"/>
    </xf>
    <xf numFmtId="41" fontId="6" fillId="8" borderId="6" xfId="0" applyNumberFormat="1" applyFont="1" applyFill="1" applyBorder="1" applyAlignment="1">
      <alignment vertical="top"/>
    </xf>
    <xf numFmtId="2" fontId="6" fillId="8" borderId="6" xfId="0" applyNumberFormat="1" applyFont="1" applyFill="1" applyBorder="1" applyAlignment="1">
      <alignment horizontal="center" vertical="top"/>
    </xf>
    <xf numFmtId="2" fontId="6" fillId="8" borderId="2" xfId="0" applyNumberFormat="1" applyFont="1" applyFill="1" applyBorder="1" applyAlignment="1">
      <alignment horizontal="center" vertical="top"/>
    </xf>
    <xf numFmtId="0" fontId="6" fillId="8" borderId="11" xfId="0" applyFont="1" applyFill="1" applyBorder="1" applyAlignment="1">
      <alignment horizontal="center" vertical="top" wrapText="1"/>
    </xf>
    <xf numFmtId="0" fontId="4" fillId="8" borderId="0" xfId="0" applyFont="1" applyFill="1"/>
    <xf numFmtId="41" fontId="4" fillId="8" borderId="0" xfId="0" applyNumberFormat="1" applyFont="1" applyFill="1"/>
    <xf numFmtId="164" fontId="8" fillId="8" borderId="0" xfId="1" quotePrefix="1" applyNumberFormat="1" applyFont="1" applyFill="1" applyBorder="1" applyAlignment="1">
      <alignment vertical="top"/>
    </xf>
    <xf numFmtId="0" fontId="6" fillId="8" borderId="6" xfId="0" applyFont="1" applyFill="1" applyBorder="1" applyAlignment="1">
      <alignment horizontal="left" vertical="top" wrapText="1"/>
    </xf>
    <xf numFmtId="0" fontId="6" fillId="8" borderId="15" xfId="0" applyFont="1" applyFill="1" applyBorder="1" applyAlignment="1">
      <alignment horizontal="left" vertical="top" wrapText="1"/>
    </xf>
    <xf numFmtId="164" fontId="6" fillId="8" borderId="2" xfId="1" quotePrefix="1" applyNumberFormat="1" applyFont="1" applyFill="1" applyBorder="1" applyAlignment="1">
      <alignment vertical="top"/>
    </xf>
    <xf numFmtId="2" fontId="6" fillId="8" borderId="2" xfId="0" applyNumberFormat="1" applyFont="1" applyFill="1" applyBorder="1" applyAlignment="1">
      <alignment horizontal="center" vertical="top" wrapText="1"/>
    </xf>
    <xf numFmtId="41" fontId="6" fillId="8" borderId="2" xfId="0" applyNumberFormat="1" applyFont="1" applyFill="1" applyBorder="1" applyAlignment="1">
      <alignment vertical="top"/>
    </xf>
    <xf numFmtId="2" fontId="8" fillId="8" borderId="2" xfId="0" applyNumberFormat="1" applyFont="1" applyFill="1" applyBorder="1" applyAlignment="1">
      <alignment horizontal="center" vertical="top"/>
    </xf>
    <xf numFmtId="0" fontId="4" fillId="8" borderId="11" xfId="0" applyFont="1" applyFill="1" applyBorder="1"/>
    <xf numFmtId="165" fontId="6" fillId="8" borderId="2" xfId="0" applyNumberFormat="1" applyFont="1" applyFill="1" applyBorder="1" applyAlignment="1">
      <alignment horizontal="center" vertical="top"/>
    </xf>
    <xf numFmtId="0" fontId="6" fillId="8" borderId="7" xfId="0" applyFont="1" applyFill="1" applyBorder="1" applyAlignment="1">
      <alignment horizontal="center" vertical="top"/>
    </xf>
    <xf numFmtId="0" fontId="6" fillId="8" borderId="10" xfId="0" applyFont="1" applyFill="1" applyBorder="1" applyAlignment="1">
      <alignment horizontal="left" vertical="top" wrapText="1"/>
    </xf>
    <xf numFmtId="1" fontId="6" fillId="8" borderId="6" xfId="0" applyNumberFormat="1" applyFont="1" applyFill="1" applyBorder="1" applyAlignment="1">
      <alignment horizontal="center" vertical="top"/>
    </xf>
    <xf numFmtId="2" fontId="6" fillId="8" borderId="6" xfId="0" applyNumberFormat="1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/>
    </xf>
    <xf numFmtId="0" fontId="6" fillId="8" borderId="6" xfId="0" applyFont="1" applyFill="1" applyBorder="1" applyAlignment="1">
      <alignment horizontal="center" vertical="top" wrapText="1"/>
    </xf>
    <xf numFmtId="9" fontId="6" fillId="8" borderId="6" xfId="0" applyNumberFormat="1" applyFont="1" applyFill="1" applyBorder="1" applyAlignment="1">
      <alignment horizontal="center" vertical="top"/>
    </xf>
    <xf numFmtId="41" fontId="15" fillId="0" borderId="0" xfId="0" applyNumberFormat="1" applyFont="1"/>
    <xf numFmtId="164" fontId="20" fillId="8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Alignment="1">
      <alignment vertical="top"/>
    </xf>
    <xf numFmtId="3" fontId="0" fillId="0" borderId="2" xfId="0" applyNumberFormat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left" vertical="top" wrapText="1"/>
    </xf>
    <xf numFmtId="9" fontId="6" fillId="8" borderId="2" xfId="0" applyNumberFormat="1" applyFont="1" applyFill="1" applyBorder="1" applyAlignment="1">
      <alignment horizontal="center" vertical="top" wrapText="1"/>
    </xf>
    <xf numFmtId="164" fontId="6" fillId="8" borderId="15" xfId="1" quotePrefix="1" applyNumberFormat="1" applyFont="1" applyFill="1" applyBorder="1" applyAlignment="1">
      <alignment vertical="top"/>
    </xf>
    <xf numFmtId="1" fontId="6" fillId="8" borderId="15" xfId="0" applyNumberFormat="1" applyFont="1" applyFill="1" applyBorder="1" applyAlignment="1">
      <alignment horizontal="center" vertical="top"/>
    </xf>
    <xf numFmtId="2" fontId="6" fillId="8" borderId="15" xfId="0" applyNumberFormat="1" applyFont="1" applyFill="1" applyBorder="1" applyAlignment="1">
      <alignment horizontal="center" vertical="top"/>
    </xf>
    <xf numFmtId="2" fontId="6" fillId="8" borderId="15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64" fontId="6" fillId="0" borderId="6" xfId="1" quotePrefix="1" applyNumberFormat="1" applyFont="1" applyFill="1" applyBorder="1" applyAlignment="1">
      <alignment horizontal="center" vertical="top"/>
    </xf>
    <xf numFmtId="164" fontId="6" fillId="0" borderId="15" xfId="1" quotePrefix="1" applyNumberFormat="1" applyFont="1" applyFill="1" applyBorder="1" applyAlignment="1">
      <alignment horizontal="center" vertical="top"/>
    </xf>
    <xf numFmtId="164" fontId="6" fillId="8" borderId="6" xfId="1" quotePrefix="1" applyNumberFormat="1" applyFont="1" applyFill="1" applyBorder="1" applyAlignment="1">
      <alignment horizontal="center" vertical="top"/>
    </xf>
    <xf numFmtId="164" fontId="6" fillId="8" borderId="15" xfId="1" quotePrefix="1" applyNumberFormat="1" applyFont="1" applyFill="1" applyBorder="1" applyAlignment="1">
      <alignment horizontal="center" vertical="top"/>
    </xf>
    <xf numFmtId="41" fontId="8" fillId="0" borderId="0" xfId="0" applyNumberFormat="1" applyFon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73"/>
  <sheetViews>
    <sheetView showRuler="0" zoomScale="70" zoomScaleNormal="70" zoomScalePageLayoutView="55" workbookViewId="0">
      <selection activeCell="I11" sqref="I11:I1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42578125" style="2" bestFit="1" customWidth="1"/>
    <col min="8" max="8" width="8.5703125" style="2" customWidth="1"/>
    <col min="9" max="9" width="21.42578125" style="2" customWidth="1"/>
    <col min="10" max="10" width="9" style="2" customWidth="1"/>
    <col min="11" max="11" width="19.28515625" style="2" customWidth="1"/>
    <col min="12" max="12" width="9.140625" style="2" customWidth="1"/>
    <col min="13" max="13" width="18.28515625" style="2" customWidth="1"/>
    <col min="14" max="14" width="7.7109375" style="2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0" width="8" style="2" customWidth="1"/>
    <col min="21" max="21" width="10.85546875" style="2" customWidth="1"/>
    <col min="22" max="22" width="5.5703125" style="4" customWidth="1"/>
    <col min="23" max="23" width="18.7109375" style="2" customWidth="1"/>
    <col min="24" max="24" width="8.85546875" style="2" customWidth="1"/>
    <col min="25" max="25" width="5.5703125" style="4" customWidth="1"/>
    <col min="26" max="26" width="8.42578125" style="2" customWidth="1"/>
    <col min="27" max="27" width="18" style="2" customWidth="1"/>
    <col min="28" max="28" width="8" style="2" customWidth="1"/>
    <col min="29" max="29" width="5.5703125" style="4" customWidth="1"/>
    <col min="30" max="30" width="10.28515625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1"/>
    </row>
    <row r="2" spans="1:37" ht="23.25" x14ac:dyDescent="0.35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3"/>
    </row>
    <row r="3" spans="1:37" ht="23.25" x14ac:dyDescent="0.35">
      <c r="A3" s="226" t="s">
        <v>44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3"/>
    </row>
    <row r="4" spans="1:37" ht="23.25" x14ac:dyDescent="0.35">
      <c r="A4" s="227" t="s">
        <v>164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1"/>
    </row>
    <row r="5" spans="1:37" ht="18" x14ac:dyDescent="0.2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</row>
    <row r="6" spans="1:37" ht="18" x14ac:dyDescent="0.25">
      <c r="A6" s="225" t="s">
        <v>44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</row>
    <row r="7" spans="1:37" ht="81" customHeight="1" x14ac:dyDescent="0.2">
      <c r="A7" s="218" t="s">
        <v>3</v>
      </c>
      <c r="B7" s="218" t="s">
        <v>4</v>
      </c>
      <c r="C7" s="219" t="s">
        <v>5</v>
      </c>
      <c r="D7" s="219" t="s">
        <v>6</v>
      </c>
      <c r="E7" s="212" t="s">
        <v>7</v>
      </c>
      <c r="F7" s="213"/>
      <c r="G7" s="220"/>
      <c r="H7" s="212" t="s">
        <v>117</v>
      </c>
      <c r="I7" s="220"/>
      <c r="J7" s="212" t="s">
        <v>114</v>
      </c>
      <c r="K7" s="213"/>
      <c r="L7" s="212" t="s">
        <v>8</v>
      </c>
      <c r="M7" s="213"/>
      <c r="N7" s="213"/>
      <c r="O7" s="213"/>
      <c r="P7" s="213"/>
      <c r="Q7" s="213"/>
      <c r="R7" s="213"/>
      <c r="S7" s="220"/>
      <c r="T7" s="212" t="s">
        <v>46</v>
      </c>
      <c r="U7" s="213"/>
      <c r="V7" s="213"/>
      <c r="W7" s="213"/>
      <c r="X7" s="213"/>
      <c r="Y7" s="220"/>
      <c r="Z7" s="212" t="s">
        <v>115</v>
      </c>
      <c r="AA7" s="220"/>
      <c r="AB7" s="212" t="s">
        <v>116</v>
      </c>
      <c r="AC7" s="213"/>
      <c r="AD7" s="213"/>
      <c r="AE7" s="216" t="s">
        <v>9</v>
      </c>
      <c r="AG7" s="4"/>
      <c r="AH7" s="4"/>
      <c r="AI7" s="4"/>
      <c r="AJ7" s="4"/>
      <c r="AK7" s="4"/>
    </row>
    <row r="8" spans="1:37" ht="18" customHeight="1" x14ac:dyDescent="0.2">
      <c r="A8" s="218"/>
      <c r="B8" s="218"/>
      <c r="C8" s="219"/>
      <c r="D8" s="219"/>
      <c r="E8" s="221"/>
      <c r="F8" s="222"/>
      <c r="G8" s="223"/>
      <c r="H8" s="221"/>
      <c r="I8" s="223"/>
      <c r="J8" s="214"/>
      <c r="K8" s="215"/>
      <c r="L8" s="214"/>
      <c r="M8" s="215"/>
      <c r="N8" s="215"/>
      <c r="O8" s="215"/>
      <c r="P8" s="215"/>
      <c r="Q8" s="215"/>
      <c r="R8" s="215"/>
      <c r="S8" s="224"/>
      <c r="T8" s="214"/>
      <c r="U8" s="215"/>
      <c r="V8" s="215"/>
      <c r="W8" s="215"/>
      <c r="X8" s="215"/>
      <c r="Y8" s="224"/>
      <c r="Z8" s="214"/>
      <c r="AA8" s="224"/>
      <c r="AB8" s="214"/>
      <c r="AC8" s="215"/>
      <c r="AD8" s="215"/>
      <c r="AE8" s="217"/>
    </row>
    <row r="9" spans="1:37" ht="15.75" customHeight="1" x14ac:dyDescent="0.2">
      <c r="A9" s="218"/>
      <c r="B9" s="218"/>
      <c r="C9" s="219"/>
      <c r="D9" s="219"/>
      <c r="E9" s="214"/>
      <c r="F9" s="215"/>
      <c r="G9" s="224"/>
      <c r="H9" s="214"/>
      <c r="I9" s="224"/>
      <c r="J9" s="210">
        <v>2022</v>
      </c>
      <c r="K9" s="211"/>
      <c r="L9" s="205" t="s">
        <v>10</v>
      </c>
      <c r="M9" s="206"/>
      <c r="N9" s="205" t="s">
        <v>11</v>
      </c>
      <c r="O9" s="206"/>
      <c r="P9" s="205" t="s">
        <v>12</v>
      </c>
      <c r="Q9" s="206"/>
      <c r="R9" s="205" t="s">
        <v>13</v>
      </c>
      <c r="S9" s="206"/>
      <c r="T9" s="205">
        <v>2022</v>
      </c>
      <c r="U9" s="207"/>
      <c r="V9" s="207"/>
      <c r="W9" s="207"/>
      <c r="X9" s="207"/>
      <c r="Y9" s="206"/>
      <c r="Z9" s="205">
        <v>2022</v>
      </c>
      <c r="AA9" s="206"/>
      <c r="AB9" s="205">
        <v>2022</v>
      </c>
      <c r="AC9" s="207"/>
      <c r="AD9" s="206"/>
      <c r="AE9" s="5"/>
    </row>
    <row r="10" spans="1:37" ht="15.75" x14ac:dyDescent="0.25">
      <c r="A10" s="193">
        <v>1</v>
      </c>
      <c r="B10" s="193">
        <v>2</v>
      </c>
      <c r="C10" s="193">
        <v>3</v>
      </c>
      <c r="D10" s="193">
        <v>4</v>
      </c>
      <c r="E10" s="195">
        <v>5</v>
      </c>
      <c r="F10" s="209"/>
      <c r="G10" s="196"/>
      <c r="H10" s="195">
        <v>6</v>
      </c>
      <c r="I10" s="196"/>
      <c r="J10" s="200">
        <v>7</v>
      </c>
      <c r="K10" s="201"/>
      <c r="L10" s="200">
        <v>8</v>
      </c>
      <c r="M10" s="201"/>
      <c r="N10" s="200">
        <v>9</v>
      </c>
      <c r="O10" s="201"/>
      <c r="P10" s="200">
        <v>10</v>
      </c>
      <c r="Q10" s="201"/>
      <c r="R10" s="200">
        <v>11</v>
      </c>
      <c r="S10" s="201"/>
      <c r="T10" s="202">
        <v>12</v>
      </c>
      <c r="U10" s="203"/>
      <c r="V10" s="203"/>
      <c r="W10" s="203"/>
      <c r="X10" s="203"/>
      <c r="Y10" s="204"/>
      <c r="Z10" s="202">
        <v>13</v>
      </c>
      <c r="AA10" s="204"/>
      <c r="AB10" s="202">
        <v>14</v>
      </c>
      <c r="AC10" s="203"/>
      <c r="AD10" s="204"/>
      <c r="AE10" s="6">
        <v>15</v>
      </c>
    </row>
    <row r="11" spans="1:37" ht="87" customHeight="1" x14ac:dyDescent="0.2">
      <c r="A11" s="208"/>
      <c r="B11" s="208"/>
      <c r="C11" s="208"/>
      <c r="D11" s="208"/>
      <c r="E11" s="191" t="s">
        <v>14</v>
      </c>
      <c r="F11" s="198"/>
      <c r="G11" s="194" t="s">
        <v>15</v>
      </c>
      <c r="H11" s="191" t="s">
        <v>14</v>
      </c>
      <c r="I11" s="194" t="s">
        <v>15</v>
      </c>
      <c r="J11" s="191" t="s">
        <v>14</v>
      </c>
      <c r="K11" s="193" t="s">
        <v>15</v>
      </c>
      <c r="L11" s="191" t="s">
        <v>14</v>
      </c>
      <c r="M11" s="193" t="s">
        <v>15</v>
      </c>
      <c r="N11" s="191" t="s">
        <v>14</v>
      </c>
      <c r="O11" s="193" t="s">
        <v>15</v>
      </c>
      <c r="P11" s="191" t="s">
        <v>14</v>
      </c>
      <c r="Q11" s="193" t="s">
        <v>15</v>
      </c>
      <c r="R11" s="191" t="s">
        <v>14</v>
      </c>
      <c r="S11" s="193" t="s">
        <v>15</v>
      </c>
      <c r="T11" s="106" t="s">
        <v>16</v>
      </c>
      <c r="U11" s="195" t="s">
        <v>47</v>
      </c>
      <c r="V11" s="196"/>
      <c r="W11" s="7" t="s">
        <v>17</v>
      </c>
      <c r="X11" s="195" t="s">
        <v>48</v>
      </c>
      <c r="Y11" s="196"/>
      <c r="Z11" s="106" t="s">
        <v>18</v>
      </c>
      <c r="AA11" s="7" t="s">
        <v>19</v>
      </c>
      <c r="AB11" s="195" t="s">
        <v>20</v>
      </c>
      <c r="AC11" s="196"/>
      <c r="AD11" s="7" t="s">
        <v>21</v>
      </c>
      <c r="AE11" s="8"/>
    </row>
    <row r="12" spans="1:37" ht="15.75" x14ac:dyDescent="0.2">
      <c r="A12" s="194"/>
      <c r="B12" s="194"/>
      <c r="C12" s="194"/>
      <c r="D12" s="194"/>
      <c r="E12" s="192"/>
      <c r="F12" s="197"/>
      <c r="G12" s="199"/>
      <c r="H12" s="192"/>
      <c r="I12" s="199"/>
      <c r="J12" s="192"/>
      <c r="K12" s="194"/>
      <c r="L12" s="192"/>
      <c r="M12" s="194"/>
      <c r="N12" s="192"/>
      <c r="O12" s="194"/>
      <c r="P12" s="192"/>
      <c r="Q12" s="194"/>
      <c r="R12" s="192"/>
      <c r="S12" s="194"/>
      <c r="T12" s="108" t="s">
        <v>14</v>
      </c>
      <c r="U12" s="192" t="s">
        <v>14</v>
      </c>
      <c r="V12" s="197"/>
      <c r="W12" s="107" t="s">
        <v>15</v>
      </c>
      <c r="X12" s="192" t="s">
        <v>15</v>
      </c>
      <c r="Y12" s="197"/>
      <c r="Z12" s="108" t="s">
        <v>14</v>
      </c>
      <c r="AA12" s="107" t="s">
        <v>15</v>
      </c>
      <c r="AB12" s="192" t="s">
        <v>14</v>
      </c>
      <c r="AC12" s="197"/>
      <c r="AD12" s="107" t="s">
        <v>15</v>
      </c>
      <c r="AE12" s="56"/>
    </row>
    <row r="13" spans="1:37" ht="123.75" customHeight="1" x14ac:dyDescent="0.2">
      <c r="A13" s="36">
        <v>1</v>
      </c>
      <c r="B13" s="13" t="s">
        <v>100</v>
      </c>
      <c r="C13" s="13" t="s">
        <v>54</v>
      </c>
      <c r="D13" s="13" t="s">
        <v>103</v>
      </c>
      <c r="E13" s="67">
        <v>100</v>
      </c>
      <c r="F13" s="91" t="s">
        <v>43</v>
      </c>
      <c r="G13" s="92">
        <f>G14+G17+G22+G29+G33</f>
        <v>15831852200</v>
      </c>
      <c r="H13" s="67">
        <v>100</v>
      </c>
      <c r="I13" s="92">
        <f>I14+I17+I22+I29+I33</f>
        <v>3741409362</v>
      </c>
      <c r="J13" s="67">
        <v>100</v>
      </c>
      <c r="K13" s="50">
        <f>K14+K17+K22+K29+K33</f>
        <v>3795613101</v>
      </c>
      <c r="L13" s="34">
        <v>25</v>
      </c>
      <c r="M13" s="50">
        <f>M14+M17+M22+M29+M33</f>
        <v>765591477</v>
      </c>
      <c r="N13" s="34">
        <v>25</v>
      </c>
      <c r="O13" s="50">
        <f>O14+O17+O22+O29+O33</f>
        <v>1090307377</v>
      </c>
      <c r="P13" s="34">
        <v>25</v>
      </c>
      <c r="Q13" s="50">
        <f>Q14+Q17+Q22+Q29+Q33</f>
        <v>0</v>
      </c>
      <c r="R13" s="34"/>
      <c r="S13" s="50"/>
      <c r="T13" s="42">
        <f t="shared" ref="T13:T27" si="0">SUM(L13,N13,P13,R13)</f>
        <v>75</v>
      </c>
      <c r="U13" s="42">
        <f t="shared" ref="U13:U27" si="1">T13/J13*100</f>
        <v>75</v>
      </c>
      <c r="V13" s="40" t="s">
        <v>43</v>
      </c>
      <c r="W13" s="52">
        <f t="shared" ref="W13:W27" si="2">SUM(M13,O13,Q13,S13)</f>
        <v>1855898854</v>
      </c>
      <c r="X13" s="53">
        <f t="shared" ref="X13:X27" si="3">W13/K13*100</f>
        <v>48.89589124642449</v>
      </c>
      <c r="Y13" s="36" t="s">
        <v>43</v>
      </c>
      <c r="Z13" s="42">
        <f t="shared" ref="Z13:Z45" si="4">SUM(H13,T13)</f>
        <v>175</v>
      </c>
      <c r="AA13" s="52">
        <f t="shared" ref="AA13:AA45" si="5">SUM(I13,W13)</f>
        <v>5597308216</v>
      </c>
      <c r="AB13" s="43"/>
      <c r="AC13" s="40" t="s">
        <v>43</v>
      </c>
      <c r="AD13" s="53"/>
      <c r="AE13" s="16" t="s">
        <v>45</v>
      </c>
      <c r="AH13" s="17">
        <f>M13+O13+Q13+S13</f>
        <v>1855898854</v>
      </c>
    </row>
    <row r="14" spans="1:37" s="109" customFormat="1" ht="128.25" customHeight="1" x14ac:dyDescent="0.25">
      <c r="A14" s="36"/>
      <c r="B14" s="37"/>
      <c r="C14" s="12" t="s">
        <v>90</v>
      </c>
      <c r="D14" s="13" t="s">
        <v>91</v>
      </c>
      <c r="E14" s="34">
        <v>45</v>
      </c>
      <c r="F14" s="35" t="s">
        <v>42</v>
      </c>
      <c r="G14" s="31">
        <f>SUM(G15:G16)</f>
        <v>28062500</v>
      </c>
      <c r="H14" s="34">
        <v>15</v>
      </c>
      <c r="I14" s="31">
        <f>SUM(I15:I16)</f>
        <v>8887000</v>
      </c>
      <c r="J14" s="34">
        <v>15</v>
      </c>
      <c r="K14" s="31">
        <f t="shared" ref="K14:Q14" si="6">SUM(K15:K16)</f>
        <v>9281250</v>
      </c>
      <c r="L14" s="34">
        <f t="shared" si="6"/>
        <v>6</v>
      </c>
      <c r="M14" s="31">
        <f t="shared" si="6"/>
        <v>701500</v>
      </c>
      <c r="N14" s="34">
        <f t="shared" si="6"/>
        <v>3</v>
      </c>
      <c r="O14" s="31">
        <f t="shared" si="6"/>
        <v>1308750</v>
      </c>
      <c r="P14" s="34">
        <f t="shared" si="6"/>
        <v>0</v>
      </c>
      <c r="Q14" s="31">
        <f t="shared" si="6"/>
        <v>0</v>
      </c>
      <c r="R14" s="34"/>
      <c r="S14" s="31"/>
      <c r="T14" s="42">
        <f t="shared" si="0"/>
        <v>9</v>
      </c>
      <c r="U14" s="43">
        <f t="shared" si="1"/>
        <v>60</v>
      </c>
      <c r="V14" s="35" t="s">
        <v>43</v>
      </c>
      <c r="W14" s="52">
        <f t="shared" si="2"/>
        <v>2010250</v>
      </c>
      <c r="X14" s="53">
        <f t="shared" si="3"/>
        <v>21.659259259259258</v>
      </c>
      <c r="Y14" s="35" t="s">
        <v>43</v>
      </c>
      <c r="Z14" s="42">
        <f t="shared" si="4"/>
        <v>24</v>
      </c>
      <c r="AA14" s="39">
        <f t="shared" si="5"/>
        <v>10897250</v>
      </c>
      <c r="AB14" s="43"/>
      <c r="AC14" s="35" t="s">
        <v>43</v>
      </c>
      <c r="AD14" s="43"/>
      <c r="AE14" s="70"/>
      <c r="AH14" s="110"/>
    </row>
    <row r="15" spans="1:37" ht="75" x14ac:dyDescent="0.2">
      <c r="A15" s="10"/>
      <c r="B15" s="11"/>
      <c r="C15" s="18" t="s">
        <v>55</v>
      </c>
      <c r="D15" s="20" t="s">
        <v>131</v>
      </c>
      <c r="E15" s="14">
        <v>30</v>
      </c>
      <c r="F15" s="111" t="s">
        <v>42</v>
      </c>
      <c r="G15" s="15">
        <v>23462500</v>
      </c>
      <c r="H15" s="14">
        <v>10</v>
      </c>
      <c r="I15" s="15">
        <v>7395500</v>
      </c>
      <c r="J15" s="14">
        <v>10</v>
      </c>
      <c r="K15" s="15">
        <v>7731250</v>
      </c>
      <c r="L15" s="14">
        <v>5</v>
      </c>
      <c r="M15" s="15">
        <v>701500</v>
      </c>
      <c r="N15" s="14">
        <v>2</v>
      </c>
      <c r="O15" s="15">
        <v>583750</v>
      </c>
      <c r="P15" s="14">
        <v>0</v>
      </c>
      <c r="Q15" s="15">
        <v>0</v>
      </c>
      <c r="R15" s="14"/>
      <c r="S15" s="15"/>
      <c r="T15" s="41">
        <f t="shared" si="0"/>
        <v>7</v>
      </c>
      <c r="U15" s="41">
        <f t="shared" si="1"/>
        <v>70</v>
      </c>
      <c r="V15" s="25" t="s">
        <v>43</v>
      </c>
      <c r="W15" s="30">
        <f t="shared" si="2"/>
        <v>1285250</v>
      </c>
      <c r="X15" s="44">
        <f t="shared" si="3"/>
        <v>16.624090541632981</v>
      </c>
      <c r="Y15" s="25" t="s">
        <v>43</v>
      </c>
      <c r="Z15" s="41">
        <f t="shared" si="4"/>
        <v>17</v>
      </c>
      <c r="AA15" s="30">
        <f t="shared" si="5"/>
        <v>8680750</v>
      </c>
      <c r="AB15" s="44"/>
      <c r="AC15" s="25" t="s">
        <v>43</v>
      </c>
      <c r="AD15" s="44"/>
      <c r="AE15" s="9"/>
      <c r="AH15" s="17"/>
    </row>
    <row r="16" spans="1:37" ht="90" x14ac:dyDescent="0.2">
      <c r="A16" s="10"/>
      <c r="B16" s="11"/>
      <c r="C16" s="18" t="s">
        <v>56</v>
      </c>
      <c r="D16" s="20" t="s">
        <v>132</v>
      </c>
      <c r="E16" s="14">
        <v>15</v>
      </c>
      <c r="F16" s="111" t="s">
        <v>60</v>
      </c>
      <c r="G16" s="19">
        <v>4600000</v>
      </c>
      <c r="H16" s="14">
        <v>5</v>
      </c>
      <c r="I16" s="19">
        <v>1491500</v>
      </c>
      <c r="J16" s="14">
        <v>5</v>
      </c>
      <c r="K16" s="19">
        <v>1550000</v>
      </c>
      <c r="L16" s="14">
        <v>1</v>
      </c>
      <c r="M16" s="19">
        <v>0</v>
      </c>
      <c r="N16" s="14">
        <v>1</v>
      </c>
      <c r="O16" s="19">
        <v>725000</v>
      </c>
      <c r="P16" s="14">
        <v>0</v>
      </c>
      <c r="Q16" s="19">
        <v>0</v>
      </c>
      <c r="R16" s="14"/>
      <c r="S16" s="19"/>
      <c r="T16" s="41">
        <f t="shared" si="0"/>
        <v>2</v>
      </c>
      <c r="U16" s="41">
        <f t="shared" si="1"/>
        <v>40</v>
      </c>
      <c r="V16" s="25" t="s">
        <v>43</v>
      </c>
      <c r="W16" s="30">
        <f t="shared" si="2"/>
        <v>725000</v>
      </c>
      <c r="X16" s="44">
        <f t="shared" si="3"/>
        <v>46.774193548387096</v>
      </c>
      <c r="Y16" s="25" t="s">
        <v>43</v>
      </c>
      <c r="Z16" s="41">
        <f t="shared" si="4"/>
        <v>7</v>
      </c>
      <c r="AA16" s="30">
        <f t="shared" si="5"/>
        <v>2216500</v>
      </c>
      <c r="AB16" s="44"/>
      <c r="AC16" s="25" t="s">
        <v>43</v>
      </c>
      <c r="AD16" s="44"/>
      <c r="AE16" s="9"/>
      <c r="AH16" s="17"/>
    </row>
    <row r="17" spans="1:34" ht="94.5" x14ac:dyDescent="0.2">
      <c r="A17" s="10"/>
      <c r="B17" s="11"/>
      <c r="C17" s="12" t="s">
        <v>57</v>
      </c>
      <c r="D17" s="13" t="s">
        <v>87</v>
      </c>
      <c r="E17" s="94">
        <v>42</v>
      </c>
      <c r="F17" s="95" t="s">
        <v>42</v>
      </c>
      <c r="G17" s="68">
        <f>SUM(G18:G21)</f>
        <v>10314643500</v>
      </c>
      <c r="H17" s="94">
        <v>14</v>
      </c>
      <c r="I17" s="68">
        <f>SUM(I18:I21)</f>
        <v>2174709346</v>
      </c>
      <c r="J17" s="94">
        <f>SUM(J19:J21)</f>
        <v>14</v>
      </c>
      <c r="K17" s="31">
        <f>SUM(K18:K21)</f>
        <v>2221588246</v>
      </c>
      <c r="L17" s="58">
        <f>SUM(L19:L21)</f>
        <v>3</v>
      </c>
      <c r="M17" s="31">
        <f>SUM(M18:M21)</f>
        <v>439200796</v>
      </c>
      <c r="N17" s="58">
        <v>4</v>
      </c>
      <c r="O17" s="31">
        <f>SUM(O18:O21)</f>
        <v>736952740</v>
      </c>
      <c r="P17" s="58">
        <v>4</v>
      </c>
      <c r="Q17" s="31">
        <f>SUM(Q18:Q21)</f>
        <v>0</v>
      </c>
      <c r="R17" s="58"/>
      <c r="S17" s="31"/>
      <c r="T17" s="42">
        <f t="shared" si="0"/>
        <v>11</v>
      </c>
      <c r="U17" s="43">
        <f t="shared" si="1"/>
        <v>78.571428571428569</v>
      </c>
      <c r="V17" s="40" t="s">
        <v>43</v>
      </c>
      <c r="W17" s="39">
        <f t="shared" si="2"/>
        <v>1176153536</v>
      </c>
      <c r="X17" s="43">
        <f t="shared" si="3"/>
        <v>52.942012909803623</v>
      </c>
      <c r="Y17" s="40" t="s">
        <v>43</v>
      </c>
      <c r="Z17" s="42">
        <f t="shared" si="4"/>
        <v>25</v>
      </c>
      <c r="AA17" s="39">
        <f t="shared" si="5"/>
        <v>3350862882</v>
      </c>
      <c r="AB17" s="43"/>
      <c r="AC17" s="40" t="s">
        <v>43</v>
      </c>
      <c r="AD17" s="43"/>
      <c r="AE17" s="21"/>
      <c r="AH17" s="17">
        <f t="shared" ref="AH17:AH22" si="7">M17+O17+Q17+S17</f>
        <v>1176153536</v>
      </c>
    </row>
    <row r="18" spans="1:34" ht="90" x14ac:dyDescent="0.2">
      <c r="A18" s="10"/>
      <c r="B18" s="11"/>
      <c r="C18" s="18" t="s">
        <v>58</v>
      </c>
      <c r="D18" s="18" t="s">
        <v>133</v>
      </c>
      <c r="E18" s="96">
        <v>57</v>
      </c>
      <c r="F18" s="97" t="s">
        <v>112</v>
      </c>
      <c r="G18" s="66">
        <v>10298256000</v>
      </c>
      <c r="H18" s="96">
        <v>19</v>
      </c>
      <c r="I18" s="66">
        <v>2170239346</v>
      </c>
      <c r="J18" s="96">
        <v>19</v>
      </c>
      <c r="K18" s="15">
        <v>2217194496</v>
      </c>
      <c r="L18" s="32">
        <v>19</v>
      </c>
      <c r="M18" s="66">
        <v>438383946</v>
      </c>
      <c r="N18" s="32">
        <v>18</v>
      </c>
      <c r="O18" s="15">
        <v>736582990</v>
      </c>
      <c r="P18" s="32">
        <v>18</v>
      </c>
      <c r="Q18" s="15">
        <v>0</v>
      </c>
      <c r="R18" s="32"/>
      <c r="S18" s="15"/>
      <c r="T18" s="41">
        <f>AVERAGE(L18,N18,P18,R18)</f>
        <v>18.333333333333332</v>
      </c>
      <c r="U18" s="44">
        <f t="shared" si="1"/>
        <v>96.491228070175424</v>
      </c>
      <c r="V18" s="25" t="s">
        <v>43</v>
      </c>
      <c r="W18" s="30">
        <f t="shared" si="2"/>
        <v>1174966936</v>
      </c>
      <c r="X18" s="44">
        <f t="shared" si="3"/>
        <v>52.993408477232663</v>
      </c>
      <c r="Y18" s="25" t="s">
        <v>43</v>
      </c>
      <c r="Z18" s="41">
        <f t="shared" si="4"/>
        <v>37.333333333333329</v>
      </c>
      <c r="AA18" s="30">
        <f t="shared" si="5"/>
        <v>3345206282</v>
      </c>
      <c r="AB18" s="44"/>
      <c r="AC18" s="25" t="s">
        <v>43</v>
      </c>
      <c r="AD18" s="44"/>
      <c r="AE18" s="9"/>
      <c r="AH18" s="17">
        <f t="shared" si="7"/>
        <v>1174966936</v>
      </c>
    </row>
    <row r="19" spans="1:34" ht="195" x14ac:dyDescent="0.2">
      <c r="A19" s="10"/>
      <c r="B19" s="11"/>
      <c r="C19" s="18" t="s">
        <v>59</v>
      </c>
      <c r="D19" s="20" t="s">
        <v>134</v>
      </c>
      <c r="E19" s="96">
        <v>3</v>
      </c>
      <c r="F19" s="97" t="s">
        <v>60</v>
      </c>
      <c r="G19" s="66">
        <v>6562500</v>
      </c>
      <c r="H19" s="96">
        <v>1</v>
      </c>
      <c r="I19" s="66">
        <v>1812500</v>
      </c>
      <c r="J19" s="96">
        <v>1</v>
      </c>
      <c r="K19" s="15">
        <v>2281250</v>
      </c>
      <c r="L19" s="32">
        <v>0</v>
      </c>
      <c r="M19" s="66">
        <v>816850</v>
      </c>
      <c r="N19" s="32">
        <v>0</v>
      </c>
      <c r="O19" s="15">
        <v>0</v>
      </c>
      <c r="P19" s="32">
        <v>0</v>
      </c>
      <c r="Q19" s="15">
        <v>0</v>
      </c>
      <c r="R19" s="32"/>
      <c r="S19" s="15"/>
      <c r="T19" s="41">
        <f t="shared" si="0"/>
        <v>0</v>
      </c>
      <c r="U19" s="41">
        <f t="shared" si="1"/>
        <v>0</v>
      </c>
      <c r="V19" s="25" t="s">
        <v>43</v>
      </c>
      <c r="W19" s="30">
        <f t="shared" si="2"/>
        <v>816850</v>
      </c>
      <c r="X19" s="44">
        <f t="shared" si="3"/>
        <v>35.807123287671232</v>
      </c>
      <c r="Y19" s="25" t="s">
        <v>43</v>
      </c>
      <c r="Z19" s="41">
        <f t="shared" si="4"/>
        <v>1</v>
      </c>
      <c r="AA19" s="30">
        <f t="shared" si="5"/>
        <v>2629350</v>
      </c>
      <c r="AB19" s="44"/>
      <c r="AC19" s="25" t="s">
        <v>43</v>
      </c>
      <c r="AD19" s="44"/>
      <c r="AE19" s="9"/>
      <c r="AH19" s="17">
        <f t="shared" si="7"/>
        <v>816850</v>
      </c>
    </row>
    <row r="20" spans="1:34" ht="210" x14ac:dyDescent="0.2">
      <c r="A20" s="10"/>
      <c r="B20" s="11"/>
      <c r="C20" s="18" t="s">
        <v>61</v>
      </c>
      <c r="D20" s="20" t="s">
        <v>135</v>
      </c>
      <c r="E20" s="96">
        <v>36</v>
      </c>
      <c r="F20" s="97" t="s">
        <v>60</v>
      </c>
      <c r="G20" s="66">
        <v>5025000</v>
      </c>
      <c r="H20" s="96">
        <v>12</v>
      </c>
      <c r="I20" s="66">
        <v>1207500</v>
      </c>
      <c r="J20" s="96">
        <v>12</v>
      </c>
      <c r="K20" s="15">
        <v>1762500</v>
      </c>
      <c r="L20" s="32">
        <v>3</v>
      </c>
      <c r="M20" s="15">
        <v>0</v>
      </c>
      <c r="N20" s="32">
        <v>3</v>
      </c>
      <c r="O20" s="15">
        <v>369750</v>
      </c>
      <c r="P20" s="32">
        <v>3</v>
      </c>
      <c r="Q20" s="15">
        <v>0</v>
      </c>
      <c r="R20" s="32"/>
      <c r="S20" s="15"/>
      <c r="T20" s="41">
        <f t="shared" si="0"/>
        <v>9</v>
      </c>
      <c r="U20" s="41">
        <f t="shared" si="1"/>
        <v>75</v>
      </c>
      <c r="V20" s="25" t="s">
        <v>43</v>
      </c>
      <c r="W20" s="30">
        <f t="shared" si="2"/>
        <v>369750</v>
      </c>
      <c r="X20" s="44">
        <f t="shared" si="3"/>
        <v>20.978723404255319</v>
      </c>
      <c r="Y20" s="25" t="s">
        <v>43</v>
      </c>
      <c r="Z20" s="41">
        <f t="shared" si="4"/>
        <v>21</v>
      </c>
      <c r="AA20" s="30">
        <f t="shared" si="5"/>
        <v>1577250</v>
      </c>
      <c r="AB20" s="44"/>
      <c r="AC20" s="25" t="s">
        <v>43</v>
      </c>
      <c r="AD20" s="44"/>
      <c r="AE20" s="9"/>
      <c r="AH20" s="17">
        <f t="shared" si="7"/>
        <v>369750</v>
      </c>
    </row>
    <row r="21" spans="1:34" ht="103.5" customHeight="1" x14ac:dyDescent="0.2">
      <c r="A21" s="10"/>
      <c r="B21" s="11"/>
      <c r="C21" s="18" t="s">
        <v>62</v>
      </c>
      <c r="D21" s="20" t="s">
        <v>136</v>
      </c>
      <c r="E21" s="96">
        <v>3</v>
      </c>
      <c r="F21" s="97" t="s">
        <v>42</v>
      </c>
      <c r="G21" s="66">
        <v>4800000</v>
      </c>
      <c r="H21" s="96">
        <v>1</v>
      </c>
      <c r="I21" s="66">
        <v>1450000</v>
      </c>
      <c r="J21" s="96">
        <v>1</v>
      </c>
      <c r="K21" s="15">
        <v>350000</v>
      </c>
      <c r="L21" s="32">
        <v>0</v>
      </c>
      <c r="M21" s="15">
        <v>0</v>
      </c>
      <c r="N21" s="32">
        <v>1</v>
      </c>
      <c r="O21" s="15">
        <v>0</v>
      </c>
      <c r="P21" s="32">
        <v>0</v>
      </c>
      <c r="Q21" s="15">
        <v>0</v>
      </c>
      <c r="R21" s="32"/>
      <c r="S21" s="15"/>
      <c r="T21" s="41">
        <f t="shared" si="0"/>
        <v>1</v>
      </c>
      <c r="U21" s="41">
        <f t="shared" si="1"/>
        <v>100</v>
      </c>
      <c r="V21" s="25" t="s">
        <v>43</v>
      </c>
      <c r="W21" s="30">
        <f t="shared" si="2"/>
        <v>0</v>
      </c>
      <c r="X21" s="44">
        <f t="shared" si="3"/>
        <v>0</v>
      </c>
      <c r="Y21" s="25" t="s">
        <v>43</v>
      </c>
      <c r="Z21" s="41">
        <f t="shared" si="4"/>
        <v>2</v>
      </c>
      <c r="AA21" s="30">
        <f t="shared" si="5"/>
        <v>1450000</v>
      </c>
      <c r="AB21" s="44"/>
      <c r="AC21" s="25" t="s">
        <v>43</v>
      </c>
      <c r="AD21" s="44"/>
      <c r="AE21" s="9"/>
      <c r="AH21" s="17">
        <f t="shared" si="7"/>
        <v>0</v>
      </c>
    </row>
    <row r="22" spans="1:34" ht="94.5" x14ac:dyDescent="0.2">
      <c r="A22" s="10"/>
      <c r="B22" s="11"/>
      <c r="C22" s="11" t="s">
        <v>63</v>
      </c>
      <c r="D22" s="75" t="s">
        <v>94</v>
      </c>
      <c r="E22" s="94">
        <v>100</v>
      </c>
      <c r="F22" s="95" t="s">
        <v>43</v>
      </c>
      <c r="G22" s="68">
        <f>SUM(G23:G28)</f>
        <v>1057787800</v>
      </c>
      <c r="H22" s="94">
        <v>100</v>
      </c>
      <c r="I22" s="68">
        <f>SUM(I23:I28)</f>
        <v>254673825</v>
      </c>
      <c r="J22" s="94">
        <v>100</v>
      </c>
      <c r="K22" s="31">
        <f>SUM(K23:K28)</f>
        <v>182164600</v>
      </c>
      <c r="L22" s="58">
        <v>25</v>
      </c>
      <c r="M22" s="31">
        <f>SUM(M23:M28)</f>
        <v>22605106</v>
      </c>
      <c r="N22" s="58">
        <v>25</v>
      </c>
      <c r="O22" s="31">
        <f>SUM(O23:O28)</f>
        <v>71708500</v>
      </c>
      <c r="P22" s="58">
        <v>25</v>
      </c>
      <c r="Q22" s="31">
        <f>SUM(Q23:Q28)</f>
        <v>0</v>
      </c>
      <c r="R22" s="58"/>
      <c r="S22" s="31"/>
      <c r="T22" s="42">
        <f t="shared" si="0"/>
        <v>75</v>
      </c>
      <c r="U22" s="42">
        <f t="shared" si="1"/>
        <v>75</v>
      </c>
      <c r="V22" s="40" t="s">
        <v>43</v>
      </c>
      <c r="W22" s="39">
        <f t="shared" si="2"/>
        <v>94313606</v>
      </c>
      <c r="X22" s="43">
        <f t="shared" si="3"/>
        <v>51.773838605305315</v>
      </c>
      <c r="Y22" s="40" t="s">
        <v>43</v>
      </c>
      <c r="Z22" s="42">
        <f t="shared" si="4"/>
        <v>175</v>
      </c>
      <c r="AA22" s="39">
        <f t="shared" si="5"/>
        <v>348987431</v>
      </c>
      <c r="AB22" s="43"/>
      <c r="AC22" s="40" t="s">
        <v>43</v>
      </c>
      <c r="AD22" s="43"/>
      <c r="AE22" s="9"/>
      <c r="AH22" s="17">
        <f t="shared" si="7"/>
        <v>94313606</v>
      </c>
    </row>
    <row r="23" spans="1:34" ht="120" x14ac:dyDescent="0.2">
      <c r="A23" s="10"/>
      <c r="B23" s="11"/>
      <c r="C23" s="20" t="s">
        <v>64</v>
      </c>
      <c r="D23" s="20" t="s">
        <v>137</v>
      </c>
      <c r="E23" s="96">
        <v>36</v>
      </c>
      <c r="F23" s="97" t="s">
        <v>109</v>
      </c>
      <c r="G23" s="66">
        <v>10794000</v>
      </c>
      <c r="H23" s="96">
        <v>12</v>
      </c>
      <c r="I23" s="66">
        <v>3434000</v>
      </c>
      <c r="J23" s="96">
        <v>12</v>
      </c>
      <c r="K23" s="15">
        <v>1879700</v>
      </c>
      <c r="L23" s="32">
        <v>3</v>
      </c>
      <c r="M23" s="15">
        <v>0</v>
      </c>
      <c r="N23" s="32">
        <v>3</v>
      </c>
      <c r="O23" s="15">
        <v>0</v>
      </c>
      <c r="P23" s="32">
        <v>3</v>
      </c>
      <c r="Q23" s="15">
        <v>0</v>
      </c>
      <c r="R23" s="32"/>
      <c r="S23" s="15"/>
      <c r="T23" s="41">
        <f t="shared" si="0"/>
        <v>9</v>
      </c>
      <c r="U23" s="41">
        <f t="shared" si="1"/>
        <v>75</v>
      </c>
      <c r="V23" s="25" t="s">
        <v>43</v>
      </c>
      <c r="W23" s="30">
        <f t="shared" si="2"/>
        <v>0</v>
      </c>
      <c r="X23" s="44">
        <f t="shared" si="3"/>
        <v>0</v>
      </c>
      <c r="Y23" s="25" t="s">
        <v>43</v>
      </c>
      <c r="Z23" s="41">
        <f t="shared" si="4"/>
        <v>21</v>
      </c>
      <c r="AA23" s="30">
        <f t="shared" si="5"/>
        <v>3434000</v>
      </c>
      <c r="AB23" s="44"/>
      <c r="AC23" s="25" t="s">
        <v>43</v>
      </c>
      <c r="AD23" s="44"/>
      <c r="AE23" s="9"/>
      <c r="AH23" s="17"/>
    </row>
    <row r="24" spans="1:34" ht="78" customHeight="1" x14ac:dyDescent="0.2">
      <c r="A24" s="10"/>
      <c r="B24" s="11"/>
      <c r="C24" s="20" t="s">
        <v>65</v>
      </c>
      <c r="D24" s="20" t="s">
        <v>138</v>
      </c>
      <c r="E24" s="96">
        <v>36</v>
      </c>
      <c r="F24" s="97" t="s">
        <v>109</v>
      </c>
      <c r="G24" s="66">
        <v>249080600</v>
      </c>
      <c r="H24" s="96">
        <v>12</v>
      </c>
      <c r="I24" s="66">
        <v>71917725</v>
      </c>
      <c r="J24" s="96">
        <v>12</v>
      </c>
      <c r="K24" s="15">
        <v>26980600</v>
      </c>
      <c r="L24" s="32">
        <v>3</v>
      </c>
      <c r="M24" s="66">
        <v>200000</v>
      </c>
      <c r="N24" s="32">
        <v>3</v>
      </c>
      <c r="O24" s="15">
        <v>7806000</v>
      </c>
      <c r="P24" s="32">
        <v>3</v>
      </c>
      <c r="Q24" s="15">
        <v>0</v>
      </c>
      <c r="R24" s="32"/>
      <c r="S24" s="15"/>
      <c r="T24" s="41">
        <f t="shared" si="0"/>
        <v>9</v>
      </c>
      <c r="U24" s="41">
        <f t="shared" si="1"/>
        <v>75</v>
      </c>
      <c r="V24" s="25" t="s">
        <v>43</v>
      </c>
      <c r="W24" s="30">
        <f t="shared" si="2"/>
        <v>8006000</v>
      </c>
      <c r="X24" s="44">
        <f t="shared" si="3"/>
        <v>29.673172575850799</v>
      </c>
      <c r="Y24" s="25" t="s">
        <v>43</v>
      </c>
      <c r="Z24" s="41">
        <f t="shared" si="4"/>
        <v>21</v>
      </c>
      <c r="AA24" s="30">
        <f t="shared" si="5"/>
        <v>79923725</v>
      </c>
      <c r="AB24" s="44"/>
      <c r="AC24" s="25" t="s">
        <v>43</v>
      </c>
      <c r="AD24" s="44"/>
      <c r="AE24" s="9"/>
      <c r="AH24" s="17"/>
    </row>
    <row r="25" spans="1:34" ht="75" x14ac:dyDescent="0.2">
      <c r="A25" s="10"/>
      <c r="B25" s="11"/>
      <c r="C25" s="20" t="s">
        <v>66</v>
      </c>
      <c r="D25" s="18" t="s">
        <v>139</v>
      </c>
      <c r="E25" s="96">
        <v>36</v>
      </c>
      <c r="F25" s="97" t="s">
        <v>109</v>
      </c>
      <c r="G25" s="66">
        <v>139178500</v>
      </c>
      <c r="H25" s="96">
        <v>12</v>
      </c>
      <c r="I25" s="66">
        <v>19873000</v>
      </c>
      <c r="J25" s="96">
        <v>12</v>
      </c>
      <c r="K25" s="15">
        <v>46436700</v>
      </c>
      <c r="L25" s="32">
        <v>3</v>
      </c>
      <c r="M25" s="66">
        <v>1912500</v>
      </c>
      <c r="N25" s="32">
        <v>3</v>
      </c>
      <c r="O25" s="15">
        <v>11792000</v>
      </c>
      <c r="P25" s="32">
        <v>3</v>
      </c>
      <c r="Q25" s="15">
        <v>0</v>
      </c>
      <c r="R25" s="32"/>
      <c r="S25" s="15"/>
      <c r="T25" s="41">
        <f t="shared" si="0"/>
        <v>9</v>
      </c>
      <c r="U25" s="41">
        <f t="shared" si="1"/>
        <v>75</v>
      </c>
      <c r="V25" s="25" t="s">
        <v>43</v>
      </c>
      <c r="W25" s="30">
        <f t="shared" si="2"/>
        <v>13704500</v>
      </c>
      <c r="X25" s="44">
        <f t="shared" si="3"/>
        <v>29.51221770711528</v>
      </c>
      <c r="Y25" s="25" t="s">
        <v>43</v>
      </c>
      <c r="Z25" s="41">
        <f t="shared" si="4"/>
        <v>21</v>
      </c>
      <c r="AA25" s="30">
        <f t="shared" si="5"/>
        <v>33577500</v>
      </c>
      <c r="AB25" s="44"/>
      <c r="AC25" s="25" t="s">
        <v>43</v>
      </c>
      <c r="AD25" s="44"/>
      <c r="AE25" s="9"/>
      <c r="AH25" s="17"/>
    </row>
    <row r="26" spans="1:34" ht="90" x14ac:dyDescent="0.2">
      <c r="A26" s="10"/>
      <c r="B26" s="11"/>
      <c r="C26" s="20" t="s">
        <v>67</v>
      </c>
      <c r="D26" s="18" t="s">
        <v>140</v>
      </c>
      <c r="E26" s="96">
        <v>36</v>
      </c>
      <c r="F26" s="97" t="s">
        <v>109</v>
      </c>
      <c r="G26" s="66">
        <v>83454700</v>
      </c>
      <c r="H26" s="96">
        <v>12</v>
      </c>
      <c r="I26" s="66">
        <v>19790000</v>
      </c>
      <c r="J26" s="96">
        <v>12</v>
      </c>
      <c r="K26" s="15">
        <v>26867600</v>
      </c>
      <c r="L26" s="32">
        <v>3</v>
      </c>
      <c r="M26" s="66">
        <v>1500000</v>
      </c>
      <c r="N26" s="32">
        <v>3</v>
      </c>
      <c r="O26" s="15">
        <v>4585000</v>
      </c>
      <c r="P26" s="32">
        <v>3</v>
      </c>
      <c r="Q26" s="15">
        <v>0</v>
      </c>
      <c r="R26" s="32"/>
      <c r="S26" s="15"/>
      <c r="T26" s="41">
        <f t="shared" si="0"/>
        <v>9</v>
      </c>
      <c r="U26" s="41">
        <f t="shared" si="1"/>
        <v>75</v>
      </c>
      <c r="V26" s="25" t="s">
        <v>43</v>
      </c>
      <c r="W26" s="30">
        <f t="shared" si="2"/>
        <v>6085000</v>
      </c>
      <c r="X26" s="44">
        <f t="shared" si="3"/>
        <v>22.648096592177939</v>
      </c>
      <c r="Y26" s="25" t="s">
        <v>43</v>
      </c>
      <c r="Z26" s="41">
        <f t="shared" si="4"/>
        <v>21</v>
      </c>
      <c r="AA26" s="30">
        <f t="shared" si="5"/>
        <v>25875000</v>
      </c>
      <c r="AB26" s="44"/>
      <c r="AC26" s="25" t="s">
        <v>43</v>
      </c>
      <c r="AD26" s="44"/>
      <c r="AE26" s="9"/>
      <c r="AH26" s="17"/>
    </row>
    <row r="27" spans="1:34" ht="120" x14ac:dyDescent="0.2">
      <c r="A27" s="10"/>
      <c r="B27" s="11"/>
      <c r="C27" s="20" t="s">
        <v>69</v>
      </c>
      <c r="D27" s="85" t="s">
        <v>141</v>
      </c>
      <c r="E27" s="96">
        <v>36</v>
      </c>
      <c r="F27" s="97" t="s">
        <v>60</v>
      </c>
      <c r="G27" s="66">
        <v>570000000</v>
      </c>
      <c r="H27" s="96">
        <v>12</v>
      </c>
      <c r="I27" s="66">
        <f>138581600-162500</f>
        <v>138419100</v>
      </c>
      <c r="J27" s="96">
        <v>12</v>
      </c>
      <c r="K27" s="15">
        <v>80000000</v>
      </c>
      <c r="L27" s="32">
        <v>3</v>
      </c>
      <c r="M27" s="66">
        <v>18992606</v>
      </c>
      <c r="N27" s="32">
        <v>3</v>
      </c>
      <c r="O27" s="15">
        <v>47525500</v>
      </c>
      <c r="P27" s="32">
        <v>3</v>
      </c>
      <c r="Q27" s="15">
        <v>0</v>
      </c>
      <c r="R27" s="32"/>
      <c r="S27" s="15"/>
      <c r="T27" s="41">
        <f t="shared" si="0"/>
        <v>9</v>
      </c>
      <c r="U27" s="41">
        <f t="shared" si="1"/>
        <v>75</v>
      </c>
      <c r="V27" s="25" t="s">
        <v>43</v>
      </c>
      <c r="W27" s="30">
        <f t="shared" si="2"/>
        <v>66518106</v>
      </c>
      <c r="X27" s="44">
        <f t="shared" si="3"/>
        <v>83.1476325</v>
      </c>
      <c r="Y27" s="25" t="s">
        <v>43</v>
      </c>
      <c r="Z27" s="41">
        <f t="shared" si="4"/>
        <v>21</v>
      </c>
      <c r="AA27" s="30">
        <f t="shared" si="5"/>
        <v>204937206</v>
      </c>
      <c r="AB27" s="44"/>
      <c r="AC27" s="25" t="s">
        <v>43</v>
      </c>
      <c r="AD27" s="44"/>
      <c r="AE27" s="9"/>
      <c r="AH27" s="17"/>
    </row>
    <row r="28" spans="1:34" ht="138.75" customHeight="1" x14ac:dyDescent="0.2">
      <c r="A28" s="10"/>
      <c r="B28" s="11"/>
      <c r="C28" s="77" t="s">
        <v>68</v>
      </c>
      <c r="D28" s="78" t="s">
        <v>108</v>
      </c>
      <c r="E28" s="96"/>
      <c r="F28" s="97" t="s">
        <v>42</v>
      </c>
      <c r="G28" s="66">
        <v>5280000</v>
      </c>
      <c r="H28" s="96">
        <v>12</v>
      </c>
      <c r="I28" s="66">
        <v>1240000</v>
      </c>
      <c r="J28" s="96"/>
      <c r="K28" s="15"/>
      <c r="L28" s="32"/>
      <c r="M28" s="15"/>
      <c r="N28" s="32"/>
      <c r="O28" s="15"/>
      <c r="P28" s="32"/>
      <c r="Q28" s="15"/>
      <c r="R28" s="32"/>
      <c r="S28" s="15"/>
      <c r="T28" s="41"/>
      <c r="U28" s="41"/>
      <c r="V28" s="25"/>
      <c r="W28" s="30"/>
      <c r="X28" s="44"/>
      <c r="Y28" s="25"/>
      <c r="Z28" s="41">
        <f t="shared" si="4"/>
        <v>12</v>
      </c>
      <c r="AA28" s="30">
        <f t="shared" si="5"/>
        <v>1240000</v>
      </c>
      <c r="AB28" s="44"/>
      <c r="AC28" s="25" t="s">
        <v>43</v>
      </c>
      <c r="AD28" s="44"/>
      <c r="AE28" s="9"/>
      <c r="AH28" s="17"/>
    </row>
    <row r="29" spans="1:34" ht="141.75" x14ac:dyDescent="0.2">
      <c r="A29" s="10"/>
      <c r="B29" s="11"/>
      <c r="C29" s="13" t="s">
        <v>70</v>
      </c>
      <c r="D29" s="73" t="s">
        <v>93</v>
      </c>
      <c r="E29" s="94">
        <v>100</v>
      </c>
      <c r="F29" s="95" t="s">
        <v>43</v>
      </c>
      <c r="G29" s="68">
        <f>SUM(G30:G32)</f>
        <v>4267382000</v>
      </c>
      <c r="H29" s="94">
        <v>100</v>
      </c>
      <c r="I29" s="68">
        <f>SUM(I30:I32)</f>
        <v>1257212240</v>
      </c>
      <c r="J29" s="94">
        <v>100</v>
      </c>
      <c r="K29" s="31">
        <f>SUM(K30:K32)</f>
        <v>1334388805</v>
      </c>
      <c r="L29" s="58">
        <v>25</v>
      </c>
      <c r="M29" s="31">
        <f>SUM(M30:M32)</f>
        <v>303084075</v>
      </c>
      <c r="N29" s="58">
        <v>25</v>
      </c>
      <c r="O29" s="31">
        <f>SUM(O30:O32)</f>
        <v>278209200</v>
      </c>
      <c r="P29" s="58">
        <v>25</v>
      </c>
      <c r="Q29" s="31">
        <f>SUM(Q30:Q32)</f>
        <v>0</v>
      </c>
      <c r="R29" s="58"/>
      <c r="S29" s="31"/>
      <c r="T29" s="42">
        <f t="shared" ref="T29:T35" si="8">SUM(L29,N29,P29,R29)</f>
        <v>75</v>
      </c>
      <c r="U29" s="42">
        <f t="shared" ref="U29:U35" si="9">T29/J29*100</f>
        <v>75</v>
      </c>
      <c r="V29" s="40" t="s">
        <v>43</v>
      </c>
      <c r="W29" s="39">
        <f t="shared" ref="W29:W35" si="10">SUM(M29,O29,Q29,S29)</f>
        <v>581293275</v>
      </c>
      <c r="X29" s="43">
        <f t="shared" ref="X29:X35" si="11">W29/K29*100</f>
        <v>43.562511377634046</v>
      </c>
      <c r="Y29" s="40" t="s">
        <v>43</v>
      </c>
      <c r="Z29" s="42">
        <f t="shared" si="4"/>
        <v>175</v>
      </c>
      <c r="AA29" s="39">
        <f t="shared" si="5"/>
        <v>1838505515</v>
      </c>
      <c r="AB29" s="43"/>
      <c r="AC29" s="40" t="s">
        <v>43</v>
      </c>
      <c r="AD29" s="43"/>
      <c r="AE29" s="9"/>
      <c r="AH29" s="17"/>
    </row>
    <row r="30" spans="1:34" ht="75" x14ac:dyDescent="0.2">
      <c r="A30" s="10"/>
      <c r="B30" s="11"/>
      <c r="C30" s="20" t="s">
        <v>71</v>
      </c>
      <c r="D30" s="20" t="s">
        <v>142</v>
      </c>
      <c r="E30" s="98">
        <v>36</v>
      </c>
      <c r="F30" s="93" t="s">
        <v>60</v>
      </c>
      <c r="G30" s="66">
        <v>800000</v>
      </c>
      <c r="H30" s="98">
        <v>12</v>
      </c>
      <c r="I30" s="66">
        <v>254000</v>
      </c>
      <c r="J30" s="98">
        <v>12</v>
      </c>
      <c r="K30" s="15">
        <v>250000</v>
      </c>
      <c r="L30" s="33">
        <v>3</v>
      </c>
      <c r="M30" s="15">
        <v>0</v>
      </c>
      <c r="N30" s="33">
        <v>3</v>
      </c>
      <c r="O30" s="15">
        <v>0</v>
      </c>
      <c r="P30" s="33">
        <v>3</v>
      </c>
      <c r="Q30" s="15">
        <v>0</v>
      </c>
      <c r="R30" s="33"/>
      <c r="S30" s="15"/>
      <c r="T30" s="41">
        <f t="shared" si="8"/>
        <v>9</v>
      </c>
      <c r="U30" s="41">
        <f t="shared" si="9"/>
        <v>75</v>
      </c>
      <c r="V30" s="25" t="s">
        <v>43</v>
      </c>
      <c r="W30" s="30">
        <f t="shared" si="10"/>
        <v>0</v>
      </c>
      <c r="X30" s="44">
        <f t="shared" si="11"/>
        <v>0</v>
      </c>
      <c r="Y30" s="25" t="s">
        <v>43</v>
      </c>
      <c r="Z30" s="41">
        <f t="shared" si="4"/>
        <v>21</v>
      </c>
      <c r="AA30" s="30">
        <f t="shared" si="5"/>
        <v>254000</v>
      </c>
      <c r="AB30" s="44"/>
      <c r="AC30" s="25" t="s">
        <v>43</v>
      </c>
      <c r="AD30" s="44"/>
      <c r="AE30" s="9"/>
      <c r="AH30" s="17"/>
    </row>
    <row r="31" spans="1:34" ht="135" x14ac:dyDescent="0.2">
      <c r="A31" s="10"/>
      <c r="B31" s="11"/>
      <c r="C31" s="20" t="s">
        <v>72</v>
      </c>
      <c r="D31" s="20" t="s">
        <v>143</v>
      </c>
      <c r="E31" s="98">
        <v>36</v>
      </c>
      <c r="F31" s="93" t="s">
        <v>60</v>
      </c>
      <c r="G31" s="66">
        <v>101400000</v>
      </c>
      <c r="H31" s="98">
        <v>12</v>
      </c>
      <c r="I31" s="66">
        <v>24868750</v>
      </c>
      <c r="J31" s="98">
        <v>12</v>
      </c>
      <c r="K31" s="15">
        <v>25850805</v>
      </c>
      <c r="L31" s="33">
        <v>3</v>
      </c>
      <c r="M31" s="66">
        <v>4352855</v>
      </c>
      <c r="N31" s="33">
        <v>3</v>
      </c>
      <c r="O31" s="15">
        <v>3611080</v>
      </c>
      <c r="P31" s="33">
        <v>3</v>
      </c>
      <c r="Q31" s="15">
        <v>0</v>
      </c>
      <c r="R31" s="33"/>
      <c r="S31" s="15"/>
      <c r="T31" s="41">
        <f t="shared" si="8"/>
        <v>9</v>
      </c>
      <c r="U31" s="41">
        <f t="shared" si="9"/>
        <v>75</v>
      </c>
      <c r="V31" s="25" t="s">
        <v>43</v>
      </c>
      <c r="W31" s="30">
        <f t="shared" si="10"/>
        <v>7963935</v>
      </c>
      <c r="X31" s="44">
        <f t="shared" si="11"/>
        <v>30.80729981135984</v>
      </c>
      <c r="Y31" s="25" t="s">
        <v>43</v>
      </c>
      <c r="Z31" s="41">
        <f t="shared" si="4"/>
        <v>21</v>
      </c>
      <c r="AA31" s="30">
        <f t="shared" si="5"/>
        <v>32832685</v>
      </c>
      <c r="AB31" s="44"/>
      <c r="AC31" s="25" t="s">
        <v>43</v>
      </c>
      <c r="AD31" s="44"/>
      <c r="AE31" s="9"/>
      <c r="AH31" s="17"/>
    </row>
    <row r="32" spans="1:34" ht="120" x14ac:dyDescent="0.2">
      <c r="A32" s="10"/>
      <c r="B32" s="11"/>
      <c r="C32" s="20" t="s">
        <v>73</v>
      </c>
      <c r="D32" s="20" t="s">
        <v>144</v>
      </c>
      <c r="E32" s="98">
        <v>36</v>
      </c>
      <c r="F32" s="93" t="s">
        <v>60</v>
      </c>
      <c r="G32" s="66">
        <v>4165182000</v>
      </c>
      <c r="H32" s="98">
        <v>12</v>
      </c>
      <c r="I32" s="66">
        <v>1232089490</v>
      </c>
      <c r="J32" s="98">
        <v>12</v>
      </c>
      <c r="K32" s="15">
        <v>1308288000</v>
      </c>
      <c r="L32" s="33">
        <v>3</v>
      </c>
      <c r="M32" s="66">
        <v>298731220</v>
      </c>
      <c r="N32" s="33">
        <v>3</v>
      </c>
      <c r="O32" s="15">
        <v>274598120</v>
      </c>
      <c r="P32" s="33">
        <v>3</v>
      </c>
      <c r="Q32" s="15">
        <v>0</v>
      </c>
      <c r="R32" s="33"/>
      <c r="S32" s="15"/>
      <c r="T32" s="41">
        <f t="shared" si="8"/>
        <v>9</v>
      </c>
      <c r="U32" s="41">
        <f t="shared" si="9"/>
        <v>75</v>
      </c>
      <c r="V32" s="25" t="s">
        <v>43</v>
      </c>
      <c r="W32" s="30">
        <f t="shared" si="10"/>
        <v>573329340</v>
      </c>
      <c r="X32" s="44">
        <f t="shared" si="11"/>
        <v>43.822869276489577</v>
      </c>
      <c r="Y32" s="25" t="s">
        <v>43</v>
      </c>
      <c r="Z32" s="41">
        <f t="shared" si="4"/>
        <v>21</v>
      </c>
      <c r="AA32" s="30">
        <f t="shared" si="5"/>
        <v>1805418830</v>
      </c>
      <c r="AB32" s="44"/>
      <c r="AC32" s="25" t="s">
        <v>43</v>
      </c>
      <c r="AD32" s="44"/>
      <c r="AE32" s="9"/>
      <c r="AH32" s="17"/>
    </row>
    <row r="33" spans="1:34" ht="220.5" x14ac:dyDescent="0.2">
      <c r="A33" s="10"/>
      <c r="B33" s="11"/>
      <c r="C33" s="13" t="s">
        <v>74</v>
      </c>
      <c r="D33" s="13" t="s">
        <v>95</v>
      </c>
      <c r="E33" s="94">
        <v>100</v>
      </c>
      <c r="F33" s="95" t="s">
        <v>43</v>
      </c>
      <c r="G33" s="68">
        <f>SUM(G34:G36)</f>
        <v>163976400</v>
      </c>
      <c r="H33" s="94">
        <v>100</v>
      </c>
      <c r="I33" s="68">
        <f>SUM(I34:I36)</f>
        <v>45926951</v>
      </c>
      <c r="J33" s="94">
        <v>100</v>
      </c>
      <c r="K33" s="31">
        <f>SUM(K34:K36)</f>
        <v>48190200</v>
      </c>
      <c r="L33" s="58">
        <v>25</v>
      </c>
      <c r="M33" s="31">
        <f>SUM(M34:M36)</f>
        <v>0</v>
      </c>
      <c r="N33" s="58">
        <v>25</v>
      </c>
      <c r="O33" s="31">
        <f>SUM(O34:O36)</f>
        <v>2128187</v>
      </c>
      <c r="P33" s="58">
        <v>25</v>
      </c>
      <c r="Q33" s="31">
        <f>SUM(Q34:Q36)</f>
        <v>0</v>
      </c>
      <c r="R33" s="58"/>
      <c r="S33" s="31"/>
      <c r="T33" s="42">
        <f t="shared" si="8"/>
        <v>75</v>
      </c>
      <c r="U33" s="42">
        <f t="shared" si="9"/>
        <v>75</v>
      </c>
      <c r="V33" s="40" t="s">
        <v>43</v>
      </c>
      <c r="W33" s="39">
        <f t="shared" si="10"/>
        <v>2128187</v>
      </c>
      <c r="X33" s="43">
        <f t="shared" si="11"/>
        <v>4.4162236305306894</v>
      </c>
      <c r="Y33" s="40" t="s">
        <v>43</v>
      </c>
      <c r="Z33" s="42">
        <f t="shared" si="4"/>
        <v>175</v>
      </c>
      <c r="AA33" s="39">
        <f t="shared" si="5"/>
        <v>48055138</v>
      </c>
      <c r="AB33" s="43"/>
      <c r="AC33" s="40" t="s">
        <v>43</v>
      </c>
      <c r="AD33" s="43"/>
      <c r="AE33" s="9"/>
      <c r="AH33" s="17"/>
    </row>
    <row r="34" spans="1:34" ht="180" x14ac:dyDescent="0.2">
      <c r="A34" s="10"/>
      <c r="B34" s="11"/>
      <c r="C34" s="20" t="s">
        <v>75</v>
      </c>
      <c r="D34" s="72" t="s">
        <v>145</v>
      </c>
      <c r="E34" s="98">
        <v>18</v>
      </c>
      <c r="F34" s="93" t="s">
        <v>148</v>
      </c>
      <c r="G34" s="66">
        <v>120550000</v>
      </c>
      <c r="H34" s="98">
        <v>6</v>
      </c>
      <c r="I34" s="66">
        <v>26287851</v>
      </c>
      <c r="J34" s="33">
        <v>6</v>
      </c>
      <c r="K34" s="15">
        <v>41350000</v>
      </c>
      <c r="L34" s="33">
        <v>0</v>
      </c>
      <c r="M34" s="15">
        <v>0</v>
      </c>
      <c r="N34" s="33">
        <v>0</v>
      </c>
      <c r="O34" s="15">
        <v>2073187</v>
      </c>
      <c r="P34" s="33">
        <v>0</v>
      </c>
      <c r="Q34" s="15">
        <v>0</v>
      </c>
      <c r="R34" s="33"/>
      <c r="S34" s="15"/>
      <c r="T34" s="41">
        <f t="shared" si="8"/>
        <v>0</v>
      </c>
      <c r="U34" s="41">
        <f t="shared" si="9"/>
        <v>0</v>
      </c>
      <c r="V34" s="25" t="s">
        <v>43</v>
      </c>
      <c r="W34" s="30">
        <f t="shared" si="10"/>
        <v>2073187</v>
      </c>
      <c r="X34" s="44">
        <f t="shared" si="11"/>
        <v>5.0137533252720674</v>
      </c>
      <c r="Y34" s="25" t="s">
        <v>43</v>
      </c>
      <c r="Z34" s="41">
        <f t="shared" si="4"/>
        <v>6</v>
      </c>
      <c r="AA34" s="30">
        <f t="shared" si="5"/>
        <v>28361038</v>
      </c>
      <c r="AB34" s="44"/>
      <c r="AC34" s="25" t="s">
        <v>43</v>
      </c>
      <c r="AD34" s="44"/>
      <c r="AE34" s="9"/>
      <c r="AH34" s="17"/>
    </row>
    <row r="35" spans="1:34" ht="135" x14ac:dyDescent="0.2">
      <c r="A35" s="10"/>
      <c r="B35" s="11"/>
      <c r="C35" s="18" t="s">
        <v>77</v>
      </c>
      <c r="D35" s="85" t="s">
        <v>146</v>
      </c>
      <c r="E35" s="98">
        <v>63</v>
      </c>
      <c r="F35" s="93" t="s">
        <v>148</v>
      </c>
      <c r="G35" s="66">
        <v>23782400</v>
      </c>
      <c r="H35" s="98">
        <v>21</v>
      </c>
      <c r="I35" s="66">
        <v>1550000</v>
      </c>
      <c r="J35" s="33">
        <v>21</v>
      </c>
      <c r="K35" s="15">
        <v>6840200</v>
      </c>
      <c r="L35" s="33">
        <v>0</v>
      </c>
      <c r="M35" s="15">
        <v>0</v>
      </c>
      <c r="N35" s="33">
        <v>1</v>
      </c>
      <c r="O35" s="15">
        <v>55000</v>
      </c>
      <c r="P35" s="33">
        <v>0</v>
      </c>
      <c r="Q35" s="15">
        <v>0</v>
      </c>
      <c r="R35" s="33"/>
      <c r="S35" s="15"/>
      <c r="T35" s="41">
        <f t="shared" si="8"/>
        <v>1</v>
      </c>
      <c r="U35" s="41">
        <f t="shared" si="9"/>
        <v>4.7619047619047619</v>
      </c>
      <c r="V35" s="25" t="s">
        <v>43</v>
      </c>
      <c r="W35" s="30">
        <f t="shared" si="10"/>
        <v>55000</v>
      </c>
      <c r="X35" s="44">
        <f t="shared" si="11"/>
        <v>0.80407005643109852</v>
      </c>
      <c r="Y35" s="25" t="s">
        <v>43</v>
      </c>
      <c r="Z35" s="41">
        <f t="shared" si="4"/>
        <v>22</v>
      </c>
      <c r="AA35" s="30">
        <f t="shared" si="5"/>
        <v>1605000</v>
      </c>
      <c r="AB35" s="44"/>
      <c r="AC35" s="25" t="s">
        <v>43</v>
      </c>
      <c r="AD35" s="43"/>
      <c r="AE35" s="9"/>
      <c r="AH35" s="17"/>
    </row>
    <row r="36" spans="1:34" ht="105" x14ac:dyDescent="0.2">
      <c r="A36" s="10"/>
      <c r="B36" s="11"/>
      <c r="C36" s="80" t="s">
        <v>76</v>
      </c>
      <c r="D36" s="81" t="s">
        <v>147</v>
      </c>
      <c r="E36" s="98">
        <v>36</v>
      </c>
      <c r="F36" s="93" t="s">
        <v>148</v>
      </c>
      <c r="G36" s="66">
        <v>19644000</v>
      </c>
      <c r="H36" s="98">
        <v>12</v>
      </c>
      <c r="I36" s="66">
        <v>18089100</v>
      </c>
      <c r="J36" s="33"/>
      <c r="K36" s="15"/>
      <c r="L36" s="33"/>
      <c r="M36" s="15"/>
      <c r="N36" s="33"/>
      <c r="O36" s="15"/>
      <c r="P36" s="33"/>
      <c r="Q36" s="15"/>
      <c r="R36" s="33"/>
      <c r="S36" s="15"/>
      <c r="T36" s="41"/>
      <c r="U36" s="41"/>
      <c r="V36" s="25"/>
      <c r="W36" s="30"/>
      <c r="X36" s="44"/>
      <c r="Y36" s="25"/>
      <c r="Z36" s="41">
        <f t="shared" si="4"/>
        <v>12</v>
      </c>
      <c r="AA36" s="30">
        <f t="shared" si="5"/>
        <v>18089100</v>
      </c>
      <c r="AB36" s="44"/>
      <c r="AC36" s="25" t="s">
        <v>43</v>
      </c>
      <c r="AD36" s="44"/>
      <c r="AE36" s="9"/>
      <c r="AH36" s="17"/>
    </row>
    <row r="37" spans="1:34" ht="78.75" x14ac:dyDescent="0.2">
      <c r="A37" s="36">
        <v>2</v>
      </c>
      <c r="B37" s="37" t="s">
        <v>152</v>
      </c>
      <c r="C37" s="12" t="s">
        <v>120</v>
      </c>
      <c r="D37" s="87" t="s">
        <v>153</v>
      </c>
      <c r="E37" s="67" t="s">
        <v>154</v>
      </c>
      <c r="F37" s="88" t="s">
        <v>43</v>
      </c>
      <c r="G37" s="68">
        <f>G38</f>
        <v>546636050</v>
      </c>
      <c r="H37" s="100">
        <v>0</v>
      </c>
      <c r="I37" s="68">
        <f>I38</f>
        <v>0</v>
      </c>
      <c r="J37" s="69">
        <v>32.64</v>
      </c>
      <c r="K37" s="31">
        <f>K38</f>
        <v>519204950</v>
      </c>
      <c r="L37" s="38">
        <v>0</v>
      </c>
      <c r="M37" s="31">
        <f>M38</f>
        <v>0</v>
      </c>
      <c r="N37" s="38">
        <v>0</v>
      </c>
      <c r="O37" s="31">
        <f>O38</f>
        <v>0</v>
      </c>
      <c r="P37" s="38">
        <v>0</v>
      </c>
      <c r="Q37" s="31">
        <f>Q38</f>
        <v>0</v>
      </c>
      <c r="R37" s="38"/>
      <c r="S37" s="31"/>
      <c r="T37" s="43">
        <f t="shared" ref="T37:T45" si="12">SUM(L37,N37,P37,R37)</f>
        <v>0</v>
      </c>
      <c r="U37" s="43">
        <f>Z37/J37*100</f>
        <v>0</v>
      </c>
      <c r="V37" s="40" t="s">
        <v>43</v>
      </c>
      <c r="W37" s="39">
        <f t="shared" ref="W37:W45" si="13">SUM(M37,O37,Q37,S37)</f>
        <v>0</v>
      </c>
      <c r="X37" s="43">
        <f t="shared" ref="X37:X45" si="14">W37/K37*100</f>
        <v>0</v>
      </c>
      <c r="Y37" s="40" t="s">
        <v>43</v>
      </c>
      <c r="Z37" s="43">
        <f t="shared" si="4"/>
        <v>0</v>
      </c>
      <c r="AA37" s="39">
        <f t="shared" si="5"/>
        <v>0</v>
      </c>
      <c r="AB37" s="43"/>
      <c r="AC37" s="40" t="s">
        <v>43</v>
      </c>
      <c r="AD37" s="44"/>
      <c r="AE37" s="9"/>
      <c r="AH37" s="17"/>
    </row>
    <row r="38" spans="1:34" ht="141.75" x14ac:dyDescent="0.2">
      <c r="A38" s="10"/>
      <c r="B38" s="11"/>
      <c r="C38" s="12" t="s">
        <v>121</v>
      </c>
      <c r="D38" s="87" t="s">
        <v>155</v>
      </c>
      <c r="E38" s="67" t="s">
        <v>156</v>
      </c>
      <c r="F38" s="88" t="s">
        <v>43</v>
      </c>
      <c r="G38" s="68">
        <f>SUM(G39:G40)</f>
        <v>546636050</v>
      </c>
      <c r="H38" s="100">
        <v>0</v>
      </c>
      <c r="I38" s="68">
        <f>SUM(I39:I40)</f>
        <v>0</v>
      </c>
      <c r="J38" s="100">
        <v>11.11</v>
      </c>
      <c r="K38" s="31">
        <f>SUM(K39:K40)</f>
        <v>519204950</v>
      </c>
      <c r="L38" s="38">
        <f>3/144*100</f>
        <v>2.083333333333333</v>
      </c>
      <c r="M38" s="31">
        <f>SUM(M39:M40)</f>
        <v>0</v>
      </c>
      <c r="N38" s="34">
        <v>0</v>
      </c>
      <c r="O38" s="31">
        <f>SUM(O39:O40)</f>
        <v>0</v>
      </c>
      <c r="P38" s="34">
        <v>0</v>
      </c>
      <c r="Q38" s="31">
        <f>SUM(Q39:Q40)</f>
        <v>0</v>
      </c>
      <c r="R38" s="34"/>
      <c r="S38" s="31"/>
      <c r="T38" s="42">
        <f t="shared" si="12"/>
        <v>2.083333333333333</v>
      </c>
      <c r="U38" s="43">
        <f>Z38/J38*100</f>
        <v>18.751875187518749</v>
      </c>
      <c r="V38" s="40" t="s">
        <v>43</v>
      </c>
      <c r="W38" s="39">
        <f t="shared" si="13"/>
        <v>0</v>
      </c>
      <c r="X38" s="43">
        <f t="shared" si="14"/>
        <v>0</v>
      </c>
      <c r="Y38" s="40" t="s">
        <v>43</v>
      </c>
      <c r="Z38" s="43">
        <f t="shared" si="4"/>
        <v>2.083333333333333</v>
      </c>
      <c r="AA38" s="39">
        <f t="shared" si="5"/>
        <v>0</v>
      </c>
      <c r="AB38" s="43"/>
      <c r="AC38" s="40" t="s">
        <v>43</v>
      </c>
      <c r="AD38" s="43"/>
      <c r="AE38" s="9"/>
      <c r="AH38" s="17"/>
    </row>
    <row r="39" spans="1:34" ht="75" x14ac:dyDescent="0.2">
      <c r="A39" s="10"/>
      <c r="B39" s="11"/>
      <c r="C39" s="59" t="s">
        <v>122</v>
      </c>
      <c r="D39" s="89" t="s">
        <v>157</v>
      </c>
      <c r="E39" s="65">
        <v>22</v>
      </c>
      <c r="F39" s="90" t="s">
        <v>149</v>
      </c>
      <c r="G39" s="64">
        <v>44636050</v>
      </c>
      <c r="H39" s="101">
        <v>0</v>
      </c>
      <c r="I39" s="102">
        <v>0</v>
      </c>
      <c r="J39" s="104">
        <v>11</v>
      </c>
      <c r="K39" s="64">
        <v>18104950</v>
      </c>
      <c r="L39" s="65">
        <v>3</v>
      </c>
      <c r="M39" s="66">
        <v>0</v>
      </c>
      <c r="N39" s="65">
        <v>0</v>
      </c>
      <c r="O39" s="15">
        <v>0</v>
      </c>
      <c r="P39" s="65">
        <v>0</v>
      </c>
      <c r="Q39" s="15">
        <v>0</v>
      </c>
      <c r="R39" s="65"/>
      <c r="S39" s="15"/>
      <c r="T39" s="41">
        <f t="shared" si="12"/>
        <v>3</v>
      </c>
      <c r="U39" s="41">
        <f>T39/J39*100</f>
        <v>27.27272727272727</v>
      </c>
      <c r="V39" s="25" t="s">
        <v>43</v>
      </c>
      <c r="W39" s="30">
        <f t="shared" si="13"/>
        <v>0</v>
      </c>
      <c r="X39" s="44">
        <f t="shared" si="14"/>
        <v>0</v>
      </c>
      <c r="Y39" s="25" t="s">
        <v>43</v>
      </c>
      <c r="Z39" s="41">
        <f t="shared" si="4"/>
        <v>3</v>
      </c>
      <c r="AA39" s="30">
        <f t="shared" si="5"/>
        <v>0</v>
      </c>
      <c r="AB39" s="44"/>
      <c r="AC39" s="25" t="s">
        <v>43</v>
      </c>
      <c r="AD39" s="44"/>
      <c r="AE39" s="9"/>
      <c r="AH39" s="17"/>
    </row>
    <row r="40" spans="1:34" ht="90" x14ac:dyDescent="0.2">
      <c r="A40" s="10"/>
      <c r="B40" s="11"/>
      <c r="C40" s="59" t="s">
        <v>123</v>
      </c>
      <c r="D40" s="89" t="s">
        <v>158</v>
      </c>
      <c r="E40" s="65">
        <v>1</v>
      </c>
      <c r="F40" s="90" t="s">
        <v>159</v>
      </c>
      <c r="G40" s="64">
        <v>502000000</v>
      </c>
      <c r="H40" s="101">
        <v>0</v>
      </c>
      <c r="I40" s="102">
        <v>0</v>
      </c>
      <c r="J40" s="104">
        <v>1</v>
      </c>
      <c r="K40" s="64">
        <v>501100000</v>
      </c>
      <c r="L40" s="65">
        <v>0</v>
      </c>
      <c r="M40" s="66">
        <v>0</v>
      </c>
      <c r="N40" s="65">
        <v>0</v>
      </c>
      <c r="O40" s="15">
        <v>0</v>
      </c>
      <c r="P40" s="65">
        <v>0</v>
      </c>
      <c r="Q40" s="15">
        <v>0</v>
      </c>
      <c r="R40" s="65"/>
      <c r="S40" s="15"/>
      <c r="T40" s="41">
        <f t="shared" si="12"/>
        <v>0</v>
      </c>
      <c r="U40" s="41">
        <f>T40/J40*100</f>
        <v>0</v>
      </c>
      <c r="V40" s="25" t="s">
        <v>43</v>
      </c>
      <c r="W40" s="30">
        <f t="shared" si="13"/>
        <v>0</v>
      </c>
      <c r="X40" s="44">
        <f t="shared" si="14"/>
        <v>0</v>
      </c>
      <c r="Y40" s="25" t="s">
        <v>43</v>
      </c>
      <c r="Z40" s="41">
        <f t="shared" si="4"/>
        <v>0</v>
      </c>
      <c r="AA40" s="30">
        <f t="shared" si="5"/>
        <v>0</v>
      </c>
      <c r="AB40" s="44"/>
      <c r="AC40" s="25" t="s">
        <v>43</v>
      </c>
      <c r="AD40" s="44"/>
      <c r="AE40" s="9"/>
      <c r="AH40" s="17"/>
    </row>
    <row r="41" spans="1:34" ht="126" x14ac:dyDescent="0.2">
      <c r="A41" s="36">
        <v>2</v>
      </c>
      <c r="B41" s="37" t="s">
        <v>104</v>
      </c>
      <c r="C41" s="12" t="s">
        <v>78</v>
      </c>
      <c r="D41" s="13" t="s">
        <v>88</v>
      </c>
      <c r="E41" s="67">
        <f>64/144*100</f>
        <v>44.444444444444443</v>
      </c>
      <c r="F41" s="91" t="s">
        <v>43</v>
      </c>
      <c r="G41" s="68">
        <f>G42</f>
        <v>54854872</v>
      </c>
      <c r="H41" s="99">
        <v>29.166666666666668</v>
      </c>
      <c r="I41" s="68">
        <f>I42</f>
        <v>18433900</v>
      </c>
      <c r="J41" s="69">
        <f>53/144*100</f>
        <v>36.805555555555557</v>
      </c>
      <c r="K41" s="31">
        <f>K42</f>
        <v>14375000</v>
      </c>
      <c r="L41" s="38">
        <f>2/144*100</f>
        <v>1.3888888888888888</v>
      </c>
      <c r="M41" s="31">
        <f>M42</f>
        <v>0</v>
      </c>
      <c r="N41" s="38">
        <v>0</v>
      </c>
      <c r="O41" s="31">
        <f>O42</f>
        <v>2500000</v>
      </c>
      <c r="P41" s="38">
        <v>0</v>
      </c>
      <c r="Q41" s="31">
        <f>Q42</f>
        <v>0</v>
      </c>
      <c r="R41" s="38"/>
      <c r="S41" s="31"/>
      <c r="T41" s="43">
        <f t="shared" si="12"/>
        <v>1.3888888888888888</v>
      </c>
      <c r="U41" s="43">
        <f>Z41/J41*100</f>
        <v>83.018867924528308</v>
      </c>
      <c r="V41" s="40" t="s">
        <v>43</v>
      </c>
      <c r="W41" s="39">
        <f t="shared" si="13"/>
        <v>2500000</v>
      </c>
      <c r="X41" s="43">
        <f t="shared" si="14"/>
        <v>17.391304347826086</v>
      </c>
      <c r="Y41" s="40" t="s">
        <v>43</v>
      </c>
      <c r="Z41" s="43">
        <f t="shared" si="4"/>
        <v>30.555555555555557</v>
      </c>
      <c r="AA41" s="39">
        <f t="shared" si="5"/>
        <v>20933900</v>
      </c>
      <c r="AB41" s="43"/>
      <c r="AC41" s="40" t="s">
        <v>43</v>
      </c>
      <c r="AD41" s="44"/>
      <c r="AE41" s="9"/>
      <c r="AH41" s="17"/>
    </row>
    <row r="42" spans="1:34" ht="137.25" customHeight="1" x14ac:dyDescent="0.2">
      <c r="A42" s="10"/>
      <c r="B42" s="11"/>
      <c r="C42" s="12" t="s">
        <v>79</v>
      </c>
      <c r="D42" s="13" t="s">
        <v>107</v>
      </c>
      <c r="E42" s="67">
        <f>17/144*100</f>
        <v>11.805555555555555</v>
      </c>
      <c r="F42" s="88" t="s">
        <v>43</v>
      </c>
      <c r="G42" s="68">
        <f>SUM(G43)</f>
        <v>54854872</v>
      </c>
      <c r="H42" s="100">
        <f>11/144*100</f>
        <v>7.6388888888888893</v>
      </c>
      <c r="I42" s="68">
        <f>SUM(I43)</f>
        <v>18433900</v>
      </c>
      <c r="J42" s="100">
        <f>14/144*100</f>
        <v>9.7222222222222232</v>
      </c>
      <c r="K42" s="31">
        <f>SUM(K43)</f>
        <v>14375000</v>
      </c>
      <c r="L42" s="34">
        <v>0</v>
      </c>
      <c r="M42" s="31">
        <f>SUM(M43)</f>
        <v>0</v>
      </c>
      <c r="N42" s="34">
        <v>3</v>
      </c>
      <c r="O42" s="31">
        <f>SUM(O43)</f>
        <v>2500000</v>
      </c>
      <c r="P42" s="34">
        <v>0</v>
      </c>
      <c r="Q42" s="31">
        <f>SUM(Q43)</f>
        <v>0</v>
      </c>
      <c r="R42" s="34"/>
      <c r="S42" s="31"/>
      <c r="T42" s="42">
        <f t="shared" si="12"/>
        <v>3</v>
      </c>
      <c r="U42" s="43">
        <f>Z42/J42*100</f>
        <v>109.42857142857143</v>
      </c>
      <c r="V42" s="40" t="s">
        <v>43</v>
      </c>
      <c r="W42" s="39">
        <f t="shared" si="13"/>
        <v>2500000</v>
      </c>
      <c r="X42" s="43">
        <f t="shared" si="14"/>
        <v>17.391304347826086</v>
      </c>
      <c r="Y42" s="40" t="s">
        <v>43</v>
      </c>
      <c r="Z42" s="43">
        <f t="shared" si="4"/>
        <v>10.638888888888889</v>
      </c>
      <c r="AA42" s="39">
        <f t="shared" si="5"/>
        <v>20933900</v>
      </c>
      <c r="AB42" s="43"/>
      <c r="AC42" s="40" t="s">
        <v>43</v>
      </c>
      <c r="AD42" s="43"/>
      <c r="AE42" s="9"/>
      <c r="AH42" s="17"/>
    </row>
    <row r="43" spans="1:34" ht="135" x14ac:dyDescent="0.2">
      <c r="A43" s="10"/>
      <c r="B43" s="11"/>
      <c r="C43" s="59" t="s">
        <v>89</v>
      </c>
      <c r="D43" s="60" t="s">
        <v>119</v>
      </c>
      <c r="E43" s="65">
        <v>17</v>
      </c>
      <c r="F43" s="90" t="s">
        <v>42</v>
      </c>
      <c r="G43" s="64">
        <f>20239936+14375000+20239936</f>
        <v>54854872</v>
      </c>
      <c r="H43" s="101">
        <v>3</v>
      </c>
      <c r="I43" s="102">
        <v>18433900</v>
      </c>
      <c r="J43" s="104">
        <v>10</v>
      </c>
      <c r="K43" s="64">
        <v>14375000</v>
      </c>
      <c r="L43" s="65">
        <v>0</v>
      </c>
      <c r="M43" s="66">
        <v>0</v>
      </c>
      <c r="N43" s="65">
        <v>0</v>
      </c>
      <c r="O43" s="15">
        <v>2500000</v>
      </c>
      <c r="P43" s="65">
        <v>0</v>
      </c>
      <c r="Q43" s="15">
        <v>0</v>
      </c>
      <c r="R43" s="65"/>
      <c r="S43" s="15"/>
      <c r="T43" s="41">
        <f t="shared" si="12"/>
        <v>0</v>
      </c>
      <c r="U43" s="41">
        <f>T43/J43*100</f>
        <v>0</v>
      </c>
      <c r="V43" s="25" t="s">
        <v>43</v>
      </c>
      <c r="W43" s="30">
        <f t="shared" si="13"/>
        <v>2500000</v>
      </c>
      <c r="X43" s="44">
        <f t="shared" si="14"/>
        <v>17.391304347826086</v>
      </c>
      <c r="Y43" s="25" t="s">
        <v>43</v>
      </c>
      <c r="Z43" s="41">
        <f t="shared" si="4"/>
        <v>3</v>
      </c>
      <c r="AA43" s="30">
        <f t="shared" si="5"/>
        <v>20933900</v>
      </c>
      <c r="AB43" s="44"/>
      <c r="AC43" s="25" t="s">
        <v>43</v>
      </c>
      <c r="AD43" s="44"/>
      <c r="AE43" s="9"/>
      <c r="AH43" s="17"/>
    </row>
    <row r="44" spans="1:34" ht="117.75" customHeight="1" x14ac:dyDescent="0.2">
      <c r="A44" s="62">
        <v>3</v>
      </c>
      <c r="B44" s="37" t="s">
        <v>101</v>
      </c>
      <c r="C44" s="63" t="s">
        <v>80</v>
      </c>
      <c r="D44" s="13" t="s">
        <v>96</v>
      </c>
      <c r="E44" s="67">
        <f>58/144*100</f>
        <v>40.277777777777779</v>
      </c>
      <c r="F44" s="91" t="s">
        <v>43</v>
      </c>
      <c r="G44" s="68">
        <f>G45</f>
        <v>557485000</v>
      </c>
      <c r="H44" s="103">
        <v>25</v>
      </c>
      <c r="I44" s="68">
        <f>I45</f>
        <v>108790850</v>
      </c>
      <c r="J44" s="100">
        <v>32.64</v>
      </c>
      <c r="K44" s="68">
        <f>K45</f>
        <v>312210000</v>
      </c>
      <c r="L44" s="69">
        <f>2/144*100</f>
        <v>1.3888888888888888</v>
      </c>
      <c r="M44" s="68">
        <f>M45</f>
        <v>27235000</v>
      </c>
      <c r="N44" s="69">
        <f>3/144*100</f>
        <v>2.083333333333333</v>
      </c>
      <c r="O44" s="68">
        <f>O45</f>
        <v>155366700</v>
      </c>
      <c r="P44" s="69">
        <v>0</v>
      </c>
      <c r="Q44" s="68">
        <f>Q45</f>
        <v>0</v>
      </c>
      <c r="R44" s="69"/>
      <c r="S44" s="31"/>
      <c r="T44" s="43">
        <f t="shared" si="12"/>
        <v>3.4722222222222219</v>
      </c>
      <c r="U44" s="42">
        <f>Z44/J44*100</f>
        <v>87.231072984749446</v>
      </c>
      <c r="V44" s="40" t="s">
        <v>43</v>
      </c>
      <c r="W44" s="39">
        <f t="shared" si="13"/>
        <v>182601700</v>
      </c>
      <c r="X44" s="43">
        <f t="shared" si="14"/>
        <v>58.486819768745391</v>
      </c>
      <c r="Y44" s="40" t="s">
        <v>43</v>
      </c>
      <c r="Z44" s="43">
        <f t="shared" si="4"/>
        <v>28.472222222222221</v>
      </c>
      <c r="AA44" s="39">
        <f t="shared" si="5"/>
        <v>291392550</v>
      </c>
      <c r="AB44" s="43"/>
      <c r="AC44" s="40" t="s">
        <v>43</v>
      </c>
      <c r="AD44" s="44"/>
      <c r="AE44" s="9"/>
      <c r="AH44" s="17"/>
    </row>
    <row r="45" spans="1:34" ht="162.75" customHeight="1" x14ac:dyDescent="0.2">
      <c r="A45" s="10"/>
      <c r="B45" s="11"/>
      <c r="C45" s="12" t="s">
        <v>81</v>
      </c>
      <c r="D45" s="13" t="s">
        <v>97</v>
      </c>
      <c r="E45" s="67">
        <f>58/144*100</f>
        <v>40.277777777777779</v>
      </c>
      <c r="F45" s="88" t="s">
        <v>43</v>
      </c>
      <c r="G45" s="68">
        <f>SUM(G46:G51)</f>
        <v>557485000</v>
      </c>
      <c r="H45" s="103">
        <v>25</v>
      </c>
      <c r="I45" s="68">
        <f>SUM(I46:I51)</f>
        <v>108790850</v>
      </c>
      <c r="J45" s="100">
        <v>32.64</v>
      </c>
      <c r="K45" s="31">
        <f>SUM(K46:K51)</f>
        <v>312210000</v>
      </c>
      <c r="L45" s="69">
        <f>2/144*100</f>
        <v>1.3888888888888888</v>
      </c>
      <c r="M45" s="31">
        <f>SUM(M46:M51)</f>
        <v>27235000</v>
      </c>
      <c r="N45" s="69">
        <f>3/144*100</f>
        <v>2.083333333333333</v>
      </c>
      <c r="O45" s="31">
        <f>SUM(O46:O51)</f>
        <v>155366700</v>
      </c>
      <c r="P45" s="69">
        <v>0</v>
      </c>
      <c r="Q45" s="31">
        <f>SUM(Q46:Q51)</f>
        <v>0</v>
      </c>
      <c r="R45" s="38"/>
      <c r="S45" s="31"/>
      <c r="T45" s="43">
        <f t="shared" si="12"/>
        <v>3.4722222222222219</v>
      </c>
      <c r="U45" s="42">
        <f>Z45/J45*100</f>
        <v>87.231072984749446</v>
      </c>
      <c r="V45" s="40" t="s">
        <v>43</v>
      </c>
      <c r="W45" s="39">
        <f t="shared" si="13"/>
        <v>182601700</v>
      </c>
      <c r="X45" s="43">
        <f t="shared" si="14"/>
        <v>58.486819768745391</v>
      </c>
      <c r="Y45" s="40" t="s">
        <v>43</v>
      </c>
      <c r="Z45" s="43">
        <f t="shared" si="4"/>
        <v>28.472222222222221</v>
      </c>
      <c r="AA45" s="39">
        <f t="shared" si="5"/>
        <v>291392550</v>
      </c>
      <c r="AB45" s="43"/>
      <c r="AC45" s="40" t="s">
        <v>43</v>
      </c>
      <c r="AD45" s="43"/>
      <c r="AE45" s="9"/>
      <c r="AH45" s="17"/>
    </row>
    <row r="46" spans="1:34" ht="108" customHeight="1" x14ac:dyDescent="0.2">
      <c r="A46" s="10"/>
      <c r="B46" s="11"/>
      <c r="C46" s="59" t="s">
        <v>124</v>
      </c>
      <c r="D46" s="71" t="s">
        <v>110</v>
      </c>
      <c r="E46" s="65">
        <v>22</v>
      </c>
      <c r="F46" s="90" t="s">
        <v>42</v>
      </c>
      <c r="G46" s="64">
        <v>26600000</v>
      </c>
      <c r="H46" s="65">
        <v>0</v>
      </c>
      <c r="I46" s="102"/>
      <c r="J46" s="65">
        <v>11</v>
      </c>
      <c r="K46" s="51">
        <v>6662500</v>
      </c>
      <c r="L46" s="14">
        <v>2</v>
      </c>
      <c r="M46" s="15"/>
      <c r="N46" s="14">
        <v>3</v>
      </c>
      <c r="O46" s="15">
        <v>1125000</v>
      </c>
      <c r="P46" s="14">
        <v>0</v>
      </c>
      <c r="Q46" s="15">
        <v>0</v>
      </c>
      <c r="R46" s="14"/>
      <c r="S46" s="15"/>
      <c r="T46" s="41">
        <f>SUM(L46,N46,P46,R46)</f>
        <v>5</v>
      </c>
      <c r="U46" s="41">
        <f>T46/J46*100</f>
        <v>45.454545454545453</v>
      </c>
      <c r="V46" s="25" t="s">
        <v>43</v>
      </c>
      <c r="W46" s="30">
        <f>SUM(M46,O46,Q46,S46)</f>
        <v>1125000</v>
      </c>
      <c r="X46" s="44">
        <f>W46/K46*100</f>
        <v>16.885553470919323</v>
      </c>
      <c r="Y46" s="25" t="s">
        <v>43</v>
      </c>
      <c r="Z46" s="74">
        <f>SUM(H46,T46)</f>
        <v>5</v>
      </c>
      <c r="AA46" s="30">
        <f>SUM(I46,W46)</f>
        <v>1125000</v>
      </c>
      <c r="AB46" s="44"/>
      <c r="AC46" s="25" t="s">
        <v>43</v>
      </c>
      <c r="AD46" s="44"/>
      <c r="AE46" s="9"/>
      <c r="AH46" s="17"/>
    </row>
    <row r="47" spans="1:34" ht="105" x14ac:dyDescent="0.2">
      <c r="A47" s="10"/>
      <c r="B47" s="11"/>
      <c r="C47" s="59" t="s">
        <v>82</v>
      </c>
      <c r="D47" s="60" t="s">
        <v>150</v>
      </c>
      <c r="E47" s="65">
        <v>864</v>
      </c>
      <c r="F47" s="90" t="s">
        <v>42</v>
      </c>
      <c r="G47" s="64">
        <v>210585000</v>
      </c>
      <c r="H47" s="65">
        <v>288</v>
      </c>
      <c r="I47" s="102">
        <v>51429600</v>
      </c>
      <c r="J47" s="65">
        <v>288</v>
      </c>
      <c r="K47" s="51">
        <v>19137500</v>
      </c>
      <c r="L47" s="14">
        <v>0</v>
      </c>
      <c r="M47" s="15">
        <v>0</v>
      </c>
      <c r="N47" s="14">
        <v>0</v>
      </c>
      <c r="O47" s="15">
        <v>12800000</v>
      </c>
      <c r="P47" s="14">
        <v>0</v>
      </c>
      <c r="Q47" s="15">
        <v>0</v>
      </c>
      <c r="R47" s="14"/>
      <c r="S47" s="15"/>
      <c r="T47" s="41">
        <f>SUM(L47,N47,P47,R47)</f>
        <v>0</v>
      </c>
      <c r="U47" s="41">
        <f>T47/J47*100</f>
        <v>0</v>
      </c>
      <c r="V47" s="25" t="s">
        <v>43</v>
      </c>
      <c r="W47" s="30">
        <f>SUM(M47,O47,Q47,S47)</f>
        <v>12800000</v>
      </c>
      <c r="X47" s="44">
        <f>W47/K47*100</f>
        <v>66.884389288047032</v>
      </c>
      <c r="Y47" s="25" t="s">
        <v>43</v>
      </c>
      <c r="Z47" s="74">
        <f>SUM(H47,T47)</f>
        <v>288</v>
      </c>
      <c r="AA47" s="30">
        <f>SUM(I47,W47)</f>
        <v>64229600</v>
      </c>
      <c r="AB47" s="44"/>
      <c r="AC47" s="25" t="s">
        <v>43</v>
      </c>
      <c r="AD47" s="44"/>
      <c r="AE47" s="9"/>
      <c r="AH47" s="17"/>
    </row>
    <row r="48" spans="1:34" ht="145.5" customHeight="1" x14ac:dyDescent="0.2">
      <c r="A48" s="10"/>
      <c r="B48" s="11"/>
      <c r="C48" s="59" t="s">
        <v>125</v>
      </c>
      <c r="D48" s="71" t="s">
        <v>127</v>
      </c>
      <c r="E48" s="65">
        <v>1</v>
      </c>
      <c r="F48" s="90" t="s">
        <v>60</v>
      </c>
      <c r="G48" s="64">
        <v>130370000</v>
      </c>
      <c r="H48" s="65">
        <v>0</v>
      </c>
      <c r="I48" s="102"/>
      <c r="J48" s="65">
        <v>1</v>
      </c>
      <c r="K48" s="51">
        <v>224420000</v>
      </c>
      <c r="L48" s="14">
        <v>0</v>
      </c>
      <c r="M48" s="66">
        <v>27235000</v>
      </c>
      <c r="N48" s="14">
        <v>0</v>
      </c>
      <c r="O48" s="15">
        <v>109191700</v>
      </c>
      <c r="P48" s="14">
        <v>0</v>
      </c>
      <c r="Q48" s="15">
        <v>0</v>
      </c>
      <c r="R48" s="14"/>
      <c r="S48" s="15"/>
      <c r="T48" s="41">
        <f>SUM(L48,N48,P48,R48)</f>
        <v>0</v>
      </c>
      <c r="U48" s="41">
        <f>T48/J48*100</f>
        <v>0</v>
      </c>
      <c r="V48" s="25" t="s">
        <v>43</v>
      </c>
      <c r="W48" s="30">
        <f>SUM(M48,O48,Q48,S48)</f>
        <v>136426700</v>
      </c>
      <c r="X48" s="44">
        <f>W48/K48*100</f>
        <v>60.790794046876393</v>
      </c>
      <c r="Y48" s="25" t="s">
        <v>43</v>
      </c>
      <c r="Z48" s="74">
        <f>SUM(H48,T48)</f>
        <v>0</v>
      </c>
      <c r="AA48" s="30">
        <f>SUM(I48,W48)</f>
        <v>136426700</v>
      </c>
      <c r="AB48" s="44"/>
      <c r="AC48" s="25" t="s">
        <v>43</v>
      </c>
      <c r="AD48" s="44"/>
      <c r="AE48" s="9"/>
      <c r="AH48" s="17"/>
    </row>
    <row r="49" spans="1:34" ht="105" x14ac:dyDescent="0.2">
      <c r="A49" s="10"/>
      <c r="B49" s="11"/>
      <c r="C49" s="59" t="s">
        <v>126</v>
      </c>
      <c r="D49" s="71" t="s">
        <v>111</v>
      </c>
      <c r="E49" s="65">
        <v>2</v>
      </c>
      <c r="F49" s="90" t="s">
        <v>42</v>
      </c>
      <c r="G49" s="66">
        <v>42570000</v>
      </c>
      <c r="H49" s="65">
        <v>0</v>
      </c>
      <c r="I49" s="102"/>
      <c r="J49" s="65">
        <v>2</v>
      </c>
      <c r="K49" s="51">
        <v>28570000</v>
      </c>
      <c r="L49" s="14">
        <v>0</v>
      </c>
      <c r="M49" s="15">
        <v>0</v>
      </c>
      <c r="N49" s="14">
        <v>0</v>
      </c>
      <c r="O49" s="15">
        <v>0</v>
      </c>
      <c r="P49" s="14">
        <v>0</v>
      </c>
      <c r="Q49" s="15">
        <v>0</v>
      </c>
      <c r="R49" s="14"/>
      <c r="S49" s="15"/>
      <c r="T49" s="41">
        <f>SUM(L49,N49,P49,R49)</f>
        <v>0</v>
      </c>
      <c r="U49" s="41">
        <f>T49/J49*100</f>
        <v>0</v>
      </c>
      <c r="V49" s="25" t="s">
        <v>43</v>
      </c>
      <c r="W49" s="30">
        <f>SUM(M49,O49,Q49,S49)</f>
        <v>0</v>
      </c>
      <c r="X49" s="44">
        <f>W49/K49*100</f>
        <v>0</v>
      </c>
      <c r="Y49" s="25" t="s">
        <v>43</v>
      </c>
      <c r="Z49" s="74">
        <f>SUM(H49,T49)</f>
        <v>0</v>
      </c>
      <c r="AA49" s="30">
        <f>SUM(I49,W49)</f>
        <v>0</v>
      </c>
      <c r="AB49" s="44"/>
      <c r="AC49" s="25" t="s">
        <v>43</v>
      </c>
      <c r="AD49" s="44"/>
      <c r="AE49" s="9"/>
      <c r="AH49" s="17"/>
    </row>
    <row r="50" spans="1:34" ht="135" x14ac:dyDescent="0.2">
      <c r="A50" s="10"/>
      <c r="B50" s="11"/>
      <c r="C50" s="59" t="s">
        <v>84</v>
      </c>
      <c r="D50" s="76" t="s">
        <v>118</v>
      </c>
      <c r="E50" s="65">
        <v>3</v>
      </c>
      <c r="F50" s="90" t="s">
        <v>42</v>
      </c>
      <c r="G50" s="66">
        <f>48080000+33480000+48080000</f>
        <v>129640000</v>
      </c>
      <c r="H50" s="65">
        <v>1</v>
      </c>
      <c r="I50" s="102">
        <v>42420000</v>
      </c>
      <c r="J50" s="65">
        <v>1</v>
      </c>
      <c r="K50" s="51">
        <v>33420000</v>
      </c>
      <c r="L50" s="14">
        <v>0</v>
      </c>
      <c r="M50" s="15">
        <v>0</v>
      </c>
      <c r="N50" s="14">
        <v>1</v>
      </c>
      <c r="O50" s="15">
        <v>32250000</v>
      </c>
      <c r="P50" s="14">
        <v>0</v>
      </c>
      <c r="Q50" s="15">
        <v>0</v>
      </c>
      <c r="R50" s="14"/>
      <c r="S50" s="15"/>
      <c r="T50" s="41">
        <f>SUM(L50,N50,P50,R50)</f>
        <v>1</v>
      </c>
      <c r="U50" s="41">
        <f>T50/J50*100</f>
        <v>100</v>
      </c>
      <c r="V50" s="25" t="s">
        <v>43</v>
      </c>
      <c r="W50" s="30">
        <f>SUM(M50,O50,Q50,S50)</f>
        <v>32250000</v>
      </c>
      <c r="X50" s="44">
        <f>W50/K50*100</f>
        <v>96.499102333931774</v>
      </c>
      <c r="Y50" s="25" t="s">
        <v>43</v>
      </c>
      <c r="Z50" s="74">
        <f t="shared" ref="Z50:Z56" si="15">SUM(H50,T50)</f>
        <v>2</v>
      </c>
      <c r="AA50" s="30">
        <f t="shared" ref="AA50:AA56" si="16">SUM(I50,W50)</f>
        <v>74670000</v>
      </c>
      <c r="AB50" s="44"/>
      <c r="AC50" s="25" t="s">
        <v>43</v>
      </c>
      <c r="AD50" s="44"/>
      <c r="AE50" s="9"/>
      <c r="AH50" s="17"/>
    </row>
    <row r="51" spans="1:34" ht="127.5" customHeight="1" x14ac:dyDescent="0.2">
      <c r="A51" s="10"/>
      <c r="B51" s="11"/>
      <c r="C51" s="82" t="s">
        <v>83</v>
      </c>
      <c r="D51" s="79" t="s">
        <v>151</v>
      </c>
      <c r="E51" s="65">
        <v>288</v>
      </c>
      <c r="F51" s="90" t="s">
        <v>112</v>
      </c>
      <c r="G51" s="64">
        <v>17720000</v>
      </c>
      <c r="H51" s="65">
        <v>288</v>
      </c>
      <c r="I51" s="102">
        <v>14941250</v>
      </c>
      <c r="J51" s="65"/>
      <c r="K51" s="51"/>
      <c r="L51" s="14"/>
      <c r="M51" s="15"/>
      <c r="N51" s="14"/>
      <c r="O51" s="15"/>
      <c r="P51" s="14"/>
      <c r="Q51" s="15"/>
      <c r="R51" s="14"/>
      <c r="S51" s="15"/>
      <c r="T51" s="41"/>
      <c r="U51" s="41"/>
      <c r="V51" s="25"/>
      <c r="W51" s="30"/>
      <c r="X51" s="44"/>
      <c r="Y51" s="25"/>
      <c r="Z51" s="74">
        <f t="shared" si="15"/>
        <v>288</v>
      </c>
      <c r="AA51" s="30">
        <f t="shared" si="16"/>
        <v>14941250</v>
      </c>
      <c r="AB51" s="44"/>
      <c r="AC51" s="25" t="s">
        <v>43</v>
      </c>
      <c r="AD51" s="44"/>
      <c r="AE51" s="9"/>
      <c r="AH51" s="17"/>
    </row>
    <row r="52" spans="1:34" ht="157.5" x14ac:dyDescent="0.2">
      <c r="A52" s="10">
        <v>4</v>
      </c>
      <c r="B52" s="37" t="s">
        <v>102</v>
      </c>
      <c r="C52" s="12" t="s">
        <v>85</v>
      </c>
      <c r="D52" s="13" t="s">
        <v>98</v>
      </c>
      <c r="E52" s="67">
        <f>65/144*100</f>
        <v>45.138888888888893</v>
      </c>
      <c r="F52" s="91" t="s">
        <v>43</v>
      </c>
      <c r="G52" s="68">
        <f>SUM(G53)</f>
        <v>2149518676</v>
      </c>
      <c r="H52" s="100">
        <v>30.555555555555554</v>
      </c>
      <c r="I52" s="68">
        <f>SUM(I53)</f>
        <v>560457500</v>
      </c>
      <c r="J52" s="69">
        <v>34.700000000000003</v>
      </c>
      <c r="K52" s="31">
        <f>SUM(K53)</f>
        <v>691703700</v>
      </c>
      <c r="L52" s="38">
        <v>0</v>
      </c>
      <c r="M52" s="31">
        <f>SUM(M53)</f>
        <v>38762500</v>
      </c>
      <c r="N52" s="67">
        <f>35/144*100</f>
        <v>24.305555555555554</v>
      </c>
      <c r="O52" s="31">
        <f>SUM(O53)</f>
        <v>101230000</v>
      </c>
      <c r="P52" s="67">
        <v>0</v>
      </c>
      <c r="Q52" s="31">
        <f>SUM(Q53)</f>
        <v>0</v>
      </c>
      <c r="R52" s="38"/>
      <c r="S52" s="31"/>
      <c r="T52" s="43">
        <f>SUM(L52,N52,P52,R52)</f>
        <v>24.305555555555554</v>
      </c>
      <c r="U52" s="43">
        <f>Z52/J52*100</f>
        <v>158.10118475824527</v>
      </c>
      <c r="V52" s="40" t="s">
        <v>43</v>
      </c>
      <c r="W52" s="39">
        <f>SUM(M52,O52,Q52,S52)</f>
        <v>139992500</v>
      </c>
      <c r="X52" s="43">
        <f>W52/K52*100</f>
        <v>20.238795889049026</v>
      </c>
      <c r="Y52" s="40" t="s">
        <v>43</v>
      </c>
      <c r="Z52" s="43">
        <f t="shared" si="15"/>
        <v>54.861111111111107</v>
      </c>
      <c r="AA52" s="39">
        <f t="shared" si="16"/>
        <v>700450000</v>
      </c>
      <c r="AB52" s="43"/>
      <c r="AC52" s="40" t="s">
        <v>43</v>
      </c>
      <c r="AD52" s="44"/>
      <c r="AE52" s="9"/>
      <c r="AH52" s="17"/>
    </row>
    <row r="53" spans="1:34" ht="339" customHeight="1" x14ac:dyDescent="0.2">
      <c r="A53" s="10"/>
      <c r="B53" s="11"/>
      <c r="C53" s="61" t="s">
        <v>106</v>
      </c>
      <c r="D53" s="13" t="s">
        <v>99</v>
      </c>
      <c r="E53" s="67">
        <f>1438/1627*100</f>
        <v>88.383527965580825</v>
      </c>
      <c r="F53" s="88" t="s">
        <v>43</v>
      </c>
      <c r="G53" s="68">
        <f>SUM(G54:G56)</f>
        <v>2149518676</v>
      </c>
      <c r="H53" s="100">
        <v>81.007990165949607</v>
      </c>
      <c r="I53" s="68">
        <f>SUM(I54:I56)</f>
        <v>560457500</v>
      </c>
      <c r="J53" s="69">
        <v>84.69</v>
      </c>
      <c r="K53" s="31">
        <f>SUM(K54:K56)</f>
        <v>691703700</v>
      </c>
      <c r="L53" s="38">
        <f>6/1627*100</f>
        <v>0.36877688998156116</v>
      </c>
      <c r="M53" s="31">
        <f>SUM(M54:M56)</f>
        <v>38762500</v>
      </c>
      <c r="N53" s="38">
        <f>20/1627*100</f>
        <v>1.229256299938537</v>
      </c>
      <c r="O53" s="31">
        <f>SUM(O54:O56)</f>
        <v>101230000</v>
      </c>
      <c r="P53" s="38">
        <v>0</v>
      </c>
      <c r="Q53" s="31">
        <f>SUM(Q54:Q56)</f>
        <v>0</v>
      </c>
      <c r="R53" s="38"/>
      <c r="S53" s="31"/>
      <c r="T53" s="43">
        <f>SUM(L53,N53,P53,R53)</f>
        <v>1.5980331899200981</v>
      </c>
      <c r="U53" s="43">
        <f>Z53/J53*100</f>
        <v>97.539288411701165</v>
      </c>
      <c r="V53" s="40" t="s">
        <v>43</v>
      </c>
      <c r="W53" s="39">
        <f>SUM(M53,O53,Q53,S53)</f>
        <v>139992500</v>
      </c>
      <c r="X53" s="43">
        <f>W53/K53*100</f>
        <v>20.238795889049026</v>
      </c>
      <c r="Y53" s="40" t="s">
        <v>43</v>
      </c>
      <c r="Z53" s="43">
        <f t="shared" si="15"/>
        <v>82.606023355869709</v>
      </c>
      <c r="AA53" s="39">
        <f t="shared" si="16"/>
        <v>700450000</v>
      </c>
      <c r="AB53" s="43"/>
      <c r="AC53" s="40" t="s">
        <v>43</v>
      </c>
      <c r="AD53" s="43"/>
      <c r="AE53" s="9"/>
      <c r="AH53" s="17"/>
    </row>
    <row r="54" spans="1:34" ht="300" x14ac:dyDescent="0.2">
      <c r="A54" s="10"/>
      <c r="B54" s="11"/>
      <c r="C54" s="59" t="s">
        <v>105</v>
      </c>
      <c r="D54" s="83" t="s">
        <v>128</v>
      </c>
      <c r="E54" s="65">
        <v>180</v>
      </c>
      <c r="F54" s="90" t="s">
        <v>113</v>
      </c>
      <c r="G54" s="66">
        <f>75008800+54875000+75008800</f>
        <v>204892600</v>
      </c>
      <c r="H54" s="101">
        <v>60</v>
      </c>
      <c r="I54" s="102">
        <v>50125000</v>
      </c>
      <c r="J54" s="65">
        <v>60</v>
      </c>
      <c r="K54" s="64">
        <v>54875000</v>
      </c>
      <c r="L54" s="65">
        <v>6</v>
      </c>
      <c r="M54" s="66">
        <v>0</v>
      </c>
      <c r="N54" s="65">
        <v>20</v>
      </c>
      <c r="O54" s="15">
        <v>7250000</v>
      </c>
      <c r="P54" s="65">
        <v>0</v>
      </c>
      <c r="Q54" s="15">
        <v>0</v>
      </c>
      <c r="R54" s="65"/>
      <c r="S54" s="15"/>
      <c r="T54" s="41">
        <f>SUM(L54,N54,P54,R54)</f>
        <v>26</v>
      </c>
      <c r="U54" s="41">
        <f>T54/J54*100</f>
        <v>43.333333333333336</v>
      </c>
      <c r="V54" s="25" t="s">
        <v>43</v>
      </c>
      <c r="W54" s="30">
        <f>SUM(M54,O54,Q54,S54)</f>
        <v>7250000</v>
      </c>
      <c r="X54" s="44">
        <f>W54/K54*100</f>
        <v>13.211845102505695</v>
      </c>
      <c r="Y54" s="25" t="s">
        <v>43</v>
      </c>
      <c r="Z54" s="41">
        <f t="shared" si="15"/>
        <v>86</v>
      </c>
      <c r="AA54" s="30">
        <f t="shared" si="16"/>
        <v>57375000</v>
      </c>
      <c r="AB54" s="44"/>
      <c r="AC54" s="25" t="s">
        <v>43</v>
      </c>
      <c r="AD54" s="44"/>
      <c r="AE54" s="9"/>
      <c r="AH54" s="17"/>
    </row>
    <row r="55" spans="1:34" ht="135" x14ac:dyDescent="0.2">
      <c r="A55" s="10"/>
      <c r="B55" s="11"/>
      <c r="C55" s="59" t="s">
        <v>92</v>
      </c>
      <c r="D55" s="84" t="s">
        <v>129</v>
      </c>
      <c r="E55" s="65">
        <v>3</v>
      </c>
      <c r="F55" s="90" t="s">
        <v>60</v>
      </c>
      <c r="G55" s="66">
        <f>22880500+5877500+22880500</f>
        <v>51638500</v>
      </c>
      <c r="H55" s="65">
        <v>1</v>
      </c>
      <c r="I55" s="102">
        <v>19240000</v>
      </c>
      <c r="J55" s="65">
        <v>1</v>
      </c>
      <c r="K55" s="51">
        <v>5877500</v>
      </c>
      <c r="L55" s="14">
        <v>0</v>
      </c>
      <c r="M55" s="15">
        <v>0</v>
      </c>
      <c r="N55" s="14">
        <v>0</v>
      </c>
      <c r="O55" s="15">
        <v>0</v>
      </c>
      <c r="P55" s="14">
        <v>0</v>
      </c>
      <c r="Q55" s="15">
        <v>0</v>
      </c>
      <c r="R55" s="14"/>
      <c r="S55" s="15"/>
      <c r="T55" s="41">
        <f>SUM(L55,N55,P55,R55)</f>
        <v>0</v>
      </c>
      <c r="U55" s="41">
        <f>T55/J55*100</f>
        <v>0</v>
      </c>
      <c r="V55" s="25" t="s">
        <v>43</v>
      </c>
      <c r="W55" s="30">
        <f>SUM(M55,O55,Q55,S55)</f>
        <v>0</v>
      </c>
      <c r="X55" s="44">
        <f>W55/K55*100</f>
        <v>0</v>
      </c>
      <c r="Y55" s="25" t="s">
        <v>43</v>
      </c>
      <c r="Z55" s="41">
        <f t="shared" si="15"/>
        <v>1</v>
      </c>
      <c r="AA55" s="30">
        <f t="shared" si="16"/>
        <v>19240000</v>
      </c>
      <c r="AB55" s="44"/>
      <c r="AC55" s="25" t="s">
        <v>43</v>
      </c>
      <c r="AD55" s="44"/>
      <c r="AE55" s="9"/>
      <c r="AH55" s="17"/>
    </row>
    <row r="56" spans="1:34" ht="211.5" customHeight="1" x14ac:dyDescent="0.2">
      <c r="A56" s="10"/>
      <c r="B56" s="11"/>
      <c r="C56" s="59" t="s">
        <v>86</v>
      </c>
      <c r="D56" s="60" t="s">
        <v>130</v>
      </c>
      <c r="E56" s="65">
        <v>3</v>
      </c>
      <c r="F56" s="90" t="s">
        <v>42</v>
      </c>
      <c r="G56" s="66">
        <f>631003138+630981300+631003138</f>
        <v>1892987576</v>
      </c>
      <c r="H56" s="65">
        <v>1</v>
      </c>
      <c r="I56" s="102">
        <v>491092500</v>
      </c>
      <c r="J56" s="65">
        <v>1</v>
      </c>
      <c r="K56" s="64">
        <v>630951200</v>
      </c>
      <c r="L56" s="65">
        <v>0</v>
      </c>
      <c r="M56" s="66">
        <v>38762500</v>
      </c>
      <c r="N56" s="65">
        <v>0</v>
      </c>
      <c r="O56" s="15">
        <v>93980000</v>
      </c>
      <c r="P56" s="65">
        <v>0</v>
      </c>
      <c r="Q56" s="15">
        <v>0</v>
      </c>
      <c r="R56" s="65"/>
      <c r="S56" s="15"/>
      <c r="T56" s="41">
        <f>SUM(L56,N56,P56,R56)</f>
        <v>0</v>
      </c>
      <c r="U56" s="41">
        <f>T56/J56*100</f>
        <v>0</v>
      </c>
      <c r="V56" s="25" t="s">
        <v>43</v>
      </c>
      <c r="W56" s="30">
        <f>SUM(M56,O56,Q56,S56)</f>
        <v>132742500</v>
      </c>
      <c r="X56" s="44">
        <f>W56/K56*100</f>
        <v>21.038473339935006</v>
      </c>
      <c r="Y56" s="25" t="s">
        <v>43</v>
      </c>
      <c r="Z56" s="41">
        <f t="shared" si="15"/>
        <v>1</v>
      </c>
      <c r="AA56" s="30">
        <f t="shared" si="16"/>
        <v>623835000</v>
      </c>
      <c r="AB56" s="44"/>
      <c r="AC56" s="25" t="s">
        <v>43</v>
      </c>
      <c r="AD56" s="44"/>
      <c r="AE56" s="9"/>
      <c r="AH56" s="17"/>
    </row>
    <row r="57" spans="1:34" ht="15" x14ac:dyDescent="0.2">
      <c r="A57" s="188" t="s">
        <v>22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57">
        <f>AVERAGE(U13:U56)</f>
        <v>55.663100027906808</v>
      </c>
      <c r="V57" s="54"/>
      <c r="W57" s="45"/>
      <c r="X57" s="57">
        <f>AVERAGE(X13,X41,X44,X52)</f>
        <v>36.253202813011249</v>
      </c>
      <c r="Y57" s="55"/>
      <c r="Z57" s="45"/>
      <c r="AA57" s="45"/>
      <c r="AB57" s="45"/>
      <c r="AC57" s="55"/>
      <c r="AD57" s="46"/>
      <c r="AE57" s="9"/>
    </row>
    <row r="58" spans="1:34" ht="15" x14ac:dyDescent="0.2">
      <c r="A58" s="188" t="s">
        <v>23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22" t="str">
        <f>IF(U57&gt;=91,"Sangat Tinggi",IF(U57&gt;=76,"Tinggi",IF(U57&gt;=66,"Sedang",IF(U57&gt;=51,"Rendah",IF(U57&lt;=50,"Sangat Rendah")))))</f>
        <v>Rendah</v>
      </c>
      <c r="V58" s="54"/>
      <c r="W58" s="48"/>
      <c r="X58" s="22" t="str">
        <f>IF(X57&gt;=91,"Sangat Tinggi",IF(X57&gt;=76,"Tinggi",IF(X57&gt;=66,"Sedang",IF(X57&gt;=51,"Rendah",IF(X57&lt;=50,"Sangat Rendah")))))</f>
        <v>Sangat Rendah</v>
      </c>
      <c r="Y58" s="55"/>
      <c r="Z58" s="47"/>
      <c r="AA58" s="48"/>
      <c r="AB58" s="47"/>
      <c r="AC58" s="55"/>
      <c r="AD58" s="49"/>
      <c r="AE58" s="9"/>
    </row>
    <row r="59" spans="1:34" ht="15" x14ac:dyDescent="0.2">
      <c r="A59" s="190" t="s">
        <v>160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9"/>
    </row>
    <row r="60" spans="1:34" ht="15" x14ac:dyDescent="0.2">
      <c r="A60" s="190" t="s">
        <v>161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9"/>
    </row>
    <row r="61" spans="1:34" ht="15" x14ac:dyDescent="0.2">
      <c r="A61" s="190" t="s">
        <v>162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9"/>
    </row>
    <row r="62" spans="1:34" ht="15" x14ac:dyDescent="0.2">
      <c r="A62" s="190" t="s">
        <v>163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23"/>
    </row>
    <row r="63" spans="1:34" ht="15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105"/>
      <c r="W63" s="24"/>
      <c r="X63" s="24"/>
      <c r="Y63" s="105"/>
      <c r="Z63" s="24"/>
      <c r="AA63" s="24"/>
      <c r="AB63" s="24"/>
      <c r="AC63" s="105"/>
      <c r="AD63" s="24"/>
    </row>
    <row r="64" spans="1:34" ht="15" x14ac:dyDescent="0.2">
      <c r="A64" s="24"/>
      <c r="B64" s="24"/>
      <c r="C64" s="24"/>
      <c r="D64" s="24"/>
      <c r="E64" s="24"/>
      <c r="F64" s="24"/>
      <c r="G64" s="86"/>
      <c r="H64" s="24"/>
      <c r="I64" s="86"/>
      <c r="J64" s="24"/>
      <c r="K64" s="86"/>
      <c r="L64" s="24"/>
      <c r="M64" s="86"/>
      <c r="N64" s="24"/>
      <c r="O64" s="24"/>
      <c r="P64" s="24"/>
      <c r="Q64" s="24"/>
      <c r="R64" s="24"/>
      <c r="S64" s="24"/>
      <c r="T64" s="185" t="s">
        <v>49</v>
      </c>
      <c r="U64" s="185"/>
      <c r="V64" s="185"/>
      <c r="W64" s="185"/>
      <c r="X64" s="185"/>
      <c r="Y64" s="105"/>
      <c r="Z64" s="24"/>
      <c r="AA64" s="185"/>
      <c r="AB64" s="185"/>
      <c r="AC64" s="185"/>
      <c r="AD64" s="185"/>
      <c r="AE64" s="185"/>
    </row>
    <row r="65" spans="1:31" ht="15.75" x14ac:dyDescent="0.25">
      <c r="A65" s="2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5" t="s">
        <v>165</v>
      </c>
      <c r="U65" s="185"/>
      <c r="V65" s="185"/>
      <c r="W65" s="185"/>
      <c r="X65" s="185"/>
      <c r="Y65" s="105"/>
      <c r="Z65" s="24"/>
      <c r="AA65" s="185"/>
      <c r="AB65" s="185"/>
      <c r="AC65" s="185"/>
      <c r="AD65" s="185"/>
      <c r="AE65" s="185"/>
    </row>
    <row r="66" spans="1:31" ht="15" x14ac:dyDescent="0.2">
      <c r="T66" s="185" t="s">
        <v>51</v>
      </c>
      <c r="U66" s="185"/>
      <c r="V66" s="185"/>
      <c r="W66" s="185"/>
      <c r="X66" s="185"/>
      <c r="AA66" s="185"/>
      <c r="AB66" s="185"/>
      <c r="AC66" s="185"/>
      <c r="AD66" s="185"/>
      <c r="AE66" s="185"/>
    </row>
    <row r="67" spans="1:31" ht="15" x14ac:dyDescent="0.2">
      <c r="T67" s="185" t="s">
        <v>50</v>
      </c>
      <c r="U67" s="185"/>
      <c r="V67" s="185"/>
      <c r="W67" s="185"/>
      <c r="X67" s="185"/>
      <c r="AA67" s="185"/>
      <c r="AB67" s="185"/>
      <c r="AC67" s="185"/>
      <c r="AD67" s="185"/>
      <c r="AE67" s="185"/>
    </row>
    <row r="68" spans="1:31" ht="51" x14ac:dyDescent="0.2">
      <c r="A68" s="26" t="s">
        <v>24</v>
      </c>
      <c r="B68" s="26" t="s">
        <v>25</v>
      </c>
      <c r="C68" s="26" t="s">
        <v>26</v>
      </c>
      <c r="T68" s="24"/>
      <c r="U68" s="24"/>
      <c r="V68" s="105"/>
      <c r="W68" s="24"/>
      <c r="AA68" s="105"/>
      <c r="AB68" s="24"/>
      <c r="AC68" s="105"/>
      <c r="AD68" s="24"/>
    </row>
    <row r="69" spans="1:31" ht="25.5" x14ac:dyDescent="0.25">
      <c r="A69" s="27" t="s">
        <v>27</v>
      </c>
      <c r="B69" s="27" t="s">
        <v>28</v>
      </c>
      <c r="C69" s="27" t="s">
        <v>29</v>
      </c>
      <c r="T69" s="186" t="s">
        <v>52</v>
      </c>
      <c r="U69" s="186"/>
      <c r="V69" s="186"/>
      <c r="W69" s="186"/>
      <c r="X69" s="186"/>
      <c r="AA69" s="186"/>
      <c r="AB69" s="186"/>
      <c r="AC69" s="186"/>
      <c r="AD69" s="186"/>
      <c r="AE69" s="186"/>
    </row>
    <row r="70" spans="1:31" ht="25.5" x14ac:dyDescent="0.2">
      <c r="A70" s="27" t="s">
        <v>30</v>
      </c>
      <c r="B70" s="27" t="s">
        <v>31</v>
      </c>
      <c r="C70" s="27" t="s">
        <v>32</v>
      </c>
      <c r="T70" s="187" t="s">
        <v>53</v>
      </c>
      <c r="U70" s="187"/>
      <c r="V70" s="187"/>
      <c r="W70" s="187"/>
      <c r="X70" s="187"/>
      <c r="AA70" s="187"/>
      <c r="AB70" s="187"/>
      <c r="AC70" s="187"/>
      <c r="AD70" s="187"/>
      <c r="AE70" s="187"/>
    </row>
    <row r="71" spans="1:31" ht="25.5" x14ac:dyDescent="0.2">
      <c r="A71" s="27" t="s">
        <v>33</v>
      </c>
      <c r="B71" s="27" t="s">
        <v>34</v>
      </c>
      <c r="C71" s="27" t="s">
        <v>35</v>
      </c>
    </row>
    <row r="72" spans="1:31" ht="25.5" x14ac:dyDescent="0.2">
      <c r="A72" s="27" t="s">
        <v>36</v>
      </c>
      <c r="B72" s="27" t="s">
        <v>37</v>
      </c>
      <c r="C72" s="27" t="s">
        <v>38</v>
      </c>
    </row>
    <row r="73" spans="1:31" ht="25.5" x14ac:dyDescent="0.2">
      <c r="A73" s="27" t="s">
        <v>39</v>
      </c>
      <c r="B73" s="28" t="s">
        <v>40</v>
      </c>
      <c r="C73" s="27" t="s">
        <v>41</v>
      </c>
    </row>
  </sheetData>
  <mergeCells count="78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G11:G12"/>
    <mergeCell ref="H11:H12"/>
    <mergeCell ref="I11:I12"/>
    <mergeCell ref="J11:J12"/>
    <mergeCell ref="K11:K12"/>
    <mergeCell ref="A62:AD62"/>
    <mergeCell ref="R11:R12"/>
    <mergeCell ref="S11:S12"/>
    <mergeCell ref="U11:V11"/>
    <mergeCell ref="X11:Y11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A57:T57"/>
    <mergeCell ref="A58:T58"/>
    <mergeCell ref="A59:AD59"/>
    <mergeCell ref="A60:AD60"/>
    <mergeCell ref="A61:AD61"/>
    <mergeCell ref="T64:X64"/>
    <mergeCell ref="AA64:AE64"/>
    <mergeCell ref="T65:X65"/>
    <mergeCell ref="AA65:AE65"/>
    <mergeCell ref="T66:X66"/>
    <mergeCell ref="AA66:AE66"/>
    <mergeCell ref="T67:X67"/>
    <mergeCell ref="AA67:AE67"/>
    <mergeCell ref="T69:X69"/>
    <mergeCell ref="AA69:AE69"/>
    <mergeCell ref="T70:X70"/>
    <mergeCell ref="AA70:AE70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7EB-24D0-4928-9DBF-9FA377FA2855}">
  <sheetPr>
    <tabColor theme="9" tint="-0.249977111117893"/>
  </sheetPr>
  <dimension ref="A1:AK78"/>
  <sheetViews>
    <sheetView showRuler="0" topLeftCell="A5" zoomScale="70" zoomScaleNormal="70" zoomScalePageLayoutView="55" workbookViewId="0">
      <pane xSplit="10" ySplit="7" topLeftCell="K20" activePane="bottomRight" state="frozen"/>
      <selection activeCell="A5" sqref="A5"/>
      <selection pane="topRight" activeCell="K5" sqref="K5"/>
      <selection pane="bottomLeft" activeCell="A12" sqref="A12"/>
      <selection pane="bottomRight" activeCell="R20" sqref="R20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42578125" style="2" customWidth="1"/>
    <col min="8" max="8" width="8.5703125" style="2" customWidth="1"/>
    <col min="9" max="9" width="21.42578125" style="2" customWidth="1"/>
    <col min="10" max="10" width="9" style="2" customWidth="1"/>
    <col min="11" max="11" width="19.28515625" style="2" customWidth="1"/>
    <col min="12" max="12" width="9.140625" style="2" customWidth="1"/>
    <col min="13" max="13" width="18.28515625" style="2" customWidth="1"/>
    <col min="14" max="14" width="7.7109375" style="2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0" width="8" style="2" customWidth="1"/>
    <col min="21" max="21" width="10.85546875" style="2" customWidth="1"/>
    <col min="22" max="22" width="5.5703125" style="4" customWidth="1"/>
    <col min="23" max="23" width="18.7109375" style="2" customWidth="1"/>
    <col min="24" max="24" width="8.85546875" style="2" customWidth="1"/>
    <col min="25" max="25" width="5.5703125" style="4" customWidth="1"/>
    <col min="26" max="26" width="8.42578125" style="2" customWidth="1"/>
    <col min="27" max="27" width="18" style="2" customWidth="1"/>
    <col min="28" max="28" width="8" style="2" customWidth="1"/>
    <col min="29" max="29" width="5.5703125" style="4" customWidth="1"/>
    <col min="30" max="30" width="10.28515625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1"/>
    </row>
    <row r="2" spans="1:37" ht="23.25" x14ac:dyDescent="0.35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3"/>
    </row>
    <row r="3" spans="1:37" ht="23.25" x14ac:dyDescent="0.35">
      <c r="A3" s="226" t="s">
        <v>44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3"/>
    </row>
    <row r="4" spans="1:37" ht="23.25" x14ac:dyDescent="0.35">
      <c r="A4" s="227" t="s">
        <v>164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1"/>
    </row>
    <row r="5" spans="1:37" ht="18" x14ac:dyDescent="0.2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</row>
    <row r="6" spans="1:37" ht="18" x14ac:dyDescent="0.25">
      <c r="A6" s="225" t="s">
        <v>44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</row>
    <row r="7" spans="1:37" ht="81" customHeight="1" x14ac:dyDescent="0.2">
      <c r="A7" s="218" t="s">
        <v>3</v>
      </c>
      <c r="B7" s="218" t="s">
        <v>4</v>
      </c>
      <c r="C7" s="219" t="s">
        <v>5</v>
      </c>
      <c r="D7" s="219" t="s">
        <v>6</v>
      </c>
      <c r="E7" s="212" t="s">
        <v>7</v>
      </c>
      <c r="F7" s="213"/>
      <c r="G7" s="220"/>
      <c r="H7" s="212" t="s">
        <v>117</v>
      </c>
      <c r="I7" s="220"/>
      <c r="J7" s="212" t="s">
        <v>114</v>
      </c>
      <c r="K7" s="213"/>
      <c r="L7" s="212" t="s">
        <v>8</v>
      </c>
      <c r="M7" s="213"/>
      <c r="N7" s="213"/>
      <c r="O7" s="213"/>
      <c r="P7" s="213"/>
      <c r="Q7" s="213"/>
      <c r="R7" s="213"/>
      <c r="S7" s="220"/>
      <c r="T7" s="212" t="s">
        <v>46</v>
      </c>
      <c r="U7" s="213"/>
      <c r="V7" s="213"/>
      <c r="W7" s="213"/>
      <c r="X7" s="213"/>
      <c r="Y7" s="220"/>
      <c r="Z7" s="212" t="s">
        <v>115</v>
      </c>
      <c r="AA7" s="220"/>
      <c r="AB7" s="212" t="s">
        <v>116</v>
      </c>
      <c r="AC7" s="213"/>
      <c r="AD7" s="213"/>
      <c r="AE7" s="216" t="s">
        <v>9</v>
      </c>
      <c r="AG7" s="4"/>
      <c r="AH7" s="4"/>
      <c r="AI7" s="4"/>
      <c r="AJ7" s="4"/>
      <c r="AK7" s="4"/>
    </row>
    <row r="8" spans="1:37" ht="18" customHeight="1" x14ac:dyDescent="0.2">
      <c r="A8" s="218"/>
      <c r="B8" s="218"/>
      <c r="C8" s="219"/>
      <c r="D8" s="219"/>
      <c r="E8" s="221"/>
      <c r="F8" s="222"/>
      <c r="G8" s="223"/>
      <c r="H8" s="221"/>
      <c r="I8" s="223"/>
      <c r="J8" s="214"/>
      <c r="K8" s="215"/>
      <c r="L8" s="214"/>
      <c r="M8" s="215"/>
      <c r="N8" s="215"/>
      <c r="O8" s="215"/>
      <c r="P8" s="215"/>
      <c r="Q8" s="215"/>
      <c r="R8" s="215"/>
      <c r="S8" s="224"/>
      <c r="T8" s="214"/>
      <c r="U8" s="215"/>
      <c r="V8" s="215"/>
      <c r="W8" s="215"/>
      <c r="X8" s="215"/>
      <c r="Y8" s="224"/>
      <c r="Z8" s="214"/>
      <c r="AA8" s="224"/>
      <c r="AB8" s="214"/>
      <c r="AC8" s="215"/>
      <c r="AD8" s="215"/>
      <c r="AE8" s="217"/>
    </row>
    <row r="9" spans="1:37" ht="15.75" customHeight="1" x14ac:dyDescent="0.2">
      <c r="A9" s="218"/>
      <c r="B9" s="218"/>
      <c r="C9" s="219"/>
      <c r="D9" s="219"/>
      <c r="E9" s="214"/>
      <c r="F9" s="215"/>
      <c r="G9" s="224"/>
      <c r="H9" s="214"/>
      <c r="I9" s="224"/>
      <c r="J9" s="210">
        <v>2022</v>
      </c>
      <c r="K9" s="211"/>
      <c r="L9" s="205" t="s">
        <v>10</v>
      </c>
      <c r="M9" s="206"/>
      <c r="N9" s="205" t="s">
        <v>11</v>
      </c>
      <c r="O9" s="206"/>
      <c r="P9" s="205" t="s">
        <v>12</v>
      </c>
      <c r="Q9" s="206"/>
      <c r="R9" s="205" t="s">
        <v>13</v>
      </c>
      <c r="S9" s="206"/>
      <c r="T9" s="205">
        <v>2022</v>
      </c>
      <c r="U9" s="207"/>
      <c r="V9" s="207"/>
      <c r="W9" s="207"/>
      <c r="X9" s="207"/>
      <c r="Y9" s="206"/>
      <c r="Z9" s="205">
        <v>2022</v>
      </c>
      <c r="AA9" s="206"/>
      <c r="AB9" s="205">
        <v>2022</v>
      </c>
      <c r="AC9" s="207"/>
      <c r="AD9" s="206"/>
      <c r="AE9" s="5"/>
    </row>
    <row r="10" spans="1:37" ht="15.75" x14ac:dyDescent="0.25">
      <c r="A10" s="193">
        <v>1</v>
      </c>
      <c r="B10" s="193">
        <v>2</v>
      </c>
      <c r="C10" s="193">
        <v>3</v>
      </c>
      <c r="D10" s="193">
        <v>4</v>
      </c>
      <c r="E10" s="195">
        <v>5</v>
      </c>
      <c r="F10" s="209"/>
      <c r="G10" s="196"/>
      <c r="H10" s="195">
        <v>6</v>
      </c>
      <c r="I10" s="196"/>
      <c r="J10" s="200">
        <v>7</v>
      </c>
      <c r="K10" s="201"/>
      <c r="L10" s="200">
        <v>8</v>
      </c>
      <c r="M10" s="201"/>
      <c r="N10" s="200">
        <v>9</v>
      </c>
      <c r="O10" s="201"/>
      <c r="P10" s="200">
        <v>10</v>
      </c>
      <c r="Q10" s="201"/>
      <c r="R10" s="200">
        <v>11</v>
      </c>
      <c r="S10" s="201"/>
      <c r="T10" s="202">
        <v>12</v>
      </c>
      <c r="U10" s="203"/>
      <c r="V10" s="203"/>
      <c r="W10" s="203"/>
      <c r="X10" s="203"/>
      <c r="Y10" s="204"/>
      <c r="Z10" s="202">
        <v>13</v>
      </c>
      <c r="AA10" s="204"/>
      <c r="AB10" s="202">
        <v>14</v>
      </c>
      <c r="AC10" s="203"/>
      <c r="AD10" s="204"/>
      <c r="AE10" s="6">
        <v>15</v>
      </c>
    </row>
    <row r="11" spans="1:37" ht="87" customHeight="1" x14ac:dyDescent="0.2">
      <c r="A11" s="208"/>
      <c r="B11" s="208"/>
      <c r="C11" s="208"/>
      <c r="D11" s="208"/>
      <c r="E11" s="191" t="s">
        <v>14</v>
      </c>
      <c r="F11" s="198"/>
      <c r="G11" s="194" t="s">
        <v>15</v>
      </c>
      <c r="H11" s="191" t="s">
        <v>14</v>
      </c>
      <c r="I11" s="194" t="s">
        <v>15</v>
      </c>
      <c r="J11" s="191" t="s">
        <v>14</v>
      </c>
      <c r="K11" s="193" t="s">
        <v>15</v>
      </c>
      <c r="L11" s="191" t="s">
        <v>14</v>
      </c>
      <c r="M11" s="193" t="s">
        <v>15</v>
      </c>
      <c r="N11" s="191" t="s">
        <v>14</v>
      </c>
      <c r="O11" s="193" t="s">
        <v>15</v>
      </c>
      <c r="P11" s="191" t="s">
        <v>14</v>
      </c>
      <c r="Q11" s="193" t="s">
        <v>15</v>
      </c>
      <c r="R11" s="191" t="s">
        <v>14</v>
      </c>
      <c r="S11" s="193" t="s">
        <v>15</v>
      </c>
      <c r="T11" s="106" t="s">
        <v>16</v>
      </c>
      <c r="U11" s="195" t="s">
        <v>47</v>
      </c>
      <c r="V11" s="196"/>
      <c r="W11" s="7" t="s">
        <v>17</v>
      </c>
      <c r="X11" s="195" t="s">
        <v>48</v>
      </c>
      <c r="Y11" s="196"/>
      <c r="Z11" s="106" t="s">
        <v>18</v>
      </c>
      <c r="AA11" s="7" t="s">
        <v>19</v>
      </c>
      <c r="AB11" s="195" t="s">
        <v>20</v>
      </c>
      <c r="AC11" s="196"/>
      <c r="AD11" s="7" t="s">
        <v>21</v>
      </c>
      <c r="AE11" s="8"/>
    </row>
    <row r="12" spans="1:37" ht="15.75" x14ac:dyDescent="0.2">
      <c r="A12" s="194"/>
      <c r="B12" s="194"/>
      <c r="C12" s="194"/>
      <c r="D12" s="194"/>
      <c r="E12" s="192"/>
      <c r="F12" s="197"/>
      <c r="G12" s="199"/>
      <c r="H12" s="192"/>
      <c r="I12" s="199"/>
      <c r="J12" s="192"/>
      <c r="K12" s="194"/>
      <c r="L12" s="192"/>
      <c r="M12" s="194"/>
      <c r="N12" s="192"/>
      <c r="O12" s="194"/>
      <c r="P12" s="192"/>
      <c r="Q12" s="194"/>
      <c r="R12" s="192"/>
      <c r="S12" s="194"/>
      <c r="T12" s="108" t="s">
        <v>14</v>
      </c>
      <c r="U12" s="192" t="s">
        <v>14</v>
      </c>
      <c r="V12" s="197"/>
      <c r="W12" s="107" t="s">
        <v>15</v>
      </c>
      <c r="X12" s="192" t="s">
        <v>15</v>
      </c>
      <c r="Y12" s="197"/>
      <c r="Z12" s="108" t="s">
        <v>14</v>
      </c>
      <c r="AA12" s="107" t="s">
        <v>15</v>
      </c>
      <c r="AB12" s="192" t="s">
        <v>14</v>
      </c>
      <c r="AC12" s="197"/>
      <c r="AD12" s="107" t="s">
        <v>15</v>
      </c>
      <c r="AE12" s="56"/>
    </row>
    <row r="13" spans="1:37" ht="123.75" customHeight="1" x14ac:dyDescent="0.2">
      <c r="A13" s="36">
        <v>1</v>
      </c>
      <c r="B13" s="13" t="s">
        <v>100</v>
      </c>
      <c r="C13" s="13" t="s">
        <v>54</v>
      </c>
      <c r="D13" s="13" t="s">
        <v>103</v>
      </c>
      <c r="E13" s="67">
        <v>100</v>
      </c>
      <c r="F13" s="91" t="s">
        <v>43</v>
      </c>
      <c r="G13" s="92">
        <f>G14+G17+G22+G29+G33</f>
        <v>15831852200</v>
      </c>
      <c r="H13" s="67">
        <v>100</v>
      </c>
      <c r="I13" s="92">
        <f>I14+I17+I22+I29+I33</f>
        <v>3741409362</v>
      </c>
      <c r="J13" s="67">
        <v>100</v>
      </c>
      <c r="K13" s="50">
        <f>K14+K17+K22+K29+K33</f>
        <v>3795613101</v>
      </c>
      <c r="L13" s="34">
        <v>25</v>
      </c>
      <c r="M13" s="50">
        <f>M14+M17+M22+M29+M33</f>
        <v>765366697</v>
      </c>
      <c r="N13" s="34">
        <v>25</v>
      </c>
      <c r="O13" s="50">
        <f>O14+O17+O22+O29+O33</f>
        <v>1088907377</v>
      </c>
      <c r="P13" s="34">
        <v>25</v>
      </c>
      <c r="Q13" s="50">
        <f>Q14+Q17+Q22+Q29+Q33</f>
        <v>919598737</v>
      </c>
      <c r="R13" s="34"/>
      <c r="S13" s="50">
        <f>S14+S17+S22+S29+S33</f>
        <v>0</v>
      </c>
      <c r="T13" s="42">
        <f t="shared" ref="T13:T27" si="0">SUM(L13,N13,P13,R13)</f>
        <v>75</v>
      </c>
      <c r="U13" s="42">
        <f t="shared" ref="U13:U27" si="1">T13/J13*100</f>
        <v>75</v>
      </c>
      <c r="V13" s="40" t="s">
        <v>43</v>
      </c>
      <c r="W13" s="52">
        <f t="shared" ref="W13:W27" si="2">SUM(M13,O13,Q13,S13)</f>
        <v>2773872811</v>
      </c>
      <c r="X13" s="53">
        <f t="shared" ref="X13:X27" si="3">W13/K13*100</f>
        <v>73.081021094304631</v>
      </c>
      <c r="Y13" s="36" t="s">
        <v>43</v>
      </c>
      <c r="Z13" s="42">
        <f t="shared" ref="Z13:Z47" si="4">SUM(H13,T13)</f>
        <v>175</v>
      </c>
      <c r="AA13" s="52">
        <f t="shared" ref="AA13:AA47" si="5">SUM(I13,W13)</f>
        <v>6515282173</v>
      </c>
      <c r="AB13" s="43"/>
      <c r="AC13" s="40" t="s">
        <v>43</v>
      </c>
      <c r="AD13" s="53"/>
      <c r="AE13" s="16" t="s">
        <v>45</v>
      </c>
      <c r="AH13" s="17">
        <f>M13+O13+Q13+S13</f>
        <v>2773872811</v>
      </c>
    </row>
    <row r="14" spans="1:37" s="109" customFormat="1" ht="128.25" customHeight="1" x14ac:dyDescent="0.25">
      <c r="A14" s="36"/>
      <c r="B14" s="37"/>
      <c r="C14" s="12" t="s">
        <v>90</v>
      </c>
      <c r="D14" s="13" t="s">
        <v>91</v>
      </c>
      <c r="E14" s="34">
        <v>30</v>
      </c>
      <c r="F14" s="35" t="s">
        <v>42</v>
      </c>
      <c r="G14" s="31">
        <f>SUM(G15:G16)</f>
        <v>28062500</v>
      </c>
      <c r="H14" s="34">
        <v>10</v>
      </c>
      <c r="I14" s="31">
        <f>SUM(I15:I16)</f>
        <v>8887000</v>
      </c>
      <c r="J14" s="34">
        <v>10</v>
      </c>
      <c r="K14" s="31">
        <f t="shared" ref="K14:S14" si="6">SUM(K15:K16)</f>
        <v>9281250</v>
      </c>
      <c r="L14" s="34">
        <f t="shared" si="6"/>
        <v>4</v>
      </c>
      <c r="M14" s="31">
        <f t="shared" si="6"/>
        <v>701500</v>
      </c>
      <c r="N14" s="34">
        <f t="shared" si="6"/>
        <v>2</v>
      </c>
      <c r="O14" s="31">
        <f t="shared" si="6"/>
        <v>1308750</v>
      </c>
      <c r="P14" s="34">
        <f t="shared" si="6"/>
        <v>2</v>
      </c>
      <c r="Q14" s="31">
        <f t="shared" si="6"/>
        <v>2064000</v>
      </c>
      <c r="R14" s="34"/>
      <c r="S14" s="31">
        <f t="shared" si="6"/>
        <v>0</v>
      </c>
      <c r="T14" s="42">
        <f t="shared" si="0"/>
        <v>8</v>
      </c>
      <c r="U14" s="43">
        <f t="shared" si="1"/>
        <v>80</v>
      </c>
      <c r="V14" s="35" t="s">
        <v>43</v>
      </c>
      <c r="W14" s="52">
        <f t="shared" si="2"/>
        <v>4074250</v>
      </c>
      <c r="X14" s="53">
        <f t="shared" si="3"/>
        <v>43.897643097643098</v>
      </c>
      <c r="Y14" s="35" t="s">
        <v>43</v>
      </c>
      <c r="Z14" s="42">
        <f t="shared" si="4"/>
        <v>18</v>
      </c>
      <c r="AA14" s="39">
        <f t="shared" si="5"/>
        <v>12961250</v>
      </c>
      <c r="AB14" s="43"/>
      <c r="AC14" s="35" t="s">
        <v>43</v>
      </c>
      <c r="AD14" s="43"/>
      <c r="AE14" s="70"/>
      <c r="AH14" s="110"/>
    </row>
    <row r="15" spans="1:37" ht="75" x14ac:dyDescent="0.2">
      <c r="A15" s="10"/>
      <c r="B15" s="11"/>
      <c r="C15" s="18" t="s">
        <v>55</v>
      </c>
      <c r="D15" s="20" t="s">
        <v>131</v>
      </c>
      <c r="E15" s="14">
        <v>18</v>
      </c>
      <c r="F15" s="111" t="s">
        <v>42</v>
      </c>
      <c r="G15" s="15">
        <v>23462500</v>
      </c>
      <c r="H15" s="14">
        <v>6</v>
      </c>
      <c r="I15" s="15">
        <v>7395500</v>
      </c>
      <c r="J15" s="14">
        <v>6</v>
      </c>
      <c r="K15" s="15">
        <v>7731250</v>
      </c>
      <c r="L15" s="14">
        <v>3</v>
      </c>
      <c r="M15" s="15">
        <v>701500</v>
      </c>
      <c r="N15" s="14">
        <v>1</v>
      </c>
      <c r="O15" s="15">
        <v>583750</v>
      </c>
      <c r="P15" s="14">
        <v>1</v>
      </c>
      <c r="Q15" s="15">
        <v>1345250</v>
      </c>
      <c r="R15" s="14"/>
      <c r="S15" s="15"/>
      <c r="T15" s="41">
        <f t="shared" si="0"/>
        <v>5</v>
      </c>
      <c r="U15" s="41">
        <f t="shared" si="1"/>
        <v>83.333333333333343</v>
      </c>
      <c r="V15" s="25" t="s">
        <v>43</v>
      </c>
      <c r="W15" s="30">
        <f t="shared" si="2"/>
        <v>2630500</v>
      </c>
      <c r="X15" s="44">
        <f t="shared" si="3"/>
        <v>34.024252223120456</v>
      </c>
      <c r="Y15" s="25" t="s">
        <v>43</v>
      </c>
      <c r="Z15" s="41">
        <f t="shared" si="4"/>
        <v>11</v>
      </c>
      <c r="AA15" s="30">
        <f t="shared" si="5"/>
        <v>10026000</v>
      </c>
      <c r="AB15" s="44"/>
      <c r="AC15" s="25" t="s">
        <v>43</v>
      </c>
      <c r="AD15" s="44"/>
      <c r="AE15" s="9"/>
      <c r="AH15" s="17"/>
    </row>
    <row r="16" spans="1:37" ht="90" x14ac:dyDescent="0.2">
      <c r="A16" s="10"/>
      <c r="B16" s="11"/>
      <c r="C16" s="18" t="s">
        <v>56</v>
      </c>
      <c r="D16" s="20" t="s">
        <v>132</v>
      </c>
      <c r="E16" s="14">
        <v>12</v>
      </c>
      <c r="F16" s="111" t="s">
        <v>60</v>
      </c>
      <c r="G16" s="19">
        <v>4600000</v>
      </c>
      <c r="H16" s="14">
        <v>4</v>
      </c>
      <c r="I16" s="19">
        <v>1491500</v>
      </c>
      <c r="J16" s="14">
        <v>4</v>
      </c>
      <c r="K16" s="19">
        <v>1550000</v>
      </c>
      <c r="L16" s="14">
        <v>1</v>
      </c>
      <c r="M16" s="19">
        <v>0</v>
      </c>
      <c r="N16" s="14">
        <v>1</v>
      </c>
      <c r="O16" s="19">
        <v>725000</v>
      </c>
      <c r="P16" s="14">
        <v>1</v>
      </c>
      <c r="Q16" s="19">
        <v>718750</v>
      </c>
      <c r="R16" s="14"/>
      <c r="S16" s="19"/>
      <c r="T16" s="41">
        <f t="shared" si="0"/>
        <v>3</v>
      </c>
      <c r="U16" s="41">
        <f t="shared" si="1"/>
        <v>75</v>
      </c>
      <c r="V16" s="25" t="s">
        <v>43</v>
      </c>
      <c r="W16" s="30">
        <f t="shared" si="2"/>
        <v>1443750</v>
      </c>
      <c r="X16" s="44">
        <f t="shared" si="3"/>
        <v>93.145161290322577</v>
      </c>
      <c r="Y16" s="25" t="s">
        <v>43</v>
      </c>
      <c r="Z16" s="41">
        <f t="shared" si="4"/>
        <v>7</v>
      </c>
      <c r="AA16" s="30">
        <f t="shared" si="5"/>
        <v>2935250</v>
      </c>
      <c r="AB16" s="44"/>
      <c r="AC16" s="25" t="s">
        <v>43</v>
      </c>
      <c r="AD16" s="44"/>
      <c r="AE16" s="9"/>
      <c r="AH16" s="17"/>
    </row>
    <row r="17" spans="1:34" ht="94.5" x14ac:dyDescent="0.2">
      <c r="A17" s="10"/>
      <c r="B17" s="11"/>
      <c r="C17" s="12" t="s">
        <v>57</v>
      </c>
      <c r="D17" s="13" t="s">
        <v>87</v>
      </c>
      <c r="E17" s="94">
        <v>42</v>
      </c>
      <c r="F17" s="95" t="s">
        <v>42</v>
      </c>
      <c r="G17" s="68">
        <f>SUM(G18:G21)</f>
        <v>10314643500</v>
      </c>
      <c r="H17" s="94">
        <v>14</v>
      </c>
      <c r="I17" s="68">
        <f>SUM(I18:I21)</f>
        <v>2174709346</v>
      </c>
      <c r="J17" s="94">
        <f>SUM(J19:J21)</f>
        <v>14</v>
      </c>
      <c r="K17" s="31">
        <f>SUM(K18:K21)</f>
        <v>2221588246</v>
      </c>
      <c r="L17" s="58">
        <f>SUM(L19:L21)</f>
        <v>3</v>
      </c>
      <c r="M17" s="31">
        <f>SUM(M18:M21)</f>
        <v>439200796</v>
      </c>
      <c r="N17" s="58">
        <v>4</v>
      </c>
      <c r="O17" s="31">
        <f>SUM(O18:O21)</f>
        <v>736952740</v>
      </c>
      <c r="P17" s="58">
        <v>4</v>
      </c>
      <c r="Q17" s="31">
        <f>SUM(Q18:Q21)</f>
        <v>588969631</v>
      </c>
      <c r="R17" s="58"/>
      <c r="S17" s="31"/>
      <c r="T17" s="42">
        <f t="shared" si="0"/>
        <v>11</v>
      </c>
      <c r="U17" s="43">
        <f t="shared" si="1"/>
        <v>78.571428571428569</v>
      </c>
      <c r="V17" s="40" t="s">
        <v>43</v>
      </c>
      <c r="W17" s="39">
        <f t="shared" si="2"/>
        <v>1765123167</v>
      </c>
      <c r="X17" s="43">
        <f t="shared" si="3"/>
        <v>79.453209665568252</v>
      </c>
      <c r="Y17" s="40" t="s">
        <v>43</v>
      </c>
      <c r="Z17" s="42">
        <f t="shared" si="4"/>
        <v>25</v>
      </c>
      <c r="AA17" s="39">
        <f t="shared" si="5"/>
        <v>3939832513</v>
      </c>
      <c r="AB17" s="43"/>
      <c r="AC17" s="40" t="s">
        <v>43</v>
      </c>
      <c r="AD17" s="43"/>
      <c r="AE17" s="21"/>
      <c r="AH17" s="17"/>
    </row>
    <row r="18" spans="1:34" ht="90" x14ac:dyDescent="0.2">
      <c r="A18" s="10"/>
      <c r="B18" s="11"/>
      <c r="C18" s="18" t="s">
        <v>58</v>
      </c>
      <c r="D18" s="18" t="s">
        <v>133</v>
      </c>
      <c r="E18" s="96">
        <v>57</v>
      </c>
      <c r="F18" s="97" t="s">
        <v>112</v>
      </c>
      <c r="G18" s="66">
        <v>10298256000</v>
      </c>
      <c r="H18" s="96">
        <v>19</v>
      </c>
      <c r="I18" s="66">
        <v>2170239346</v>
      </c>
      <c r="J18" s="96">
        <v>19</v>
      </c>
      <c r="K18" s="15">
        <v>2217194496</v>
      </c>
      <c r="L18" s="32">
        <v>19</v>
      </c>
      <c r="M18" s="66">
        <v>438383946</v>
      </c>
      <c r="N18" s="32">
        <v>19</v>
      </c>
      <c r="O18" s="15">
        <v>736582990</v>
      </c>
      <c r="P18" s="32">
        <v>19</v>
      </c>
      <c r="Q18" s="15">
        <v>587852131</v>
      </c>
      <c r="R18" s="32"/>
      <c r="S18" s="15"/>
      <c r="T18" s="41">
        <f>AVERAGE(L18,N18,P18,R18)</f>
        <v>19</v>
      </c>
      <c r="U18" s="44">
        <f t="shared" si="1"/>
        <v>100</v>
      </c>
      <c r="V18" s="25" t="s">
        <v>43</v>
      </c>
      <c r="W18" s="30">
        <f t="shared" si="2"/>
        <v>1762819067</v>
      </c>
      <c r="X18" s="44">
        <f t="shared" si="3"/>
        <v>79.50674017007843</v>
      </c>
      <c r="Y18" s="25" t="s">
        <v>43</v>
      </c>
      <c r="Z18" s="41">
        <f t="shared" si="4"/>
        <v>38</v>
      </c>
      <c r="AA18" s="30">
        <f t="shared" si="5"/>
        <v>3933058413</v>
      </c>
      <c r="AB18" s="44"/>
      <c r="AC18" s="25" t="s">
        <v>43</v>
      </c>
      <c r="AD18" s="44"/>
      <c r="AE18" s="9"/>
      <c r="AH18" s="17"/>
    </row>
    <row r="19" spans="1:34" ht="195" x14ac:dyDescent="0.2">
      <c r="A19" s="10"/>
      <c r="B19" s="11"/>
      <c r="C19" s="18" t="s">
        <v>59</v>
      </c>
      <c r="D19" s="20" t="s">
        <v>134</v>
      </c>
      <c r="E19" s="96">
        <v>3</v>
      </c>
      <c r="F19" s="97" t="s">
        <v>60</v>
      </c>
      <c r="G19" s="66">
        <v>6562500</v>
      </c>
      <c r="H19" s="96">
        <v>1</v>
      </c>
      <c r="I19" s="66">
        <v>1812500</v>
      </c>
      <c r="J19" s="96">
        <v>1</v>
      </c>
      <c r="K19" s="15">
        <v>2281250</v>
      </c>
      <c r="L19" s="32">
        <v>0</v>
      </c>
      <c r="M19" s="66">
        <v>816850</v>
      </c>
      <c r="N19" s="32">
        <v>0</v>
      </c>
      <c r="O19" s="15">
        <v>0</v>
      </c>
      <c r="P19" s="32">
        <v>0</v>
      </c>
      <c r="Q19" s="15">
        <v>0</v>
      </c>
      <c r="R19" s="32"/>
      <c r="S19" s="15"/>
      <c r="T19" s="41">
        <f t="shared" si="0"/>
        <v>0</v>
      </c>
      <c r="U19" s="41">
        <f t="shared" si="1"/>
        <v>0</v>
      </c>
      <c r="V19" s="25" t="s">
        <v>43</v>
      </c>
      <c r="W19" s="30">
        <f t="shared" si="2"/>
        <v>816850</v>
      </c>
      <c r="X19" s="44">
        <f t="shared" si="3"/>
        <v>35.807123287671232</v>
      </c>
      <c r="Y19" s="25" t="s">
        <v>43</v>
      </c>
      <c r="Z19" s="41">
        <f t="shared" si="4"/>
        <v>1</v>
      </c>
      <c r="AA19" s="30">
        <f t="shared" si="5"/>
        <v>2629350</v>
      </c>
      <c r="AB19" s="44"/>
      <c r="AC19" s="25" t="s">
        <v>43</v>
      </c>
      <c r="AD19" s="44"/>
      <c r="AE19" s="9"/>
      <c r="AH19" s="17"/>
    </row>
    <row r="20" spans="1:34" ht="210" x14ac:dyDescent="0.2">
      <c r="A20" s="10"/>
      <c r="B20" s="11"/>
      <c r="C20" s="18" t="s">
        <v>61</v>
      </c>
      <c r="D20" s="20" t="s">
        <v>135</v>
      </c>
      <c r="E20" s="96">
        <v>36</v>
      </c>
      <c r="F20" s="97" t="s">
        <v>60</v>
      </c>
      <c r="G20" s="66">
        <v>5025000</v>
      </c>
      <c r="H20" s="96">
        <v>12</v>
      </c>
      <c r="I20" s="66">
        <v>1207500</v>
      </c>
      <c r="J20" s="96">
        <v>12</v>
      </c>
      <c r="K20" s="15">
        <v>1762500</v>
      </c>
      <c r="L20" s="32">
        <v>3</v>
      </c>
      <c r="M20" s="15">
        <v>0</v>
      </c>
      <c r="N20" s="32">
        <v>3</v>
      </c>
      <c r="O20" s="15">
        <v>369750</v>
      </c>
      <c r="P20" s="32">
        <v>3</v>
      </c>
      <c r="Q20" s="15">
        <v>878250</v>
      </c>
      <c r="R20" s="32"/>
      <c r="S20" s="15"/>
      <c r="T20" s="41">
        <f t="shared" si="0"/>
        <v>9</v>
      </c>
      <c r="U20" s="41">
        <f t="shared" si="1"/>
        <v>75</v>
      </c>
      <c r="V20" s="25" t="s">
        <v>43</v>
      </c>
      <c r="W20" s="30">
        <f t="shared" si="2"/>
        <v>1248000</v>
      </c>
      <c r="X20" s="44">
        <f t="shared" si="3"/>
        <v>70.808510638297875</v>
      </c>
      <c r="Y20" s="25" t="s">
        <v>43</v>
      </c>
      <c r="Z20" s="41">
        <f t="shared" si="4"/>
        <v>21</v>
      </c>
      <c r="AA20" s="30">
        <f t="shared" si="5"/>
        <v>2455500</v>
      </c>
      <c r="AB20" s="44"/>
      <c r="AC20" s="25" t="s">
        <v>43</v>
      </c>
      <c r="AD20" s="44"/>
      <c r="AE20" s="9"/>
      <c r="AH20" s="17"/>
    </row>
    <row r="21" spans="1:34" ht="103.5" customHeight="1" x14ac:dyDescent="0.2">
      <c r="A21" s="10"/>
      <c r="B21" s="11"/>
      <c r="C21" s="18" t="s">
        <v>62</v>
      </c>
      <c r="D21" s="20" t="s">
        <v>136</v>
      </c>
      <c r="E21" s="96">
        <v>3</v>
      </c>
      <c r="F21" s="97" t="s">
        <v>42</v>
      </c>
      <c r="G21" s="66">
        <v>4800000</v>
      </c>
      <c r="H21" s="96">
        <v>1</v>
      </c>
      <c r="I21" s="66">
        <v>1450000</v>
      </c>
      <c r="J21" s="96">
        <v>1</v>
      </c>
      <c r="K21" s="15">
        <v>350000</v>
      </c>
      <c r="L21" s="32">
        <v>0</v>
      </c>
      <c r="M21" s="15">
        <v>0</v>
      </c>
      <c r="N21" s="32">
        <v>1</v>
      </c>
      <c r="O21" s="15">
        <v>0</v>
      </c>
      <c r="P21" s="32">
        <v>0</v>
      </c>
      <c r="Q21" s="15">
        <v>239250</v>
      </c>
      <c r="R21" s="32"/>
      <c r="S21" s="15"/>
      <c r="T21" s="41">
        <f t="shared" si="0"/>
        <v>1</v>
      </c>
      <c r="U21" s="41">
        <f t="shared" si="1"/>
        <v>100</v>
      </c>
      <c r="V21" s="25" t="s">
        <v>43</v>
      </c>
      <c r="W21" s="30">
        <f t="shared" si="2"/>
        <v>239250</v>
      </c>
      <c r="X21" s="44">
        <f t="shared" si="3"/>
        <v>68.357142857142861</v>
      </c>
      <c r="Y21" s="25" t="s">
        <v>43</v>
      </c>
      <c r="Z21" s="41">
        <f t="shared" si="4"/>
        <v>2</v>
      </c>
      <c r="AA21" s="30">
        <f t="shared" si="5"/>
        <v>1689250</v>
      </c>
      <c r="AB21" s="44"/>
      <c r="AC21" s="25" t="s">
        <v>43</v>
      </c>
      <c r="AD21" s="44"/>
      <c r="AE21" s="9"/>
      <c r="AH21" s="17"/>
    </row>
    <row r="22" spans="1:34" ht="94.5" x14ac:dyDescent="0.2">
      <c r="A22" s="10"/>
      <c r="B22" s="11"/>
      <c r="C22" s="11" t="s">
        <v>63</v>
      </c>
      <c r="D22" s="75" t="s">
        <v>94</v>
      </c>
      <c r="E22" s="94">
        <v>100</v>
      </c>
      <c r="F22" s="95" t="s">
        <v>43</v>
      </c>
      <c r="G22" s="68">
        <f>SUM(G23:G28)</f>
        <v>1057787800</v>
      </c>
      <c r="H22" s="94">
        <v>100</v>
      </c>
      <c r="I22" s="68">
        <f>SUM(I23:I28)</f>
        <v>254673825</v>
      </c>
      <c r="J22" s="94">
        <v>100</v>
      </c>
      <c r="K22" s="31">
        <f>SUM(K23:K28)</f>
        <v>182164600</v>
      </c>
      <c r="L22" s="58">
        <v>25</v>
      </c>
      <c r="M22" s="31">
        <f>SUM(M23:M28)</f>
        <v>22605106</v>
      </c>
      <c r="N22" s="58">
        <v>25</v>
      </c>
      <c r="O22" s="31">
        <f>SUM(O23:O28)</f>
        <v>70308500</v>
      </c>
      <c r="P22" s="58">
        <v>25</v>
      </c>
      <c r="Q22" s="31">
        <f>SUM(Q23:Q28)</f>
        <v>24723000</v>
      </c>
      <c r="R22" s="58"/>
      <c r="S22" s="31"/>
      <c r="T22" s="42">
        <f t="shared" si="0"/>
        <v>75</v>
      </c>
      <c r="U22" s="42">
        <f t="shared" si="1"/>
        <v>75</v>
      </c>
      <c r="V22" s="40" t="s">
        <v>43</v>
      </c>
      <c r="W22" s="39">
        <f t="shared" si="2"/>
        <v>117636606</v>
      </c>
      <c r="X22" s="43">
        <f t="shared" si="3"/>
        <v>64.577094561731528</v>
      </c>
      <c r="Y22" s="40" t="s">
        <v>43</v>
      </c>
      <c r="Z22" s="42">
        <f t="shared" si="4"/>
        <v>175</v>
      </c>
      <c r="AA22" s="39">
        <f t="shared" si="5"/>
        <v>372310431</v>
      </c>
      <c r="AB22" s="43"/>
      <c r="AC22" s="40" t="s">
        <v>43</v>
      </c>
      <c r="AD22" s="43"/>
      <c r="AE22" s="9"/>
      <c r="AH22" s="17"/>
    </row>
    <row r="23" spans="1:34" ht="120" x14ac:dyDescent="0.2">
      <c r="A23" s="10"/>
      <c r="B23" s="11"/>
      <c r="C23" s="20" t="s">
        <v>64</v>
      </c>
      <c r="D23" s="20" t="s">
        <v>137</v>
      </c>
      <c r="E23" s="96">
        <v>36</v>
      </c>
      <c r="F23" s="97" t="s">
        <v>109</v>
      </c>
      <c r="G23" s="66">
        <v>10794000</v>
      </c>
      <c r="H23" s="96">
        <v>12</v>
      </c>
      <c r="I23" s="66">
        <v>3434000</v>
      </c>
      <c r="J23" s="96">
        <v>12</v>
      </c>
      <c r="K23" s="15">
        <v>1879700</v>
      </c>
      <c r="L23" s="32">
        <v>3</v>
      </c>
      <c r="M23" s="15">
        <v>0</v>
      </c>
      <c r="N23" s="32">
        <v>3</v>
      </c>
      <c r="O23" s="15">
        <v>0</v>
      </c>
      <c r="P23" s="32">
        <v>6</v>
      </c>
      <c r="Q23" s="15">
        <v>1329700</v>
      </c>
      <c r="R23" s="32"/>
      <c r="S23" s="15"/>
      <c r="T23" s="41">
        <f t="shared" si="0"/>
        <v>12</v>
      </c>
      <c r="U23" s="41">
        <f t="shared" si="1"/>
        <v>100</v>
      </c>
      <c r="V23" s="25" t="s">
        <v>43</v>
      </c>
      <c r="W23" s="30">
        <f t="shared" si="2"/>
        <v>1329700</v>
      </c>
      <c r="X23" s="44">
        <f t="shared" si="3"/>
        <v>70.740011703995322</v>
      </c>
      <c r="Y23" s="25" t="s">
        <v>43</v>
      </c>
      <c r="Z23" s="41">
        <f t="shared" si="4"/>
        <v>24</v>
      </c>
      <c r="AA23" s="30">
        <f t="shared" si="5"/>
        <v>4763700</v>
      </c>
      <c r="AB23" s="44"/>
      <c r="AC23" s="25" t="s">
        <v>43</v>
      </c>
      <c r="AD23" s="44"/>
      <c r="AE23" s="9"/>
      <c r="AH23" s="17"/>
    </row>
    <row r="24" spans="1:34" ht="78" customHeight="1" x14ac:dyDescent="0.2">
      <c r="A24" s="10"/>
      <c r="B24" s="11"/>
      <c r="C24" s="20" t="s">
        <v>65</v>
      </c>
      <c r="D24" s="20" t="s">
        <v>138</v>
      </c>
      <c r="E24" s="96">
        <v>36</v>
      </c>
      <c r="F24" s="97" t="s">
        <v>109</v>
      </c>
      <c r="G24" s="66">
        <v>249080600</v>
      </c>
      <c r="H24" s="96">
        <v>12</v>
      </c>
      <c r="I24" s="66">
        <v>71917725</v>
      </c>
      <c r="J24" s="96">
        <v>12</v>
      </c>
      <c r="K24" s="15">
        <v>26980600</v>
      </c>
      <c r="L24" s="32">
        <v>3</v>
      </c>
      <c r="M24" s="66">
        <v>200000</v>
      </c>
      <c r="N24" s="32">
        <v>3</v>
      </c>
      <c r="O24" s="15">
        <v>7806000</v>
      </c>
      <c r="P24" s="32">
        <v>3</v>
      </c>
      <c r="Q24" s="15">
        <v>9393300</v>
      </c>
      <c r="R24" s="32"/>
      <c r="S24" s="15"/>
      <c r="T24" s="41">
        <f t="shared" si="0"/>
        <v>9</v>
      </c>
      <c r="U24" s="41">
        <f t="shared" si="1"/>
        <v>75</v>
      </c>
      <c r="V24" s="25" t="s">
        <v>43</v>
      </c>
      <c r="W24" s="30">
        <f t="shared" si="2"/>
        <v>17399300</v>
      </c>
      <c r="X24" s="44">
        <f t="shared" si="3"/>
        <v>64.488187809018328</v>
      </c>
      <c r="Y24" s="25" t="s">
        <v>43</v>
      </c>
      <c r="Z24" s="41">
        <f t="shared" si="4"/>
        <v>21</v>
      </c>
      <c r="AA24" s="30">
        <f t="shared" si="5"/>
        <v>89317025</v>
      </c>
      <c r="AB24" s="44"/>
      <c r="AC24" s="25" t="s">
        <v>43</v>
      </c>
      <c r="AD24" s="44"/>
      <c r="AE24" s="9"/>
      <c r="AH24" s="17"/>
    </row>
    <row r="25" spans="1:34" ht="75" x14ac:dyDescent="0.2">
      <c r="A25" s="10"/>
      <c r="B25" s="11"/>
      <c r="C25" s="20" t="s">
        <v>66</v>
      </c>
      <c r="D25" s="18" t="s">
        <v>139</v>
      </c>
      <c r="E25" s="96">
        <v>36</v>
      </c>
      <c r="F25" s="97" t="s">
        <v>109</v>
      </c>
      <c r="G25" s="66">
        <v>139178500</v>
      </c>
      <c r="H25" s="96">
        <v>12</v>
      </c>
      <c r="I25" s="66">
        <v>19873000</v>
      </c>
      <c r="J25" s="96">
        <v>12</v>
      </c>
      <c r="K25" s="15">
        <v>46436700</v>
      </c>
      <c r="L25" s="32">
        <v>3</v>
      </c>
      <c r="M25" s="66">
        <v>1912500</v>
      </c>
      <c r="N25" s="32">
        <v>3</v>
      </c>
      <c r="O25" s="15">
        <v>11792000</v>
      </c>
      <c r="P25" s="32">
        <v>3</v>
      </c>
      <c r="Q25" s="15">
        <v>1500000</v>
      </c>
      <c r="R25" s="32"/>
      <c r="S25" s="15"/>
      <c r="T25" s="41">
        <f t="shared" si="0"/>
        <v>9</v>
      </c>
      <c r="U25" s="41">
        <f t="shared" si="1"/>
        <v>75</v>
      </c>
      <c r="V25" s="25" t="s">
        <v>43</v>
      </c>
      <c r="W25" s="30">
        <f t="shared" si="2"/>
        <v>15204500</v>
      </c>
      <c r="X25" s="44">
        <f t="shared" si="3"/>
        <v>32.742421403760389</v>
      </c>
      <c r="Y25" s="25" t="s">
        <v>43</v>
      </c>
      <c r="Z25" s="41">
        <f t="shared" si="4"/>
        <v>21</v>
      </c>
      <c r="AA25" s="30">
        <f t="shared" si="5"/>
        <v>35077500</v>
      </c>
      <c r="AB25" s="44"/>
      <c r="AC25" s="25" t="s">
        <v>43</v>
      </c>
      <c r="AD25" s="44"/>
      <c r="AE25" s="9"/>
      <c r="AH25" s="17"/>
    </row>
    <row r="26" spans="1:34" ht="90" x14ac:dyDescent="0.2">
      <c r="A26" s="10"/>
      <c r="B26" s="11"/>
      <c r="C26" s="20" t="s">
        <v>67</v>
      </c>
      <c r="D26" s="18" t="s">
        <v>140</v>
      </c>
      <c r="E26" s="96">
        <v>36</v>
      </c>
      <c r="F26" s="97" t="s">
        <v>109</v>
      </c>
      <c r="G26" s="66">
        <v>83454700</v>
      </c>
      <c r="H26" s="96">
        <v>12</v>
      </c>
      <c r="I26" s="66">
        <v>19790000</v>
      </c>
      <c r="J26" s="96">
        <v>12</v>
      </c>
      <c r="K26" s="15">
        <v>26867600</v>
      </c>
      <c r="L26" s="32">
        <v>3</v>
      </c>
      <c r="M26" s="66">
        <v>1500000</v>
      </c>
      <c r="N26" s="32">
        <v>3</v>
      </c>
      <c r="O26" s="15">
        <v>4585000</v>
      </c>
      <c r="P26" s="32">
        <v>3</v>
      </c>
      <c r="Q26" s="15">
        <v>6180000</v>
      </c>
      <c r="R26" s="32"/>
      <c r="S26" s="15"/>
      <c r="T26" s="41">
        <f t="shared" si="0"/>
        <v>9</v>
      </c>
      <c r="U26" s="41">
        <f t="shared" si="1"/>
        <v>75</v>
      </c>
      <c r="V26" s="25" t="s">
        <v>43</v>
      </c>
      <c r="W26" s="30">
        <f t="shared" si="2"/>
        <v>12265000</v>
      </c>
      <c r="X26" s="44">
        <f t="shared" si="3"/>
        <v>45.649778915868929</v>
      </c>
      <c r="Y26" s="25" t="s">
        <v>43</v>
      </c>
      <c r="Z26" s="41">
        <f t="shared" si="4"/>
        <v>21</v>
      </c>
      <c r="AA26" s="30">
        <f t="shared" si="5"/>
        <v>32055000</v>
      </c>
      <c r="AB26" s="44"/>
      <c r="AC26" s="25" t="s">
        <v>43</v>
      </c>
      <c r="AD26" s="44"/>
      <c r="AE26" s="9"/>
      <c r="AH26" s="17"/>
    </row>
    <row r="27" spans="1:34" ht="120" x14ac:dyDescent="0.2">
      <c r="A27" s="10"/>
      <c r="B27" s="11"/>
      <c r="C27" s="20" t="s">
        <v>69</v>
      </c>
      <c r="D27" s="85" t="s">
        <v>141</v>
      </c>
      <c r="E27" s="96">
        <v>36</v>
      </c>
      <c r="F27" s="97" t="s">
        <v>60</v>
      </c>
      <c r="G27" s="66">
        <v>570000000</v>
      </c>
      <c r="H27" s="96">
        <v>12</v>
      </c>
      <c r="I27" s="66">
        <f>138581600-162500</f>
        <v>138419100</v>
      </c>
      <c r="J27" s="96">
        <v>12</v>
      </c>
      <c r="K27" s="15">
        <v>80000000</v>
      </c>
      <c r="L27" s="32">
        <v>3</v>
      </c>
      <c r="M27" s="66">
        <v>18992606</v>
      </c>
      <c r="N27" s="32">
        <v>3</v>
      </c>
      <c r="O27" s="15">
        <v>46125500</v>
      </c>
      <c r="P27" s="32">
        <v>3</v>
      </c>
      <c r="Q27" s="15">
        <v>6320000</v>
      </c>
      <c r="R27" s="32"/>
      <c r="S27" s="15"/>
      <c r="T27" s="41">
        <f t="shared" si="0"/>
        <v>9</v>
      </c>
      <c r="U27" s="41">
        <f t="shared" si="1"/>
        <v>75</v>
      </c>
      <c r="V27" s="25" t="s">
        <v>43</v>
      </c>
      <c r="W27" s="30">
        <f t="shared" si="2"/>
        <v>71438106</v>
      </c>
      <c r="X27" s="44">
        <f t="shared" si="3"/>
        <v>89.297632500000006</v>
      </c>
      <c r="Y27" s="25" t="s">
        <v>43</v>
      </c>
      <c r="Z27" s="41">
        <f t="shared" si="4"/>
        <v>21</v>
      </c>
      <c r="AA27" s="30">
        <f t="shared" si="5"/>
        <v>209857206</v>
      </c>
      <c r="AB27" s="44"/>
      <c r="AC27" s="25" t="s">
        <v>43</v>
      </c>
      <c r="AD27" s="44"/>
      <c r="AE27" s="9"/>
      <c r="AH27" s="17"/>
    </row>
    <row r="28" spans="1:34" ht="138.75" customHeight="1" x14ac:dyDescent="0.2">
      <c r="A28" s="10"/>
      <c r="B28" s="11"/>
      <c r="C28" s="77" t="s">
        <v>68</v>
      </c>
      <c r="D28" s="78" t="s">
        <v>108</v>
      </c>
      <c r="E28" s="96"/>
      <c r="F28" s="97" t="s">
        <v>42</v>
      </c>
      <c r="G28" s="66">
        <v>5280000</v>
      </c>
      <c r="H28" s="96">
        <v>12</v>
      </c>
      <c r="I28" s="66">
        <v>1240000</v>
      </c>
      <c r="J28" s="96"/>
      <c r="K28" s="15"/>
      <c r="L28" s="32"/>
      <c r="M28" s="15"/>
      <c r="N28" s="32"/>
      <c r="O28" s="15"/>
      <c r="P28" s="32"/>
      <c r="Q28" s="15"/>
      <c r="R28" s="32"/>
      <c r="S28" s="15"/>
      <c r="T28" s="41"/>
      <c r="U28" s="41"/>
      <c r="V28" s="25"/>
      <c r="W28" s="30"/>
      <c r="X28" s="44"/>
      <c r="Y28" s="25"/>
      <c r="Z28" s="41">
        <f t="shared" si="4"/>
        <v>12</v>
      </c>
      <c r="AA28" s="30">
        <f t="shared" si="5"/>
        <v>1240000</v>
      </c>
      <c r="AB28" s="44"/>
      <c r="AC28" s="25" t="s">
        <v>43</v>
      </c>
      <c r="AD28" s="44"/>
      <c r="AE28" s="9"/>
      <c r="AH28" s="17"/>
    </row>
    <row r="29" spans="1:34" ht="141.75" x14ac:dyDescent="0.2">
      <c r="A29" s="10"/>
      <c r="B29" s="11"/>
      <c r="C29" s="13" t="s">
        <v>70</v>
      </c>
      <c r="D29" s="73" t="s">
        <v>93</v>
      </c>
      <c r="E29" s="94">
        <v>100</v>
      </c>
      <c r="F29" s="95" t="s">
        <v>43</v>
      </c>
      <c r="G29" s="68">
        <f>SUM(G30:G32)</f>
        <v>4267382000</v>
      </c>
      <c r="H29" s="94">
        <v>100</v>
      </c>
      <c r="I29" s="68">
        <f>SUM(I30:I32)</f>
        <v>1257212240</v>
      </c>
      <c r="J29" s="94">
        <v>100</v>
      </c>
      <c r="K29" s="31">
        <f>SUM(K30:K32)</f>
        <v>1334388805</v>
      </c>
      <c r="L29" s="58">
        <v>25</v>
      </c>
      <c r="M29" s="31">
        <f>SUM(M30:M32)</f>
        <v>302859295</v>
      </c>
      <c r="N29" s="58">
        <v>25</v>
      </c>
      <c r="O29" s="31">
        <f>SUM(O30:O32)</f>
        <v>278209200</v>
      </c>
      <c r="P29" s="58">
        <v>25</v>
      </c>
      <c r="Q29" s="31">
        <f>SUM(Q30:Q32)</f>
        <v>296902106</v>
      </c>
      <c r="R29" s="58"/>
      <c r="S29" s="31"/>
      <c r="T29" s="42">
        <f t="shared" ref="T29:T35" si="7">SUM(L29,N29,P29,R29)</f>
        <v>75</v>
      </c>
      <c r="U29" s="42">
        <f t="shared" ref="U29:U35" si="8">T29/J29*100</f>
        <v>75</v>
      </c>
      <c r="V29" s="40" t="s">
        <v>43</v>
      </c>
      <c r="W29" s="39">
        <f t="shared" ref="W29:W35" si="9">SUM(M29,O29,Q29,S29)</f>
        <v>877970601</v>
      </c>
      <c r="X29" s="43">
        <f t="shared" ref="X29:X35" si="10">W29/K29*100</f>
        <v>65.795710943483215</v>
      </c>
      <c r="Y29" s="40" t="s">
        <v>43</v>
      </c>
      <c r="Z29" s="42">
        <f t="shared" si="4"/>
        <v>175</v>
      </c>
      <c r="AA29" s="39">
        <f t="shared" si="5"/>
        <v>2135182841</v>
      </c>
      <c r="AB29" s="43"/>
      <c r="AC29" s="40" t="s">
        <v>43</v>
      </c>
      <c r="AD29" s="43"/>
      <c r="AE29" s="9"/>
      <c r="AH29" s="17"/>
    </row>
    <row r="30" spans="1:34" ht="75" x14ac:dyDescent="0.2">
      <c r="A30" s="10"/>
      <c r="B30" s="11"/>
      <c r="C30" s="20" t="s">
        <v>71</v>
      </c>
      <c r="D30" s="20" t="s">
        <v>142</v>
      </c>
      <c r="E30" s="98">
        <v>36</v>
      </c>
      <c r="F30" s="93" t="s">
        <v>60</v>
      </c>
      <c r="G30" s="66">
        <v>800000</v>
      </c>
      <c r="H30" s="98">
        <v>12</v>
      </c>
      <c r="I30" s="66">
        <v>254000</v>
      </c>
      <c r="J30" s="98">
        <v>12</v>
      </c>
      <c r="K30" s="15">
        <v>250000</v>
      </c>
      <c r="L30" s="33">
        <v>3</v>
      </c>
      <c r="M30" s="15">
        <v>0</v>
      </c>
      <c r="N30" s="33">
        <v>3</v>
      </c>
      <c r="O30" s="15">
        <v>0</v>
      </c>
      <c r="P30" s="33">
        <v>3</v>
      </c>
      <c r="Q30" s="15">
        <v>204500</v>
      </c>
      <c r="R30" s="33"/>
      <c r="S30" s="15"/>
      <c r="T30" s="41">
        <f t="shared" si="7"/>
        <v>9</v>
      </c>
      <c r="U30" s="41">
        <f t="shared" si="8"/>
        <v>75</v>
      </c>
      <c r="V30" s="25" t="s">
        <v>43</v>
      </c>
      <c r="W30" s="30">
        <f t="shared" si="9"/>
        <v>204500</v>
      </c>
      <c r="X30" s="44">
        <f t="shared" si="10"/>
        <v>81.8</v>
      </c>
      <c r="Y30" s="25" t="s">
        <v>43</v>
      </c>
      <c r="Z30" s="41">
        <f t="shared" si="4"/>
        <v>21</v>
      </c>
      <c r="AA30" s="30">
        <f t="shared" si="5"/>
        <v>458500</v>
      </c>
      <c r="AB30" s="44"/>
      <c r="AC30" s="25" t="s">
        <v>43</v>
      </c>
      <c r="AD30" s="44"/>
      <c r="AE30" s="9"/>
      <c r="AH30" s="17"/>
    </row>
    <row r="31" spans="1:34" ht="135" x14ac:dyDescent="0.2">
      <c r="A31" s="10"/>
      <c r="B31" s="11"/>
      <c r="C31" s="20" t="s">
        <v>72</v>
      </c>
      <c r="D31" s="20" t="s">
        <v>143</v>
      </c>
      <c r="E31" s="98">
        <v>36</v>
      </c>
      <c r="F31" s="93" t="s">
        <v>60</v>
      </c>
      <c r="G31" s="66">
        <v>101400000</v>
      </c>
      <c r="H31" s="98">
        <v>12</v>
      </c>
      <c r="I31" s="66">
        <v>24868750</v>
      </c>
      <c r="J31" s="98">
        <v>12</v>
      </c>
      <c r="K31" s="15">
        <v>25850805</v>
      </c>
      <c r="L31" s="33">
        <v>3</v>
      </c>
      <c r="M31" s="66">
        <v>4352855</v>
      </c>
      <c r="N31" s="33">
        <v>3</v>
      </c>
      <c r="O31" s="15">
        <v>3611080</v>
      </c>
      <c r="P31" s="33">
        <v>3</v>
      </c>
      <c r="Q31" s="15">
        <v>4874806</v>
      </c>
      <c r="R31" s="33"/>
      <c r="S31" s="15"/>
      <c r="T31" s="41">
        <f t="shared" si="7"/>
        <v>9</v>
      </c>
      <c r="U31" s="41">
        <f t="shared" si="8"/>
        <v>75</v>
      </c>
      <c r="V31" s="25" t="s">
        <v>43</v>
      </c>
      <c r="W31" s="30">
        <f t="shared" si="9"/>
        <v>12838741</v>
      </c>
      <c r="X31" s="44">
        <f t="shared" si="10"/>
        <v>49.664762857481612</v>
      </c>
      <c r="Y31" s="25" t="s">
        <v>43</v>
      </c>
      <c r="Z31" s="41">
        <f t="shared" si="4"/>
        <v>21</v>
      </c>
      <c r="AA31" s="30">
        <f t="shared" si="5"/>
        <v>37707491</v>
      </c>
      <c r="AB31" s="44"/>
      <c r="AC31" s="25" t="s">
        <v>43</v>
      </c>
      <c r="AD31" s="44"/>
      <c r="AE31" s="9"/>
      <c r="AH31" s="17"/>
    </row>
    <row r="32" spans="1:34" ht="120" x14ac:dyDescent="0.2">
      <c r="A32" s="10"/>
      <c r="B32" s="11"/>
      <c r="C32" s="20" t="s">
        <v>73</v>
      </c>
      <c r="D32" s="20" t="s">
        <v>144</v>
      </c>
      <c r="E32" s="98">
        <v>36</v>
      </c>
      <c r="F32" s="93" t="s">
        <v>60</v>
      </c>
      <c r="G32" s="66">
        <v>4165182000</v>
      </c>
      <c r="H32" s="98">
        <v>12</v>
      </c>
      <c r="I32" s="66">
        <v>1232089490</v>
      </c>
      <c r="J32" s="98">
        <v>12</v>
      </c>
      <c r="K32" s="15">
        <v>1308288000</v>
      </c>
      <c r="L32" s="33">
        <v>3</v>
      </c>
      <c r="M32" s="66">
        <v>298506440</v>
      </c>
      <c r="N32" s="33">
        <v>3</v>
      </c>
      <c r="O32" s="15">
        <v>274598120</v>
      </c>
      <c r="P32" s="33">
        <v>3</v>
      </c>
      <c r="Q32" s="15">
        <v>291822800</v>
      </c>
      <c r="R32" s="33"/>
      <c r="S32" s="15"/>
      <c r="T32" s="41">
        <f t="shared" si="7"/>
        <v>9</v>
      </c>
      <c r="U32" s="41">
        <f t="shared" si="8"/>
        <v>75</v>
      </c>
      <c r="V32" s="25" t="s">
        <v>43</v>
      </c>
      <c r="W32" s="30">
        <f t="shared" si="9"/>
        <v>864927360</v>
      </c>
      <c r="X32" s="44">
        <f t="shared" si="10"/>
        <v>66.11138831816848</v>
      </c>
      <c r="Y32" s="25" t="s">
        <v>43</v>
      </c>
      <c r="Z32" s="41">
        <f t="shared" si="4"/>
        <v>21</v>
      </c>
      <c r="AA32" s="30">
        <f t="shared" si="5"/>
        <v>2097016850</v>
      </c>
      <c r="AB32" s="44"/>
      <c r="AC32" s="25" t="s">
        <v>43</v>
      </c>
      <c r="AD32" s="44"/>
      <c r="AE32" s="9"/>
      <c r="AH32" s="17"/>
    </row>
    <row r="33" spans="1:34" ht="220.5" x14ac:dyDescent="0.2">
      <c r="A33" s="10"/>
      <c r="B33" s="11"/>
      <c r="C33" s="13" t="s">
        <v>74</v>
      </c>
      <c r="D33" s="13" t="s">
        <v>95</v>
      </c>
      <c r="E33" s="94">
        <v>100</v>
      </c>
      <c r="F33" s="95" t="s">
        <v>43</v>
      </c>
      <c r="G33" s="68">
        <f>SUM(G34:G36)</f>
        <v>163976400</v>
      </c>
      <c r="H33" s="94">
        <v>100</v>
      </c>
      <c r="I33" s="68">
        <f>SUM(I34:I36)</f>
        <v>45926951</v>
      </c>
      <c r="J33" s="94">
        <v>100</v>
      </c>
      <c r="K33" s="31">
        <f>SUM(K34:K36)</f>
        <v>48190200</v>
      </c>
      <c r="L33" s="58">
        <v>25</v>
      </c>
      <c r="M33" s="31">
        <f>SUM(M34:M36)</f>
        <v>0</v>
      </c>
      <c r="N33" s="58">
        <v>25</v>
      </c>
      <c r="O33" s="31">
        <f>SUM(O34:O36)</f>
        <v>2128187</v>
      </c>
      <c r="P33" s="58">
        <v>25</v>
      </c>
      <c r="Q33" s="31">
        <f>SUM(Q34:Q36)</f>
        <v>6940000</v>
      </c>
      <c r="R33" s="58"/>
      <c r="S33" s="31"/>
      <c r="T33" s="42">
        <f t="shared" si="7"/>
        <v>75</v>
      </c>
      <c r="U33" s="42">
        <f t="shared" si="8"/>
        <v>75</v>
      </c>
      <c r="V33" s="40" t="s">
        <v>43</v>
      </c>
      <c r="W33" s="39">
        <f t="shared" si="9"/>
        <v>9068187</v>
      </c>
      <c r="X33" s="43">
        <f t="shared" si="10"/>
        <v>18.817491938194902</v>
      </c>
      <c r="Y33" s="40" t="s">
        <v>43</v>
      </c>
      <c r="Z33" s="42">
        <f t="shared" si="4"/>
        <v>175</v>
      </c>
      <c r="AA33" s="39">
        <f t="shared" si="5"/>
        <v>54995138</v>
      </c>
      <c r="AB33" s="43"/>
      <c r="AC33" s="40" t="s">
        <v>43</v>
      </c>
      <c r="AD33" s="43"/>
      <c r="AE33" s="9"/>
      <c r="AH33" s="17"/>
    </row>
    <row r="34" spans="1:34" ht="180" x14ac:dyDescent="0.2">
      <c r="A34" s="10"/>
      <c r="B34" s="11"/>
      <c r="C34" s="20" t="s">
        <v>75</v>
      </c>
      <c r="D34" s="72" t="s">
        <v>145</v>
      </c>
      <c r="E34" s="98">
        <v>18</v>
      </c>
      <c r="F34" s="93" t="s">
        <v>148</v>
      </c>
      <c r="G34" s="66">
        <v>120550000</v>
      </c>
      <c r="H34" s="98">
        <v>6</v>
      </c>
      <c r="I34" s="66">
        <v>26287851</v>
      </c>
      <c r="J34" s="33">
        <v>6</v>
      </c>
      <c r="K34" s="15">
        <v>41350000</v>
      </c>
      <c r="L34" s="33">
        <v>0</v>
      </c>
      <c r="M34" s="15">
        <v>0</v>
      </c>
      <c r="N34" s="33">
        <v>1</v>
      </c>
      <c r="O34" s="15">
        <v>2073187</v>
      </c>
      <c r="P34" s="33">
        <v>1</v>
      </c>
      <c r="Q34" s="15">
        <v>6240000</v>
      </c>
      <c r="R34" s="33"/>
      <c r="S34" s="15"/>
      <c r="T34" s="41">
        <f t="shared" si="7"/>
        <v>2</v>
      </c>
      <c r="U34" s="41">
        <f t="shared" si="8"/>
        <v>33.333333333333329</v>
      </c>
      <c r="V34" s="25" t="s">
        <v>43</v>
      </c>
      <c r="W34" s="30">
        <f t="shared" si="9"/>
        <v>8313187</v>
      </c>
      <c r="X34" s="44">
        <f t="shared" si="10"/>
        <v>20.104442563482465</v>
      </c>
      <c r="Y34" s="25" t="s">
        <v>43</v>
      </c>
      <c r="Z34" s="41">
        <f t="shared" si="4"/>
        <v>8</v>
      </c>
      <c r="AA34" s="30">
        <f t="shared" si="5"/>
        <v>34601038</v>
      </c>
      <c r="AB34" s="44"/>
      <c r="AC34" s="25" t="s">
        <v>43</v>
      </c>
      <c r="AD34" s="44"/>
      <c r="AE34" s="9"/>
      <c r="AH34" s="17"/>
    </row>
    <row r="35" spans="1:34" ht="135" x14ac:dyDescent="0.2">
      <c r="A35" s="10"/>
      <c r="B35" s="11"/>
      <c r="C35" s="18" t="s">
        <v>77</v>
      </c>
      <c r="D35" s="85" t="s">
        <v>146</v>
      </c>
      <c r="E35" s="98">
        <v>63</v>
      </c>
      <c r="F35" s="93" t="s">
        <v>148</v>
      </c>
      <c r="G35" s="66">
        <v>23782400</v>
      </c>
      <c r="H35" s="98">
        <v>21</v>
      </c>
      <c r="I35" s="66">
        <v>1550000</v>
      </c>
      <c r="J35" s="33">
        <v>21</v>
      </c>
      <c r="K35" s="15">
        <v>6840200</v>
      </c>
      <c r="L35" s="33">
        <v>0</v>
      </c>
      <c r="M35" s="15">
        <v>0</v>
      </c>
      <c r="N35" s="33">
        <v>1</v>
      </c>
      <c r="O35" s="15">
        <v>55000</v>
      </c>
      <c r="P35" s="33">
        <v>7</v>
      </c>
      <c r="Q35" s="15">
        <v>700000</v>
      </c>
      <c r="R35" s="33"/>
      <c r="S35" s="15"/>
      <c r="T35" s="41">
        <f t="shared" si="7"/>
        <v>8</v>
      </c>
      <c r="U35" s="41">
        <f t="shared" si="8"/>
        <v>38.095238095238095</v>
      </c>
      <c r="V35" s="25" t="s">
        <v>43</v>
      </c>
      <c r="W35" s="30">
        <f t="shared" si="9"/>
        <v>755000</v>
      </c>
      <c r="X35" s="44">
        <f t="shared" si="10"/>
        <v>11.037688956463262</v>
      </c>
      <c r="Y35" s="25" t="s">
        <v>43</v>
      </c>
      <c r="Z35" s="41">
        <f t="shared" si="4"/>
        <v>29</v>
      </c>
      <c r="AA35" s="30">
        <f t="shared" si="5"/>
        <v>2305000</v>
      </c>
      <c r="AB35" s="44"/>
      <c r="AC35" s="25" t="s">
        <v>43</v>
      </c>
      <c r="AD35" s="43"/>
      <c r="AE35" s="9"/>
      <c r="AH35" s="17"/>
    </row>
    <row r="36" spans="1:34" ht="105" x14ac:dyDescent="0.2">
      <c r="A36" s="10"/>
      <c r="B36" s="11"/>
      <c r="C36" s="80" t="s">
        <v>76</v>
      </c>
      <c r="D36" s="81" t="s">
        <v>147</v>
      </c>
      <c r="E36" s="98">
        <v>36</v>
      </c>
      <c r="F36" s="93" t="s">
        <v>148</v>
      </c>
      <c r="G36" s="66">
        <v>19644000</v>
      </c>
      <c r="H36" s="98">
        <v>12</v>
      </c>
      <c r="I36" s="66">
        <v>18089100</v>
      </c>
      <c r="J36" s="33"/>
      <c r="K36" s="15"/>
      <c r="L36" s="33"/>
      <c r="M36" s="15"/>
      <c r="N36" s="33"/>
      <c r="O36" s="15"/>
      <c r="P36" s="33"/>
      <c r="Q36" s="15"/>
      <c r="R36" s="33"/>
      <c r="S36" s="15"/>
      <c r="T36" s="41"/>
      <c r="U36" s="41"/>
      <c r="V36" s="25"/>
      <c r="W36" s="30"/>
      <c r="X36" s="44"/>
      <c r="Y36" s="25"/>
      <c r="Z36" s="41">
        <f t="shared" si="4"/>
        <v>12</v>
      </c>
      <c r="AA36" s="30">
        <f t="shared" si="5"/>
        <v>18089100</v>
      </c>
      <c r="AB36" s="44"/>
      <c r="AC36" s="25" t="s">
        <v>43</v>
      </c>
      <c r="AD36" s="44"/>
      <c r="AE36" s="9"/>
      <c r="AH36" s="17"/>
    </row>
    <row r="37" spans="1:34" ht="135.75" customHeight="1" x14ac:dyDescent="0.2">
      <c r="A37" s="36">
        <v>2</v>
      </c>
      <c r="B37" s="37" t="s">
        <v>185</v>
      </c>
      <c r="C37" s="12" t="s">
        <v>120</v>
      </c>
      <c r="D37" s="87" t="s">
        <v>155</v>
      </c>
      <c r="E37" s="67">
        <v>76.38</v>
      </c>
      <c r="F37" s="88" t="s">
        <v>43</v>
      </c>
      <c r="G37" s="68">
        <f>G38</f>
        <v>546636050</v>
      </c>
      <c r="H37" s="100">
        <v>0</v>
      </c>
      <c r="I37" s="68">
        <f>I38</f>
        <v>0</v>
      </c>
      <c r="J37" s="69">
        <v>32.64</v>
      </c>
      <c r="K37" s="31">
        <f>K38</f>
        <v>519204950</v>
      </c>
      <c r="L37" s="38">
        <f>3/144*100</f>
        <v>2.083333333333333</v>
      </c>
      <c r="M37" s="31">
        <f>M38</f>
        <v>0</v>
      </c>
      <c r="N37" s="38">
        <f>3/144*100</f>
        <v>2.083333333333333</v>
      </c>
      <c r="O37" s="31">
        <f>O38</f>
        <v>0</v>
      </c>
      <c r="P37" s="38"/>
      <c r="Q37" s="31">
        <f>Q38</f>
        <v>0</v>
      </c>
      <c r="R37" s="38"/>
      <c r="S37" s="31"/>
      <c r="T37" s="43">
        <f t="shared" ref="T37:T47" si="11">SUM(L37,N37,P37,R37)</f>
        <v>4.1666666666666661</v>
      </c>
      <c r="U37" s="43">
        <f>Z37/J37*100</f>
        <v>12.765522875816993</v>
      </c>
      <c r="V37" s="40" t="s">
        <v>43</v>
      </c>
      <c r="W37" s="39">
        <f t="shared" ref="W37:W47" si="12">SUM(M37,O37,Q37,S37)</f>
        <v>0</v>
      </c>
      <c r="X37" s="43">
        <f t="shared" ref="X37:X46" si="13">W37/K37*100</f>
        <v>0</v>
      </c>
      <c r="Y37" s="40" t="s">
        <v>43</v>
      </c>
      <c r="Z37" s="43">
        <f t="shared" si="4"/>
        <v>4.1666666666666661</v>
      </c>
      <c r="AA37" s="39">
        <f t="shared" si="5"/>
        <v>0</v>
      </c>
      <c r="AB37" s="43"/>
      <c r="AC37" s="40" t="s">
        <v>43</v>
      </c>
      <c r="AD37" s="44"/>
      <c r="AE37" s="9"/>
      <c r="AH37" s="17"/>
    </row>
    <row r="38" spans="1:34" ht="125.25" customHeight="1" x14ac:dyDescent="0.2">
      <c r="A38" s="10"/>
      <c r="B38" s="11" t="s">
        <v>186</v>
      </c>
      <c r="C38" s="12" t="s">
        <v>121</v>
      </c>
      <c r="D38" s="87" t="s">
        <v>187</v>
      </c>
      <c r="E38" s="67">
        <v>76.38</v>
      </c>
      <c r="F38" s="88" t="s">
        <v>43</v>
      </c>
      <c r="G38" s="68">
        <f>SUM(G39:G40)</f>
        <v>546636050</v>
      </c>
      <c r="H38" s="100">
        <v>0</v>
      </c>
      <c r="I38" s="68">
        <f>SUM(I39:I40)</f>
        <v>0</v>
      </c>
      <c r="J38" s="100">
        <v>32.64</v>
      </c>
      <c r="K38" s="31">
        <f>SUM(K39:K40)</f>
        <v>519204950</v>
      </c>
      <c r="L38" s="38">
        <f>3/144*100</f>
        <v>2.083333333333333</v>
      </c>
      <c r="M38" s="31">
        <f>SUM(M39:M40)</f>
        <v>0</v>
      </c>
      <c r="N38" s="38">
        <f>3/144*100</f>
        <v>2.083333333333333</v>
      </c>
      <c r="O38" s="31">
        <f>SUM(O39:O40)</f>
        <v>0</v>
      </c>
      <c r="P38" s="38"/>
      <c r="Q38" s="31">
        <f>SUM(Q39:Q40)</f>
        <v>0</v>
      </c>
      <c r="R38" s="34"/>
      <c r="S38" s="31"/>
      <c r="T38" s="42">
        <f t="shared" si="11"/>
        <v>4.1666666666666661</v>
      </c>
      <c r="U38" s="43">
        <f>Z38/J38*100</f>
        <v>12.765522875816993</v>
      </c>
      <c r="V38" s="40" t="s">
        <v>43</v>
      </c>
      <c r="W38" s="39">
        <f t="shared" si="12"/>
        <v>0</v>
      </c>
      <c r="X38" s="43">
        <f t="shared" si="13"/>
        <v>0</v>
      </c>
      <c r="Y38" s="40" t="s">
        <v>43</v>
      </c>
      <c r="Z38" s="43">
        <f t="shared" si="4"/>
        <v>4.1666666666666661</v>
      </c>
      <c r="AA38" s="39">
        <f t="shared" si="5"/>
        <v>0</v>
      </c>
      <c r="AB38" s="43"/>
      <c r="AC38" s="40" t="s">
        <v>43</v>
      </c>
      <c r="AD38" s="43"/>
      <c r="AE38" s="9"/>
      <c r="AH38" s="17"/>
    </row>
    <row r="39" spans="1:34" ht="75" x14ac:dyDescent="0.2">
      <c r="A39" s="10"/>
      <c r="B39" s="11"/>
      <c r="C39" s="59" t="s">
        <v>122</v>
      </c>
      <c r="D39" s="89" t="s">
        <v>157</v>
      </c>
      <c r="E39" s="65">
        <v>110</v>
      </c>
      <c r="F39" s="90" t="s">
        <v>149</v>
      </c>
      <c r="G39" s="64">
        <v>44636050</v>
      </c>
      <c r="H39" s="101">
        <v>0</v>
      </c>
      <c r="I39" s="102">
        <v>0</v>
      </c>
      <c r="J39" s="104">
        <v>47</v>
      </c>
      <c r="K39" s="64">
        <v>18104950</v>
      </c>
      <c r="L39" s="65">
        <v>3</v>
      </c>
      <c r="M39" s="66">
        <v>0</v>
      </c>
      <c r="N39" s="65">
        <v>3</v>
      </c>
      <c r="O39" s="15">
        <v>0</v>
      </c>
      <c r="P39" s="65">
        <v>0</v>
      </c>
      <c r="Q39" s="15">
        <v>0</v>
      </c>
      <c r="R39" s="65"/>
      <c r="S39" s="15"/>
      <c r="T39" s="41">
        <f t="shared" si="11"/>
        <v>6</v>
      </c>
      <c r="U39" s="41">
        <f>T39/J39*100</f>
        <v>12.76595744680851</v>
      </c>
      <c r="V39" s="25" t="s">
        <v>43</v>
      </c>
      <c r="W39" s="30">
        <f t="shared" si="12"/>
        <v>0</v>
      </c>
      <c r="X39" s="44">
        <f t="shared" si="13"/>
        <v>0</v>
      </c>
      <c r="Y39" s="25" t="s">
        <v>43</v>
      </c>
      <c r="Z39" s="41">
        <f t="shared" si="4"/>
        <v>6</v>
      </c>
      <c r="AA39" s="30">
        <f t="shared" si="5"/>
        <v>0</v>
      </c>
      <c r="AB39" s="44"/>
      <c r="AC39" s="25" t="s">
        <v>43</v>
      </c>
      <c r="AD39" s="44"/>
      <c r="AE39" s="9"/>
      <c r="AH39" s="17"/>
    </row>
    <row r="40" spans="1:34" ht="90" x14ac:dyDescent="0.2">
      <c r="A40" s="10"/>
      <c r="B40" s="11"/>
      <c r="C40" s="59" t="s">
        <v>123</v>
      </c>
      <c r="D40" s="89" t="s">
        <v>158</v>
      </c>
      <c r="E40" s="65">
        <v>1</v>
      </c>
      <c r="F40" s="90" t="s">
        <v>159</v>
      </c>
      <c r="G40" s="64">
        <v>502000000</v>
      </c>
      <c r="H40" s="101">
        <v>0</v>
      </c>
      <c r="I40" s="102">
        <v>0</v>
      </c>
      <c r="J40" s="104">
        <v>1</v>
      </c>
      <c r="K40" s="64">
        <v>501100000</v>
      </c>
      <c r="L40" s="65">
        <v>0</v>
      </c>
      <c r="M40" s="66">
        <v>0</v>
      </c>
      <c r="N40" s="65">
        <v>0</v>
      </c>
      <c r="O40" s="15">
        <v>0</v>
      </c>
      <c r="P40" s="65">
        <v>0</v>
      </c>
      <c r="Q40" s="15">
        <v>0</v>
      </c>
      <c r="R40" s="65"/>
      <c r="S40" s="15"/>
      <c r="T40" s="41">
        <f t="shared" si="11"/>
        <v>0</v>
      </c>
      <c r="U40" s="41">
        <f>T40/J40*100</f>
        <v>0</v>
      </c>
      <c r="V40" s="25" t="s">
        <v>43</v>
      </c>
      <c r="W40" s="30">
        <f t="shared" si="12"/>
        <v>0</v>
      </c>
      <c r="X40" s="44">
        <f t="shared" si="13"/>
        <v>0</v>
      </c>
      <c r="Y40" s="25" t="s">
        <v>43</v>
      </c>
      <c r="Z40" s="41">
        <f t="shared" si="4"/>
        <v>0</v>
      </c>
      <c r="AA40" s="30">
        <f t="shared" si="5"/>
        <v>0</v>
      </c>
      <c r="AB40" s="44"/>
      <c r="AC40" s="25" t="s">
        <v>43</v>
      </c>
      <c r="AD40" s="44"/>
      <c r="AE40" s="9"/>
      <c r="AH40" s="17"/>
    </row>
    <row r="41" spans="1:34" ht="138" customHeight="1" x14ac:dyDescent="0.2">
      <c r="A41" s="36">
        <v>3</v>
      </c>
      <c r="B41" s="37" t="s">
        <v>188</v>
      </c>
      <c r="C41" s="12" t="s">
        <v>78</v>
      </c>
      <c r="D41" s="13" t="s">
        <v>189</v>
      </c>
      <c r="E41" s="67">
        <v>22.92</v>
      </c>
      <c r="F41" s="91" t="s">
        <v>43</v>
      </c>
      <c r="G41" s="68">
        <f>G42</f>
        <v>54854872</v>
      </c>
      <c r="H41" s="99">
        <v>20.6</v>
      </c>
      <c r="I41" s="68">
        <f>I42</f>
        <v>18433900</v>
      </c>
      <c r="J41" s="69">
        <v>21.76</v>
      </c>
      <c r="K41" s="31">
        <f>K42</f>
        <v>14375000</v>
      </c>
      <c r="L41" s="38">
        <v>0</v>
      </c>
      <c r="M41" s="31">
        <f>M42</f>
        <v>0</v>
      </c>
      <c r="N41" s="38">
        <v>0</v>
      </c>
      <c r="O41" s="31">
        <f>O42</f>
        <v>2500000</v>
      </c>
      <c r="P41" s="38">
        <v>0</v>
      </c>
      <c r="Q41" s="31">
        <f>Q42</f>
        <v>7000000</v>
      </c>
      <c r="R41" s="38"/>
      <c r="S41" s="31"/>
      <c r="T41" s="43">
        <f t="shared" si="11"/>
        <v>0</v>
      </c>
      <c r="U41" s="43">
        <f>Z41/J41*100</f>
        <v>94.669117647058826</v>
      </c>
      <c r="V41" s="40" t="s">
        <v>43</v>
      </c>
      <c r="W41" s="39">
        <f t="shared" si="12"/>
        <v>9500000</v>
      </c>
      <c r="X41" s="43">
        <f t="shared" si="13"/>
        <v>66.086956521739125</v>
      </c>
      <c r="Y41" s="40" t="s">
        <v>43</v>
      </c>
      <c r="Z41" s="43">
        <f t="shared" si="4"/>
        <v>20.6</v>
      </c>
      <c r="AA41" s="39">
        <f t="shared" si="5"/>
        <v>27933900</v>
      </c>
      <c r="AB41" s="43"/>
      <c r="AC41" s="40" t="s">
        <v>43</v>
      </c>
      <c r="AD41" s="44"/>
      <c r="AE41" s="9"/>
      <c r="AH41" s="17">
        <f>W41</f>
        <v>9500000</v>
      </c>
    </row>
    <row r="42" spans="1:34" ht="137.25" customHeight="1" x14ac:dyDescent="0.2">
      <c r="A42" s="10"/>
      <c r="B42" s="11" t="s">
        <v>190</v>
      </c>
      <c r="C42" s="12" t="s">
        <v>79</v>
      </c>
      <c r="D42" s="13" t="s">
        <v>107</v>
      </c>
      <c r="E42" s="67">
        <f>17/144*100</f>
        <v>11.805555555555555</v>
      </c>
      <c r="F42" s="88" t="s">
        <v>43</v>
      </c>
      <c r="G42" s="68">
        <f>SUM(G43)</f>
        <v>54854872</v>
      </c>
      <c r="H42" s="100">
        <f>11/144*100</f>
        <v>7.6388888888888893</v>
      </c>
      <c r="I42" s="68">
        <f>SUM(I43)</f>
        <v>18433900</v>
      </c>
      <c r="J42" s="100">
        <f>14/144*100</f>
        <v>9.7222222222222232</v>
      </c>
      <c r="K42" s="31">
        <f>SUM(K43)</f>
        <v>14375000</v>
      </c>
      <c r="L42" s="34">
        <v>0</v>
      </c>
      <c r="M42" s="31">
        <f>SUM(M43)</f>
        <v>0</v>
      </c>
      <c r="N42" s="34">
        <v>2.0830000000000002</v>
      </c>
      <c r="O42" s="31">
        <f>SUM(O43)</f>
        <v>2500000</v>
      </c>
      <c r="P42" s="34">
        <v>0</v>
      </c>
      <c r="Q42" s="31">
        <f>SUM(Q43)</f>
        <v>7000000</v>
      </c>
      <c r="R42" s="34"/>
      <c r="S42" s="31"/>
      <c r="T42" s="42">
        <f t="shared" si="11"/>
        <v>2.0830000000000002</v>
      </c>
      <c r="U42" s="43">
        <f>Z42/J42*100</f>
        <v>99.996571428571428</v>
      </c>
      <c r="V42" s="40" t="s">
        <v>43</v>
      </c>
      <c r="W42" s="39">
        <f t="shared" si="12"/>
        <v>9500000</v>
      </c>
      <c r="X42" s="43">
        <f t="shared" si="13"/>
        <v>66.086956521739125</v>
      </c>
      <c r="Y42" s="40" t="s">
        <v>43</v>
      </c>
      <c r="Z42" s="43">
        <f t="shared" si="4"/>
        <v>9.7218888888888895</v>
      </c>
      <c r="AA42" s="39">
        <f t="shared" si="5"/>
        <v>27933900</v>
      </c>
      <c r="AB42" s="43"/>
      <c r="AC42" s="40" t="s">
        <v>43</v>
      </c>
      <c r="AD42" s="43"/>
      <c r="AE42" s="9"/>
      <c r="AH42" s="17"/>
    </row>
    <row r="43" spans="1:34" ht="135" x14ac:dyDescent="0.2">
      <c r="A43" s="10"/>
      <c r="B43" s="11"/>
      <c r="C43" s="59" t="s">
        <v>89</v>
      </c>
      <c r="D43" s="60" t="s">
        <v>119</v>
      </c>
      <c r="E43" s="65">
        <v>3</v>
      </c>
      <c r="F43" s="90" t="s">
        <v>42</v>
      </c>
      <c r="G43" s="64">
        <f>20239936+14375000+20239936</f>
        <v>54854872</v>
      </c>
      <c r="H43" s="101">
        <v>1</v>
      </c>
      <c r="I43" s="102">
        <v>18433900</v>
      </c>
      <c r="J43" s="104">
        <v>1</v>
      </c>
      <c r="K43" s="64">
        <v>14375000</v>
      </c>
      <c r="L43" s="65">
        <v>0</v>
      </c>
      <c r="M43" s="66">
        <v>0</v>
      </c>
      <c r="N43" s="65">
        <v>0</v>
      </c>
      <c r="O43" s="15">
        <v>2500000</v>
      </c>
      <c r="P43" s="65">
        <v>0</v>
      </c>
      <c r="Q43" s="15">
        <v>7000000</v>
      </c>
      <c r="R43" s="65"/>
      <c r="S43" s="15"/>
      <c r="T43" s="41">
        <f t="shared" si="11"/>
        <v>0</v>
      </c>
      <c r="U43" s="41">
        <f>T43/J43*100</f>
        <v>0</v>
      </c>
      <c r="V43" s="25" t="s">
        <v>43</v>
      </c>
      <c r="W43" s="30">
        <f t="shared" si="12"/>
        <v>9500000</v>
      </c>
      <c r="X43" s="44">
        <f t="shared" si="13"/>
        <v>66.086956521739125</v>
      </c>
      <c r="Y43" s="25" t="s">
        <v>43</v>
      </c>
      <c r="Z43" s="41">
        <f t="shared" si="4"/>
        <v>1</v>
      </c>
      <c r="AA43" s="30">
        <f t="shared" si="5"/>
        <v>27933900</v>
      </c>
      <c r="AB43" s="44"/>
      <c r="AC43" s="25" t="s">
        <v>43</v>
      </c>
      <c r="AD43" s="44"/>
      <c r="AE43" s="9"/>
      <c r="AH43" s="17"/>
    </row>
    <row r="44" spans="1:34" ht="117.75" customHeight="1" x14ac:dyDescent="0.25">
      <c r="A44" s="62">
        <v>3</v>
      </c>
      <c r="B44" s="37" t="s">
        <v>166</v>
      </c>
      <c r="C44" s="63" t="s">
        <v>80</v>
      </c>
      <c r="D44" s="13" t="s">
        <v>167</v>
      </c>
      <c r="E44" s="67">
        <v>100</v>
      </c>
      <c r="F44" s="91" t="s">
        <v>43</v>
      </c>
      <c r="G44" s="92">
        <f>G46</f>
        <v>557485000</v>
      </c>
      <c r="H44" s="116">
        <v>100</v>
      </c>
      <c r="I44" s="92">
        <f>I46</f>
        <v>108790850</v>
      </c>
      <c r="J44" s="117">
        <v>100</v>
      </c>
      <c r="K44" s="92">
        <f>K46</f>
        <v>312210000</v>
      </c>
      <c r="L44" s="119">
        <v>0</v>
      </c>
      <c r="M44" s="92">
        <f>M46</f>
        <v>27235000</v>
      </c>
      <c r="N44" s="119">
        <v>0</v>
      </c>
      <c r="O44" s="92">
        <f>O46</f>
        <v>168926700</v>
      </c>
      <c r="P44" s="119">
        <v>0</v>
      </c>
      <c r="Q44" s="229">
        <f>Q46</f>
        <v>53928250</v>
      </c>
      <c r="R44" s="119"/>
      <c r="S44"/>
      <c r="T44" s="43">
        <f t="shared" si="11"/>
        <v>0</v>
      </c>
      <c r="U44" s="42">
        <f>Z44/J44*100</f>
        <v>100</v>
      </c>
      <c r="V44" s="40" t="s">
        <v>43</v>
      </c>
      <c r="W44" s="39">
        <f t="shared" si="12"/>
        <v>250089950</v>
      </c>
      <c r="X44" s="43">
        <f t="shared" si="13"/>
        <v>80.103119695077027</v>
      </c>
      <c r="Y44" s="40" t="s">
        <v>43</v>
      </c>
      <c r="Z44" s="43">
        <f t="shared" si="4"/>
        <v>100</v>
      </c>
      <c r="AA44" s="39">
        <f t="shared" si="5"/>
        <v>358880800</v>
      </c>
      <c r="AB44" s="43"/>
      <c r="AC44" s="40" t="s">
        <v>43</v>
      </c>
      <c r="AD44" s="44"/>
      <c r="AE44" s="9"/>
      <c r="AH44" s="17">
        <f>W44</f>
        <v>250089950</v>
      </c>
    </row>
    <row r="45" spans="1:34" ht="139.5" customHeight="1" x14ac:dyDescent="0.25">
      <c r="A45" s="62"/>
      <c r="B45" s="11" t="s">
        <v>169</v>
      </c>
      <c r="C45" s="63"/>
      <c r="D45" s="13" t="s">
        <v>168</v>
      </c>
      <c r="E45" s="67">
        <v>83.33</v>
      </c>
      <c r="F45" s="91"/>
      <c r="G45" s="114"/>
      <c r="H45" s="115" t="s">
        <v>170</v>
      </c>
      <c r="I45" s="114"/>
      <c r="J45" s="118">
        <v>66.67</v>
      </c>
      <c r="K45" s="114"/>
      <c r="L45" s="120"/>
      <c r="M45" s="114">
        <f>M47</f>
        <v>0</v>
      </c>
      <c r="N45" s="120"/>
      <c r="O45" s="114">
        <f>O47</f>
        <v>0</v>
      </c>
      <c r="P45" s="118">
        <v>66.67</v>
      </c>
      <c r="Q45" s="230">
        <f>Q47</f>
        <v>0</v>
      </c>
      <c r="R45" s="120"/>
      <c r="S45"/>
      <c r="T45" s="43">
        <f t="shared" ref="T45" si="14">SUM(L45,N45,P45,R45)</f>
        <v>66.67</v>
      </c>
      <c r="U45" s="42">
        <f>Z45/J45*100</f>
        <v>100</v>
      </c>
      <c r="V45" s="40" t="s">
        <v>43</v>
      </c>
      <c r="W45" s="39">
        <f t="shared" ref="W45" si="15">SUM(M45,O45,Q45,S45)</f>
        <v>0</v>
      </c>
      <c r="X45" s="43"/>
      <c r="Y45" s="40" t="s">
        <v>43</v>
      </c>
      <c r="Z45" s="43">
        <f t="shared" ref="Z45" si="16">SUM(H45,T45)</f>
        <v>66.67</v>
      </c>
      <c r="AA45" s="39">
        <f t="shared" ref="AA45" si="17">SUM(I45,W45)</f>
        <v>0</v>
      </c>
      <c r="AB45" s="43"/>
      <c r="AC45" s="40" t="s">
        <v>43</v>
      </c>
      <c r="AD45" s="44"/>
      <c r="AE45" s="9"/>
      <c r="AH45" s="17"/>
    </row>
    <row r="46" spans="1:34" ht="199.5" customHeight="1" x14ac:dyDescent="0.2">
      <c r="A46" s="10"/>
      <c r="B46" s="11" t="s">
        <v>171</v>
      </c>
      <c r="C46" s="12" t="s">
        <v>81</v>
      </c>
      <c r="D46" s="13" t="s">
        <v>172</v>
      </c>
      <c r="E46" s="67">
        <v>40.28</v>
      </c>
      <c r="F46" s="88" t="s">
        <v>43</v>
      </c>
      <c r="G46" s="92">
        <f>SUM(G48:G53)</f>
        <v>557485000</v>
      </c>
      <c r="H46" s="116">
        <v>25</v>
      </c>
      <c r="I46" s="92">
        <f>SUM(I48:I53)</f>
        <v>108790850</v>
      </c>
      <c r="J46" s="117">
        <v>32.64</v>
      </c>
      <c r="K46" s="50">
        <f>SUM(K48:K53)</f>
        <v>312210000</v>
      </c>
      <c r="L46" s="119">
        <f>2/144*100</f>
        <v>1.3888888888888888</v>
      </c>
      <c r="M46" s="50">
        <f>SUM(M48:M53)</f>
        <v>27235000</v>
      </c>
      <c r="N46" s="119">
        <f>3/144*100</f>
        <v>2.083333333333333</v>
      </c>
      <c r="O46" s="50">
        <f>SUM(O48:O53)</f>
        <v>168926700</v>
      </c>
      <c r="P46" s="119">
        <v>0</v>
      </c>
      <c r="Q46" s="50">
        <f>SUM(Q48:Q53)</f>
        <v>53928250</v>
      </c>
      <c r="R46" s="124"/>
      <c r="S46" s="50"/>
      <c r="T46" s="43">
        <f t="shared" si="11"/>
        <v>3.4722222222222219</v>
      </c>
      <c r="U46" s="42">
        <f>Z46/J46*100</f>
        <v>87.231072984749446</v>
      </c>
      <c r="V46" s="40" t="s">
        <v>43</v>
      </c>
      <c r="W46" s="39">
        <f t="shared" si="12"/>
        <v>250089950</v>
      </c>
      <c r="X46" s="43">
        <f t="shared" si="13"/>
        <v>80.103119695077027</v>
      </c>
      <c r="Y46" s="40" t="s">
        <v>43</v>
      </c>
      <c r="Z46" s="43">
        <f t="shared" si="4"/>
        <v>28.472222222222221</v>
      </c>
      <c r="AA46" s="39">
        <f t="shared" si="5"/>
        <v>358880800</v>
      </c>
      <c r="AB46" s="43"/>
      <c r="AC46" s="40" t="s">
        <v>43</v>
      </c>
      <c r="AD46" s="43"/>
      <c r="AE46" s="9"/>
      <c r="AH46" s="17"/>
    </row>
    <row r="47" spans="1:34" ht="162.75" customHeight="1" x14ac:dyDescent="0.2">
      <c r="A47" s="10"/>
      <c r="B47" s="11" t="s">
        <v>173</v>
      </c>
      <c r="C47" s="12"/>
      <c r="D47" s="13" t="s">
        <v>174</v>
      </c>
      <c r="E47" s="67">
        <v>100</v>
      </c>
      <c r="F47" s="88"/>
      <c r="G47" s="114"/>
      <c r="H47" s="122">
        <v>0</v>
      </c>
      <c r="I47" s="114"/>
      <c r="J47" s="118">
        <v>29.86</v>
      </c>
      <c r="K47" s="121"/>
      <c r="L47" s="120"/>
      <c r="M47" s="114">
        <f>M49</f>
        <v>0</v>
      </c>
      <c r="N47" s="120"/>
      <c r="O47" s="114"/>
      <c r="P47" s="123"/>
      <c r="Q47" s="114">
        <f>Q49</f>
        <v>0</v>
      </c>
      <c r="R47" s="120"/>
      <c r="S47" s="121"/>
      <c r="T47" s="43">
        <f t="shared" si="11"/>
        <v>0</v>
      </c>
      <c r="U47" s="42">
        <f>Z47/J47*100</f>
        <v>0</v>
      </c>
      <c r="V47" s="40" t="s">
        <v>43</v>
      </c>
      <c r="W47" s="39">
        <f t="shared" si="12"/>
        <v>0</v>
      </c>
      <c r="X47" s="43"/>
      <c r="Y47" s="40" t="s">
        <v>43</v>
      </c>
      <c r="Z47" s="43">
        <f t="shared" si="4"/>
        <v>0</v>
      </c>
      <c r="AA47" s="39">
        <f t="shared" si="5"/>
        <v>0</v>
      </c>
      <c r="AB47" s="43"/>
      <c r="AC47" s="40" t="s">
        <v>43</v>
      </c>
      <c r="AD47" s="44"/>
      <c r="AE47" s="9"/>
      <c r="AH47" s="17"/>
    </row>
    <row r="48" spans="1:34" ht="108" customHeight="1" x14ac:dyDescent="0.2">
      <c r="A48" s="10"/>
      <c r="B48" s="11"/>
      <c r="C48" s="59" t="s">
        <v>124</v>
      </c>
      <c r="D48" s="71" t="s">
        <v>110</v>
      </c>
      <c r="E48" s="65">
        <v>22</v>
      </c>
      <c r="F48" s="90" t="s">
        <v>42</v>
      </c>
      <c r="G48" s="64">
        <v>26600000</v>
      </c>
      <c r="H48" s="65">
        <v>0</v>
      </c>
      <c r="I48" s="102"/>
      <c r="J48" s="65">
        <v>11</v>
      </c>
      <c r="K48" s="51">
        <v>6662500</v>
      </c>
      <c r="L48" s="14">
        <v>2</v>
      </c>
      <c r="M48" s="15"/>
      <c r="N48" s="14">
        <v>3</v>
      </c>
      <c r="O48" s="15">
        <v>1125000</v>
      </c>
      <c r="P48" s="14">
        <v>3</v>
      </c>
      <c r="Q48" s="15">
        <v>2250000</v>
      </c>
      <c r="R48" s="14"/>
      <c r="S48" s="15"/>
      <c r="T48" s="41">
        <f>SUM(L48,N48,P48,R48)</f>
        <v>8</v>
      </c>
      <c r="U48" s="41">
        <f>T48/J48*100</f>
        <v>72.727272727272734</v>
      </c>
      <c r="V48" s="25" t="s">
        <v>43</v>
      </c>
      <c r="W48" s="30">
        <f>SUM(M48,O48,Q48,S48)</f>
        <v>3375000</v>
      </c>
      <c r="X48" s="44">
        <f>W48/K48*100</f>
        <v>50.656660412757972</v>
      </c>
      <c r="Y48" s="25" t="s">
        <v>43</v>
      </c>
      <c r="Z48" s="74">
        <f>SUM(H48,T48)</f>
        <v>8</v>
      </c>
      <c r="AA48" s="30">
        <f>SUM(I48,W48)</f>
        <v>3375000</v>
      </c>
      <c r="AB48" s="44"/>
      <c r="AC48" s="25" t="s">
        <v>43</v>
      </c>
      <c r="AD48" s="44"/>
      <c r="AE48" s="9"/>
      <c r="AH48" s="17"/>
    </row>
    <row r="49" spans="1:34" ht="105" x14ac:dyDescent="0.2">
      <c r="A49" s="10"/>
      <c r="B49" s="11"/>
      <c r="C49" s="59" t="s">
        <v>82</v>
      </c>
      <c r="D49" s="60" t="s">
        <v>150</v>
      </c>
      <c r="E49" s="65">
        <v>864</v>
      </c>
      <c r="F49" s="90" t="s">
        <v>42</v>
      </c>
      <c r="G49" s="64">
        <v>210585000</v>
      </c>
      <c r="H49" s="65">
        <v>288</v>
      </c>
      <c r="I49" s="102">
        <v>51429600</v>
      </c>
      <c r="J49" s="65">
        <v>288</v>
      </c>
      <c r="K49" s="51">
        <v>19137500</v>
      </c>
      <c r="L49" s="14">
        <v>0</v>
      </c>
      <c r="M49" s="15">
        <v>0</v>
      </c>
      <c r="N49" s="14">
        <v>0</v>
      </c>
      <c r="O49" s="15">
        <v>12800000</v>
      </c>
      <c r="P49" s="14">
        <v>288</v>
      </c>
      <c r="Q49" s="15">
        <v>0</v>
      </c>
      <c r="R49" s="14"/>
      <c r="S49" s="15"/>
      <c r="T49" s="41">
        <f>SUM(L49,N49,P49,R49)</f>
        <v>288</v>
      </c>
      <c r="U49" s="41">
        <f>T49/J49*100</f>
        <v>100</v>
      </c>
      <c r="V49" s="25" t="s">
        <v>43</v>
      </c>
      <c r="W49" s="30">
        <f>SUM(M49,O49,Q49,S49)</f>
        <v>12800000</v>
      </c>
      <c r="X49" s="44">
        <f>W49/K49*100</f>
        <v>66.884389288047032</v>
      </c>
      <c r="Y49" s="25" t="s">
        <v>43</v>
      </c>
      <c r="Z49" s="74">
        <f>SUM(H49,T49)</f>
        <v>576</v>
      </c>
      <c r="AA49" s="30">
        <f>SUM(I49,W49)</f>
        <v>64229600</v>
      </c>
      <c r="AB49" s="44"/>
      <c r="AC49" s="25" t="s">
        <v>43</v>
      </c>
      <c r="AD49" s="44"/>
      <c r="AE49" s="9"/>
      <c r="AH49" s="17"/>
    </row>
    <row r="50" spans="1:34" ht="145.5" customHeight="1" x14ac:dyDescent="0.2">
      <c r="A50" s="10"/>
      <c r="B50" s="11"/>
      <c r="C50" s="59" t="s">
        <v>125</v>
      </c>
      <c r="D50" s="71" t="s">
        <v>127</v>
      </c>
      <c r="E50" s="65">
        <v>1</v>
      </c>
      <c r="F50" s="90" t="s">
        <v>60</v>
      </c>
      <c r="G50" s="64">
        <v>130370000</v>
      </c>
      <c r="H50" s="65">
        <v>0</v>
      </c>
      <c r="I50" s="102"/>
      <c r="J50" s="65">
        <v>1</v>
      </c>
      <c r="K50" s="51">
        <v>224420000</v>
      </c>
      <c r="L50" s="14">
        <v>0</v>
      </c>
      <c r="M50" s="66">
        <v>27235000</v>
      </c>
      <c r="N50" s="14">
        <v>0</v>
      </c>
      <c r="O50" s="15">
        <v>122751700</v>
      </c>
      <c r="P50" s="14">
        <v>1</v>
      </c>
      <c r="Q50" s="15">
        <v>24528250</v>
      </c>
      <c r="R50" s="14"/>
      <c r="S50" s="15"/>
      <c r="T50" s="41">
        <f>SUM(L50,N50,P50,R50)</f>
        <v>1</v>
      </c>
      <c r="U50" s="41">
        <f>T50/J50*100</f>
        <v>100</v>
      </c>
      <c r="V50" s="25" t="s">
        <v>43</v>
      </c>
      <c r="W50" s="30">
        <f>SUM(M50,O50,Q50,S50)</f>
        <v>174514950</v>
      </c>
      <c r="X50" s="44">
        <f>W50/K50*100</f>
        <v>77.76265484359682</v>
      </c>
      <c r="Y50" s="25" t="s">
        <v>43</v>
      </c>
      <c r="Z50" s="74">
        <f>SUM(H50,T50)</f>
        <v>1</v>
      </c>
      <c r="AA50" s="30">
        <f>SUM(I50,W50)</f>
        <v>174514950</v>
      </c>
      <c r="AB50" s="44"/>
      <c r="AC50" s="25" t="s">
        <v>43</v>
      </c>
      <c r="AD50" s="44"/>
      <c r="AE50" s="9"/>
      <c r="AH50" s="17"/>
    </row>
    <row r="51" spans="1:34" ht="105" x14ac:dyDescent="0.2">
      <c r="A51" s="10"/>
      <c r="B51" s="11"/>
      <c r="C51" s="59" t="s">
        <v>126</v>
      </c>
      <c r="D51" s="71" t="s">
        <v>111</v>
      </c>
      <c r="E51" s="65">
        <v>2</v>
      </c>
      <c r="F51" s="90" t="s">
        <v>42</v>
      </c>
      <c r="G51" s="66">
        <v>42570000</v>
      </c>
      <c r="H51" s="65">
        <v>0</v>
      </c>
      <c r="I51" s="102"/>
      <c r="J51" s="65">
        <v>2</v>
      </c>
      <c r="K51" s="51">
        <v>28570000</v>
      </c>
      <c r="L51" s="14">
        <v>0</v>
      </c>
      <c r="M51" s="15">
        <v>0</v>
      </c>
      <c r="N51" s="14">
        <v>0</v>
      </c>
      <c r="O51" s="15">
        <v>0</v>
      </c>
      <c r="P51" s="14">
        <v>2</v>
      </c>
      <c r="Q51" s="15">
        <v>27150000</v>
      </c>
      <c r="R51" s="14"/>
      <c r="S51" s="15"/>
      <c r="T51" s="41">
        <f>SUM(L51,N51,P51,R51)</f>
        <v>2</v>
      </c>
      <c r="U51" s="41">
        <f>T51/J51*100</f>
        <v>100</v>
      </c>
      <c r="V51" s="25" t="s">
        <v>43</v>
      </c>
      <c r="W51" s="30">
        <f>SUM(M51,O51,Q51,S51)</f>
        <v>27150000</v>
      </c>
      <c r="X51" s="44">
        <f>W51/K51*100</f>
        <v>95.029751487574373</v>
      </c>
      <c r="Y51" s="25" t="s">
        <v>43</v>
      </c>
      <c r="Z51" s="74">
        <f>SUM(H51,T51)</f>
        <v>2</v>
      </c>
      <c r="AA51" s="30">
        <f>SUM(I51,W51)</f>
        <v>27150000</v>
      </c>
      <c r="AB51" s="44"/>
      <c r="AC51" s="25" t="s">
        <v>43</v>
      </c>
      <c r="AD51" s="44"/>
      <c r="AE51" s="9"/>
      <c r="AH51" s="17"/>
    </row>
    <row r="52" spans="1:34" ht="135" x14ac:dyDescent="0.2">
      <c r="A52" s="10"/>
      <c r="B52" s="11"/>
      <c r="C52" s="59" t="s">
        <v>84</v>
      </c>
      <c r="D52" s="76" t="s">
        <v>118</v>
      </c>
      <c r="E52" s="65">
        <v>3</v>
      </c>
      <c r="F52" s="90" t="s">
        <v>42</v>
      </c>
      <c r="G52" s="66">
        <f>48080000+33480000+48080000</f>
        <v>129640000</v>
      </c>
      <c r="H52" s="65">
        <v>1</v>
      </c>
      <c r="I52" s="102">
        <v>42420000</v>
      </c>
      <c r="J52" s="65">
        <v>1</v>
      </c>
      <c r="K52" s="51">
        <v>33420000</v>
      </c>
      <c r="L52" s="14">
        <v>0</v>
      </c>
      <c r="M52" s="15">
        <v>0</v>
      </c>
      <c r="N52" s="14">
        <v>1</v>
      </c>
      <c r="O52" s="15">
        <v>32250000</v>
      </c>
      <c r="P52" s="14">
        <v>0</v>
      </c>
      <c r="Q52" s="15">
        <v>0</v>
      </c>
      <c r="R52" s="14"/>
      <c r="S52" s="15"/>
      <c r="T52" s="41">
        <f>SUM(L52,N52,P52,R52)</f>
        <v>1</v>
      </c>
      <c r="U52" s="41">
        <f>T52/J52*100</f>
        <v>100</v>
      </c>
      <c r="V52" s="25" t="s">
        <v>43</v>
      </c>
      <c r="W52" s="30">
        <f>SUM(M52,O52,Q52,S52)</f>
        <v>32250000</v>
      </c>
      <c r="X52" s="44">
        <f>W52/K52*100</f>
        <v>96.499102333931774</v>
      </c>
      <c r="Y52" s="25" t="s">
        <v>43</v>
      </c>
      <c r="Z52" s="74">
        <f t="shared" ref="Z52:Z61" si="18">SUM(H52,T52)</f>
        <v>2</v>
      </c>
      <c r="AA52" s="30">
        <f t="shared" ref="AA52:AA61" si="19">SUM(I52,W52)</f>
        <v>74670000</v>
      </c>
      <c r="AB52" s="44"/>
      <c r="AC52" s="25" t="s">
        <v>43</v>
      </c>
      <c r="AD52" s="44"/>
      <c r="AE52" s="9"/>
      <c r="AH52" s="17"/>
    </row>
    <row r="53" spans="1:34" ht="127.5" customHeight="1" x14ac:dyDescent="0.2">
      <c r="A53" s="10"/>
      <c r="B53" s="11"/>
      <c r="C53" s="82" t="s">
        <v>83</v>
      </c>
      <c r="D53" s="79" t="s">
        <v>151</v>
      </c>
      <c r="E53" s="65">
        <v>288</v>
      </c>
      <c r="F53" s="90" t="s">
        <v>112</v>
      </c>
      <c r="G53" s="64">
        <v>17720000</v>
      </c>
      <c r="H53" s="65">
        <v>288</v>
      </c>
      <c r="I53" s="102">
        <v>14941250</v>
      </c>
      <c r="J53" s="65"/>
      <c r="K53" s="51"/>
      <c r="L53" s="14"/>
      <c r="M53" s="15"/>
      <c r="N53" s="14"/>
      <c r="O53" s="15"/>
      <c r="P53" s="14"/>
      <c r="Q53" s="15"/>
      <c r="R53" s="14"/>
      <c r="S53" s="15"/>
      <c r="T53" s="41"/>
      <c r="U53" s="41"/>
      <c r="V53" s="25"/>
      <c r="W53" s="30"/>
      <c r="X53" s="44"/>
      <c r="Y53" s="25"/>
      <c r="Z53" s="74">
        <f t="shared" si="18"/>
        <v>288</v>
      </c>
      <c r="AA53" s="30">
        <f t="shared" si="19"/>
        <v>14941250</v>
      </c>
      <c r="AB53" s="44"/>
      <c r="AC53" s="25" t="s">
        <v>43</v>
      </c>
      <c r="AD53" s="44"/>
      <c r="AE53" s="9"/>
      <c r="AH53" s="17"/>
    </row>
    <row r="54" spans="1:34" ht="157.5" x14ac:dyDescent="0.2">
      <c r="A54" s="10">
        <v>4</v>
      </c>
      <c r="B54" s="37" t="s">
        <v>175</v>
      </c>
      <c r="C54" s="12" t="s">
        <v>85</v>
      </c>
      <c r="D54" s="13" t="s">
        <v>176</v>
      </c>
      <c r="E54" s="127">
        <v>68.06</v>
      </c>
      <c r="F54" s="137" t="s">
        <v>43</v>
      </c>
      <c r="G54" s="92">
        <f>SUM(G56)</f>
        <v>2149518676</v>
      </c>
      <c r="H54" s="117">
        <v>32.64</v>
      </c>
      <c r="I54" s="92">
        <f>SUM(I56)</f>
        <v>560457500</v>
      </c>
      <c r="J54" s="119">
        <v>60.42</v>
      </c>
      <c r="K54" s="50">
        <f>SUM(K56)</f>
        <v>691703700</v>
      </c>
      <c r="L54" s="124">
        <v>0</v>
      </c>
      <c r="M54" s="50">
        <f>SUM(M56)</f>
        <v>38762500</v>
      </c>
      <c r="N54" s="119"/>
      <c r="O54" s="50">
        <f>SUM(O56)</f>
        <v>117030250</v>
      </c>
      <c r="P54" s="69">
        <v>27.78</v>
      </c>
      <c r="Q54" s="31">
        <f>SUM(Q56)</f>
        <v>148812534</v>
      </c>
      <c r="R54" s="38"/>
      <c r="S54" s="31"/>
      <c r="T54" s="43">
        <f t="shared" ref="T54:T61" si="20">SUM(L54,N54,P54,R54)</f>
        <v>27.78</v>
      </c>
      <c r="U54" s="43">
        <f>Z54/J54*100</f>
        <v>100</v>
      </c>
      <c r="V54" s="40" t="s">
        <v>43</v>
      </c>
      <c r="W54" s="39">
        <f t="shared" ref="W54:W61" si="21">SUM(M54,O54,Q54,S54)</f>
        <v>304605284</v>
      </c>
      <c r="X54" s="43">
        <f>W54/K54*100</f>
        <v>44.036960334316561</v>
      </c>
      <c r="Y54" s="40" t="s">
        <v>43</v>
      </c>
      <c r="Z54" s="43">
        <f t="shared" si="18"/>
        <v>60.42</v>
      </c>
      <c r="AA54" s="39">
        <f t="shared" si="19"/>
        <v>865062784</v>
      </c>
      <c r="AB54" s="43"/>
      <c r="AC54" s="40" t="s">
        <v>43</v>
      </c>
      <c r="AD54" s="44"/>
      <c r="AE54" s="9"/>
      <c r="AH54" s="17">
        <f>W54</f>
        <v>304605284</v>
      </c>
    </row>
    <row r="55" spans="1:34" ht="87" customHeight="1" x14ac:dyDescent="0.2">
      <c r="A55" s="10"/>
      <c r="B55" s="11" t="s">
        <v>177</v>
      </c>
      <c r="C55" s="12"/>
      <c r="D55" s="13" t="s">
        <v>178</v>
      </c>
      <c r="E55" s="126">
        <v>68.06</v>
      </c>
      <c r="F55" s="95"/>
      <c r="G55" s="114"/>
      <c r="H55" s="118">
        <v>32.64</v>
      </c>
      <c r="I55" s="114"/>
      <c r="J55" s="120">
        <v>60.42</v>
      </c>
      <c r="K55" s="121"/>
      <c r="L55" s="125"/>
      <c r="M55" s="121">
        <f>SUM(M57)</f>
        <v>0</v>
      </c>
      <c r="N55" s="126"/>
      <c r="O55" s="121">
        <f>SUM(O57)</f>
        <v>0</v>
      </c>
      <c r="P55" s="69">
        <v>27.78</v>
      </c>
      <c r="Q55" s="31">
        <f>SUM(Q57)</f>
        <v>0</v>
      </c>
      <c r="R55" s="38"/>
      <c r="S55" s="31"/>
      <c r="T55" s="43">
        <f t="shared" si="20"/>
        <v>27.78</v>
      </c>
      <c r="U55" s="43">
        <f>Z55/J55*100</f>
        <v>100</v>
      </c>
      <c r="V55" s="40" t="s">
        <v>43</v>
      </c>
      <c r="W55" s="39">
        <f t="shared" si="21"/>
        <v>0</v>
      </c>
      <c r="X55" s="43"/>
      <c r="Y55" s="40" t="s">
        <v>43</v>
      </c>
      <c r="Z55" s="43">
        <f t="shared" ref="Z55" si="22">SUM(H55,T55)</f>
        <v>60.42</v>
      </c>
      <c r="AA55" s="39">
        <f t="shared" ref="AA55" si="23">SUM(I55,W55)</f>
        <v>0</v>
      </c>
      <c r="AB55" s="43"/>
      <c r="AC55" s="40" t="s">
        <v>43</v>
      </c>
      <c r="AD55" s="44"/>
      <c r="AE55" s="9"/>
      <c r="AH55" s="17"/>
    </row>
    <row r="56" spans="1:34" ht="339" customHeight="1" x14ac:dyDescent="0.2">
      <c r="A56" s="10"/>
      <c r="B56" s="11" t="s">
        <v>179</v>
      </c>
      <c r="C56" s="61" t="s">
        <v>106</v>
      </c>
      <c r="D56" s="13" t="s">
        <v>180</v>
      </c>
      <c r="E56" s="127">
        <v>29.86</v>
      </c>
      <c r="F56" s="128" t="s">
        <v>43</v>
      </c>
      <c r="G56" s="92">
        <f>SUM(G59:G61)</f>
        <v>2149518676</v>
      </c>
      <c r="H56" s="117">
        <v>14.58</v>
      </c>
      <c r="I56" s="92">
        <f>SUM(I59:I61)</f>
        <v>560457500</v>
      </c>
      <c r="J56" s="119">
        <v>22.22</v>
      </c>
      <c r="K56" s="50">
        <f>SUM(K59:K61)</f>
        <v>691703700</v>
      </c>
      <c r="L56" s="124"/>
      <c r="M56" s="50">
        <f>SUM(M59:M61)</f>
        <v>38762500</v>
      </c>
      <c r="N56" s="124"/>
      <c r="O56" s="50">
        <f>SUM(O59:O61)</f>
        <v>117030250</v>
      </c>
      <c r="P56" s="124">
        <v>0</v>
      </c>
      <c r="Q56" s="50">
        <f>SUM(Q59:Q61)</f>
        <v>148812534</v>
      </c>
      <c r="R56" s="124"/>
      <c r="S56" s="50"/>
      <c r="T56" s="43">
        <f t="shared" si="20"/>
        <v>0</v>
      </c>
      <c r="U56" s="43">
        <f>Z56/J56*100</f>
        <v>65.616561656165615</v>
      </c>
      <c r="V56" s="40" t="s">
        <v>43</v>
      </c>
      <c r="W56" s="39">
        <f t="shared" si="21"/>
        <v>304605284</v>
      </c>
      <c r="X56" s="43">
        <f>W56/K56*100</f>
        <v>44.036960334316561</v>
      </c>
      <c r="Y56" s="40" t="s">
        <v>43</v>
      </c>
      <c r="Z56" s="43">
        <f t="shared" si="18"/>
        <v>14.58</v>
      </c>
      <c r="AA56" s="39">
        <f t="shared" si="19"/>
        <v>865062784</v>
      </c>
      <c r="AB56" s="43"/>
      <c r="AC56" s="40" t="s">
        <v>43</v>
      </c>
      <c r="AD56" s="43"/>
      <c r="AE56" s="9"/>
      <c r="AH56" s="17"/>
    </row>
    <row r="57" spans="1:34" ht="266.25" customHeight="1" x14ac:dyDescent="0.2">
      <c r="A57" s="10"/>
      <c r="B57" s="11" t="s">
        <v>181</v>
      </c>
      <c r="C57" s="61"/>
      <c r="D57" s="112" t="s">
        <v>182</v>
      </c>
      <c r="E57" s="130">
        <v>78.23</v>
      </c>
      <c r="F57" s="131"/>
      <c r="G57" s="132"/>
      <c r="H57" s="133">
        <v>45.32</v>
      </c>
      <c r="I57" s="132"/>
      <c r="J57" s="134">
        <v>61.77</v>
      </c>
      <c r="K57" s="135"/>
      <c r="L57" s="136"/>
      <c r="M57" s="135">
        <f>SUM(M59)</f>
        <v>0</v>
      </c>
      <c r="N57" s="130"/>
      <c r="O57" s="135"/>
      <c r="P57" s="134"/>
      <c r="Q57" s="135"/>
      <c r="R57" s="136"/>
      <c r="S57" s="135"/>
      <c r="T57" s="43">
        <f t="shared" si="20"/>
        <v>0</v>
      </c>
      <c r="U57" s="43">
        <f>Z57/J57*100</f>
        <v>73.368949328152823</v>
      </c>
      <c r="V57" s="40" t="s">
        <v>43</v>
      </c>
      <c r="W57" s="39">
        <f t="shared" si="21"/>
        <v>0</v>
      </c>
      <c r="X57" s="43"/>
      <c r="Y57" s="40" t="s">
        <v>43</v>
      </c>
      <c r="Z57" s="43">
        <f t="shared" si="18"/>
        <v>45.32</v>
      </c>
      <c r="AA57" s="39">
        <f t="shared" si="19"/>
        <v>0</v>
      </c>
      <c r="AB57" s="43"/>
      <c r="AC57" s="40" t="s">
        <v>43</v>
      </c>
      <c r="AD57" s="44"/>
      <c r="AE57" s="9"/>
      <c r="AH57" s="17"/>
    </row>
    <row r="58" spans="1:34" ht="235.5" customHeight="1" x14ac:dyDescent="0.2">
      <c r="A58" s="10"/>
      <c r="B58" s="11" t="s">
        <v>183</v>
      </c>
      <c r="C58" s="61"/>
      <c r="D58" s="112" t="s">
        <v>184</v>
      </c>
      <c r="E58" s="126">
        <v>24.77</v>
      </c>
      <c r="F58" s="129"/>
      <c r="G58" s="114"/>
      <c r="H58" s="118">
        <v>14.2</v>
      </c>
      <c r="I58" s="114"/>
      <c r="J58" s="120">
        <v>19.7</v>
      </c>
      <c r="K58" s="121"/>
      <c r="L58" s="125"/>
      <c r="M58" s="121">
        <f>SUM(M60)</f>
        <v>0</v>
      </c>
      <c r="N58" s="126"/>
      <c r="O58" s="121">
        <f>SUM(O60)</f>
        <v>0</v>
      </c>
      <c r="P58" s="120"/>
      <c r="Q58" s="121"/>
      <c r="R58" s="125"/>
      <c r="S58" s="121"/>
      <c r="T58" s="43">
        <f t="shared" si="20"/>
        <v>0</v>
      </c>
      <c r="U58" s="43">
        <f>Z58/J58*100</f>
        <v>72.081218274111663</v>
      </c>
      <c r="V58" s="40" t="s">
        <v>43</v>
      </c>
      <c r="W58" s="39">
        <f t="shared" si="21"/>
        <v>0</v>
      </c>
      <c r="X58" s="43"/>
      <c r="Y58" s="40" t="s">
        <v>43</v>
      </c>
      <c r="Z58" s="43">
        <f t="shared" si="18"/>
        <v>14.2</v>
      </c>
      <c r="AA58" s="39">
        <f t="shared" si="19"/>
        <v>0</v>
      </c>
      <c r="AB58" s="43"/>
      <c r="AC58" s="40" t="s">
        <v>43</v>
      </c>
      <c r="AD58" s="44"/>
      <c r="AE58" s="9"/>
      <c r="AH58" s="17"/>
    </row>
    <row r="59" spans="1:34" ht="300" x14ac:dyDescent="0.2">
      <c r="A59" s="10"/>
      <c r="B59" s="11"/>
      <c r="C59" s="59" t="s">
        <v>105</v>
      </c>
      <c r="D59" s="83" t="s">
        <v>128</v>
      </c>
      <c r="E59" s="65">
        <v>142</v>
      </c>
      <c r="F59" s="90" t="s">
        <v>113</v>
      </c>
      <c r="G59" s="66">
        <f>75008800+54875000+75008800</f>
        <v>204892600</v>
      </c>
      <c r="H59" s="101">
        <v>77</v>
      </c>
      <c r="I59" s="102">
        <v>50125000</v>
      </c>
      <c r="J59" s="65">
        <v>112</v>
      </c>
      <c r="K59" s="64">
        <v>54875000</v>
      </c>
      <c r="L59" s="65"/>
      <c r="M59" s="66">
        <v>0</v>
      </c>
      <c r="N59" s="65"/>
      <c r="O59" s="15">
        <v>3937500</v>
      </c>
      <c r="P59" s="65">
        <v>0</v>
      </c>
      <c r="Q59" s="15">
        <v>4375000</v>
      </c>
      <c r="R59" s="65"/>
      <c r="S59" s="15"/>
      <c r="T59" s="41">
        <f t="shared" si="20"/>
        <v>0</v>
      </c>
      <c r="U59" s="41">
        <f>T59/J59*100</f>
        <v>0</v>
      </c>
      <c r="V59" s="25" t="s">
        <v>43</v>
      </c>
      <c r="W59" s="30">
        <f t="shared" si="21"/>
        <v>8312500</v>
      </c>
      <c r="X59" s="44">
        <f>W59/K59*100</f>
        <v>15.148063781321182</v>
      </c>
      <c r="Y59" s="25" t="s">
        <v>43</v>
      </c>
      <c r="Z59" s="41">
        <f t="shared" si="18"/>
        <v>77</v>
      </c>
      <c r="AA59" s="30">
        <f t="shared" si="19"/>
        <v>58437500</v>
      </c>
      <c r="AB59" s="44"/>
      <c r="AC59" s="25" t="s">
        <v>43</v>
      </c>
      <c r="AD59" s="44"/>
      <c r="AE59" s="9"/>
      <c r="AH59" s="17"/>
    </row>
    <row r="60" spans="1:34" ht="135" x14ac:dyDescent="0.2">
      <c r="A60" s="10"/>
      <c r="B60" s="11"/>
      <c r="C60" s="59" t="s">
        <v>92</v>
      </c>
      <c r="D60" s="84" t="s">
        <v>129</v>
      </c>
      <c r="E60" s="65">
        <v>3</v>
      </c>
      <c r="F60" s="90" t="s">
        <v>60</v>
      </c>
      <c r="G60" s="66">
        <f>22880500+5877500+22880500</f>
        <v>51638500</v>
      </c>
      <c r="H60" s="65">
        <v>1</v>
      </c>
      <c r="I60" s="102">
        <v>19240000</v>
      </c>
      <c r="J60" s="65">
        <v>1</v>
      </c>
      <c r="K60" s="51">
        <v>5877500</v>
      </c>
      <c r="L60" s="14">
        <v>0</v>
      </c>
      <c r="M60" s="15">
        <v>0</v>
      </c>
      <c r="N60" s="14">
        <v>0</v>
      </c>
      <c r="O60" s="15">
        <v>0</v>
      </c>
      <c r="P60" s="14">
        <v>1</v>
      </c>
      <c r="Q60" s="15">
        <v>4900000</v>
      </c>
      <c r="R60" s="14"/>
      <c r="S60" s="15"/>
      <c r="T60" s="41">
        <f t="shared" si="20"/>
        <v>1</v>
      </c>
      <c r="U60" s="41">
        <f>T60/J60*100</f>
        <v>100</v>
      </c>
      <c r="V60" s="25" t="s">
        <v>43</v>
      </c>
      <c r="W60" s="30">
        <f t="shared" si="21"/>
        <v>4900000</v>
      </c>
      <c r="X60" s="44">
        <f>W60/K60*100</f>
        <v>83.368779242875362</v>
      </c>
      <c r="Y60" s="25" t="s">
        <v>43</v>
      </c>
      <c r="Z60" s="41">
        <f t="shared" si="18"/>
        <v>2</v>
      </c>
      <c r="AA60" s="30">
        <f t="shared" si="19"/>
        <v>24140000</v>
      </c>
      <c r="AB60" s="44"/>
      <c r="AC60" s="25" t="s">
        <v>43</v>
      </c>
      <c r="AD60" s="44"/>
      <c r="AE60" s="9"/>
      <c r="AH60" s="17"/>
    </row>
    <row r="61" spans="1:34" ht="211.5" customHeight="1" x14ac:dyDescent="0.2">
      <c r="A61" s="10"/>
      <c r="B61" s="11"/>
      <c r="C61" s="59" t="s">
        <v>86</v>
      </c>
      <c r="D61" s="60" t="s">
        <v>130</v>
      </c>
      <c r="E61" s="65">
        <v>3</v>
      </c>
      <c r="F61" s="90" t="s">
        <v>42</v>
      </c>
      <c r="G61" s="66">
        <f>631003138+630981300+631003138</f>
        <v>1892987576</v>
      </c>
      <c r="H61" s="65">
        <v>1</v>
      </c>
      <c r="I61" s="102">
        <v>491092500</v>
      </c>
      <c r="J61" s="65">
        <v>1</v>
      </c>
      <c r="K61" s="64">
        <v>630951200</v>
      </c>
      <c r="L61" s="65">
        <v>0</v>
      </c>
      <c r="M61" s="66">
        <v>38762500</v>
      </c>
      <c r="N61" s="65">
        <v>0</v>
      </c>
      <c r="O61" s="15">
        <v>113092750</v>
      </c>
      <c r="P61" s="65">
        <v>0</v>
      </c>
      <c r="Q61" s="15">
        <v>139537534</v>
      </c>
      <c r="R61" s="65"/>
      <c r="S61" s="15"/>
      <c r="T61" s="41">
        <f t="shared" si="20"/>
        <v>0</v>
      </c>
      <c r="U61" s="41">
        <f>T61/J61*100</f>
        <v>0</v>
      </c>
      <c r="V61" s="25" t="s">
        <v>43</v>
      </c>
      <c r="W61" s="30">
        <f t="shared" si="21"/>
        <v>291392784</v>
      </c>
      <c r="X61" s="44">
        <f>W61/K61*100</f>
        <v>46.183093716281071</v>
      </c>
      <c r="Y61" s="25" t="s">
        <v>43</v>
      </c>
      <c r="Z61" s="41">
        <f t="shared" si="18"/>
        <v>1</v>
      </c>
      <c r="AA61" s="30">
        <f t="shared" si="19"/>
        <v>782485284</v>
      </c>
      <c r="AB61" s="44"/>
      <c r="AC61" s="25" t="s">
        <v>43</v>
      </c>
      <c r="AD61" s="44"/>
      <c r="AE61" s="9"/>
      <c r="AH61" s="17"/>
    </row>
    <row r="62" spans="1:34" ht="15" x14ac:dyDescent="0.2">
      <c r="A62" s="188" t="s">
        <v>22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57">
        <f>AVERAGE(U13:U61)</f>
        <v>67.224371751692559</v>
      </c>
      <c r="V62" s="54"/>
      <c r="W62" s="45"/>
      <c r="X62" s="57">
        <f>AVERAGE(X13,X41,X44,X54)</f>
        <v>65.827014411359329</v>
      </c>
      <c r="Y62" s="55"/>
      <c r="Z62" s="45"/>
      <c r="AA62" s="45"/>
      <c r="AB62" s="45"/>
      <c r="AC62" s="55"/>
      <c r="AD62" s="46"/>
      <c r="AE62" s="9"/>
      <c r="AH62" s="113">
        <f>SUM(AH13:AH61)</f>
        <v>3338068045</v>
      </c>
    </row>
    <row r="63" spans="1:34" ht="15" x14ac:dyDescent="0.2">
      <c r="A63" s="188" t="s">
        <v>23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22" t="str">
        <f>IF(U62&gt;=91,"Sangat Tinggi",IF(U62&gt;=76,"Tinggi",IF(U62&gt;=66,"Sedang",IF(U62&gt;=51,"Rendah",IF(U62&lt;=50,"Sangat Rendah")))))</f>
        <v>Sedang</v>
      </c>
      <c r="V63" s="54"/>
      <c r="W63" s="48"/>
      <c r="X63" s="22" t="str">
        <f>IF(X62&gt;=91,"Sangat Tinggi",IF(X62&gt;=76,"Tinggi",IF(X62&gt;=66,"Sedang",IF(X62&gt;=51,"Rendah",IF(X62&lt;=50,"Sangat Rendah")))))</f>
        <v>Rendah</v>
      </c>
      <c r="Y63" s="55"/>
      <c r="Z63" s="47"/>
      <c r="AA63" s="48"/>
      <c r="AB63" s="47"/>
      <c r="AC63" s="55"/>
      <c r="AD63" s="49"/>
      <c r="AE63" s="9"/>
    </row>
    <row r="64" spans="1:34" ht="15" x14ac:dyDescent="0.2">
      <c r="A64" s="190" t="s">
        <v>192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9"/>
    </row>
    <row r="65" spans="1:31" ht="15" x14ac:dyDescent="0.2">
      <c r="A65" s="190" t="s">
        <v>195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9"/>
    </row>
    <row r="66" spans="1:31" ht="15" x14ac:dyDescent="0.2">
      <c r="A66" s="190" t="s">
        <v>193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9"/>
    </row>
    <row r="67" spans="1:31" ht="15" x14ac:dyDescent="0.2">
      <c r="A67" s="190" t="s">
        <v>194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23"/>
    </row>
    <row r="68" spans="1:31" ht="15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105"/>
      <c r="W68" s="24"/>
      <c r="X68" s="24"/>
      <c r="Y68" s="105"/>
      <c r="Z68" s="24"/>
      <c r="AA68" s="24"/>
      <c r="AB68" s="24"/>
      <c r="AC68" s="105"/>
      <c r="AD68" s="24"/>
    </row>
    <row r="69" spans="1:31" ht="15" x14ac:dyDescent="0.2">
      <c r="A69" s="24"/>
      <c r="B69" s="24"/>
      <c r="C69" s="24"/>
      <c r="D69" s="24"/>
      <c r="E69" s="24"/>
      <c r="F69" s="24"/>
      <c r="G69" s="86"/>
      <c r="H69" s="24"/>
      <c r="I69" s="86"/>
      <c r="J69" s="24"/>
      <c r="K69" s="86"/>
      <c r="L69" s="24"/>
      <c r="M69" s="86"/>
      <c r="N69" s="24"/>
      <c r="O69" s="86"/>
      <c r="P69" s="24"/>
      <c r="Q69" s="86"/>
      <c r="R69" s="24"/>
      <c r="S69" s="86"/>
      <c r="T69" s="185" t="s">
        <v>49</v>
      </c>
      <c r="U69" s="185"/>
      <c r="V69" s="185"/>
      <c r="W69" s="185"/>
      <c r="X69" s="185"/>
      <c r="Y69" s="105"/>
      <c r="Z69" s="24"/>
      <c r="AA69" s="185"/>
      <c r="AB69" s="185"/>
      <c r="AC69" s="185"/>
      <c r="AD69" s="185"/>
      <c r="AE69" s="185"/>
    </row>
    <row r="70" spans="1:31" ht="15.75" x14ac:dyDescent="0.25">
      <c r="A70" s="2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86"/>
      <c r="T70" s="185" t="s">
        <v>191</v>
      </c>
      <c r="U70" s="185"/>
      <c r="V70" s="185"/>
      <c r="W70" s="185"/>
      <c r="X70" s="185"/>
      <c r="Y70" s="105"/>
      <c r="Z70" s="24"/>
      <c r="AA70" s="185"/>
      <c r="AB70" s="185"/>
      <c r="AC70" s="185"/>
      <c r="AD70" s="185"/>
      <c r="AE70" s="185"/>
    </row>
    <row r="71" spans="1:31" ht="15" x14ac:dyDescent="0.2">
      <c r="M71" s="113"/>
      <c r="O71" s="113"/>
      <c r="Q71" s="113"/>
      <c r="S71" s="113"/>
      <c r="T71" s="185" t="s">
        <v>51</v>
      </c>
      <c r="U71" s="185"/>
      <c r="V71" s="185"/>
      <c r="W71" s="185"/>
      <c r="X71" s="185"/>
      <c r="AA71" s="185"/>
      <c r="AB71" s="185"/>
      <c r="AC71" s="185"/>
      <c r="AD71" s="185"/>
      <c r="AE71" s="185"/>
    </row>
    <row r="72" spans="1:31" ht="15" x14ac:dyDescent="0.2">
      <c r="T72" s="185" t="s">
        <v>50</v>
      </c>
      <c r="U72" s="185"/>
      <c r="V72" s="185"/>
      <c r="W72" s="185"/>
      <c r="X72" s="185"/>
      <c r="AA72" s="185"/>
      <c r="AB72" s="185"/>
      <c r="AC72" s="185"/>
      <c r="AD72" s="185"/>
      <c r="AE72" s="185"/>
    </row>
    <row r="73" spans="1:31" ht="51" x14ac:dyDescent="0.2">
      <c r="A73" s="26" t="s">
        <v>24</v>
      </c>
      <c r="B73" s="26" t="s">
        <v>25</v>
      </c>
      <c r="C73" s="26" t="s">
        <v>26</v>
      </c>
      <c r="T73" s="24"/>
      <c r="U73" s="24"/>
      <c r="V73" s="105"/>
      <c r="W73" s="24"/>
      <c r="AA73" s="105"/>
      <c r="AB73" s="24"/>
      <c r="AC73" s="105"/>
      <c r="AD73" s="24"/>
    </row>
    <row r="74" spans="1:31" ht="25.5" x14ac:dyDescent="0.25">
      <c r="A74" s="27" t="s">
        <v>27</v>
      </c>
      <c r="B74" s="27" t="s">
        <v>28</v>
      </c>
      <c r="C74" s="27" t="s">
        <v>29</v>
      </c>
      <c r="T74" s="186" t="s">
        <v>52</v>
      </c>
      <c r="U74" s="186"/>
      <c r="V74" s="186"/>
      <c r="W74" s="186"/>
      <c r="X74" s="186"/>
      <c r="AA74" s="186"/>
      <c r="AB74" s="186"/>
      <c r="AC74" s="186"/>
      <c r="AD74" s="186"/>
      <c r="AE74" s="186"/>
    </row>
    <row r="75" spans="1:31" ht="25.5" x14ac:dyDescent="0.2">
      <c r="A75" s="27" t="s">
        <v>30</v>
      </c>
      <c r="B75" s="27" t="s">
        <v>31</v>
      </c>
      <c r="C75" s="27" t="s">
        <v>32</v>
      </c>
      <c r="T75" s="187" t="s">
        <v>53</v>
      </c>
      <c r="U75" s="187"/>
      <c r="V75" s="187"/>
      <c r="W75" s="187"/>
      <c r="X75" s="187"/>
      <c r="AA75" s="187"/>
      <c r="AB75" s="187"/>
      <c r="AC75" s="187"/>
      <c r="AD75" s="187"/>
      <c r="AE75" s="187"/>
    </row>
    <row r="76" spans="1:31" ht="25.5" x14ac:dyDescent="0.2">
      <c r="A76" s="27" t="s">
        <v>33</v>
      </c>
      <c r="B76" s="27" t="s">
        <v>34</v>
      </c>
      <c r="C76" s="27" t="s">
        <v>35</v>
      </c>
    </row>
    <row r="77" spans="1:31" ht="25.5" x14ac:dyDescent="0.2">
      <c r="A77" s="27" t="s">
        <v>36</v>
      </c>
      <c r="B77" s="27" t="s">
        <v>37</v>
      </c>
      <c r="C77" s="27" t="s">
        <v>38</v>
      </c>
    </row>
    <row r="78" spans="1:31" ht="25.5" x14ac:dyDescent="0.2">
      <c r="A78" s="27" t="s">
        <v>39</v>
      </c>
      <c r="B78" s="28" t="s">
        <v>40</v>
      </c>
      <c r="C78" s="27" t="s">
        <v>41</v>
      </c>
    </row>
  </sheetData>
  <mergeCells count="79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U11:V11"/>
    <mergeCell ref="X11:Y11"/>
    <mergeCell ref="AB11:AC11"/>
    <mergeCell ref="U12:V12"/>
    <mergeCell ref="X12:Y12"/>
    <mergeCell ref="AB12:AC12"/>
    <mergeCell ref="T75:X75"/>
    <mergeCell ref="AA75:AE75"/>
    <mergeCell ref="T69:X69"/>
    <mergeCell ref="AA69:AE69"/>
    <mergeCell ref="T70:X70"/>
    <mergeCell ref="AA70:AE70"/>
    <mergeCell ref="T71:X71"/>
    <mergeCell ref="AA71:AE71"/>
    <mergeCell ref="Q44:Q45"/>
    <mergeCell ref="T72:X72"/>
    <mergeCell ref="AA72:AE72"/>
    <mergeCell ref="T74:X74"/>
    <mergeCell ref="AA74:AE74"/>
    <mergeCell ref="A62:T62"/>
    <mergeCell ref="A63:T63"/>
    <mergeCell ref="A64:AD64"/>
    <mergeCell ref="A65:AD65"/>
    <mergeCell ref="A66:AD66"/>
    <mergeCell ref="A67:AD67"/>
  </mergeCells>
  <printOptions horizontalCentered="1"/>
  <pageMargins left="0.23622047244094491" right="0.23622047244094491" top="3.937007874015748E-2" bottom="3.937007874015748E-2" header="0" footer="0"/>
  <pageSetup paperSize="5" scale="40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7B1B-5D47-4DBF-9C49-28A0F74C6EB9}">
  <sheetPr>
    <tabColor theme="9" tint="-0.249977111117893"/>
  </sheetPr>
  <dimension ref="A1:AK78"/>
  <sheetViews>
    <sheetView tabSelected="1" showRuler="0" zoomScale="70" zoomScaleNormal="70" zoomScalePageLayoutView="55" workbookViewId="0">
      <pane xSplit="10" ySplit="9" topLeftCell="K39" activePane="bottomRight" state="frozen"/>
      <selection pane="topRight" activeCell="K1" sqref="K1"/>
      <selection pane="bottomLeft" activeCell="A10" sqref="A10"/>
      <selection pane="bottomRight" activeCell="R40" sqref="R40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9.42578125" style="2" customWidth="1"/>
    <col min="8" max="8" width="8.5703125" style="2" customWidth="1"/>
    <col min="9" max="9" width="21.42578125" style="2" customWidth="1"/>
    <col min="10" max="10" width="9" style="2" customWidth="1"/>
    <col min="11" max="11" width="19.28515625" style="2" customWidth="1"/>
    <col min="12" max="12" width="9.140625" style="2" customWidth="1"/>
    <col min="13" max="13" width="18.28515625" style="2" customWidth="1"/>
    <col min="14" max="14" width="7.7109375" style="2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0" width="8" style="2" customWidth="1"/>
    <col min="21" max="21" width="10.85546875" style="2" customWidth="1"/>
    <col min="22" max="22" width="5.5703125" style="4" customWidth="1"/>
    <col min="23" max="23" width="18.7109375" style="2" customWidth="1"/>
    <col min="24" max="24" width="8.85546875" style="2" customWidth="1"/>
    <col min="25" max="25" width="5.5703125" style="4" customWidth="1"/>
    <col min="26" max="26" width="8.42578125" style="2" customWidth="1"/>
    <col min="27" max="27" width="18" style="2" customWidth="1"/>
    <col min="28" max="28" width="8" style="2" customWidth="1"/>
    <col min="29" max="29" width="5.5703125" style="4" customWidth="1"/>
    <col min="30" max="30" width="10.28515625" style="2" customWidth="1"/>
    <col min="31" max="31" width="19.140625" style="2" customWidth="1"/>
    <col min="32" max="32" width="17.140625" style="2" customWidth="1"/>
    <col min="33" max="37" width="19.5703125" style="2" customWidth="1"/>
    <col min="38" max="16384" width="9.140625" style="2"/>
  </cols>
  <sheetData>
    <row r="1" spans="1:37" ht="23.25" x14ac:dyDescent="0.3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1"/>
    </row>
    <row r="2" spans="1:37" ht="23.25" x14ac:dyDescent="0.35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3"/>
    </row>
    <row r="3" spans="1:37" ht="23.25" x14ac:dyDescent="0.35">
      <c r="A3" s="226" t="s">
        <v>44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173"/>
    </row>
    <row r="4" spans="1:37" ht="23.25" x14ac:dyDescent="0.35">
      <c r="A4" s="227" t="s">
        <v>197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1"/>
    </row>
    <row r="5" spans="1:37" ht="18" x14ac:dyDescent="0.2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</row>
    <row r="6" spans="1:37" ht="18" x14ac:dyDescent="0.25">
      <c r="A6" s="225" t="s">
        <v>44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</row>
    <row r="7" spans="1:37" ht="81" customHeight="1" x14ac:dyDescent="0.2">
      <c r="A7" s="218" t="s">
        <v>3</v>
      </c>
      <c r="B7" s="218" t="s">
        <v>4</v>
      </c>
      <c r="C7" s="219" t="s">
        <v>5</v>
      </c>
      <c r="D7" s="219" t="s">
        <v>6</v>
      </c>
      <c r="E7" s="212" t="s">
        <v>7</v>
      </c>
      <c r="F7" s="213"/>
      <c r="G7" s="220"/>
      <c r="H7" s="212" t="s">
        <v>117</v>
      </c>
      <c r="I7" s="220"/>
      <c r="J7" s="212" t="s">
        <v>114</v>
      </c>
      <c r="K7" s="213"/>
      <c r="L7" s="212" t="s">
        <v>8</v>
      </c>
      <c r="M7" s="213"/>
      <c r="N7" s="213"/>
      <c r="O7" s="213"/>
      <c r="P7" s="213"/>
      <c r="Q7" s="213"/>
      <c r="R7" s="213"/>
      <c r="S7" s="220"/>
      <c r="T7" s="212" t="s">
        <v>46</v>
      </c>
      <c r="U7" s="213"/>
      <c r="V7" s="213"/>
      <c r="W7" s="213"/>
      <c r="X7" s="213"/>
      <c r="Y7" s="220"/>
      <c r="Z7" s="212" t="s">
        <v>115</v>
      </c>
      <c r="AA7" s="220"/>
      <c r="AB7" s="212" t="s">
        <v>116</v>
      </c>
      <c r="AC7" s="213"/>
      <c r="AD7" s="213"/>
      <c r="AE7" s="216" t="s">
        <v>9</v>
      </c>
      <c r="AG7" s="4"/>
      <c r="AH7" s="4"/>
      <c r="AI7" s="4"/>
      <c r="AJ7" s="4"/>
      <c r="AK7" s="4"/>
    </row>
    <row r="8" spans="1:37" ht="18" customHeight="1" x14ac:dyDescent="0.2">
      <c r="A8" s="218"/>
      <c r="B8" s="218"/>
      <c r="C8" s="219"/>
      <c r="D8" s="219"/>
      <c r="E8" s="221"/>
      <c r="F8" s="222"/>
      <c r="G8" s="223"/>
      <c r="H8" s="221"/>
      <c r="I8" s="223"/>
      <c r="J8" s="214"/>
      <c r="K8" s="215"/>
      <c r="L8" s="214"/>
      <c r="M8" s="215"/>
      <c r="N8" s="215"/>
      <c r="O8" s="215"/>
      <c r="P8" s="215"/>
      <c r="Q8" s="215"/>
      <c r="R8" s="215"/>
      <c r="S8" s="224"/>
      <c r="T8" s="214"/>
      <c r="U8" s="215"/>
      <c r="V8" s="215"/>
      <c r="W8" s="215"/>
      <c r="X8" s="215"/>
      <c r="Y8" s="224"/>
      <c r="Z8" s="214"/>
      <c r="AA8" s="224"/>
      <c r="AB8" s="214"/>
      <c r="AC8" s="215"/>
      <c r="AD8" s="215"/>
      <c r="AE8" s="217"/>
    </row>
    <row r="9" spans="1:37" ht="15.75" customHeight="1" x14ac:dyDescent="0.2">
      <c r="A9" s="218"/>
      <c r="B9" s="218"/>
      <c r="C9" s="219"/>
      <c r="D9" s="219"/>
      <c r="E9" s="214"/>
      <c r="F9" s="215"/>
      <c r="G9" s="224"/>
      <c r="H9" s="214"/>
      <c r="I9" s="224"/>
      <c r="J9" s="210">
        <v>2022</v>
      </c>
      <c r="K9" s="211"/>
      <c r="L9" s="205" t="s">
        <v>10</v>
      </c>
      <c r="M9" s="206"/>
      <c r="N9" s="205" t="s">
        <v>11</v>
      </c>
      <c r="O9" s="206"/>
      <c r="P9" s="205" t="s">
        <v>12</v>
      </c>
      <c r="Q9" s="206"/>
      <c r="R9" s="205" t="s">
        <v>13</v>
      </c>
      <c r="S9" s="206"/>
      <c r="T9" s="205">
        <v>2022</v>
      </c>
      <c r="U9" s="207"/>
      <c r="V9" s="207"/>
      <c r="W9" s="207"/>
      <c r="X9" s="207"/>
      <c r="Y9" s="206"/>
      <c r="Z9" s="205">
        <v>2022</v>
      </c>
      <c r="AA9" s="206"/>
      <c r="AB9" s="205">
        <v>2022</v>
      </c>
      <c r="AC9" s="207"/>
      <c r="AD9" s="206"/>
      <c r="AE9" s="5"/>
    </row>
    <row r="10" spans="1:37" ht="15.75" x14ac:dyDescent="0.25">
      <c r="A10" s="193">
        <v>1</v>
      </c>
      <c r="B10" s="193">
        <v>2</v>
      </c>
      <c r="C10" s="193">
        <v>3</v>
      </c>
      <c r="D10" s="193">
        <v>4</v>
      </c>
      <c r="E10" s="195">
        <v>5</v>
      </c>
      <c r="F10" s="209"/>
      <c r="G10" s="196"/>
      <c r="H10" s="195">
        <v>6</v>
      </c>
      <c r="I10" s="196"/>
      <c r="J10" s="200">
        <v>7</v>
      </c>
      <c r="K10" s="201"/>
      <c r="L10" s="200">
        <v>8</v>
      </c>
      <c r="M10" s="201"/>
      <c r="N10" s="200">
        <v>9</v>
      </c>
      <c r="O10" s="201"/>
      <c r="P10" s="200">
        <v>10</v>
      </c>
      <c r="Q10" s="201"/>
      <c r="R10" s="200">
        <v>11</v>
      </c>
      <c r="S10" s="201"/>
      <c r="T10" s="202">
        <v>12</v>
      </c>
      <c r="U10" s="203"/>
      <c r="V10" s="203"/>
      <c r="W10" s="203"/>
      <c r="X10" s="203"/>
      <c r="Y10" s="204"/>
      <c r="Z10" s="202">
        <v>13</v>
      </c>
      <c r="AA10" s="204"/>
      <c r="AB10" s="202">
        <v>14</v>
      </c>
      <c r="AC10" s="203"/>
      <c r="AD10" s="204"/>
      <c r="AE10" s="6">
        <v>15</v>
      </c>
    </row>
    <row r="11" spans="1:37" ht="87" customHeight="1" x14ac:dyDescent="0.2">
      <c r="A11" s="208"/>
      <c r="B11" s="208"/>
      <c r="C11" s="208"/>
      <c r="D11" s="208"/>
      <c r="E11" s="191" t="s">
        <v>14</v>
      </c>
      <c r="F11" s="198"/>
      <c r="G11" s="194" t="s">
        <v>15</v>
      </c>
      <c r="H11" s="191" t="s">
        <v>14</v>
      </c>
      <c r="I11" s="194" t="s">
        <v>15</v>
      </c>
      <c r="J11" s="191" t="s">
        <v>14</v>
      </c>
      <c r="K11" s="193" t="s">
        <v>15</v>
      </c>
      <c r="L11" s="191" t="s">
        <v>14</v>
      </c>
      <c r="M11" s="193" t="s">
        <v>15</v>
      </c>
      <c r="N11" s="191" t="s">
        <v>14</v>
      </c>
      <c r="O11" s="193" t="s">
        <v>15</v>
      </c>
      <c r="P11" s="191" t="s">
        <v>14</v>
      </c>
      <c r="Q11" s="193" t="s">
        <v>15</v>
      </c>
      <c r="R11" s="191" t="s">
        <v>14</v>
      </c>
      <c r="S11" s="193" t="s">
        <v>15</v>
      </c>
      <c r="T11" s="140" t="s">
        <v>16</v>
      </c>
      <c r="U11" s="195" t="s">
        <v>47</v>
      </c>
      <c r="V11" s="196"/>
      <c r="W11" s="7" t="s">
        <v>17</v>
      </c>
      <c r="X11" s="195" t="s">
        <v>48</v>
      </c>
      <c r="Y11" s="196"/>
      <c r="Z11" s="140" t="s">
        <v>18</v>
      </c>
      <c r="AA11" s="7" t="s">
        <v>19</v>
      </c>
      <c r="AB11" s="195" t="s">
        <v>20</v>
      </c>
      <c r="AC11" s="196"/>
      <c r="AD11" s="7" t="s">
        <v>21</v>
      </c>
      <c r="AE11" s="8"/>
    </row>
    <row r="12" spans="1:37" ht="15.75" x14ac:dyDescent="0.2">
      <c r="A12" s="194"/>
      <c r="B12" s="194"/>
      <c r="C12" s="194"/>
      <c r="D12" s="194"/>
      <c r="E12" s="192"/>
      <c r="F12" s="197"/>
      <c r="G12" s="199"/>
      <c r="H12" s="192"/>
      <c r="I12" s="199"/>
      <c r="J12" s="192"/>
      <c r="K12" s="194"/>
      <c r="L12" s="192"/>
      <c r="M12" s="194"/>
      <c r="N12" s="192"/>
      <c r="O12" s="194"/>
      <c r="P12" s="192"/>
      <c r="Q12" s="194"/>
      <c r="R12" s="192"/>
      <c r="S12" s="194"/>
      <c r="T12" s="139" t="s">
        <v>14</v>
      </c>
      <c r="U12" s="192" t="s">
        <v>14</v>
      </c>
      <c r="V12" s="197"/>
      <c r="W12" s="141" t="s">
        <v>15</v>
      </c>
      <c r="X12" s="192" t="s">
        <v>15</v>
      </c>
      <c r="Y12" s="197"/>
      <c r="Z12" s="139" t="s">
        <v>14</v>
      </c>
      <c r="AA12" s="141" t="s">
        <v>15</v>
      </c>
      <c r="AB12" s="192" t="s">
        <v>14</v>
      </c>
      <c r="AC12" s="197"/>
      <c r="AD12" s="141" t="s">
        <v>15</v>
      </c>
      <c r="AE12" s="56"/>
    </row>
    <row r="13" spans="1:37" s="155" customFormat="1" ht="123.75" customHeight="1" x14ac:dyDescent="0.2">
      <c r="A13" s="144">
        <v>1</v>
      </c>
      <c r="B13" s="145" t="s">
        <v>100</v>
      </c>
      <c r="C13" s="145" t="s">
        <v>54</v>
      </c>
      <c r="D13" s="145" t="s">
        <v>103</v>
      </c>
      <c r="E13" s="146">
        <v>100</v>
      </c>
      <c r="F13" s="147" t="s">
        <v>43</v>
      </c>
      <c r="G13" s="148">
        <f>G14+G17+G22+G29+G33</f>
        <v>15831852200</v>
      </c>
      <c r="H13" s="146">
        <v>100</v>
      </c>
      <c r="I13" s="148">
        <f>I14+I17+I22+I29+I33</f>
        <v>3741409362</v>
      </c>
      <c r="J13" s="146">
        <v>100</v>
      </c>
      <c r="K13" s="148">
        <f>K14+K17+K22+K29+K33</f>
        <v>4303049501</v>
      </c>
      <c r="L13" s="146">
        <v>25</v>
      </c>
      <c r="M13" s="148">
        <f>M14+M17+M22+M29+M33</f>
        <v>765366697</v>
      </c>
      <c r="N13" s="146">
        <v>25</v>
      </c>
      <c r="O13" s="148">
        <f>O14+O17+O22+O29+O33</f>
        <v>1088182377</v>
      </c>
      <c r="P13" s="146">
        <v>25</v>
      </c>
      <c r="Q13" s="148">
        <f>Q14+Q17+Q22+Q29+Q33</f>
        <v>919598737</v>
      </c>
      <c r="R13" s="146">
        <v>25</v>
      </c>
      <c r="S13" s="148">
        <f>S14+S17+S22+S29+S33</f>
        <v>1322969128</v>
      </c>
      <c r="T13" s="149">
        <f t="shared" ref="T13:T27" si="0">SUM(L13,N13,P13,R13)</f>
        <v>100</v>
      </c>
      <c r="U13" s="149">
        <f t="shared" ref="U13:U27" si="1">T13/J13*100</f>
        <v>100</v>
      </c>
      <c r="V13" s="150" t="s">
        <v>43</v>
      </c>
      <c r="W13" s="151">
        <f>S13+Q13+O13+M13</f>
        <v>4096116939</v>
      </c>
      <c r="X13" s="152">
        <f t="shared" ref="X13:X27" si="2">W13/K13*100</f>
        <v>95.191025296085712</v>
      </c>
      <c r="Y13" s="144" t="s">
        <v>43</v>
      </c>
      <c r="Z13" s="149">
        <f t="shared" ref="Z13:Z47" si="3">SUM(H13,T13)</f>
        <v>200</v>
      </c>
      <c r="AA13" s="151">
        <f t="shared" ref="AA13:AA47" si="4">SUM(I13,W13)</f>
        <v>7837526301</v>
      </c>
      <c r="AB13" s="153"/>
      <c r="AC13" s="150" t="s">
        <v>43</v>
      </c>
      <c r="AD13" s="152"/>
      <c r="AE13" s="154" t="s">
        <v>45</v>
      </c>
      <c r="AG13" s="156">
        <v>2773872811</v>
      </c>
      <c r="AH13" s="157"/>
    </row>
    <row r="14" spans="1:37" s="109" customFormat="1" ht="128.25" customHeight="1" x14ac:dyDescent="0.25">
      <c r="A14" s="36"/>
      <c r="B14" s="37"/>
      <c r="C14" s="12" t="s">
        <v>90</v>
      </c>
      <c r="D14" s="13" t="s">
        <v>91</v>
      </c>
      <c r="E14" s="34">
        <v>30</v>
      </c>
      <c r="F14" s="35" t="s">
        <v>42</v>
      </c>
      <c r="G14" s="31">
        <f>SUM(G15:G16)</f>
        <v>28062500</v>
      </c>
      <c r="H14" s="34">
        <v>10</v>
      </c>
      <c r="I14" s="31">
        <f>SUM(I15:I16)</f>
        <v>8887000</v>
      </c>
      <c r="J14" s="34">
        <v>10</v>
      </c>
      <c r="K14" s="31">
        <f t="shared" ref="K14:S14" si="5">SUM(K15:K16)</f>
        <v>9281250</v>
      </c>
      <c r="L14" s="34">
        <f t="shared" si="5"/>
        <v>4</v>
      </c>
      <c r="M14" s="31">
        <f t="shared" si="5"/>
        <v>701500</v>
      </c>
      <c r="N14" s="34">
        <f t="shared" si="5"/>
        <v>2</v>
      </c>
      <c r="O14" s="31">
        <f t="shared" si="5"/>
        <v>583750</v>
      </c>
      <c r="P14" s="34">
        <f t="shared" si="5"/>
        <v>2</v>
      </c>
      <c r="Q14" s="31">
        <f t="shared" si="5"/>
        <v>2064000</v>
      </c>
      <c r="R14" s="34">
        <v>2</v>
      </c>
      <c r="S14" s="31">
        <f t="shared" si="5"/>
        <v>4333150</v>
      </c>
      <c r="T14" s="42">
        <f t="shared" si="0"/>
        <v>10</v>
      </c>
      <c r="U14" s="43">
        <f t="shared" si="1"/>
        <v>100</v>
      </c>
      <c r="V14" s="35" t="s">
        <v>43</v>
      </c>
      <c r="W14" s="52">
        <f t="shared" ref="W14:W27" si="6">SUM(M14,O14,Q14,S14)</f>
        <v>7682400</v>
      </c>
      <c r="X14" s="53">
        <f t="shared" si="2"/>
        <v>82.773333333333326</v>
      </c>
      <c r="Y14" s="35" t="s">
        <v>43</v>
      </c>
      <c r="Z14" s="42">
        <f t="shared" si="3"/>
        <v>20</v>
      </c>
      <c r="AA14" s="39">
        <f t="shared" si="4"/>
        <v>16569400</v>
      </c>
      <c r="AB14" s="43"/>
      <c r="AC14" s="35" t="s">
        <v>43</v>
      </c>
      <c r="AD14" s="43"/>
      <c r="AE14" s="70"/>
      <c r="AG14" s="143"/>
      <c r="AH14" s="110"/>
    </row>
    <row r="15" spans="1:37" ht="75" x14ac:dyDescent="0.25">
      <c r="A15" s="10"/>
      <c r="B15" s="11"/>
      <c r="C15" s="18" t="s">
        <v>55</v>
      </c>
      <c r="D15" s="20" t="s">
        <v>131</v>
      </c>
      <c r="E15" s="14">
        <v>18</v>
      </c>
      <c r="F15" s="111" t="s">
        <v>42</v>
      </c>
      <c r="G15" s="15">
        <v>23462500</v>
      </c>
      <c r="H15" s="14">
        <v>6</v>
      </c>
      <c r="I15" s="15">
        <v>7395500</v>
      </c>
      <c r="J15" s="14">
        <v>6</v>
      </c>
      <c r="K15" s="15">
        <v>7731250</v>
      </c>
      <c r="L15" s="14">
        <v>3</v>
      </c>
      <c r="M15" s="15">
        <v>701500</v>
      </c>
      <c r="N15" s="14">
        <v>1</v>
      </c>
      <c r="O15" s="15">
        <v>583750</v>
      </c>
      <c r="P15" s="14">
        <v>1</v>
      </c>
      <c r="Q15" s="15">
        <v>1345250</v>
      </c>
      <c r="R15" s="14">
        <v>1</v>
      </c>
      <c r="S15" s="15">
        <v>3687350</v>
      </c>
      <c r="T15" s="41">
        <f t="shared" si="0"/>
        <v>6</v>
      </c>
      <c r="U15" s="41">
        <f t="shared" si="1"/>
        <v>100</v>
      </c>
      <c r="V15" s="25" t="s">
        <v>43</v>
      </c>
      <c r="W15" s="30">
        <f t="shared" si="6"/>
        <v>6317850</v>
      </c>
      <c r="X15" s="44">
        <f t="shared" si="2"/>
        <v>81.718350848827811</v>
      </c>
      <c r="Y15" s="25" t="s">
        <v>43</v>
      </c>
      <c r="Z15" s="41">
        <f t="shared" si="3"/>
        <v>12</v>
      </c>
      <c r="AA15" s="30">
        <f t="shared" si="4"/>
        <v>13713350</v>
      </c>
      <c r="AB15" s="44"/>
      <c r="AC15" s="25" t="s">
        <v>43</v>
      </c>
      <c r="AD15" s="44"/>
      <c r="AE15" s="9"/>
      <c r="AF15"/>
      <c r="AG15" s="142"/>
      <c r="AH15" s="17"/>
    </row>
    <row r="16" spans="1:37" ht="90" x14ac:dyDescent="0.25">
      <c r="A16" s="10"/>
      <c r="B16" s="11"/>
      <c r="C16" s="18" t="s">
        <v>56</v>
      </c>
      <c r="D16" s="20" t="s">
        <v>132</v>
      </c>
      <c r="E16" s="14">
        <v>12</v>
      </c>
      <c r="F16" s="111" t="s">
        <v>60</v>
      </c>
      <c r="G16" s="19">
        <v>4600000</v>
      </c>
      <c r="H16" s="14">
        <v>4</v>
      </c>
      <c r="I16" s="19">
        <v>1491500</v>
      </c>
      <c r="J16" s="14">
        <v>4</v>
      </c>
      <c r="K16" s="19">
        <v>1550000</v>
      </c>
      <c r="L16" s="14">
        <v>1</v>
      </c>
      <c r="M16" s="19">
        <v>0</v>
      </c>
      <c r="N16" s="14">
        <v>1</v>
      </c>
      <c r="O16" s="19" t="s">
        <v>196</v>
      </c>
      <c r="P16" s="14">
        <v>1</v>
      </c>
      <c r="Q16" s="19">
        <v>718750</v>
      </c>
      <c r="R16" s="14">
        <v>1</v>
      </c>
      <c r="S16" s="15">
        <v>645800</v>
      </c>
      <c r="T16" s="41">
        <f t="shared" si="0"/>
        <v>4</v>
      </c>
      <c r="U16" s="41">
        <f t="shared" si="1"/>
        <v>100</v>
      </c>
      <c r="V16" s="25" t="s">
        <v>43</v>
      </c>
      <c r="W16" s="30">
        <f t="shared" si="6"/>
        <v>1364550</v>
      </c>
      <c r="X16" s="44">
        <f t="shared" si="2"/>
        <v>88.035483870967752</v>
      </c>
      <c r="Y16" s="25" t="s">
        <v>43</v>
      </c>
      <c r="Z16" s="41">
        <f t="shared" si="3"/>
        <v>8</v>
      </c>
      <c r="AA16" s="30">
        <f t="shared" si="4"/>
        <v>2856050</v>
      </c>
      <c r="AB16" s="44"/>
      <c r="AC16" s="25" t="s">
        <v>43</v>
      </c>
      <c r="AD16" s="44"/>
      <c r="AE16" s="9"/>
      <c r="AF16"/>
      <c r="AG16" s="142"/>
      <c r="AH16" s="17"/>
    </row>
    <row r="17" spans="1:34" ht="94.5" x14ac:dyDescent="0.2">
      <c r="A17" s="10"/>
      <c r="B17" s="11"/>
      <c r="C17" s="12" t="s">
        <v>57</v>
      </c>
      <c r="D17" s="13" t="s">
        <v>87</v>
      </c>
      <c r="E17" s="94">
        <v>42</v>
      </c>
      <c r="F17" s="95" t="s">
        <v>42</v>
      </c>
      <c r="G17" s="68">
        <f>SUM(G18:G21)</f>
        <v>10314643500</v>
      </c>
      <c r="H17" s="94">
        <v>14</v>
      </c>
      <c r="I17" s="68">
        <f>SUM(I18:I21)</f>
        <v>2174709346</v>
      </c>
      <c r="J17" s="94">
        <f>SUM(J19:J21)</f>
        <v>14</v>
      </c>
      <c r="K17" s="31">
        <f>SUM(K18:K21)</f>
        <v>2436166246</v>
      </c>
      <c r="L17" s="58">
        <f>SUM(L19:L21)</f>
        <v>3</v>
      </c>
      <c r="M17" s="31">
        <f>SUM(M18:M21)</f>
        <v>439200796</v>
      </c>
      <c r="N17" s="58">
        <v>4</v>
      </c>
      <c r="O17" s="31">
        <f>SUM(O18:O21)</f>
        <v>736952740</v>
      </c>
      <c r="P17" s="58">
        <v>4</v>
      </c>
      <c r="Q17" s="31">
        <f>SUM(Q18:Q21)</f>
        <v>588969631</v>
      </c>
      <c r="R17" s="58">
        <v>3</v>
      </c>
      <c r="S17" s="31">
        <f>SUM(S18:S21)</f>
        <v>576702318</v>
      </c>
      <c r="T17" s="42">
        <f t="shared" si="0"/>
        <v>14</v>
      </c>
      <c r="U17" s="43">
        <f t="shared" si="1"/>
        <v>100</v>
      </c>
      <c r="V17" s="40" t="s">
        <v>43</v>
      </c>
      <c r="W17" s="39">
        <f t="shared" si="6"/>
        <v>2341825485</v>
      </c>
      <c r="X17" s="43">
        <f t="shared" si="2"/>
        <v>96.127490841197698</v>
      </c>
      <c r="Y17" s="40" t="s">
        <v>43</v>
      </c>
      <c r="Z17" s="42">
        <f t="shared" si="3"/>
        <v>28</v>
      </c>
      <c r="AA17" s="39">
        <f t="shared" si="4"/>
        <v>4516534831</v>
      </c>
      <c r="AB17" s="43"/>
      <c r="AC17" s="40" t="s">
        <v>43</v>
      </c>
      <c r="AD17" s="43"/>
      <c r="AE17" s="21"/>
      <c r="AG17" s="142"/>
      <c r="AH17" s="17"/>
    </row>
    <row r="18" spans="1:34" ht="90" x14ac:dyDescent="0.25">
      <c r="A18" s="10"/>
      <c r="B18" s="11"/>
      <c r="C18" s="18" t="s">
        <v>58</v>
      </c>
      <c r="D18" s="18" t="s">
        <v>133</v>
      </c>
      <c r="E18" s="96">
        <v>57</v>
      </c>
      <c r="F18" s="97" t="s">
        <v>112</v>
      </c>
      <c r="G18" s="66">
        <v>10298256000</v>
      </c>
      <c r="H18" s="96">
        <v>19</v>
      </c>
      <c r="I18" s="66">
        <v>2170239346</v>
      </c>
      <c r="J18" s="96">
        <v>19</v>
      </c>
      <c r="K18" s="176">
        <v>2431772496</v>
      </c>
      <c r="L18" s="32">
        <v>19</v>
      </c>
      <c r="M18" s="66">
        <v>438383946</v>
      </c>
      <c r="N18" s="32">
        <v>19</v>
      </c>
      <c r="O18" s="15">
        <v>736582990</v>
      </c>
      <c r="P18" s="32">
        <v>19</v>
      </c>
      <c r="Q18" s="15">
        <v>587852131</v>
      </c>
      <c r="R18" s="32">
        <v>19</v>
      </c>
      <c r="S18" s="15">
        <v>575212518</v>
      </c>
      <c r="T18" s="41">
        <f>AVERAGE(L18,N18,P18,R18)</f>
        <v>19</v>
      </c>
      <c r="U18" s="44">
        <f t="shared" si="1"/>
        <v>100</v>
      </c>
      <c r="V18" s="25" t="s">
        <v>43</v>
      </c>
      <c r="W18" s="30">
        <f t="shared" si="6"/>
        <v>2338031585</v>
      </c>
      <c r="X18" s="44">
        <f t="shared" si="2"/>
        <v>96.145161146686476</v>
      </c>
      <c r="Y18" s="25" t="s">
        <v>43</v>
      </c>
      <c r="Z18" s="41">
        <f t="shared" si="3"/>
        <v>38</v>
      </c>
      <c r="AA18" s="30">
        <f t="shared" si="4"/>
        <v>4508270931</v>
      </c>
      <c r="AB18" s="44"/>
      <c r="AC18" s="25" t="s">
        <v>43</v>
      </c>
      <c r="AD18" s="44"/>
      <c r="AE18" s="9"/>
      <c r="AF18"/>
      <c r="AG18" s="142"/>
      <c r="AH18" s="17"/>
    </row>
    <row r="19" spans="1:34" ht="195" x14ac:dyDescent="0.25">
      <c r="A19" s="10"/>
      <c r="B19" s="11"/>
      <c r="C19" s="18" t="s">
        <v>59</v>
      </c>
      <c r="D19" s="20" t="s">
        <v>134</v>
      </c>
      <c r="E19" s="96">
        <v>3</v>
      </c>
      <c r="F19" s="97" t="s">
        <v>60</v>
      </c>
      <c r="G19" s="66">
        <v>6562500</v>
      </c>
      <c r="H19" s="96">
        <v>1</v>
      </c>
      <c r="I19" s="66">
        <v>1812500</v>
      </c>
      <c r="J19" s="96">
        <v>1</v>
      </c>
      <c r="K19" s="15">
        <v>2281250</v>
      </c>
      <c r="L19" s="32">
        <v>0</v>
      </c>
      <c r="M19" s="66">
        <v>816850</v>
      </c>
      <c r="N19" s="32">
        <v>0</v>
      </c>
      <c r="O19" s="15">
        <v>0</v>
      </c>
      <c r="P19" s="32">
        <v>0</v>
      </c>
      <c r="Q19" s="15">
        <v>0</v>
      </c>
      <c r="R19" s="32">
        <v>1</v>
      </c>
      <c r="S19" s="15">
        <v>1215600</v>
      </c>
      <c r="T19" s="41">
        <f t="shared" si="0"/>
        <v>1</v>
      </c>
      <c r="U19" s="41">
        <f t="shared" si="1"/>
        <v>100</v>
      </c>
      <c r="V19" s="25" t="s">
        <v>43</v>
      </c>
      <c r="W19" s="30">
        <f t="shared" si="6"/>
        <v>2032450</v>
      </c>
      <c r="X19" s="44">
        <f t="shared" si="2"/>
        <v>89.093698630136984</v>
      </c>
      <c r="Y19" s="25" t="s">
        <v>43</v>
      </c>
      <c r="Z19" s="41">
        <f t="shared" si="3"/>
        <v>2</v>
      </c>
      <c r="AA19" s="30">
        <f t="shared" si="4"/>
        <v>3844950</v>
      </c>
      <c r="AB19" s="44"/>
      <c r="AC19" s="25" t="s">
        <v>43</v>
      </c>
      <c r="AD19" s="44"/>
      <c r="AE19" s="9"/>
      <c r="AF19"/>
      <c r="AG19" s="142"/>
      <c r="AH19" s="17"/>
    </row>
    <row r="20" spans="1:34" ht="210" x14ac:dyDescent="0.25">
      <c r="A20" s="10"/>
      <c r="B20" s="11"/>
      <c r="C20" s="18" t="s">
        <v>61</v>
      </c>
      <c r="D20" s="20" t="s">
        <v>135</v>
      </c>
      <c r="E20" s="96">
        <v>36</v>
      </c>
      <c r="F20" s="97" t="s">
        <v>60</v>
      </c>
      <c r="G20" s="66">
        <v>5025000</v>
      </c>
      <c r="H20" s="96">
        <v>12</v>
      </c>
      <c r="I20" s="66">
        <v>1207500</v>
      </c>
      <c r="J20" s="96">
        <v>12</v>
      </c>
      <c r="K20" s="15">
        <v>1762500</v>
      </c>
      <c r="L20" s="32">
        <v>3</v>
      </c>
      <c r="M20" s="15">
        <v>0</v>
      </c>
      <c r="N20" s="32">
        <v>3</v>
      </c>
      <c r="O20" s="15">
        <v>369750</v>
      </c>
      <c r="P20" s="32">
        <v>3</v>
      </c>
      <c r="Q20" s="15">
        <v>878250</v>
      </c>
      <c r="R20" s="32">
        <v>3</v>
      </c>
      <c r="S20" s="15">
        <v>274200</v>
      </c>
      <c r="T20" s="41">
        <f t="shared" si="0"/>
        <v>12</v>
      </c>
      <c r="U20" s="41">
        <f t="shared" si="1"/>
        <v>100</v>
      </c>
      <c r="V20" s="25" t="s">
        <v>43</v>
      </c>
      <c r="W20" s="30">
        <f t="shared" si="6"/>
        <v>1522200</v>
      </c>
      <c r="X20" s="44">
        <f t="shared" si="2"/>
        <v>86.365957446808508</v>
      </c>
      <c r="Y20" s="25" t="s">
        <v>43</v>
      </c>
      <c r="Z20" s="41">
        <f t="shared" si="3"/>
        <v>24</v>
      </c>
      <c r="AA20" s="30">
        <f t="shared" si="4"/>
        <v>2729700</v>
      </c>
      <c r="AB20" s="44"/>
      <c r="AC20" s="25" t="s">
        <v>43</v>
      </c>
      <c r="AD20" s="44"/>
      <c r="AE20" s="9"/>
      <c r="AF20"/>
      <c r="AG20" s="142"/>
      <c r="AH20" s="17"/>
    </row>
    <row r="21" spans="1:34" ht="103.5" customHeight="1" x14ac:dyDescent="0.25">
      <c r="A21" s="10"/>
      <c r="B21" s="11"/>
      <c r="C21" s="18" t="s">
        <v>62</v>
      </c>
      <c r="D21" s="20" t="s">
        <v>136</v>
      </c>
      <c r="E21" s="96">
        <v>3</v>
      </c>
      <c r="F21" s="97" t="s">
        <v>42</v>
      </c>
      <c r="G21" s="66">
        <v>4800000</v>
      </c>
      <c r="H21" s="96">
        <v>1</v>
      </c>
      <c r="I21" s="66">
        <v>1450000</v>
      </c>
      <c r="J21" s="96">
        <v>1</v>
      </c>
      <c r="K21" s="15">
        <v>350000</v>
      </c>
      <c r="L21" s="32">
        <v>0</v>
      </c>
      <c r="M21" s="15">
        <v>0</v>
      </c>
      <c r="N21" s="32">
        <v>1</v>
      </c>
      <c r="O21" s="15">
        <v>0</v>
      </c>
      <c r="P21" s="32">
        <v>0</v>
      </c>
      <c r="Q21" s="15">
        <v>239250</v>
      </c>
      <c r="R21" s="32"/>
      <c r="S21" s="15" t="s">
        <v>196</v>
      </c>
      <c r="T21" s="41">
        <f t="shared" si="0"/>
        <v>1</v>
      </c>
      <c r="U21" s="41">
        <f t="shared" si="1"/>
        <v>100</v>
      </c>
      <c r="V21" s="25" t="s">
        <v>43</v>
      </c>
      <c r="W21" s="30">
        <f t="shared" si="6"/>
        <v>239250</v>
      </c>
      <c r="X21" s="44">
        <f t="shared" si="2"/>
        <v>68.357142857142861</v>
      </c>
      <c r="Y21" s="25" t="s">
        <v>43</v>
      </c>
      <c r="Z21" s="41">
        <f t="shared" si="3"/>
        <v>2</v>
      </c>
      <c r="AA21" s="30">
        <f t="shared" si="4"/>
        <v>1689250</v>
      </c>
      <c r="AB21" s="44"/>
      <c r="AC21" s="25" t="s">
        <v>43</v>
      </c>
      <c r="AD21" s="44"/>
      <c r="AE21" s="9"/>
      <c r="AF21"/>
      <c r="AG21" s="142"/>
      <c r="AH21" s="17"/>
    </row>
    <row r="22" spans="1:34" ht="94.5" x14ac:dyDescent="0.2">
      <c r="A22" s="10"/>
      <c r="B22" s="11"/>
      <c r="C22" s="11" t="s">
        <v>63</v>
      </c>
      <c r="D22" s="75" t="s">
        <v>94</v>
      </c>
      <c r="E22" s="94">
        <v>100</v>
      </c>
      <c r="F22" s="95" t="s">
        <v>43</v>
      </c>
      <c r="G22" s="68">
        <f>SUM(G23:G28)</f>
        <v>1057787800</v>
      </c>
      <c r="H22" s="94">
        <v>100</v>
      </c>
      <c r="I22" s="68">
        <f>SUM(I23:I28)</f>
        <v>254673825</v>
      </c>
      <c r="J22" s="94">
        <v>100</v>
      </c>
      <c r="K22" s="31">
        <f>SUM(K23:K28)</f>
        <v>534998000</v>
      </c>
      <c r="L22" s="58">
        <v>25</v>
      </c>
      <c r="M22" s="31">
        <f>SUM(M23:M28)</f>
        <v>22605106</v>
      </c>
      <c r="N22" s="58">
        <v>25</v>
      </c>
      <c r="O22" s="31">
        <f>SUM(O23:O28)</f>
        <v>70308500</v>
      </c>
      <c r="P22" s="58">
        <v>25</v>
      </c>
      <c r="Q22" s="31">
        <f>SUM(Q23:Q28)</f>
        <v>24723000</v>
      </c>
      <c r="R22" s="58">
        <v>25</v>
      </c>
      <c r="S22" s="15">
        <f>SUM(S23:S27)</f>
        <v>384197377</v>
      </c>
      <c r="T22" s="42">
        <f t="shared" si="0"/>
        <v>100</v>
      </c>
      <c r="U22" s="42">
        <f t="shared" si="1"/>
        <v>100</v>
      </c>
      <c r="V22" s="40" t="s">
        <v>43</v>
      </c>
      <c r="W22" s="39">
        <f t="shared" si="6"/>
        <v>501833983</v>
      </c>
      <c r="X22" s="43">
        <f t="shared" si="2"/>
        <v>93.801095144280907</v>
      </c>
      <c r="Y22" s="40" t="s">
        <v>43</v>
      </c>
      <c r="Z22" s="42">
        <f t="shared" si="3"/>
        <v>200</v>
      </c>
      <c r="AA22" s="39">
        <f t="shared" si="4"/>
        <v>756507808</v>
      </c>
      <c r="AB22" s="43"/>
      <c r="AC22" s="40" t="s">
        <v>43</v>
      </c>
      <c r="AD22" s="43"/>
      <c r="AE22" s="9"/>
      <c r="AG22" s="142"/>
      <c r="AH22" s="17"/>
    </row>
    <row r="23" spans="1:34" ht="120" x14ac:dyDescent="0.25">
      <c r="A23" s="10"/>
      <c r="B23" s="11"/>
      <c r="C23" s="20" t="s">
        <v>64</v>
      </c>
      <c r="D23" s="20" t="s">
        <v>137</v>
      </c>
      <c r="E23" s="96">
        <v>36</v>
      </c>
      <c r="F23" s="97" t="s">
        <v>109</v>
      </c>
      <c r="G23" s="66">
        <v>10794000</v>
      </c>
      <c r="H23" s="96">
        <v>12</v>
      </c>
      <c r="I23" s="66">
        <v>3434000</v>
      </c>
      <c r="J23" s="96">
        <v>12</v>
      </c>
      <c r="K23" s="15">
        <v>1879700</v>
      </c>
      <c r="L23" s="32">
        <v>3</v>
      </c>
      <c r="M23" s="15">
        <v>0</v>
      </c>
      <c r="N23" s="32">
        <v>3</v>
      </c>
      <c r="O23" s="15">
        <v>0</v>
      </c>
      <c r="P23" s="32">
        <v>6</v>
      </c>
      <c r="Q23" s="15">
        <v>1329700</v>
      </c>
      <c r="R23" s="32"/>
      <c r="S23" s="15" t="s">
        <v>196</v>
      </c>
      <c r="T23" s="41">
        <f t="shared" si="0"/>
        <v>12</v>
      </c>
      <c r="U23" s="41">
        <f t="shared" si="1"/>
        <v>100</v>
      </c>
      <c r="V23" s="25" t="s">
        <v>43</v>
      </c>
      <c r="W23" s="30">
        <f t="shared" si="6"/>
        <v>1329700</v>
      </c>
      <c r="X23" s="44">
        <f t="shared" si="2"/>
        <v>70.740011703995322</v>
      </c>
      <c r="Y23" s="25" t="s">
        <v>43</v>
      </c>
      <c r="Z23" s="41">
        <f t="shared" si="3"/>
        <v>24</v>
      </c>
      <c r="AA23" s="30">
        <f t="shared" si="4"/>
        <v>4763700</v>
      </c>
      <c r="AB23" s="44"/>
      <c r="AC23" s="25" t="s">
        <v>43</v>
      </c>
      <c r="AD23" s="44"/>
      <c r="AE23" s="9"/>
      <c r="AF23"/>
      <c r="AG23" s="142"/>
      <c r="AH23" s="17"/>
    </row>
    <row r="24" spans="1:34" ht="78" customHeight="1" x14ac:dyDescent="0.25">
      <c r="A24" s="10"/>
      <c r="B24" s="11"/>
      <c r="C24" s="20" t="s">
        <v>65</v>
      </c>
      <c r="D24" s="20" t="s">
        <v>138</v>
      </c>
      <c r="E24" s="96">
        <v>36</v>
      </c>
      <c r="F24" s="97" t="s">
        <v>109</v>
      </c>
      <c r="G24" s="66">
        <v>249080600</v>
      </c>
      <c r="H24" s="96">
        <v>12</v>
      </c>
      <c r="I24" s="66">
        <v>71917725</v>
      </c>
      <c r="J24" s="96">
        <v>12</v>
      </c>
      <c r="K24" s="176">
        <v>93969000</v>
      </c>
      <c r="L24" s="32">
        <v>3</v>
      </c>
      <c r="M24" s="66">
        <v>200000</v>
      </c>
      <c r="N24" s="32">
        <v>3</v>
      </c>
      <c r="O24" s="15">
        <v>7806000</v>
      </c>
      <c r="P24" s="32">
        <v>3</v>
      </c>
      <c r="Q24" s="15">
        <v>9393300</v>
      </c>
      <c r="R24" s="32">
        <v>3</v>
      </c>
      <c r="S24" s="15">
        <v>68997700</v>
      </c>
      <c r="T24" s="41">
        <f t="shared" si="0"/>
        <v>12</v>
      </c>
      <c r="U24" s="41">
        <f t="shared" si="1"/>
        <v>100</v>
      </c>
      <c r="V24" s="25" t="s">
        <v>43</v>
      </c>
      <c r="W24" s="30">
        <f t="shared" si="6"/>
        <v>86397000</v>
      </c>
      <c r="X24" s="44">
        <f t="shared" si="2"/>
        <v>91.942023433259905</v>
      </c>
      <c r="Y24" s="25" t="s">
        <v>43</v>
      </c>
      <c r="Z24" s="41">
        <f t="shared" si="3"/>
        <v>24</v>
      </c>
      <c r="AA24" s="30">
        <f t="shared" si="4"/>
        <v>158314725</v>
      </c>
      <c r="AB24" s="44"/>
      <c r="AC24" s="25" t="s">
        <v>43</v>
      </c>
      <c r="AD24" s="44"/>
      <c r="AE24" s="9"/>
      <c r="AF24"/>
      <c r="AG24" s="142"/>
      <c r="AH24" s="17"/>
    </row>
    <row r="25" spans="1:34" ht="75" x14ac:dyDescent="0.25">
      <c r="A25" s="10"/>
      <c r="B25" s="11"/>
      <c r="C25" s="20" t="s">
        <v>66</v>
      </c>
      <c r="D25" s="18" t="s">
        <v>139</v>
      </c>
      <c r="E25" s="96">
        <v>36</v>
      </c>
      <c r="F25" s="97" t="s">
        <v>109</v>
      </c>
      <c r="G25" s="66">
        <v>139178500</v>
      </c>
      <c r="H25" s="96">
        <v>12</v>
      </c>
      <c r="I25" s="66">
        <v>19873000</v>
      </c>
      <c r="J25" s="96">
        <v>12</v>
      </c>
      <c r="K25" s="177">
        <v>51778000</v>
      </c>
      <c r="L25" s="32">
        <v>3</v>
      </c>
      <c r="M25" s="66">
        <v>1912500</v>
      </c>
      <c r="N25" s="32">
        <v>3</v>
      </c>
      <c r="O25" s="15">
        <v>11792000</v>
      </c>
      <c r="P25" s="32">
        <v>3</v>
      </c>
      <c r="Q25" s="15">
        <v>1500000</v>
      </c>
      <c r="R25" s="32">
        <v>3</v>
      </c>
      <c r="S25" s="15">
        <v>21795000</v>
      </c>
      <c r="T25" s="41">
        <f t="shared" si="0"/>
        <v>12</v>
      </c>
      <c r="U25" s="41">
        <f t="shared" si="1"/>
        <v>100</v>
      </c>
      <c r="V25" s="25" t="s">
        <v>43</v>
      </c>
      <c r="W25" s="30">
        <f t="shared" si="6"/>
        <v>36999500</v>
      </c>
      <c r="X25" s="44">
        <f t="shared" si="2"/>
        <v>71.457955116072455</v>
      </c>
      <c r="Y25" s="25" t="s">
        <v>43</v>
      </c>
      <c r="Z25" s="41">
        <f t="shared" si="3"/>
        <v>24</v>
      </c>
      <c r="AA25" s="30">
        <f t="shared" si="4"/>
        <v>56872500</v>
      </c>
      <c r="AB25" s="44"/>
      <c r="AC25" s="25" t="s">
        <v>43</v>
      </c>
      <c r="AD25" s="44"/>
      <c r="AE25" s="9"/>
      <c r="AF25"/>
      <c r="AG25" s="142"/>
      <c r="AH25" s="17"/>
    </row>
    <row r="26" spans="1:34" ht="90" x14ac:dyDescent="0.25">
      <c r="A26" s="10"/>
      <c r="B26" s="11"/>
      <c r="C26" s="20" t="s">
        <v>67</v>
      </c>
      <c r="D26" s="18" t="s">
        <v>140</v>
      </c>
      <c r="E26" s="96">
        <v>36</v>
      </c>
      <c r="F26" s="97" t="s">
        <v>109</v>
      </c>
      <c r="G26" s="66">
        <v>83454700</v>
      </c>
      <c r="H26" s="96">
        <v>12</v>
      </c>
      <c r="I26" s="66">
        <v>19790000</v>
      </c>
      <c r="J26" s="96">
        <v>12</v>
      </c>
      <c r="K26" s="176">
        <v>27371300</v>
      </c>
      <c r="L26" s="32">
        <v>3</v>
      </c>
      <c r="M26" s="66">
        <v>1500000</v>
      </c>
      <c r="N26" s="32">
        <v>3</v>
      </c>
      <c r="O26" s="15">
        <v>4585000</v>
      </c>
      <c r="P26" s="32">
        <v>3</v>
      </c>
      <c r="Q26" s="15">
        <v>6180000</v>
      </c>
      <c r="R26" s="32">
        <v>3</v>
      </c>
      <c r="S26" s="15">
        <v>4957800</v>
      </c>
      <c r="T26" s="41">
        <f t="shared" si="0"/>
        <v>12</v>
      </c>
      <c r="U26" s="41">
        <f t="shared" si="1"/>
        <v>100</v>
      </c>
      <c r="V26" s="25" t="s">
        <v>43</v>
      </c>
      <c r="W26" s="30">
        <f t="shared" si="6"/>
        <v>17222800</v>
      </c>
      <c r="X26" s="44">
        <f t="shared" si="2"/>
        <v>62.922842539448254</v>
      </c>
      <c r="Y26" s="25" t="s">
        <v>43</v>
      </c>
      <c r="Z26" s="41">
        <f t="shared" si="3"/>
        <v>24</v>
      </c>
      <c r="AA26" s="30">
        <f t="shared" si="4"/>
        <v>37012800</v>
      </c>
      <c r="AB26" s="44"/>
      <c r="AC26" s="25" t="s">
        <v>43</v>
      </c>
      <c r="AD26" s="44"/>
      <c r="AE26" s="9"/>
      <c r="AF26"/>
      <c r="AG26" s="142"/>
      <c r="AH26" s="17"/>
    </row>
    <row r="27" spans="1:34" ht="120" x14ac:dyDescent="0.25">
      <c r="A27" s="10"/>
      <c r="B27" s="11"/>
      <c r="C27" s="20" t="s">
        <v>69</v>
      </c>
      <c r="D27" s="85" t="s">
        <v>141</v>
      </c>
      <c r="E27" s="96">
        <v>36</v>
      </c>
      <c r="F27" s="97" t="s">
        <v>60</v>
      </c>
      <c r="G27" s="66">
        <v>570000000</v>
      </c>
      <c r="H27" s="96">
        <v>12</v>
      </c>
      <c r="I27" s="66">
        <f>138581600-162500</f>
        <v>138419100</v>
      </c>
      <c r="J27" s="96">
        <v>12</v>
      </c>
      <c r="K27" s="176">
        <v>360000000</v>
      </c>
      <c r="L27" s="32">
        <v>3</v>
      </c>
      <c r="M27" s="66">
        <v>18992606</v>
      </c>
      <c r="N27" s="32">
        <v>3</v>
      </c>
      <c r="O27" s="15">
        <v>46125500</v>
      </c>
      <c r="P27" s="32">
        <v>3</v>
      </c>
      <c r="Q27" s="15">
        <v>6320000</v>
      </c>
      <c r="R27" s="32">
        <v>3</v>
      </c>
      <c r="S27" s="15">
        <v>288446877</v>
      </c>
      <c r="T27" s="41">
        <f t="shared" si="0"/>
        <v>12</v>
      </c>
      <c r="U27" s="41">
        <f t="shared" si="1"/>
        <v>100</v>
      </c>
      <c r="V27" s="25" t="s">
        <v>43</v>
      </c>
      <c r="W27" s="30">
        <f t="shared" si="6"/>
        <v>359884983</v>
      </c>
      <c r="X27" s="44">
        <f t="shared" si="2"/>
        <v>99.968050833333336</v>
      </c>
      <c r="Y27" s="25" t="s">
        <v>43</v>
      </c>
      <c r="Z27" s="41">
        <f t="shared" si="3"/>
        <v>24</v>
      </c>
      <c r="AA27" s="30">
        <f t="shared" si="4"/>
        <v>498304083</v>
      </c>
      <c r="AB27" s="44"/>
      <c r="AC27" s="25" t="s">
        <v>43</v>
      </c>
      <c r="AD27" s="44"/>
      <c r="AE27" s="9"/>
      <c r="AF27"/>
      <c r="AG27" s="142"/>
      <c r="AH27" s="17"/>
    </row>
    <row r="28" spans="1:34" ht="138.75" customHeight="1" x14ac:dyDescent="0.2">
      <c r="A28" s="10"/>
      <c r="B28" s="11"/>
      <c r="C28" s="77" t="s">
        <v>68</v>
      </c>
      <c r="D28" s="78" t="s">
        <v>108</v>
      </c>
      <c r="E28" s="96"/>
      <c r="F28" s="97" t="s">
        <v>42</v>
      </c>
      <c r="G28" s="66">
        <v>5280000</v>
      </c>
      <c r="H28" s="96">
        <v>12</v>
      </c>
      <c r="I28" s="66">
        <v>1240000</v>
      </c>
      <c r="J28" s="96"/>
      <c r="K28" s="15"/>
      <c r="L28" s="32"/>
      <c r="M28" s="15"/>
      <c r="N28" s="32"/>
      <c r="O28" s="15"/>
      <c r="P28" s="32"/>
      <c r="Q28" s="15"/>
      <c r="R28" s="32"/>
      <c r="S28" s="15"/>
      <c r="T28" s="41"/>
      <c r="U28" s="41"/>
      <c r="V28" s="25"/>
      <c r="W28" s="30"/>
      <c r="X28" s="44"/>
      <c r="Y28" s="25"/>
      <c r="Z28" s="41">
        <f t="shared" si="3"/>
        <v>12</v>
      </c>
      <c r="AA28" s="30">
        <f t="shared" si="4"/>
        <v>1240000</v>
      </c>
      <c r="AB28" s="44"/>
      <c r="AC28" s="25" t="s">
        <v>43</v>
      </c>
      <c r="AD28" s="44"/>
      <c r="AE28" s="9"/>
      <c r="AG28" s="142"/>
      <c r="AH28" s="17"/>
    </row>
    <row r="29" spans="1:34" ht="141.75" x14ac:dyDescent="0.2">
      <c r="A29" s="10"/>
      <c r="B29" s="11"/>
      <c r="C29" s="13" t="s">
        <v>70</v>
      </c>
      <c r="D29" s="73" t="s">
        <v>93</v>
      </c>
      <c r="E29" s="94">
        <v>100</v>
      </c>
      <c r="F29" s="95" t="s">
        <v>43</v>
      </c>
      <c r="G29" s="68">
        <f>SUM(G30:G32)</f>
        <v>4267382000</v>
      </c>
      <c r="H29" s="94">
        <v>100</v>
      </c>
      <c r="I29" s="68">
        <f>SUM(I30:I32)</f>
        <v>1257212240</v>
      </c>
      <c r="J29" s="94">
        <v>100</v>
      </c>
      <c r="K29" s="31">
        <f>SUM(K30:K32)</f>
        <v>1279013805</v>
      </c>
      <c r="L29" s="58">
        <v>25</v>
      </c>
      <c r="M29" s="31">
        <f>SUM(M30:M32)</f>
        <v>302859295</v>
      </c>
      <c r="N29" s="58">
        <v>25</v>
      </c>
      <c r="O29" s="31">
        <f>SUM(O30:O32)</f>
        <v>278209200</v>
      </c>
      <c r="P29" s="58">
        <v>25</v>
      </c>
      <c r="Q29" s="31">
        <f>SUM(Q30:Q32)</f>
        <v>296902106</v>
      </c>
      <c r="R29" s="58">
        <v>25</v>
      </c>
      <c r="S29" s="31">
        <f>SUM(S30:S32)</f>
        <v>333123483</v>
      </c>
      <c r="T29" s="42">
        <f t="shared" ref="T29:T35" si="7">SUM(L29,N29,P29,R29)</f>
        <v>100</v>
      </c>
      <c r="U29" s="42">
        <f t="shared" ref="U29:U35" si="8">T29/J29*100</f>
        <v>100</v>
      </c>
      <c r="V29" s="40" t="s">
        <v>43</v>
      </c>
      <c r="W29" s="39">
        <f t="shared" ref="W29:W35" si="9">SUM(M29,O29,Q29,S29)</f>
        <v>1211094084</v>
      </c>
      <c r="X29" s="43">
        <f t="shared" ref="X29:X35" si="10">W29/K29*100</f>
        <v>94.689680382300494</v>
      </c>
      <c r="Y29" s="40" t="s">
        <v>43</v>
      </c>
      <c r="Z29" s="42">
        <f t="shared" si="3"/>
        <v>200</v>
      </c>
      <c r="AA29" s="39">
        <f t="shared" si="4"/>
        <v>2468306324</v>
      </c>
      <c r="AB29" s="43"/>
      <c r="AC29" s="40" t="s">
        <v>43</v>
      </c>
      <c r="AD29" s="43"/>
      <c r="AE29" s="9"/>
      <c r="AG29" s="142"/>
      <c r="AH29" s="17"/>
    </row>
    <row r="30" spans="1:34" ht="75" x14ac:dyDescent="0.2">
      <c r="A30" s="10"/>
      <c r="B30" s="11"/>
      <c r="C30" s="20" t="s">
        <v>71</v>
      </c>
      <c r="D30" s="20" t="s">
        <v>142</v>
      </c>
      <c r="E30" s="98">
        <v>36</v>
      </c>
      <c r="F30" s="93" t="s">
        <v>60</v>
      </c>
      <c r="G30" s="66">
        <v>800000</v>
      </c>
      <c r="H30" s="98">
        <v>12</v>
      </c>
      <c r="I30" s="66">
        <v>254000</v>
      </c>
      <c r="J30" s="98">
        <v>12</v>
      </c>
      <c r="K30" s="15">
        <v>250000</v>
      </c>
      <c r="L30" s="33">
        <v>3</v>
      </c>
      <c r="M30" s="15">
        <v>0</v>
      </c>
      <c r="N30" s="33">
        <v>3</v>
      </c>
      <c r="O30" s="15">
        <v>0</v>
      </c>
      <c r="P30" s="33">
        <v>3</v>
      </c>
      <c r="Q30" s="15">
        <v>204500</v>
      </c>
      <c r="R30" s="33">
        <v>3</v>
      </c>
      <c r="S30" s="15" t="s">
        <v>196</v>
      </c>
      <c r="T30" s="41">
        <f t="shared" si="7"/>
        <v>12</v>
      </c>
      <c r="U30" s="41">
        <f t="shared" si="8"/>
        <v>100</v>
      </c>
      <c r="V30" s="25" t="s">
        <v>43</v>
      </c>
      <c r="W30" s="30">
        <f t="shared" si="9"/>
        <v>204500</v>
      </c>
      <c r="X30" s="44">
        <f t="shared" si="10"/>
        <v>81.8</v>
      </c>
      <c r="Y30" s="25" t="s">
        <v>43</v>
      </c>
      <c r="Z30" s="41">
        <f t="shared" si="3"/>
        <v>24</v>
      </c>
      <c r="AA30" s="30">
        <f t="shared" si="4"/>
        <v>458500</v>
      </c>
      <c r="AB30" s="44"/>
      <c r="AC30" s="25" t="s">
        <v>43</v>
      </c>
      <c r="AD30" s="44"/>
      <c r="AE30" s="9"/>
      <c r="AG30" s="142"/>
      <c r="AH30" s="17"/>
    </row>
    <row r="31" spans="1:34" ht="135" x14ac:dyDescent="0.2">
      <c r="A31" s="10"/>
      <c r="B31" s="11"/>
      <c r="C31" s="20" t="s">
        <v>72</v>
      </c>
      <c r="D31" s="20" t="s">
        <v>143</v>
      </c>
      <c r="E31" s="98">
        <v>36</v>
      </c>
      <c r="F31" s="93" t="s">
        <v>60</v>
      </c>
      <c r="G31" s="66">
        <v>101400000</v>
      </c>
      <c r="H31" s="98">
        <v>12</v>
      </c>
      <c r="I31" s="66">
        <v>24868750</v>
      </c>
      <c r="J31" s="98">
        <v>12</v>
      </c>
      <c r="K31" s="15">
        <v>25850805</v>
      </c>
      <c r="L31" s="33">
        <v>3</v>
      </c>
      <c r="M31" s="66">
        <v>4352855</v>
      </c>
      <c r="N31" s="33">
        <v>3</v>
      </c>
      <c r="O31" s="15">
        <v>3611080</v>
      </c>
      <c r="P31" s="33">
        <v>3</v>
      </c>
      <c r="Q31" s="15">
        <v>4874806</v>
      </c>
      <c r="R31" s="33">
        <v>3</v>
      </c>
      <c r="S31" s="15">
        <v>5266923</v>
      </c>
      <c r="T31" s="41">
        <f t="shared" si="7"/>
        <v>12</v>
      </c>
      <c r="U31" s="41">
        <f t="shared" si="8"/>
        <v>100</v>
      </c>
      <c r="V31" s="25" t="s">
        <v>43</v>
      </c>
      <c r="W31" s="30">
        <f t="shared" si="9"/>
        <v>18105664</v>
      </c>
      <c r="X31" s="44">
        <f t="shared" si="10"/>
        <v>70.03907228420934</v>
      </c>
      <c r="Y31" s="25" t="s">
        <v>43</v>
      </c>
      <c r="Z31" s="41">
        <f t="shared" si="3"/>
        <v>24</v>
      </c>
      <c r="AA31" s="30">
        <f t="shared" si="4"/>
        <v>42974414</v>
      </c>
      <c r="AB31" s="44"/>
      <c r="AC31" s="25" t="s">
        <v>43</v>
      </c>
      <c r="AD31" s="44"/>
      <c r="AE31" s="9"/>
      <c r="AG31" s="142"/>
      <c r="AH31" s="17"/>
    </row>
    <row r="32" spans="1:34" ht="120" x14ac:dyDescent="0.2">
      <c r="A32" s="10"/>
      <c r="B32" s="11"/>
      <c r="C32" s="20" t="s">
        <v>73</v>
      </c>
      <c r="D32" s="20" t="s">
        <v>144</v>
      </c>
      <c r="E32" s="98">
        <v>36</v>
      </c>
      <c r="F32" s="93" t="s">
        <v>60</v>
      </c>
      <c r="G32" s="66">
        <v>4165182000</v>
      </c>
      <c r="H32" s="98">
        <v>12</v>
      </c>
      <c r="I32" s="66">
        <v>1232089490</v>
      </c>
      <c r="J32" s="98">
        <v>12</v>
      </c>
      <c r="K32" s="176">
        <v>1252913000</v>
      </c>
      <c r="L32" s="33">
        <v>3</v>
      </c>
      <c r="M32" s="66">
        <v>298506440</v>
      </c>
      <c r="N32" s="33">
        <v>3</v>
      </c>
      <c r="O32" s="15">
        <v>274598120</v>
      </c>
      <c r="P32" s="33">
        <v>3</v>
      </c>
      <c r="Q32" s="15">
        <v>291822800</v>
      </c>
      <c r="R32" s="33">
        <v>3</v>
      </c>
      <c r="S32" s="15">
        <v>327856560</v>
      </c>
      <c r="T32" s="41">
        <f t="shared" si="7"/>
        <v>12</v>
      </c>
      <c r="U32" s="41">
        <f t="shared" si="8"/>
        <v>100</v>
      </c>
      <c r="V32" s="25" t="s">
        <v>43</v>
      </c>
      <c r="W32" s="30">
        <f t="shared" si="9"/>
        <v>1192783920</v>
      </c>
      <c r="X32" s="44">
        <f t="shared" si="10"/>
        <v>95.20085752163159</v>
      </c>
      <c r="Y32" s="25" t="s">
        <v>43</v>
      </c>
      <c r="Z32" s="41">
        <f t="shared" si="3"/>
        <v>24</v>
      </c>
      <c r="AA32" s="30">
        <f t="shared" si="4"/>
        <v>2424873410</v>
      </c>
      <c r="AB32" s="44"/>
      <c r="AC32" s="25" t="s">
        <v>43</v>
      </c>
      <c r="AD32" s="44"/>
      <c r="AE32" s="9"/>
      <c r="AG32" s="142"/>
      <c r="AH32" s="17"/>
    </row>
    <row r="33" spans="1:34" ht="220.5" x14ac:dyDescent="0.2">
      <c r="A33" s="10"/>
      <c r="B33" s="11"/>
      <c r="C33" s="13" t="s">
        <v>74</v>
      </c>
      <c r="D33" s="13" t="s">
        <v>95</v>
      </c>
      <c r="E33" s="94">
        <v>100</v>
      </c>
      <c r="F33" s="95" t="s">
        <v>43</v>
      </c>
      <c r="G33" s="68">
        <f>SUM(G34:G36)</f>
        <v>163976400</v>
      </c>
      <c r="H33" s="94">
        <v>100</v>
      </c>
      <c r="I33" s="68">
        <f>SUM(I34:I36)</f>
        <v>45926951</v>
      </c>
      <c r="J33" s="94">
        <v>100</v>
      </c>
      <c r="K33" s="31">
        <f>SUM(K34:K36)</f>
        <v>43590200</v>
      </c>
      <c r="L33" s="58">
        <v>25</v>
      </c>
      <c r="M33" s="31">
        <f>SUM(M34:M36)</f>
        <v>0</v>
      </c>
      <c r="N33" s="58">
        <v>25</v>
      </c>
      <c r="O33" s="31">
        <f>SUM(O34:O36)</f>
        <v>2128187</v>
      </c>
      <c r="P33" s="58">
        <v>25</v>
      </c>
      <c r="Q33" s="31">
        <f>SUM(Q34:Q36)</f>
        <v>6940000</v>
      </c>
      <c r="R33" s="58">
        <v>25</v>
      </c>
      <c r="S33" s="31">
        <f>SUM(S34:S35)</f>
        <v>24612800</v>
      </c>
      <c r="T33" s="42">
        <f t="shared" si="7"/>
        <v>100</v>
      </c>
      <c r="U33" s="42">
        <f t="shared" si="8"/>
        <v>100</v>
      </c>
      <c r="V33" s="40" t="s">
        <v>43</v>
      </c>
      <c r="W33" s="39">
        <f t="shared" si="9"/>
        <v>33680987</v>
      </c>
      <c r="X33" s="43">
        <f t="shared" si="10"/>
        <v>77.267337612582637</v>
      </c>
      <c r="Y33" s="40" t="s">
        <v>43</v>
      </c>
      <c r="Z33" s="42">
        <f t="shared" si="3"/>
        <v>200</v>
      </c>
      <c r="AA33" s="39">
        <f t="shared" si="4"/>
        <v>79607938</v>
      </c>
      <c r="AB33" s="43"/>
      <c r="AC33" s="40" t="s">
        <v>43</v>
      </c>
      <c r="AD33" s="43"/>
      <c r="AE33" s="9"/>
      <c r="AG33" s="142"/>
      <c r="AH33" s="17"/>
    </row>
    <row r="34" spans="1:34" ht="180" x14ac:dyDescent="0.2">
      <c r="A34" s="10"/>
      <c r="B34" s="11"/>
      <c r="C34" s="20" t="s">
        <v>75</v>
      </c>
      <c r="D34" s="72" t="s">
        <v>145</v>
      </c>
      <c r="E34" s="98">
        <v>18</v>
      </c>
      <c r="F34" s="93" t="s">
        <v>148</v>
      </c>
      <c r="G34" s="66">
        <v>120550000</v>
      </c>
      <c r="H34" s="98">
        <v>6</v>
      </c>
      <c r="I34" s="66">
        <v>26287851</v>
      </c>
      <c r="J34" s="33">
        <v>6</v>
      </c>
      <c r="K34" s="176">
        <v>36750000</v>
      </c>
      <c r="L34" s="33">
        <v>0</v>
      </c>
      <c r="M34" s="15">
        <v>0</v>
      </c>
      <c r="N34" s="33">
        <v>1</v>
      </c>
      <c r="O34" s="15">
        <v>2073187</v>
      </c>
      <c r="P34" s="33">
        <v>1</v>
      </c>
      <c r="Q34" s="15">
        <v>6240000</v>
      </c>
      <c r="R34" s="33">
        <v>4</v>
      </c>
      <c r="S34" s="15">
        <v>22092800</v>
      </c>
      <c r="T34" s="41">
        <f t="shared" si="7"/>
        <v>6</v>
      </c>
      <c r="U34" s="41">
        <f t="shared" si="8"/>
        <v>100</v>
      </c>
      <c r="V34" s="25" t="s">
        <v>43</v>
      </c>
      <c r="W34" s="30">
        <f t="shared" si="9"/>
        <v>30405987</v>
      </c>
      <c r="X34" s="44">
        <f t="shared" si="10"/>
        <v>82.737379591836742</v>
      </c>
      <c r="Y34" s="25" t="s">
        <v>43</v>
      </c>
      <c r="Z34" s="41">
        <f t="shared" si="3"/>
        <v>12</v>
      </c>
      <c r="AA34" s="30">
        <f t="shared" si="4"/>
        <v>56693838</v>
      </c>
      <c r="AB34" s="44"/>
      <c r="AC34" s="25" t="s">
        <v>43</v>
      </c>
      <c r="AD34" s="44"/>
      <c r="AE34" s="9"/>
      <c r="AG34" s="142"/>
      <c r="AH34" s="17"/>
    </row>
    <row r="35" spans="1:34" ht="135" x14ac:dyDescent="0.2">
      <c r="A35" s="10"/>
      <c r="B35" s="11"/>
      <c r="C35" s="18" t="s">
        <v>77</v>
      </c>
      <c r="D35" s="85" t="s">
        <v>146</v>
      </c>
      <c r="E35" s="98">
        <v>63</v>
      </c>
      <c r="F35" s="93" t="s">
        <v>148</v>
      </c>
      <c r="G35" s="66">
        <v>23782400</v>
      </c>
      <c r="H35" s="98">
        <v>21</v>
      </c>
      <c r="I35" s="66">
        <v>1550000</v>
      </c>
      <c r="J35" s="33">
        <v>21</v>
      </c>
      <c r="K35" s="15">
        <v>6840200</v>
      </c>
      <c r="L35" s="33">
        <v>0</v>
      </c>
      <c r="M35" s="15">
        <v>0</v>
      </c>
      <c r="N35" s="33">
        <v>1</v>
      </c>
      <c r="O35" s="15">
        <v>55000</v>
      </c>
      <c r="P35" s="33">
        <v>7</v>
      </c>
      <c r="Q35" s="15">
        <v>700000</v>
      </c>
      <c r="R35" s="33">
        <v>13</v>
      </c>
      <c r="S35" s="15">
        <v>2520000</v>
      </c>
      <c r="T35" s="41">
        <f t="shared" si="7"/>
        <v>21</v>
      </c>
      <c r="U35" s="41">
        <f t="shared" si="8"/>
        <v>100</v>
      </c>
      <c r="V35" s="25" t="s">
        <v>43</v>
      </c>
      <c r="W35" s="30">
        <f t="shared" si="9"/>
        <v>3275000</v>
      </c>
      <c r="X35" s="44">
        <f t="shared" si="10"/>
        <v>47.878716996579044</v>
      </c>
      <c r="Y35" s="25" t="s">
        <v>43</v>
      </c>
      <c r="Z35" s="41">
        <f t="shared" si="3"/>
        <v>42</v>
      </c>
      <c r="AA35" s="30">
        <f t="shared" si="4"/>
        <v>4825000</v>
      </c>
      <c r="AB35" s="44"/>
      <c r="AC35" s="25" t="s">
        <v>43</v>
      </c>
      <c r="AD35" s="43"/>
      <c r="AE35" s="9"/>
      <c r="AG35" s="142"/>
      <c r="AH35" s="17"/>
    </row>
    <row r="36" spans="1:34" ht="105" x14ac:dyDescent="0.2">
      <c r="A36" s="10"/>
      <c r="B36" s="11"/>
      <c r="C36" s="80" t="s">
        <v>76</v>
      </c>
      <c r="D36" s="81" t="s">
        <v>147</v>
      </c>
      <c r="E36" s="98">
        <v>36</v>
      </c>
      <c r="F36" s="93" t="s">
        <v>148</v>
      </c>
      <c r="G36" s="66">
        <v>19644000</v>
      </c>
      <c r="H36" s="98">
        <v>12</v>
      </c>
      <c r="I36" s="66">
        <v>18089100</v>
      </c>
      <c r="J36" s="33"/>
      <c r="K36" s="15"/>
      <c r="L36" s="33"/>
      <c r="M36" s="15"/>
      <c r="N36" s="33"/>
      <c r="O36" s="15"/>
      <c r="P36" s="33"/>
      <c r="Q36" s="15"/>
      <c r="R36" s="33"/>
      <c r="S36" s="15"/>
      <c r="T36" s="41"/>
      <c r="U36" s="41"/>
      <c r="V36" s="25"/>
      <c r="W36" s="30"/>
      <c r="X36" s="44"/>
      <c r="Y36" s="25"/>
      <c r="Z36" s="41">
        <f t="shared" si="3"/>
        <v>12</v>
      </c>
      <c r="AA36" s="30">
        <f t="shared" si="4"/>
        <v>18089100</v>
      </c>
      <c r="AB36" s="44"/>
      <c r="AC36" s="25" t="s">
        <v>43</v>
      </c>
      <c r="AD36" s="44"/>
      <c r="AE36" s="9"/>
      <c r="AG36" s="142"/>
      <c r="AH36" s="17"/>
    </row>
    <row r="37" spans="1:34" s="155" customFormat="1" ht="135.75" customHeight="1" x14ac:dyDescent="0.2">
      <c r="A37" s="144">
        <v>2</v>
      </c>
      <c r="B37" s="158" t="s">
        <v>185</v>
      </c>
      <c r="C37" s="159" t="s">
        <v>120</v>
      </c>
      <c r="D37" s="145" t="s">
        <v>155</v>
      </c>
      <c r="E37" s="146">
        <v>76.38</v>
      </c>
      <c r="F37" s="180" t="s">
        <v>43</v>
      </c>
      <c r="G37" s="160">
        <f>G38</f>
        <v>546636050</v>
      </c>
      <c r="H37" s="153">
        <v>0</v>
      </c>
      <c r="I37" s="160">
        <f>I38</f>
        <v>0</v>
      </c>
      <c r="J37" s="161">
        <v>32.64</v>
      </c>
      <c r="K37" s="160">
        <f>K38</f>
        <v>28904950</v>
      </c>
      <c r="L37" s="161">
        <f>3/144*100</f>
        <v>2.083333333333333</v>
      </c>
      <c r="M37" s="160">
        <f>M38</f>
        <v>0</v>
      </c>
      <c r="N37" s="161">
        <f>3/144*100</f>
        <v>2.083333333333333</v>
      </c>
      <c r="O37" s="160">
        <f>O38</f>
        <v>0</v>
      </c>
      <c r="P37" s="161"/>
      <c r="Q37" s="160">
        <f>Q38</f>
        <v>0</v>
      </c>
      <c r="R37" s="161">
        <f>29/144*100</f>
        <v>20.138888888888889</v>
      </c>
      <c r="S37" s="160">
        <f>S38</f>
        <v>21483500</v>
      </c>
      <c r="T37" s="153">
        <f t="shared" ref="T37:T47" si="11">SUM(L37,N37,P37,R37)</f>
        <v>24.305555555555557</v>
      </c>
      <c r="U37" s="153">
        <f>Z37/J37*100</f>
        <v>74.465550108932462</v>
      </c>
      <c r="V37" s="150" t="s">
        <v>43</v>
      </c>
      <c r="W37" s="162">
        <f t="shared" ref="W37:W47" si="12">SUM(M37,O37,Q37,S37)</f>
        <v>21483500</v>
      </c>
      <c r="X37" s="153">
        <f t="shared" ref="X37:X46" si="13">W37/K37*100</f>
        <v>74.324639897318619</v>
      </c>
      <c r="Y37" s="150" t="s">
        <v>43</v>
      </c>
      <c r="Z37" s="153">
        <f t="shared" si="3"/>
        <v>24.305555555555557</v>
      </c>
      <c r="AA37" s="162">
        <f t="shared" si="4"/>
        <v>21483500</v>
      </c>
      <c r="AB37" s="153"/>
      <c r="AC37" s="150" t="s">
        <v>43</v>
      </c>
      <c r="AD37" s="163"/>
      <c r="AE37" s="164"/>
      <c r="AG37" s="156">
        <v>0</v>
      </c>
      <c r="AH37" s="157"/>
    </row>
    <row r="38" spans="1:34" ht="125.25" customHeight="1" x14ac:dyDescent="0.2">
      <c r="A38" s="10"/>
      <c r="B38" s="11" t="s">
        <v>186</v>
      </c>
      <c r="C38" s="12" t="s">
        <v>121</v>
      </c>
      <c r="D38" s="87" t="s">
        <v>187</v>
      </c>
      <c r="E38" s="67">
        <v>76.38</v>
      </c>
      <c r="F38" s="88" t="s">
        <v>43</v>
      </c>
      <c r="G38" s="68">
        <f>SUM(G39:G40)</f>
        <v>546636050</v>
      </c>
      <c r="H38" s="100">
        <v>0</v>
      </c>
      <c r="I38" s="68">
        <f>SUM(I39:I40)</f>
        <v>0</v>
      </c>
      <c r="J38" s="100">
        <v>32.64</v>
      </c>
      <c r="K38" s="31">
        <f>SUM(K39:K40)</f>
        <v>28904950</v>
      </c>
      <c r="L38" s="38">
        <f>3/144*100</f>
        <v>2.083333333333333</v>
      </c>
      <c r="M38" s="31">
        <f>SUM(M39:M40)</f>
        <v>0</v>
      </c>
      <c r="N38" s="38">
        <f>3/144*100</f>
        <v>2.083333333333333</v>
      </c>
      <c r="O38" s="31">
        <f>SUM(O39:O40)</f>
        <v>0</v>
      </c>
      <c r="P38" s="38"/>
      <c r="Q38" s="31">
        <f>SUM(Q39:Q40)</f>
        <v>0</v>
      </c>
      <c r="R38" s="34">
        <v>28.472000000000001</v>
      </c>
      <c r="S38" s="31">
        <f>S39+S40</f>
        <v>21483500</v>
      </c>
      <c r="T38" s="42">
        <f t="shared" si="11"/>
        <v>32.638666666666666</v>
      </c>
      <c r="U38" s="43">
        <f>Z38/J38*100</f>
        <v>99.995915032679733</v>
      </c>
      <c r="V38" s="40" t="s">
        <v>43</v>
      </c>
      <c r="W38" s="39">
        <f t="shared" si="12"/>
        <v>21483500</v>
      </c>
      <c r="X38" s="43">
        <f t="shared" si="13"/>
        <v>74.324639897318619</v>
      </c>
      <c r="Y38" s="40" t="s">
        <v>43</v>
      </c>
      <c r="Z38" s="43">
        <f t="shared" si="3"/>
        <v>32.638666666666666</v>
      </c>
      <c r="AA38" s="39">
        <f t="shared" si="4"/>
        <v>21483500</v>
      </c>
      <c r="AB38" s="43"/>
      <c r="AC38" s="40" t="s">
        <v>43</v>
      </c>
      <c r="AD38" s="43"/>
      <c r="AE38" s="9"/>
      <c r="AG38" s="142">
        <v>0</v>
      </c>
      <c r="AH38" s="17"/>
    </row>
    <row r="39" spans="1:34" ht="75" x14ac:dyDescent="0.2">
      <c r="A39" s="10"/>
      <c r="B39" s="11"/>
      <c r="C39" s="59" t="s">
        <v>122</v>
      </c>
      <c r="D39" s="89" t="s">
        <v>157</v>
      </c>
      <c r="E39" s="65">
        <v>110</v>
      </c>
      <c r="F39" s="90" t="s">
        <v>149</v>
      </c>
      <c r="G39" s="64">
        <v>44636050</v>
      </c>
      <c r="H39" s="101">
        <v>0</v>
      </c>
      <c r="I39" s="102">
        <v>0</v>
      </c>
      <c r="J39" s="104">
        <v>47</v>
      </c>
      <c r="K39" s="64">
        <v>18104950</v>
      </c>
      <c r="L39" s="65">
        <v>3</v>
      </c>
      <c r="M39" s="66">
        <v>0</v>
      </c>
      <c r="N39" s="65">
        <v>3</v>
      </c>
      <c r="O39" s="15">
        <v>0</v>
      </c>
      <c r="P39" s="65">
        <v>0</v>
      </c>
      <c r="Q39" s="15">
        <v>0</v>
      </c>
      <c r="R39" s="65">
        <v>41</v>
      </c>
      <c r="S39" s="15">
        <v>10915500</v>
      </c>
      <c r="T39" s="41">
        <f t="shared" si="11"/>
        <v>47</v>
      </c>
      <c r="U39" s="41">
        <f>T39/J39*100</f>
        <v>100</v>
      </c>
      <c r="V39" s="25" t="s">
        <v>43</v>
      </c>
      <c r="W39" s="30">
        <f t="shared" si="12"/>
        <v>10915500</v>
      </c>
      <c r="X39" s="44">
        <f t="shared" si="13"/>
        <v>60.29014164634534</v>
      </c>
      <c r="Y39" s="25" t="s">
        <v>43</v>
      </c>
      <c r="Z39" s="41">
        <f t="shared" si="3"/>
        <v>47</v>
      </c>
      <c r="AA39" s="30">
        <f t="shared" si="4"/>
        <v>10915500</v>
      </c>
      <c r="AB39" s="44"/>
      <c r="AC39" s="25" t="s">
        <v>43</v>
      </c>
      <c r="AD39" s="44"/>
      <c r="AE39" s="9"/>
      <c r="AG39" s="142">
        <v>0</v>
      </c>
      <c r="AH39" s="17"/>
    </row>
    <row r="40" spans="1:34" ht="90" x14ac:dyDescent="0.2">
      <c r="A40" s="10"/>
      <c r="B40" s="11"/>
      <c r="C40" s="59" t="s">
        <v>123</v>
      </c>
      <c r="D40" s="89" t="s">
        <v>158</v>
      </c>
      <c r="E40" s="65">
        <v>1</v>
      </c>
      <c r="F40" s="90" t="s">
        <v>159</v>
      </c>
      <c r="G40" s="64">
        <v>502000000</v>
      </c>
      <c r="H40" s="101">
        <v>0</v>
      </c>
      <c r="I40" s="102">
        <v>0</v>
      </c>
      <c r="J40" s="104">
        <v>1</v>
      </c>
      <c r="K40" s="176">
        <v>10800000</v>
      </c>
      <c r="L40" s="65">
        <v>0</v>
      </c>
      <c r="M40" s="66">
        <v>0</v>
      </c>
      <c r="N40" s="65">
        <v>0</v>
      </c>
      <c r="O40" s="15">
        <v>0</v>
      </c>
      <c r="P40" s="65">
        <v>0</v>
      </c>
      <c r="Q40" s="15">
        <v>0</v>
      </c>
      <c r="R40" s="65">
        <v>1</v>
      </c>
      <c r="S40" s="15">
        <v>10568000</v>
      </c>
      <c r="T40" s="41">
        <f t="shared" si="11"/>
        <v>1</v>
      </c>
      <c r="U40" s="41">
        <f>T40/J40*100</f>
        <v>100</v>
      </c>
      <c r="V40" s="25" t="s">
        <v>43</v>
      </c>
      <c r="W40" s="30">
        <f t="shared" si="12"/>
        <v>10568000</v>
      </c>
      <c r="X40" s="44">
        <f t="shared" si="13"/>
        <v>97.851851851851862</v>
      </c>
      <c r="Y40" s="25" t="s">
        <v>43</v>
      </c>
      <c r="Z40" s="41">
        <f t="shared" si="3"/>
        <v>1</v>
      </c>
      <c r="AA40" s="30">
        <f t="shared" si="4"/>
        <v>10568000</v>
      </c>
      <c r="AB40" s="44"/>
      <c r="AC40" s="25" t="s">
        <v>43</v>
      </c>
      <c r="AD40" s="44"/>
      <c r="AE40" s="9"/>
      <c r="AG40" s="142"/>
      <c r="AH40" s="17"/>
    </row>
    <row r="41" spans="1:34" s="155" customFormat="1" ht="138" customHeight="1" x14ac:dyDescent="0.2">
      <c r="A41" s="144">
        <v>3</v>
      </c>
      <c r="B41" s="158" t="s">
        <v>188</v>
      </c>
      <c r="C41" s="159" t="s">
        <v>78</v>
      </c>
      <c r="D41" s="145" t="s">
        <v>189</v>
      </c>
      <c r="E41" s="146">
        <v>22.92</v>
      </c>
      <c r="F41" s="147" t="s">
        <v>43</v>
      </c>
      <c r="G41" s="160">
        <f>G42</f>
        <v>54854872</v>
      </c>
      <c r="H41" s="165">
        <v>20.6</v>
      </c>
      <c r="I41" s="160">
        <f>I42</f>
        <v>18433900</v>
      </c>
      <c r="J41" s="161">
        <v>21.76</v>
      </c>
      <c r="K41" s="160">
        <f>K42</f>
        <v>14375000</v>
      </c>
      <c r="L41" s="161">
        <v>0</v>
      </c>
      <c r="M41" s="160">
        <f>M42</f>
        <v>0</v>
      </c>
      <c r="N41" s="161">
        <v>0</v>
      </c>
      <c r="O41" s="160">
        <f>O42</f>
        <v>2500000</v>
      </c>
      <c r="P41" s="161">
        <v>0</v>
      </c>
      <c r="Q41" s="160">
        <f>Q42</f>
        <v>7000000</v>
      </c>
      <c r="R41" s="161">
        <v>1.1599999999999999</v>
      </c>
      <c r="S41" s="160">
        <f>S42</f>
        <v>3750000</v>
      </c>
      <c r="T41" s="153">
        <f t="shared" si="11"/>
        <v>1.1599999999999999</v>
      </c>
      <c r="U41" s="153">
        <f>Z41/J41*100</f>
        <v>100</v>
      </c>
      <c r="V41" s="150" t="s">
        <v>43</v>
      </c>
      <c r="W41" s="162">
        <f t="shared" si="12"/>
        <v>13250000</v>
      </c>
      <c r="X41" s="153">
        <f t="shared" si="13"/>
        <v>92.173913043478265</v>
      </c>
      <c r="Y41" s="150" t="s">
        <v>43</v>
      </c>
      <c r="Z41" s="153">
        <f t="shared" si="3"/>
        <v>21.76</v>
      </c>
      <c r="AA41" s="162">
        <f t="shared" si="4"/>
        <v>31683900</v>
      </c>
      <c r="AB41" s="153"/>
      <c r="AC41" s="150" t="s">
        <v>43</v>
      </c>
      <c r="AD41" s="163"/>
      <c r="AE41" s="164"/>
      <c r="AG41" s="156">
        <v>9500000</v>
      </c>
      <c r="AH41" s="157"/>
    </row>
    <row r="42" spans="1:34" ht="137.25" customHeight="1" x14ac:dyDescent="0.2">
      <c r="A42" s="10"/>
      <c r="B42" s="11" t="s">
        <v>190</v>
      </c>
      <c r="C42" s="12" t="s">
        <v>79</v>
      </c>
      <c r="D42" s="13" t="s">
        <v>107</v>
      </c>
      <c r="E42" s="67">
        <f>17/144*100</f>
        <v>11.805555555555555</v>
      </c>
      <c r="F42" s="88" t="s">
        <v>43</v>
      </c>
      <c r="G42" s="68">
        <f>SUM(G43)</f>
        <v>54854872</v>
      </c>
      <c r="H42" s="100">
        <f>11/144*100</f>
        <v>7.6388888888888893</v>
      </c>
      <c r="I42" s="68">
        <f>SUM(I43)</f>
        <v>18433900</v>
      </c>
      <c r="J42" s="100">
        <f>14/144*100</f>
        <v>9.7222222222222232</v>
      </c>
      <c r="K42" s="31">
        <f>SUM(K43)</f>
        <v>14375000</v>
      </c>
      <c r="L42" s="34">
        <v>0</v>
      </c>
      <c r="M42" s="31">
        <f>SUM(M43)</f>
        <v>0</v>
      </c>
      <c r="N42" s="34">
        <v>2.0830000000000002</v>
      </c>
      <c r="O42" s="31">
        <f>SUM(O43)</f>
        <v>2500000</v>
      </c>
      <c r="P42" s="34">
        <v>0</v>
      </c>
      <c r="Q42" s="31">
        <f>SUM(Q43)</f>
        <v>7000000</v>
      </c>
      <c r="R42" s="38"/>
      <c r="S42" s="31">
        <f>S43</f>
        <v>3750000</v>
      </c>
      <c r="T42" s="42">
        <f t="shared" si="11"/>
        <v>2.0830000000000002</v>
      </c>
      <c r="U42" s="43">
        <f>Z42/J42*100</f>
        <v>99.996571428571428</v>
      </c>
      <c r="V42" s="40" t="s">
        <v>43</v>
      </c>
      <c r="W42" s="39">
        <f t="shared" si="12"/>
        <v>13250000</v>
      </c>
      <c r="X42" s="43">
        <f t="shared" si="13"/>
        <v>92.173913043478265</v>
      </c>
      <c r="Y42" s="40" t="s">
        <v>43</v>
      </c>
      <c r="Z42" s="43">
        <f t="shared" si="3"/>
        <v>9.7218888888888895</v>
      </c>
      <c r="AA42" s="39">
        <f t="shared" si="4"/>
        <v>31683900</v>
      </c>
      <c r="AB42" s="43"/>
      <c r="AC42" s="40" t="s">
        <v>43</v>
      </c>
      <c r="AD42" s="43"/>
      <c r="AE42" s="9"/>
      <c r="AG42" s="142"/>
      <c r="AH42" s="17"/>
    </row>
    <row r="43" spans="1:34" ht="135" x14ac:dyDescent="0.2">
      <c r="A43" s="10"/>
      <c r="B43" s="11"/>
      <c r="C43" s="59" t="s">
        <v>89</v>
      </c>
      <c r="D43" s="60" t="s">
        <v>119</v>
      </c>
      <c r="E43" s="65">
        <v>3</v>
      </c>
      <c r="F43" s="90" t="s">
        <v>42</v>
      </c>
      <c r="G43" s="64">
        <f>20239936+14375000+20239936</f>
        <v>54854872</v>
      </c>
      <c r="H43" s="101">
        <v>1</v>
      </c>
      <c r="I43" s="102">
        <v>18433900</v>
      </c>
      <c r="J43" s="104">
        <v>1</v>
      </c>
      <c r="K43" s="64">
        <v>14375000</v>
      </c>
      <c r="L43" s="65">
        <v>0</v>
      </c>
      <c r="M43" s="66">
        <v>0</v>
      </c>
      <c r="N43" s="65">
        <v>0</v>
      </c>
      <c r="O43" s="15">
        <v>2500000</v>
      </c>
      <c r="P43" s="65">
        <v>0</v>
      </c>
      <c r="Q43" s="15">
        <v>7000000</v>
      </c>
      <c r="R43" s="65">
        <v>1</v>
      </c>
      <c r="S43" s="15">
        <v>3750000</v>
      </c>
      <c r="T43" s="41">
        <f t="shared" si="11"/>
        <v>1</v>
      </c>
      <c r="U43" s="41">
        <f>T43/J43*100</f>
        <v>100</v>
      </c>
      <c r="V43" s="25" t="s">
        <v>43</v>
      </c>
      <c r="W43" s="30">
        <f t="shared" si="12"/>
        <v>13250000</v>
      </c>
      <c r="X43" s="44">
        <f t="shared" si="13"/>
        <v>92.173913043478265</v>
      </c>
      <c r="Y43" s="25" t="s">
        <v>43</v>
      </c>
      <c r="Z43" s="41">
        <f t="shared" si="3"/>
        <v>2</v>
      </c>
      <c r="AA43" s="30">
        <f t="shared" si="4"/>
        <v>31683900</v>
      </c>
      <c r="AB43" s="44"/>
      <c r="AC43" s="25" t="s">
        <v>43</v>
      </c>
      <c r="AD43" s="44"/>
      <c r="AE43" s="9"/>
      <c r="AG43" s="142"/>
      <c r="AH43" s="17"/>
    </row>
    <row r="44" spans="1:34" s="155" customFormat="1" ht="117.75" customHeight="1" x14ac:dyDescent="0.2">
      <c r="A44" s="166">
        <v>3</v>
      </c>
      <c r="B44" s="158" t="s">
        <v>166</v>
      </c>
      <c r="C44" s="167" t="s">
        <v>80</v>
      </c>
      <c r="D44" s="145" t="s">
        <v>167</v>
      </c>
      <c r="E44" s="146">
        <v>100</v>
      </c>
      <c r="F44" s="147" t="s">
        <v>43</v>
      </c>
      <c r="G44" s="148">
        <f>G46</f>
        <v>557485000</v>
      </c>
      <c r="H44" s="168">
        <v>100</v>
      </c>
      <c r="I44" s="148">
        <f>I46</f>
        <v>108790850</v>
      </c>
      <c r="J44" s="152">
        <v>100</v>
      </c>
      <c r="K44" s="148">
        <f>K46</f>
        <v>328726600</v>
      </c>
      <c r="L44" s="169">
        <v>0</v>
      </c>
      <c r="M44" s="148">
        <f>M46</f>
        <v>27235000</v>
      </c>
      <c r="N44" s="169">
        <v>0</v>
      </c>
      <c r="O44" s="148">
        <f>O46</f>
        <v>168926700</v>
      </c>
      <c r="P44" s="169">
        <v>0</v>
      </c>
      <c r="Q44" s="231">
        <f>Q46</f>
        <v>51718250</v>
      </c>
      <c r="R44" s="169"/>
      <c r="S44" s="174">
        <f>S46</f>
        <v>39712500</v>
      </c>
      <c r="T44" s="153">
        <f t="shared" si="11"/>
        <v>0</v>
      </c>
      <c r="U44" s="149">
        <f>Z44/J44*100</f>
        <v>100</v>
      </c>
      <c r="V44" s="150" t="s">
        <v>43</v>
      </c>
      <c r="W44" s="162">
        <f t="shared" si="12"/>
        <v>287592450</v>
      </c>
      <c r="X44" s="153">
        <f t="shared" si="13"/>
        <v>87.486820354665554</v>
      </c>
      <c r="Y44" s="150" t="s">
        <v>43</v>
      </c>
      <c r="Z44" s="153">
        <f t="shared" si="3"/>
        <v>100</v>
      </c>
      <c r="AA44" s="162">
        <f t="shared" si="4"/>
        <v>396383300</v>
      </c>
      <c r="AB44" s="153"/>
      <c r="AC44" s="150" t="s">
        <v>43</v>
      </c>
      <c r="AD44" s="163"/>
      <c r="AE44" s="164"/>
      <c r="AG44" s="156"/>
      <c r="AH44" s="157"/>
    </row>
    <row r="45" spans="1:34" ht="139.5" customHeight="1" x14ac:dyDescent="0.25">
      <c r="A45" s="62"/>
      <c r="B45" s="11" t="s">
        <v>169</v>
      </c>
      <c r="C45" s="63"/>
      <c r="D45" s="13" t="s">
        <v>168</v>
      </c>
      <c r="E45" s="67">
        <v>83.33</v>
      </c>
      <c r="F45" s="91"/>
      <c r="G45" s="114"/>
      <c r="H45" s="115" t="s">
        <v>170</v>
      </c>
      <c r="I45" s="114"/>
      <c r="J45" s="118">
        <v>66.67</v>
      </c>
      <c r="K45" s="114"/>
      <c r="L45" s="120"/>
      <c r="M45" s="114">
        <f>M47</f>
        <v>0</v>
      </c>
      <c r="N45" s="120"/>
      <c r="O45" s="114">
        <f>O47</f>
        <v>0</v>
      </c>
      <c r="P45" s="118">
        <v>66.67</v>
      </c>
      <c r="Q45" s="232">
        <f>Q47</f>
        <v>0</v>
      </c>
      <c r="R45" s="120"/>
      <c r="S45"/>
      <c r="T45" s="43">
        <f t="shared" si="11"/>
        <v>66.67</v>
      </c>
      <c r="U45" s="42">
        <f>Z45/J45*100</f>
        <v>100</v>
      </c>
      <c r="V45" s="40" t="s">
        <v>43</v>
      </c>
      <c r="W45" s="39">
        <f t="shared" si="12"/>
        <v>0</v>
      </c>
      <c r="X45" s="43"/>
      <c r="Y45" s="40" t="s">
        <v>43</v>
      </c>
      <c r="Z45" s="43">
        <f t="shared" si="3"/>
        <v>66.67</v>
      </c>
      <c r="AA45" s="39">
        <f t="shared" si="4"/>
        <v>0</v>
      </c>
      <c r="AB45" s="43"/>
      <c r="AC45" s="40" t="s">
        <v>43</v>
      </c>
      <c r="AD45" s="44"/>
      <c r="AE45" s="9"/>
      <c r="AG45" s="142"/>
      <c r="AH45" s="17"/>
    </row>
    <row r="46" spans="1:34" ht="199.5" customHeight="1" x14ac:dyDescent="0.2">
      <c r="A46" s="10"/>
      <c r="B46" s="11" t="s">
        <v>171</v>
      </c>
      <c r="C46" s="12" t="s">
        <v>81</v>
      </c>
      <c r="D46" s="13" t="s">
        <v>172</v>
      </c>
      <c r="E46" s="67">
        <v>40.28</v>
      </c>
      <c r="F46" s="88" t="s">
        <v>43</v>
      </c>
      <c r="G46" s="92">
        <f>SUM(G48:G53)</f>
        <v>557485000</v>
      </c>
      <c r="H46" s="116">
        <v>25</v>
      </c>
      <c r="I46" s="92">
        <f>SUM(I48:I53)</f>
        <v>108790850</v>
      </c>
      <c r="J46" s="117">
        <v>32.64</v>
      </c>
      <c r="K46" s="50">
        <f>SUM(K48:K53)</f>
        <v>328726600</v>
      </c>
      <c r="L46" s="119">
        <f>2/144*100</f>
        <v>1.3888888888888888</v>
      </c>
      <c r="M46" s="50">
        <f>SUM(M48:M53)</f>
        <v>27235000</v>
      </c>
      <c r="N46" s="119">
        <f>3/144*100</f>
        <v>2.083333333333333</v>
      </c>
      <c r="O46" s="50">
        <f>SUM(O48:O53)</f>
        <v>168926700</v>
      </c>
      <c r="P46" s="119">
        <v>0</v>
      </c>
      <c r="Q46" s="50">
        <f>SUM(Q48:Q53)</f>
        <v>51718250</v>
      </c>
      <c r="R46" s="178">
        <v>4.17</v>
      </c>
      <c r="S46" s="50">
        <f>SUM(S48:S53)</f>
        <v>39712500</v>
      </c>
      <c r="T46" s="43">
        <f t="shared" si="11"/>
        <v>7.6422222222222214</v>
      </c>
      <c r="U46" s="42">
        <f>Z46/J46*100</f>
        <v>100.0068082788671</v>
      </c>
      <c r="V46" s="40" t="s">
        <v>43</v>
      </c>
      <c r="W46" s="39">
        <f t="shared" si="12"/>
        <v>287592450</v>
      </c>
      <c r="X46" s="43">
        <f t="shared" si="13"/>
        <v>87.486820354665554</v>
      </c>
      <c r="Y46" s="40" t="s">
        <v>43</v>
      </c>
      <c r="Z46" s="43">
        <f t="shared" si="3"/>
        <v>32.642222222222223</v>
      </c>
      <c r="AA46" s="39">
        <f t="shared" si="4"/>
        <v>396383300</v>
      </c>
      <c r="AB46" s="43"/>
      <c r="AC46" s="40" t="s">
        <v>43</v>
      </c>
      <c r="AD46" s="43"/>
      <c r="AE46" s="9"/>
      <c r="AG46" s="142"/>
      <c r="AH46" s="17"/>
    </row>
    <row r="47" spans="1:34" s="155" customFormat="1" ht="162.75" customHeight="1" x14ac:dyDescent="0.2">
      <c r="A47" s="170"/>
      <c r="B47" s="179" t="s">
        <v>173</v>
      </c>
      <c r="C47" s="159"/>
      <c r="D47" s="145" t="s">
        <v>174</v>
      </c>
      <c r="E47" s="146">
        <v>100</v>
      </c>
      <c r="F47" s="180"/>
      <c r="G47" s="181"/>
      <c r="H47" s="182">
        <v>0</v>
      </c>
      <c r="I47" s="181"/>
      <c r="J47" s="183">
        <v>29.86</v>
      </c>
      <c r="K47" s="181"/>
      <c r="L47" s="184"/>
      <c r="M47" s="181">
        <f>M49</f>
        <v>0</v>
      </c>
      <c r="N47" s="184"/>
      <c r="O47" s="181"/>
      <c r="P47" s="183"/>
      <c r="Q47" s="181">
        <f>Q49</f>
        <v>0</v>
      </c>
      <c r="R47" s="184">
        <v>29.86</v>
      </c>
      <c r="S47" s="181"/>
      <c r="T47" s="153">
        <f t="shared" si="11"/>
        <v>29.86</v>
      </c>
      <c r="U47" s="149">
        <f>Z47/J47*100</f>
        <v>100</v>
      </c>
      <c r="V47" s="150" t="s">
        <v>43</v>
      </c>
      <c r="W47" s="162">
        <f t="shared" si="12"/>
        <v>0</v>
      </c>
      <c r="X47" s="153"/>
      <c r="Y47" s="150" t="s">
        <v>43</v>
      </c>
      <c r="Z47" s="153">
        <f t="shared" si="3"/>
        <v>29.86</v>
      </c>
      <c r="AA47" s="162">
        <f t="shared" si="4"/>
        <v>0</v>
      </c>
      <c r="AB47" s="153"/>
      <c r="AC47" s="150" t="s">
        <v>43</v>
      </c>
      <c r="AD47" s="163"/>
      <c r="AE47" s="164"/>
      <c r="AG47" s="156"/>
      <c r="AH47" s="157"/>
    </row>
    <row r="48" spans="1:34" ht="108" customHeight="1" x14ac:dyDescent="0.2">
      <c r="A48" s="10"/>
      <c r="B48" s="11"/>
      <c r="C48" s="59" t="s">
        <v>124</v>
      </c>
      <c r="D48" s="71" t="s">
        <v>110</v>
      </c>
      <c r="E48" s="65">
        <v>22</v>
      </c>
      <c r="F48" s="90" t="s">
        <v>42</v>
      </c>
      <c r="G48" s="64">
        <v>26600000</v>
      </c>
      <c r="H48" s="65">
        <v>0</v>
      </c>
      <c r="I48" s="102"/>
      <c r="J48" s="65">
        <v>11</v>
      </c>
      <c r="K48" s="177">
        <v>11637500</v>
      </c>
      <c r="L48" s="14">
        <v>2</v>
      </c>
      <c r="M48" s="15"/>
      <c r="N48" s="14">
        <v>3</v>
      </c>
      <c r="O48" s="15">
        <v>1125000</v>
      </c>
      <c r="P48" s="14">
        <v>3</v>
      </c>
      <c r="Q48" s="15">
        <v>2250000</v>
      </c>
      <c r="R48" s="14">
        <v>3</v>
      </c>
      <c r="S48" s="15">
        <v>4687500</v>
      </c>
      <c r="T48" s="41">
        <f>SUM(L48,N48,P48,R48)</f>
        <v>11</v>
      </c>
      <c r="U48" s="41">
        <f>T48/J48*100</f>
        <v>100</v>
      </c>
      <c r="V48" s="25" t="s">
        <v>43</v>
      </c>
      <c r="W48" s="30">
        <f>SUM(M48,O48,Q48,S48)</f>
        <v>8062500</v>
      </c>
      <c r="X48" s="44">
        <f>W48/K48*100</f>
        <v>69.280343716433947</v>
      </c>
      <c r="Y48" s="25" t="s">
        <v>43</v>
      </c>
      <c r="Z48" s="74">
        <f>SUM(H48,T48)</f>
        <v>11</v>
      </c>
      <c r="AA48" s="30">
        <f>SUM(I48,W48)</f>
        <v>8062500</v>
      </c>
      <c r="AB48" s="44"/>
      <c r="AC48" s="25" t="s">
        <v>43</v>
      </c>
      <c r="AD48" s="44"/>
      <c r="AE48" s="9"/>
      <c r="AG48" s="142"/>
      <c r="AH48" s="17"/>
    </row>
    <row r="49" spans="1:34" ht="105" x14ac:dyDescent="0.2">
      <c r="A49" s="10"/>
      <c r="B49" s="11"/>
      <c r="C49" s="59" t="s">
        <v>82</v>
      </c>
      <c r="D49" s="60" t="s">
        <v>150</v>
      </c>
      <c r="E49" s="65">
        <v>864</v>
      </c>
      <c r="F49" s="90" t="s">
        <v>42</v>
      </c>
      <c r="G49" s="64">
        <v>210585000</v>
      </c>
      <c r="H49" s="65">
        <v>288</v>
      </c>
      <c r="I49" s="102">
        <v>51429600</v>
      </c>
      <c r="J49" s="65">
        <v>288</v>
      </c>
      <c r="K49" s="177">
        <v>31637500</v>
      </c>
      <c r="L49" s="14">
        <v>0</v>
      </c>
      <c r="M49" s="15">
        <v>0</v>
      </c>
      <c r="N49" s="14">
        <v>0</v>
      </c>
      <c r="O49" s="15">
        <v>12800000</v>
      </c>
      <c r="P49" s="14">
        <v>288</v>
      </c>
      <c r="Q49" s="15">
        <v>0</v>
      </c>
      <c r="R49" s="14"/>
      <c r="S49" s="15">
        <v>17825000</v>
      </c>
      <c r="T49" s="41">
        <f>SUM(L49,N49,P49,R49)</f>
        <v>288</v>
      </c>
      <c r="U49" s="41">
        <f>T49/J49*100</f>
        <v>100</v>
      </c>
      <c r="V49" s="25" t="s">
        <v>43</v>
      </c>
      <c r="W49" s="30">
        <f>SUM(M49,O49,Q49,S49)</f>
        <v>30625000</v>
      </c>
      <c r="X49" s="44">
        <f>W49/K49*100</f>
        <v>96.799683919399442</v>
      </c>
      <c r="Y49" s="25" t="s">
        <v>43</v>
      </c>
      <c r="Z49" s="74">
        <f>SUM(H49,T49)</f>
        <v>576</v>
      </c>
      <c r="AA49" s="30">
        <f>SUM(I49,W49)</f>
        <v>82054600</v>
      </c>
      <c r="AB49" s="44"/>
      <c r="AC49" s="25" t="s">
        <v>43</v>
      </c>
      <c r="AD49" s="44"/>
      <c r="AE49" s="9"/>
      <c r="AG49" s="142"/>
      <c r="AH49" s="17"/>
    </row>
    <row r="50" spans="1:34" ht="145.5" customHeight="1" x14ac:dyDescent="0.2">
      <c r="A50" s="10"/>
      <c r="B50" s="11"/>
      <c r="C50" s="59" t="s">
        <v>125</v>
      </c>
      <c r="D50" s="71" t="s">
        <v>127</v>
      </c>
      <c r="E50" s="65">
        <v>1</v>
      </c>
      <c r="F50" s="90" t="s">
        <v>60</v>
      </c>
      <c r="G50" s="64">
        <v>130370000</v>
      </c>
      <c r="H50" s="65">
        <v>0</v>
      </c>
      <c r="I50" s="102"/>
      <c r="J50" s="65">
        <v>1</v>
      </c>
      <c r="K50" s="176">
        <v>203420000</v>
      </c>
      <c r="L50" s="14">
        <v>0</v>
      </c>
      <c r="M50" s="66">
        <v>27235000</v>
      </c>
      <c r="N50" s="14">
        <v>0</v>
      </c>
      <c r="O50" s="15">
        <v>122751700</v>
      </c>
      <c r="P50" s="14">
        <v>1</v>
      </c>
      <c r="Q50" s="15">
        <v>22318250</v>
      </c>
      <c r="R50" s="14"/>
      <c r="S50" s="15"/>
      <c r="T50" s="41">
        <f>SUM(L50,N50,P50,R50)</f>
        <v>1</v>
      </c>
      <c r="U50" s="41">
        <f>T50/J50*100</f>
        <v>100</v>
      </c>
      <c r="V50" s="25" t="s">
        <v>43</v>
      </c>
      <c r="W50" s="30">
        <f>SUM(M50,O50,Q50,S50)</f>
        <v>172304950</v>
      </c>
      <c r="X50" s="44">
        <f>W50/K50*100</f>
        <v>84.704035984662269</v>
      </c>
      <c r="Y50" s="25" t="s">
        <v>43</v>
      </c>
      <c r="Z50" s="74">
        <f>SUM(H50,T50)</f>
        <v>1</v>
      </c>
      <c r="AA50" s="30">
        <f>SUM(I50,W50)</f>
        <v>172304950</v>
      </c>
      <c r="AB50" s="44"/>
      <c r="AC50" s="25" t="s">
        <v>43</v>
      </c>
      <c r="AD50" s="44"/>
      <c r="AE50" s="9"/>
      <c r="AG50" s="142"/>
      <c r="AH50" s="17"/>
    </row>
    <row r="51" spans="1:34" ht="105" x14ac:dyDescent="0.2">
      <c r="A51" s="10"/>
      <c r="B51" s="11"/>
      <c r="C51" s="59" t="s">
        <v>126</v>
      </c>
      <c r="D51" s="71" t="s">
        <v>111</v>
      </c>
      <c r="E51" s="65">
        <v>2</v>
      </c>
      <c r="F51" s="90" t="s">
        <v>42</v>
      </c>
      <c r="G51" s="66">
        <v>42570000</v>
      </c>
      <c r="H51" s="65">
        <v>0</v>
      </c>
      <c r="I51" s="102"/>
      <c r="J51" s="65">
        <v>2</v>
      </c>
      <c r="K51" s="176">
        <v>48611600</v>
      </c>
      <c r="L51" s="14">
        <v>0</v>
      </c>
      <c r="M51" s="15">
        <v>0</v>
      </c>
      <c r="N51" s="14">
        <v>0</v>
      </c>
      <c r="O51" s="15">
        <v>0</v>
      </c>
      <c r="P51" s="14">
        <v>2</v>
      </c>
      <c r="Q51" s="15">
        <v>27150000</v>
      </c>
      <c r="R51" s="14"/>
      <c r="S51" s="15">
        <v>17200000</v>
      </c>
      <c r="T51" s="41">
        <f>SUM(L51,N51,P51,R51)</f>
        <v>2</v>
      </c>
      <c r="U51" s="41">
        <f>T51/J51*100</f>
        <v>100</v>
      </c>
      <c r="V51" s="25" t="s">
        <v>43</v>
      </c>
      <c r="W51" s="30">
        <f>SUM(M51,O51,Q51,S51)</f>
        <v>44350000</v>
      </c>
      <c r="X51" s="44">
        <f>W51/K51*100</f>
        <v>91.233368167268708</v>
      </c>
      <c r="Y51" s="25" t="s">
        <v>43</v>
      </c>
      <c r="Z51" s="74">
        <f>SUM(H51,T51)</f>
        <v>2</v>
      </c>
      <c r="AA51" s="30">
        <f>SUM(I51,W51)</f>
        <v>44350000</v>
      </c>
      <c r="AB51" s="44"/>
      <c r="AC51" s="25" t="s">
        <v>43</v>
      </c>
      <c r="AD51" s="44"/>
      <c r="AE51" s="9"/>
      <c r="AG51" s="142"/>
      <c r="AH51" s="17"/>
    </row>
    <row r="52" spans="1:34" ht="135" x14ac:dyDescent="0.2">
      <c r="A52" s="10"/>
      <c r="B52" s="11"/>
      <c r="C52" s="59" t="s">
        <v>84</v>
      </c>
      <c r="D52" s="76" t="s">
        <v>118</v>
      </c>
      <c r="E52" s="65">
        <v>3</v>
      </c>
      <c r="F52" s="90" t="s">
        <v>42</v>
      </c>
      <c r="G52" s="66">
        <f>48080000+33480000+48080000</f>
        <v>129640000</v>
      </c>
      <c r="H52" s="65">
        <v>1</v>
      </c>
      <c r="I52" s="102">
        <v>42420000</v>
      </c>
      <c r="J52" s="65">
        <v>1</v>
      </c>
      <c r="K52" s="51">
        <v>33420000</v>
      </c>
      <c r="L52" s="14">
        <v>0</v>
      </c>
      <c r="M52" s="15">
        <v>0</v>
      </c>
      <c r="N52" s="14">
        <v>1</v>
      </c>
      <c r="O52" s="15">
        <v>32250000</v>
      </c>
      <c r="P52" s="14">
        <v>0</v>
      </c>
      <c r="Q52" s="15">
        <v>0</v>
      </c>
      <c r="R52" s="14"/>
      <c r="S52" s="15" t="s">
        <v>196</v>
      </c>
      <c r="T52" s="41">
        <f>SUM(L52,N52,P52,R52)</f>
        <v>1</v>
      </c>
      <c r="U52" s="41">
        <f>T52/J52*100</f>
        <v>100</v>
      </c>
      <c r="V52" s="25" t="s">
        <v>43</v>
      </c>
      <c r="W52" s="30">
        <f>SUM(M52,O52,Q52,S52)</f>
        <v>32250000</v>
      </c>
      <c r="X52" s="44">
        <f>W52/K52*100</f>
        <v>96.499102333931774</v>
      </c>
      <c r="Y52" s="25" t="s">
        <v>43</v>
      </c>
      <c r="Z52" s="74">
        <f t="shared" ref="Z52:Z61" si="14">SUM(H52,T52)</f>
        <v>2</v>
      </c>
      <c r="AA52" s="30">
        <f t="shared" ref="AA52:AA61" si="15">SUM(I52,W52)</f>
        <v>74670000</v>
      </c>
      <c r="AB52" s="44"/>
      <c r="AC52" s="25" t="s">
        <v>43</v>
      </c>
      <c r="AD52" s="44"/>
      <c r="AE52" s="9"/>
      <c r="AG52" s="142"/>
      <c r="AH52" s="17"/>
    </row>
    <row r="53" spans="1:34" ht="127.5" customHeight="1" x14ac:dyDescent="0.2">
      <c r="A53" s="10"/>
      <c r="B53" s="11"/>
      <c r="C53" s="82" t="s">
        <v>83</v>
      </c>
      <c r="D53" s="79" t="s">
        <v>151</v>
      </c>
      <c r="E53" s="65">
        <v>288</v>
      </c>
      <c r="F53" s="90" t="s">
        <v>112</v>
      </c>
      <c r="G53" s="64">
        <v>17720000</v>
      </c>
      <c r="H53" s="65">
        <v>288</v>
      </c>
      <c r="I53" s="102">
        <v>14941250</v>
      </c>
      <c r="J53" s="65"/>
      <c r="K53" s="51"/>
      <c r="L53" s="14"/>
      <c r="M53" s="15"/>
      <c r="N53" s="14"/>
      <c r="O53" s="15"/>
      <c r="P53" s="14"/>
      <c r="Q53" s="15"/>
      <c r="R53" s="14"/>
      <c r="S53" s="15" t="s">
        <v>196</v>
      </c>
      <c r="T53" s="41"/>
      <c r="U53" s="41"/>
      <c r="V53" s="25"/>
      <c r="W53" s="30"/>
      <c r="X53" s="44"/>
      <c r="Y53" s="25"/>
      <c r="Z53" s="74">
        <f t="shared" si="14"/>
        <v>288</v>
      </c>
      <c r="AA53" s="30">
        <f t="shared" si="15"/>
        <v>14941250</v>
      </c>
      <c r="AB53" s="44"/>
      <c r="AC53" s="25" t="s">
        <v>43</v>
      </c>
      <c r="AD53" s="44"/>
      <c r="AE53" s="9"/>
      <c r="AG53" s="142"/>
      <c r="AH53" s="17"/>
    </row>
    <row r="54" spans="1:34" s="155" customFormat="1" ht="157.5" x14ac:dyDescent="0.2">
      <c r="A54" s="170">
        <v>4</v>
      </c>
      <c r="B54" s="158" t="s">
        <v>175</v>
      </c>
      <c r="C54" s="159" t="s">
        <v>85</v>
      </c>
      <c r="D54" s="145" t="s">
        <v>176</v>
      </c>
      <c r="E54" s="171">
        <v>68.06</v>
      </c>
      <c r="F54" s="172" t="s">
        <v>43</v>
      </c>
      <c r="G54" s="148">
        <f>SUM(G56)</f>
        <v>2149518676</v>
      </c>
      <c r="H54" s="152">
        <v>32.64</v>
      </c>
      <c r="I54" s="148">
        <f>SUM(I56)</f>
        <v>560457500</v>
      </c>
      <c r="J54" s="169">
        <v>60.42</v>
      </c>
      <c r="K54" s="148">
        <f>SUM(K56)</f>
        <v>716628700</v>
      </c>
      <c r="L54" s="169">
        <v>0</v>
      </c>
      <c r="M54" s="148">
        <f>SUM(M56)</f>
        <v>38762500</v>
      </c>
      <c r="N54" s="169"/>
      <c r="O54" s="148">
        <f>SUM(O56)</f>
        <v>117030250</v>
      </c>
      <c r="P54" s="161">
        <v>27.78</v>
      </c>
      <c r="Q54" s="160">
        <f>SUM(Q56)</f>
        <v>148812534</v>
      </c>
      <c r="R54" s="161"/>
      <c r="S54" s="160">
        <f>SUM(S56)</f>
        <v>318785710</v>
      </c>
      <c r="T54" s="153">
        <f t="shared" ref="T54:T61" si="16">SUM(L54,N54,P54,R54)</f>
        <v>27.78</v>
      </c>
      <c r="U54" s="153">
        <f>Z54/J54*100</f>
        <v>100</v>
      </c>
      <c r="V54" s="150" t="s">
        <v>43</v>
      </c>
      <c r="W54" s="162">
        <f>SUM(M54,O54,Q54,S54)</f>
        <v>623390994</v>
      </c>
      <c r="X54" s="153">
        <f>W54/K54*100</f>
        <v>86.989398275564454</v>
      </c>
      <c r="Y54" s="150" t="s">
        <v>43</v>
      </c>
      <c r="Z54" s="153">
        <f t="shared" si="14"/>
        <v>60.42</v>
      </c>
      <c r="AA54" s="162">
        <f t="shared" si="15"/>
        <v>1183848494</v>
      </c>
      <c r="AB54" s="153"/>
      <c r="AC54" s="150" t="s">
        <v>43</v>
      </c>
      <c r="AD54" s="163"/>
      <c r="AE54" s="164"/>
      <c r="AG54" s="156"/>
      <c r="AH54" s="157"/>
    </row>
    <row r="55" spans="1:34" ht="87" customHeight="1" x14ac:dyDescent="0.2">
      <c r="A55" s="10"/>
      <c r="B55" s="11" t="s">
        <v>177</v>
      </c>
      <c r="C55" s="12"/>
      <c r="D55" s="13" t="s">
        <v>178</v>
      </c>
      <c r="E55" s="126">
        <v>68.06</v>
      </c>
      <c r="F55" s="95"/>
      <c r="G55" s="114"/>
      <c r="H55" s="118">
        <v>32.64</v>
      </c>
      <c r="I55" s="114"/>
      <c r="J55" s="120">
        <v>60.42</v>
      </c>
      <c r="K55" s="121"/>
      <c r="L55" s="125"/>
      <c r="M55" s="121">
        <f>SUM(M57)</f>
        <v>0</v>
      </c>
      <c r="N55" s="126"/>
      <c r="O55" s="121">
        <f>SUM(O57)</f>
        <v>0</v>
      </c>
      <c r="P55" s="69">
        <v>27.78</v>
      </c>
      <c r="Q55" s="31">
        <f>SUM(Q57)</f>
        <v>0</v>
      </c>
      <c r="R55" s="38"/>
      <c r="S55" s="31"/>
      <c r="T55" s="43">
        <f t="shared" si="16"/>
        <v>27.78</v>
      </c>
      <c r="U55" s="43">
        <f>Z55/J55*100</f>
        <v>100</v>
      </c>
      <c r="V55" s="40" t="s">
        <v>43</v>
      </c>
      <c r="W55" s="39">
        <f t="shared" ref="W55:W61" si="17">SUM(M55,O55,Q55,S55)</f>
        <v>0</v>
      </c>
      <c r="X55" s="43"/>
      <c r="Y55" s="40" t="s">
        <v>43</v>
      </c>
      <c r="Z55" s="43">
        <f t="shared" si="14"/>
        <v>60.42</v>
      </c>
      <c r="AA55" s="39">
        <f t="shared" si="15"/>
        <v>0</v>
      </c>
      <c r="AB55" s="43"/>
      <c r="AC55" s="40" t="s">
        <v>43</v>
      </c>
      <c r="AD55" s="44"/>
      <c r="AE55" s="9"/>
      <c r="AG55" s="142">
        <v>0</v>
      </c>
      <c r="AH55" s="17"/>
    </row>
    <row r="56" spans="1:34" ht="339" customHeight="1" x14ac:dyDescent="0.2">
      <c r="A56" s="10"/>
      <c r="B56" s="11" t="s">
        <v>179</v>
      </c>
      <c r="C56" s="61" t="s">
        <v>106</v>
      </c>
      <c r="D56" s="13" t="s">
        <v>180</v>
      </c>
      <c r="E56" s="127">
        <v>29.86</v>
      </c>
      <c r="F56" s="128" t="s">
        <v>43</v>
      </c>
      <c r="G56" s="92">
        <f>SUM(G59:G61)</f>
        <v>2149518676</v>
      </c>
      <c r="H56" s="117">
        <v>14.58</v>
      </c>
      <c r="I56" s="92">
        <f>SUM(I59:I61)</f>
        <v>560457500</v>
      </c>
      <c r="J56" s="119">
        <v>22.22</v>
      </c>
      <c r="K56" s="50">
        <f>SUM(K59:K61)</f>
        <v>716628700</v>
      </c>
      <c r="L56" s="124"/>
      <c r="M56" s="50">
        <f>SUM(M59:M61)</f>
        <v>38762500</v>
      </c>
      <c r="N56" s="124"/>
      <c r="O56" s="50">
        <f>SUM(O59:O61)</f>
        <v>117030250</v>
      </c>
      <c r="P56" s="124">
        <v>0</v>
      </c>
      <c r="Q56" s="50">
        <f>SUM(Q59:Q61)</f>
        <v>148812534</v>
      </c>
      <c r="R56" s="124">
        <v>7.64</v>
      </c>
      <c r="S56" s="50">
        <f>SUM(S59:S61)</f>
        <v>318785710</v>
      </c>
      <c r="T56" s="43">
        <f t="shared" si="16"/>
        <v>7.64</v>
      </c>
      <c r="U56" s="43">
        <f>Z56/J56*100</f>
        <v>100</v>
      </c>
      <c r="V56" s="40" t="s">
        <v>43</v>
      </c>
      <c r="W56" s="39">
        <f t="shared" si="17"/>
        <v>623390994</v>
      </c>
      <c r="X56" s="43">
        <f>W56/K56*100</f>
        <v>86.989398275564454</v>
      </c>
      <c r="Y56" s="40" t="s">
        <v>43</v>
      </c>
      <c r="Z56" s="43">
        <f t="shared" si="14"/>
        <v>22.22</v>
      </c>
      <c r="AA56" s="39">
        <f t="shared" si="15"/>
        <v>1183848494</v>
      </c>
      <c r="AB56" s="43"/>
      <c r="AC56" s="40" t="s">
        <v>43</v>
      </c>
      <c r="AD56" s="43"/>
      <c r="AE56" s="9"/>
      <c r="AG56" s="142">
        <v>304605284</v>
      </c>
      <c r="AH56" s="17"/>
    </row>
    <row r="57" spans="1:34" ht="266.25" customHeight="1" x14ac:dyDescent="0.2">
      <c r="A57" s="10"/>
      <c r="B57" s="11" t="s">
        <v>181</v>
      </c>
      <c r="C57" s="61"/>
      <c r="D57" s="112" t="s">
        <v>182</v>
      </c>
      <c r="E57" s="130">
        <v>78.23</v>
      </c>
      <c r="F57" s="131"/>
      <c r="G57" s="132"/>
      <c r="H57" s="133">
        <v>45.32</v>
      </c>
      <c r="I57" s="132"/>
      <c r="J57" s="134">
        <v>61.77</v>
      </c>
      <c r="K57" s="135"/>
      <c r="L57" s="136"/>
      <c r="M57" s="135">
        <f>SUM(M59)</f>
        <v>0</v>
      </c>
      <c r="N57" s="130"/>
      <c r="O57" s="135"/>
      <c r="P57" s="134"/>
      <c r="Q57" s="135"/>
      <c r="R57" s="136">
        <v>16.45</v>
      </c>
      <c r="S57" s="135"/>
      <c r="T57" s="43">
        <f t="shared" si="16"/>
        <v>16.45</v>
      </c>
      <c r="U57" s="43">
        <f>Z57/J57*100</f>
        <v>99.999999999999986</v>
      </c>
      <c r="V57" s="40" t="s">
        <v>43</v>
      </c>
      <c r="W57" s="39">
        <f t="shared" si="17"/>
        <v>0</v>
      </c>
      <c r="X57" s="43"/>
      <c r="Y57" s="40" t="s">
        <v>43</v>
      </c>
      <c r="Z57" s="43">
        <f t="shared" si="14"/>
        <v>61.769999999999996</v>
      </c>
      <c r="AA57" s="39">
        <f t="shared" si="15"/>
        <v>0</v>
      </c>
      <c r="AB57" s="43"/>
      <c r="AC57" s="40" t="s">
        <v>43</v>
      </c>
      <c r="AD57" s="44"/>
      <c r="AE57" s="9"/>
      <c r="AG57" s="142">
        <v>0</v>
      </c>
      <c r="AH57" s="17"/>
    </row>
    <row r="58" spans="1:34" ht="235.5" customHeight="1" x14ac:dyDescent="0.2">
      <c r="A58" s="10"/>
      <c r="B58" s="11" t="s">
        <v>183</v>
      </c>
      <c r="C58" s="61"/>
      <c r="D58" s="112" t="s">
        <v>184</v>
      </c>
      <c r="E58" s="126">
        <v>24.77</v>
      </c>
      <c r="F58" s="129"/>
      <c r="G58" s="114"/>
      <c r="H58" s="118">
        <v>14.2</v>
      </c>
      <c r="I58" s="114"/>
      <c r="J58" s="120">
        <v>19.7</v>
      </c>
      <c r="K58" s="121"/>
      <c r="L58" s="125"/>
      <c r="M58" s="121">
        <f>SUM(M60)</f>
        <v>0</v>
      </c>
      <c r="N58" s="126"/>
      <c r="O58" s="121">
        <f>SUM(O60)</f>
        <v>0</v>
      </c>
      <c r="P58" s="120"/>
      <c r="Q58" s="121"/>
      <c r="R58" s="125">
        <v>5.5</v>
      </c>
      <c r="S58" s="121"/>
      <c r="T58" s="43">
        <f t="shared" si="16"/>
        <v>5.5</v>
      </c>
      <c r="U58" s="43">
        <f>Z58/J58*100</f>
        <v>100</v>
      </c>
      <c r="V58" s="40" t="s">
        <v>43</v>
      </c>
      <c r="W58" s="39">
        <f t="shared" si="17"/>
        <v>0</v>
      </c>
      <c r="X58" s="43"/>
      <c r="Y58" s="40" t="s">
        <v>43</v>
      </c>
      <c r="Z58" s="43">
        <f t="shared" si="14"/>
        <v>19.7</v>
      </c>
      <c r="AA58" s="39">
        <f t="shared" si="15"/>
        <v>0</v>
      </c>
      <c r="AB58" s="43"/>
      <c r="AC58" s="40" t="s">
        <v>43</v>
      </c>
      <c r="AD58" s="44"/>
      <c r="AE58" s="9"/>
      <c r="AG58" s="142">
        <v>0</v>
      </c>
      <c r="AH58" s="17"/>
    </row>
    <row r="59" spans="1:34" ht="300" x14ac:dyDescent="0.25">
      <c r="A59" s="10"/>
      <c r="B59" s="11"/>
      <c r="C59" s="59" t="s">
        <v>105</v>
      </c>
      <c r="D59" s="83" t="s">
        <v>128</v>
      </c>
      <c r="E59" s="65">
        <v>142</v>
      </c>
      <c r="F59" s="90" t="s">
        <v>113</v>
      </c>
      <c r="G59" s="66">
        <f>75008800+54875000+75008800</f>
        <v>204892600</v>
      </c>
      <c r="H59" s="101">
        <v>77</v>
      </c>
      <c r="I59" s="102">
        <v>50125000</v>
      </c>
      <c r="J59" s="65">
        <v>112</v>
      </c>
      <c r="K59" s="175">
        <v>79800000</v>
      </c>
      <c r="L59" s="65"/>
      <c r="M59" s="66">
        <v>0</v>
      </c>
      <c r="N59" s="65"/>
      <c r="O59" s="15">
        <v>3937500</v>
      </c>
      <c r="P59" s="65">
        <v>0</v>
      </c>
      <c r="Q59" s="15">
        <v>4375000</v>
      </c>
      <c r="R59" s="65">
        <v>112</v>
      </c>
      <c r="S59" s="15">
        <v>62562500</v>
      </c>
      <c r="T59" s="41">
        <f t="shared" si="16"/>
        <v>112</v>
      </c>
      <c r="U59" s="41">
        <f>T59/J59*100</f>
        <v>100</v>
      </c>
      <c r="V59" s="25" t="s">
        <v>43</v>
      </c>
      <c r="W59" s="30">
        <f t="shared" si="17"/>
        <v>70875000</v>
      </c>
      <c r="X59" s="44">
        <f>W59/K59*100</f>
        <v>88.81578947368422</v>
      </c>
      <c r="Y59" s="25" t="s">
        <v>43</v>
      </c>
      <c r="Z59" s="41">
        <f t="shared" si="14"/>
        <v>189</v>
      </c>
      <c r="AA59" s="30">
        <f t="shared" si="15"/>
        <v>121000000</v>
      </c>
      <c r="AB59" s="44"/>
      <c r="AC59" s="25" t="s">
        <v>43</v>
      </c>
      <c r="AD59" s="44"/>
      <c r="AE59" s="9"/>
      <c r="AG59" s="142"/>
      <c r="AH59" s="17"/>
    </row>
    <row r="60" spans="1:34" ht="135" x14ac:dyDescent="0.2">
      <c r="A60" s="10"/>
      <c r="B60" s="11"/>
      <c r="C60" s="59" t="s">
        <v>92</v>
      </c>
      <c r="D60" s="84" t="s">
        <v>129</v>
      </c>
      <c r="E60" s="65">
        <v>3</v>
      </c>
      <c r="F60" s="90" t="s">
        <v>60</v>
      </c>
      <c r="G60" s="66">
        <f>22880500+5877500+22880500</f>
        <v>51638500</v>
      </c>
      <c r="H60" s="65">
        <v>1</v>
      </c>
      <c r="I60" s="102">
        <v>19240000</v>
      </c>
      <c r="J60" s="65">
        <v>1</v>
      </c>
      <c r="K60" s="51">
        <v>5877500</v>
      </c>
      <c r="L60" s="14">
        <v>0</v>
      </c>
      <c r="M60" s="15">
        <v>0</v>
      </c>
      <c r="N60" s="14">
        <v>0</v>
      </c>
      <c r="O60" s="15">
        <v>0</v>
      </c>
      <c r="P60" s="14">
        <v>1</v>
      </c>
      <c r="Q60" s="15">
        <v>4900000</v>
      </c>
      <c r="R60" s="14"/>
      <c r="S60" s="15">
        <v>432500</v>
      </c>
      <c r="T60" s="41">
        <f t="shared" si="16"/>
        <v>1</v>
      </c>
      <c r="U60" s="41">
        <f>T60/J60*100</f>
        <v>100</v>
      </c>
      <c r="V60" s="25" t="s">
        <v>43</v>
      </c>
      <c r="W60" s="30">
        <f t="shared" si="17"/>
        <v>5332500</v>
      </c>
      <c r="X60" s="44">
        <f>W60/K60*100</f>
        <v>90.727350063802632</v>
      </c>
      <c r="Y60" s="25" t="s">
        <v>43</v>
      </c>
      <c r="Z60" s="41">
        <f t="shared" si="14"/>
        <v>2</v>
      </c>
      <c r="AA60" s="30">
        <f t="shared" si="15"/>
        <v>24572500</v>
      </c>
      <c r="AB60" s="44"/>
      <c r="AC60" s="25" t="s">
        <v>43</v>
      </c>
      <c r="AD60" s="44"/>
      <c r="AE60" s="9"/>
      <c r="AG60" s="142"/>
      <c r="AH60" s="17"/>
    </row>
    <row r="61" spans="1:34" ht="211.5" customHeight="1" x14ac:dyDescent="0.2">
      <c r="A61" s="10"/>
      <c r="B61" s="11"/>
      <c r="C61" s="59" t="s">
        <v>86</v>
      </c>
      <c r="D61" s="60" t="s">
        <v>130</v>
      </c>
      <c r="E61" s="65">
        <v>3</v>
      </c>
      <c r="F61" s="90" t="s">
        <v>42</v>
      </c>
      <c r="G61" s="66">
        <f>631003138+630981300+631003138</f>
        <v>1892987576</v>
      </c>
      <c r="H61" s="65">
        <v>1</v>
      </c>
      <c r="I61" s="102">
        <v>491092500</v>
      </c>
      <c r="J61" s="65">
        <v>1</v>
      </c>
      <c r="K61" s="64">
        <v>630951200</v>
      </c>
      <c r="L61" s="65">
        <v>0</v>
      </c>
      <c r="M61" s="66">
        <v>38762500</v>
      </c>
      <c r="N61" s="65">
        <v>0</v>
      </c>
      <c r="O61" s="15">
        <v>113092750</v>
      </c>
      <c r="P61" s="65">
        <v>0</v>
      </c>
      <c r="Q61" s="15">
        <v>139537534</v>
      </c>
      <c r="R61" s="65">
        <v>1</v>
      </c>
      <c r="S61" s="15">
        <v>255790710</v>
      </c>
      <c r="T61" s="41">
        <f t="shared" si="16"/>
        <v>1</v>
      </c>
      <c r="U61" s="41">
        <f>T61/J61*100</f>
        <v>100</v>
      </c>
      <c r="V61" s="25" t="s">
        <v>43</v>
      </c>
      <c r="W61" s="30">
        <f t="shared" si="17"/>
        <v>547183494</v>
      </c>
      <c r="X61" s="44">
        <f>W61/K61*100</f>
        <v>86.723584010934601</v>
      </c>
      <c r="Y61" s="25" t="s">
        <v>43</v>
      </c>
      <c r="Z61" s="41">
        <f t="shared" si="14"/>
        <v>2</v>
      </c>
      <c r="AA61" s="30">
        <f t="shared" si="15"/>
        <v>1038275994</v>
      </c>
      <c r="AB61" s="44"/>
      <c r="AC61" s="25" t="s">
        <v>43</v>
      </c>
      <c r="AD61" s="44"/>
      <c r="AE61" s="9"/>
      <c r="AG61" s="142"/>
      <c r="AH61" s="17"/>
    </row>
    <row r="62" spans="1:34" ht="15" x14ac:dyDescent="0.2">
      <c r="A62" s="188" t="s">
        <v>22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57">
        <f>AVERAGE(U13:U61)</f>
        <v>99.4448879315011</v>
      </c>
      <c r="V62" s="54"/>
      <c r="W62" s="45"/>
      <c r="X62" s="57">
        <f>AVERAGE(X13,X41,X44,X54)</f>
        <v>90.460289242448496</v>
      </c>
      <c r="Y62" s="55"/>
      <c r="Z62" s="45"/>
      <c r="AA62" s="45"/>
      <c r="AB62" s="45"/>
      <c r="AC62" s="55"/>
      <c r="AD62" s="46"/>
      <c r="AE62" s="9"/>
      <c r="AH62" s="113">
        <f>SUM(AH13:AH61)</f>
        <v>0</v>
      </c>
    </row>
    <row r="63" spans="1:34" ht="15" x14ac:dyDescent="0.2">
      <c r="A63" s="188" t="s">
        <v>23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22" t="str">
        <f>IF(U62&gt;=91,"Sangat Tinggi",IF(U62&gt;=76,"Tinggi",IF(U62&gt;=66,"Sedang",IF(U62&gt;=51,"Rendah",IF(U62&lt;=50,"Sangat Rendah")))))</f>
        <v>Sangat Tinggi</v>
      </c>
      <c r="V63" s="54"/>
      <c r="W63" s="48"/>
      <c r="X63" s="22" t="str">
        <f>IF(X62&gt;=91,"Sangat Tinggi",IF(X62&gt;=76,"Tinggi",IF(X62&gt;=66,"Sedang",IF(X62&gt;=51,"Rendah",IF(X62&lt;=50,"Sangat Rendah")))))</f>
        <v>Tinggi</v>
      </c>
      <c r="Y63" s="55"/>
      <c r="Z63" s="47"/>
      <c r="AA63" s="48"/>
      <c r="AB63" s="47"/>
      <c r="AC63" s="55"/>
      <c r="AD63" s="49"/>
      <c r="AE63" s="9"/>
    </row>
    <row r="64" spans="1:34" ht="15" x14ac:dyDescent="0.2">
      <c r="A64" s="190" t="s">
        <v>192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9"/>
    </row>
    <row r="65" spans="1:31" ht="15" x14ac:dyDescent="0.2">
      <c r="A65" s="190" t="s">
        <v>195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9"/>
    </row>
    <row r="66" spans="1:31" ht="15" x14ac:dyDescent="0.2">
      <c r="A66" s="190" t="s">
        <v>193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9"/>
    </row>
    <row r="67" spans="1:31" ht="15" x14ac:dyDescent="0.2">
      <c r="A67" s="190" t="s">
        <v>194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23"/>
    </row>
    <row r="68" spans="1:31" ht="15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138"/>
      <c r="W68" s="24"/>
      <c r="X68" s="24"/>
      <c r="Y68" s="138"/>
      <c r="Z68" s="24"/>
      <c r="AA68" s="24"/>
      <c r="AB68" s="24"/>
      <c r="AC68" s="138"/>
      <c r="AD68" s="24"/>
    </row>
    <row r="69" spans="1:31" ht="15" x14ac:dyDescent="0.2">
      <c r="A69" s="24"/>
      <c r="B69" s="24"/>
      <c r="C69" s="24"/>
      <c r="D69" s="24"/>
      <c r="E69" s="24"/>
      <c r="F69" s="24"/>
      <c r="G69" s="86"/>
      <c r="H69" s="24"/>
      <c r="I69" s="86"/>
      <c r="J69" s="24"/>
      <c r="K69" s="86"/>
      <c r="L69" s="24"/>
      <c r="M69" s="86"/>
      <c r="N69" s="24"/>
      <c r="O69" s="86"/>
      <c r="P69" s="24"/>
      <c r="Q69" s="86"/>
      <c r="R69" s="24"/>
      <c r="S69" s="86"/>
      <c r="T69" s="185" t="s">
        <v>49</v>
      </c>
      <c r="U69" s="185"/>
      <c r="V69" s="185"/>
      <c r="W69" s="185"/>
      <c r="X69" s="185"/>
      <c r="Y69" s="138"/>
      <c r="Z69" s="24"/>
      <c r="AA69" s="185"/>
      <c r="AB69" s="185"/>
      <c r="AC69" s="185"/>
      <c r="AD69" s="185"/>
      <c r="AE69" s="185"/>
    </row>
    <row r="70" spans="1:31" ht="15.75" x14ac:dyDescent="0.25">
      <c r="A70" s="2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86"/>
      <c r="T70" s="185" t="s">
        <v>198</v>
      </c>
      <c r="U70" s="185"/>
      <c r="V70" s="185"/>
      <c r="W70" s="185"/>
      <c r="X70" s="185"/>
      <c r="Y70" s="138"/>
      <c r="Z70" s="24"/>
      <c r="AA70" s="185"/>
      <c r="AB70" s="185"/>
      <c r="AC70" s="185"/>
      <c r="AD70" s="185"/>
      <c r="AE70" s="185"/>
    </row>
    <row r="71" spans="1:31" ht="15" x14ac:dyDescent="0.2">
      <c r="M71" s="113"/>
      <c r="O71" s="113"/>
      <c r="Q71" s="113"/>
      <c r="S71" s="113"/>
      <c r="T71" s="185" t="s">
        <v>51</v>
      </c>
      <c r="U71" s="185"/>
      <c r="V71" s="185"/>
      <c r="W71" s="185"/>
      <c r="X71" s="185"/>
      <c r="AA71" s="185"/>
      <c r="AB71" s="185"/>
      <c r="AC71" s="185"/>
      <c r="AD71" s="185"/>
      <c r="AE71" s="185"/>
    </row>
    <row r="72" spans="1:31" ht="15" x14ac:dyDescent="0.2">
      <c r="T72" s="185" t="s">
        <v>50</v>
      </c>
      <c r="U72" s="185"/>
      <c r="V72" s="185"/>
      <c r="W72" s="185"/>
      <c r="X72" s="185"/>
      <c r="AA72" s="233"/>
      <c r="AB72" s="185"/>
      <c r="AC72" s="185"/>
      <c r="AD72" s="185"/>
      <c r="AE72" s="185"/>
    </row>
    <row r="73" spans="1:31" ht="51" x14ac:dyDescent="0.2">
      <c r="A73" s="26" t="s">
        <v>24</v>
      </c>
      <c r="B73" s="26" t="s">
        <v>25</v>
      </c>
      <c r="C73" s="26" t="s">
        <v>26</v>
      </c>
      <c r="T73" s="24"/>
      <c r="U73" s="24"/>
      <c r="V73" s="138"/>
      <c r="W73" s="24"/>
      <c r="AA73" s="138"/>
      <c r="AB73" s="24"/>
      <c r="AC73" s="138"/>
      <c r="AD73" s="24"/>
    </row>
    <row r="74" spans="1:31" ht="25.5" x14ac:dyDescent="0.25">
      <c r="A74" s="27" t="s">
        <v>27</v>
      </c>
      <c r="B74" s="27" t="s">
        <v>28</v>
      </c>
      <c r="C74" s="27" t="s">
        <v>29</v>
      </c>
      <c r="T74" s="186" t="s">
        <v>52</v>
      </c>
      <c r="U74" s="186"/>
      <c r="V74" s="186"/>
      <c r="W74" s="186"/>
      <c r="X74" s="186"/>
      <c r="AA74" s="186"/>
      <c r="AB74" s="186"/>
      <c r="AC74" s="186"/>
      <c r="AD74" s="186"/>
      <c r="AE74" s="186"/>
    </row>
    <row r="75" spans="1:31" ht="25.5" x14ac:dyDescent="0.2">
      <c r="A75" s="27" t="s">
        <v>30</v>
      </c>
      <c r="B75" s="27" t="s">
        <v>31</v>
      </c>
      <c r="C75" s="27" t="s">
        <v>32</v>
      </c>
      <c r="T75" s="187" t="s">
        <v>53</v>
      </c>
      <c r="U75" s="187"/>
      <c r="V75" s="187"/>
      <c r="W75" s="187"/>
      <c r="X75" s="187"/>
      <c r="AA75" s="187"/>
      <c r="AB75" s="187"/>
      <c r="AC75" s="187"/>
      <c r="AD75" s="187"/>
      <c r="AE75" s="187"/>
    </row>
    <row r="76" spans="1:31" ht="25.5" x14ac:dyDescent="0.2">
      <c r="A76" s="27" t="s">
        <v>33</v>
      </c>
      <c r="B76" s="27" t="s">
        <v>34</v>
      </c>
      <c r="C76" s="27" t="s">
        <v>35</v>
      </c>
    </row>
    <row r="77" spans="1:31" ht="25.5" x14ac:dyDescent="0.2">
      <c r="A77" s="27" t="s">
        <v>36</v>
      </c>
      <c r="B77" s="27" t="s">
        <v>37</v>
      </c>
      <c r="C77" s="27" t="s">
        <v>38</v>
      </c>
    </row>
    <row r="78" spans="1:31" ht="25.5" x14ac:dyDescent="0.2">
      <c r="A78" s="27" t="s">
        <v>39</v>
      </c>
      <c r="B78" s="28" t="s">
        <v>40</v>
      </c>
      <c r="C78" s="27" t="s">
        <v>41</v>
      </c>
    </row>
  </sheetData>
  <mergeCells count="79">
    <mergeCell ref="T72:X72"/>
    <mergeCell ref="AA72:AE72"/>
    <mergeCell ref="T74:X74"/>
    <mergeCell ref="AA74:AE74"/>
    <mergeCell ref="T75:X75"/>
    <mergeCell ref="AA75:AE75"/>
    <mergeCell ref="T71:X71"/>
    <mergeCell ref="AA71:AE71"/>
    <mergeCell ref="Q44:Q45"/>
    <mergeCell ref="A62:T62"/>
    <mergeCell ref="A63:T63"/>
    <mergeCell ref="A64:AD64"/>
    <mergeCell ref="A65:AD65"/>
    <mergeCell ref="A66:AD66"/>
    <mergeCell ref="A67:AD67"/>
    <mergeCell ref="T69:X69"/>
    <mergeCell ref="AA69:AE69"/>
    <mergeCell ref="T70:X70"/>
    <mergeCell ref="AA70:AE70"/>
    <mergeCell ref="R11:R12"/>
    <mergeCell ref="S11:S12"/>
    <mergeCell ref="U11:V11"/>
    <mergeCell ref="X11:Y11"/>
    <mergeCell ref="AB11:AC11"/>
    <mergeCell ref="U12:V12"/>
    <mergeCell ref="X12:Y12"/>
    <mergeCell ref="AB12:AC12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N10:O10"/>
    <mergeCell ref="P10:Q10"/>
    <mergeCell ref="R10:S10"/>
    <mergeCell ref="T10:Y10"/>
    <mergeCell ref="Z10:AA10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6:AD6"/>
    <mergeCell ref="A1:AD1"/>
    <mergeCell ref="A2:AD2"/>
    <mergeCell ref="A3:AD3"/>
    <mergeCell ref="A4:AD4"/>
    <mergeCell ref="A5:AD5"/>
  </mergeCells>
  <printOptions horizontalCentered="1"/>
  <pageMargins left="0.23622047244094491" right="0.23622047244094491" top="3.937007874015748E-2" bottom="3.937007874015748E-2" header="0" footer="0"/>
  <pageSetup paperSize="5" scale="4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Dinas PMD Tri II</vt:lpstr>
      <vt:lpstr>Dinas PMD Tri III</vt:lpstr>
      <vt:lpstr>Dinas PMD Tri IV</vt:lpstr>
      <vt:lpstr>'Dinas PMD Tri II'!Print_Area</vt:lpstr>
      <vt:lpstr>'Dinas PMD Tri III'!Print_Area</vt:lpstr>
      <vt:lpstr>'Dinas PMD Tri IV'!Print_Area</vt:lpstr>
      <vt:lpstr>'Dinas PMD Tri II'!Print_Titles</vt:lpstr>
      <vt:lpstr>'Dinas PMD Tri III'!Print_Titles</vt:lpstr>
      <vt:lpstr>'Dinas PMD Tri IV'!Print_Titles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user</cp:lastModifiedBy>
  <cp:lastPrinted>2022-10-05T06:26:11Z</cp:lastPrinted>
  <dcterms:created xsi:type="dcterms:W3CDTF">2020-03-18T05:59:44Z</dcterms:created>
  <dcterms:modified xsi:type="dcterms:W3CDTF">2023-01-09T22:45:23Z</dcterms:modified>
</cp:coreProperties>
</file>