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PE\Downloads\Evalusi Renja TW IV 2022 Ori\"/>
    </mc:Choice>
  </mc:AlternateContent>
  <xr:revisionPtr revIDLastSave="0" documentId="13_ncr:1_{20605132-211F-4A27-9137-93522942714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isnakerkop,UKP" sheetId="1" r:id="rId1"/>
    <sheet name="TW 3" sheetId="2" r:id="rId2"/>
    <sheet name="TW 4" sheetId="3" r:id="rId3"/>
    <sheet name="Sheet1" sheetId="4" r:id="rId4"/>
  </sheets>
  <definedNames>
    <definedName name="_xlnm.Print_Area" localSheetId="0">'Disnakerkop,UKP'!$A$1:$AE$86</definedName>
    <definedName name="_xlnm.Print_Titles" localSheetId="0">'Disnakerkop,UKP'!$7:$12</definedName>
  </definedNames>
  <calcPr calcId="191029"/>
</workbook>
</file>

<file path=xl/calcChain.xml><?xml version="1.0" encoding="utf-8"?>
<calcChain xmlns="http://schemas.openxmlformats.org/spreadsheetml/2006/main">
  <c r="S16" i="3" l="1"/>
  <c r="S25" i="3"/>
  <c r="X68" i="3"/>
  <c r="W68" i="3"/>
  <c r="AA68" i="3" s="1"/>
  <c r="T68" i="3"/>
  <c r="U68" i="3" s="1"/>
  <c r="AA67" i="3"/>
  <c r="W67" i="3"/>
  <c r="X67" i="3" s="1"/>
  <c r="U67" i="3"/>
  <c r="T67" i="3"/>
  <c r="Z67" i="3" s="1"/>
  <c r="X66" i="3"/>
  <c r="W66" i="3"/>
  <c r="AA66" i="3" s="1"/>
  <c r="T66" i="3"/>
  <c r="U66" i="3" s="1"/>
  <c r="G66" i="3"/>
  <c r="G65" i="3" s="1"/>
  <c r="G64" i="3" s="1"/>
  <c r="E66" i="3"/>
  <c r="T65" i="3"/>
  <c r="U65" i="3" s="1"/>
  <c r="S65" i="3"/>
  <c r="S64" i="3" s="1"/>
  <c r="Q65" i="3"/>
  <c r="O65" i="3"/>
  <c r="M65" i="3"/>
  <c r="K65" i="3"/>
  <c r="K64" i="3" s="1"/>
  <c r="I65" i="3"/>
  <c r="T64" i="3"/>
  <c r="Z64" i="3" s="1"/>
  <c r="U64" i="3" s="1"/>
  <c r="Q64" i="3"/>
  <c r="O64" i="3"/>
  <c r="M64" i="3"/>
  <c r="J64" i="3"/>
  <c r="I64" i="3"/>
  <c r="E64" i="3"/>
  <c r="W63" i="3"/>
  <c r="T63" i="3"/>
  <c r="Z63" i="3" s="1"/>
  <c r="G63" i="3"/>
  <c r="E63" i="3"/>
  <c r="E62" i="3" s="1"/>
  <c r="S62" i="3"/>
  <c r="S61" i="3" s="1"/>
  <c r="Q62" i="3"/>
  <c r="O62" i="3"/>
  <c r="M62" i="3"/>
  <c r="M61" i="3" s="1"/>
  <c r="L62" i="3"/>
  <c r="T62" i="3" s="1"/>
  <c r="Z62" i="3" s="1"/>
  <c r="K62" i="3"/>
  <c r="J62" i="3"/>
  <c r="I62" i="3"/>
  <c r="G62" i="3"/>
  <c r="G61" i="3" s="1"/>
  <c r="T61" i="3"/>
  <c r="Z61" i="3" s="1"/>
  <c r="Q61" i="3"/>
  <c r="O61" i="3"/>
  <c r="K61" i="3"/>
  <c r="J61" i="3"/>
  <c r="I61" i="3"/>
  <c r="E61" i="3"/>
  <c r="Z60" i="3"/>
  <c r="W60" i="3"/>
  <c r="X60" i="3" s="1"/>
  <c r="U60" i="3"/>
  <c r="T60" i="3"/>
  <c r="G60" i="3"/>
  <c r="E60" i="3"/>
  <c r="W59" i="3"/>
  <c r="AA59" i="3" s="1"/>
  <c r="T59" i="3"/>
  <c r="W58" i="3"/>
  <c r="X58" i="3" s="1"/>
  <c r="T58" i="3"/>
  <c r="G58" i="3"/>
  <c r="E58" i="3"/>
  <c r="T57" i="3"/>
  <c r="Z57" i="3" s="1"/>
  <c r="S57" i="3"/>
  <c r="S56" i="3" s="1"/>
  <c r="W56" i="3" s="1"/>
  <c r="Q57" i="3"/>
  <c r="O57" i="3"/>
  <c r="M57" i="3"/>
  <c r="K57" i="3"/>
  <c r="K56" i="3" s="1"/>
  <c r="J57" i="3"/>
  <c r="I57" i="3"/>
  <c r="G57" i="3"/>
  <c r="G56" i="3" s="1"/>
  <c r="E57" i="3"/>
  <c r="Q56" i="3"/>
  <c r="O56" i="3"/>
  <c r="M56" i="3"/>
  <c r="L56" i="3"/>
  <c r="T56" i="3" s="1"/>
  <c r="Z56" i="3" s="1"/>
  <c r="U56" i="3" s="1"/>
  <c r="J56" i="3"/>
  <c r="I56" i="3"/>
  <c r="E56" i="3"/>
  <c r="Z55" i="3"/>
  <c r="W55" i="3"/>
  <c r="AA55" i="3" s="1"/>
  <c r="T55" i="3"/>
  <c r="U55" i="3" s="1"/>
  <c r="G55" i="3"/>
  <c r="E55" i="3"/>
  <c r="S54" i="3"/>
  <c r="S53" i="3" s="1"/>
  <c r="Q54" i="3"/>
  <c r="O54" i="3"/>
  <c r="M54" i="3"/>
  <c r="L54" i="3"/>
  <c r="T54" i="3" s="1"/>
  <c r="Z54" i="3" s="1"/>
  <c r="U54" i="3" s="1"/>
  <c r="K54" i="3"/>
  <c r="J54" i="3"/>
  <c r="I54" i="3"/>
  <c r="G54" i="3"/>
  <c r="T53" i="3"/>
  <c r="Z53" i="3" s="1"/>
  <c r="U53" i="3" s="1"/>
  <c r="Q53" i="3"/>
  <c r="O53" i="3"/>
  <c r="M53" i="3"/>
  <c r="K53" i="3"/>
  <c r="J53" i="3"/>
  <c r="I53" i="3"/>
  <c r="G53" i="3"/>
  <c r="E53" i="3"/>
  <c r="W52" i="3"/>
  <c r="AA52" i="3" s="1"/>
  <c r="U52" i="3"/>
  <c r="T52" i="3"/>
  <c r="Z52" i="3" s="1"/>
  <c r="G52" i="3"/>
  <c r="T51" i="3"/>
  <c r="S51" i="3"/>
  <c r="S50" i="3" s="1"/>
  <c r="Q51" i="3"/>
  <c r="O51" i="3"/>
  <c r="M51" i="3"/>
  <c r="M50" i="3" s="1"/>
  <c r="L51" i="3"/>
  <c r="K51" i="3"/>
  <c r="J51" i="3"/>
  <c r="I51" i="3"/>
  <c r="G51" i="3"/>
  <c r="E51" i="3"/>
  <c r="W50" i="3"/>
  <c r="X50" i="3" s="1"/>
  <c r="T50" i="3"/>
  <c r="Z50" i="3" s="1"/>
  <c r="Q50" i="3"/>
  <c r="O50" i="3"/>
  <c r="K50" i="3"/>
  <c r="J50" i="3"/>
  <c r="I50" i="3"/>
  <c r="G50" i="3"/>
  <c r="E50" i="3"/>
  <c r="Z49" i="3"/>
  <c r="W49" i="3"/>
  <c r="X49" i="3" s="1"/>
  <c r="T49" i="3"/>
  <c r="U49" i="3" s="1"/>
  <c r="G49" i="3"/>
  <c r="E49" i="3"/>
  <c r="T48" i="3"/>
  <c r="U48" i="3" s="1"/>
  <c r="M48" i="3"/>
  <c r="K48" i="3"/>
  <c r="J48" i="3"/>
  <c r="I48" i="3"/>
  <c r="I47" i="3" s="1"/>
  <c r="G48" i="3"/>
  <c r="G47" i="3" s="1"/>
  <c r="E48" i="3"/>
  <c r="T47" i="3"/>
  <c r="K47" i="3"/>
  <c r="J47" i="3"/>
  <c r="E47" i="3"/>
  <c r="Z46" i="3"/>
  <c r="W46" i="3"/>
  <c r="X46" i="3" s="1"/>
  <c r="T46" i="3"/>
  <c r="U46" i="3" s="1"/>
  <c r="G46" i="3"/>
  <c r="G45" i="3" s="1"/>
  <c r="G44" i="3" s="1"/>
  <c r="E46" i="3"/>
  <c r="T45" i="3"/>
  <c r="Z45" i="3" s="1"/>
  <c r="S45" i="3"/>
  <c r="S44" i="3" s="1"/>
  <c r="Q45" i="3"/>
  <c r="Q44" i="3" s="1"/>
  <c r="O45" i="3"/>
  <c r="M45" i="3"/>
  <c r="K45" i="3"/>
  <c r="K44" i="3" s="1"/>
  <c r="J45" i="3"/>
  <c r="I45" i="3"/>
  <c r="E45" i="3"/>
  <c r="O44" i="3"/>
  <c r="M44" i="3"/>
  <c r="J44" i="3"/>
  <c r="I44" i="3"/>
  <c r="E44" i="3"/>
  <c r="AA43" i="3"/>
  <c r="X43" i="3"/>
  <c r="W43" i="3"/>
  <c r="T43" i="3"/>
  <c r="U43" i="3" s="1"/>
  <c r="G43" i="3"/>
  <c r="W42" i="3"/>
  <c r="X42" i="3" s="1"/>
  <c r="T42" i="3"/>
  <c r="Z42" i="3" s="1"/>
  <c r="G42" i="3"/>
  <c r="E42" i="3"/>
  <c r="T41" i="3"/>
  <c r="Z41" i="3" s="1"/>
  <c r="U41" i="3" s="1"/>
  <c r="S41" i="3"/>
  <c r="S40" i="3" s="1"/>
  <c r="Q41" i="3"/>
  <c r="Q40" i="3" s="1"/>
  <c r="O41" i="3"/>
  <c r="O40" i="3" s="1"/>
  <c r="M41" i="3"/>
  <c r="M40" i="3" s="1"/>
  <c r="K41" i="3"/>
  <c r="J41" i="3"/>
  <c r="G41" i="3"/>
  <c r="G40" i="3" s="1"/>
  <c r="E41" i="3"/>
  <c r="L40" i="3"/>
  <c r="K40" i="3"/>
  <c r="J40" i="3"/>
  <c r="E40" i="3"/>
  <c r="AA39" i="3"/>
  <c r="Z39" i="3"/>
  <c r="W38" i="3"/>
  <c r="X38" i="3" s="1"/>
  <c r="T38" i="3"/>
  <c r="Z38" i="3" s="1"/>
  <c r="W37" i="3"/>
  <c r="AA37" i="3" s="1"/>
  <c r="T37" i="3"/>
  <c r="Z37" i="3" s="1"/>
  <c r="T36" i="3"/>
  <c r="S36" i="3"/>
  <c r="Q36" i="3"/>
  <c r="O36" i="3"/>
  <c r="M36" i="3"/>
  <c r="K36" i="3"/>
  <c r="I36" i="3"/>
  <c r="G36" i="3"/>
  <c r="Z35" i="3"/>
  <c r="W35" i="3"/>
  <c r="AA35" i="3" s="1"/>
  <c r="U35" i="3"/>
  <c r="T35" i="3"/>
  <c r="Z34" i="3"/>
  <c r="W34" i="3"/>
  <c r="X34" i="3" s="1"/>
  <c r="U34" i="3"/>
  <c r="T34" i="3"/>
  <c r="Z33" i="3"/>
  <c r="U33" i="3"/>
  <c r="T33" i="3"/>
  <c r="S33" i="3"/>
  <c r="Q33" i="3"/>
  <c r="W33" i="3" s="1"/>
  <c r="AA33" i="3" s="1"/>
  <c r="O33" i="3"/>
  <c r="M33" i="3"/>
  <c r="K33" i="3"/>
  <c r="K16" i="3" s="1"/>
  <c r="I33" i="3"/>
  <c r="G33" i="3"/>
  <c r="W32" i="3"/>
  <c r="AA32" i="3" s="1"/>
  <c r="T32" i="3"/>
  <c r="Z32" i="3" s="1"/>
  <c r="T31" i="3"/>
  <c r="Z31" i="3" s="1"/>
  <c r="S31" i="3"/>
  <c r="Q31" i="3"/>
  <c r="O31" i="3"/>
  <c r="M31" i="3"/>
  <c r="K31" i="3"/>
  <c r="I31" i="3"/>
  <c r="G31" i="3"/>
  <c r="Z30" i="3"/>
  <c r="W30" i="3"/>
  <c r="X30" i="3" s="1"/>
  <c r="T30" i="3"/>
  <c r="U30" i="3" s="1"/>
  <c r="Z29" i="3"/>
  <c r="W29" i="3"/>
  <c r="AA29" i="3" s="1"/>
  <c r="T29" i="3"/>
  <c r="U29" i="3" s="1"/>
  <c r="W28" i="3"/>
  <c r="X28" i="3" s="1"/>
  <c r="T28" i="3"/>
  <c r="W27" i="3"/>
  <c r="AA27" i="3" s="1"/>
  <c r="T27" i="3"/>
  <c r="Z26" i="3"/>
  <c r="W26" i="3"/>
  <c r="X26" i="3" s="1"/>
  <c r="T26" i="3"/>
  <c r="U26" i="3" s="1"/>
  <c r="Z25" i="3"/>
  <c r="U25" i="3"/>
  <c r="T25" i="3"/>
  <c r="Q25" i="3"/>
  <c r="O25" i="3"/>
  <c r="M25" i="3"/>
  <c r="AH25" i="3" s="1"/>
  <c r="K25" i="3"/>
  <c r="I25" i="3"/>
  <c r="G25" i="3"/>
  <c r="E25" i="3"/>
  <c r="AH24" i="3"/>
  <c r="AA24" i="3"/>
  <c r="X24" i="3"/>
  <c r="W24" i="3"/>
  <c r="T24" i="3"/>
  <c r="E24" i="3"/>
  <c r="AH23" i="3"/>
  <c r="W23" i="3"/>
  <c r="U23" i="3"/>
  <c r="T23" i="3"/>
  <c r="Z23" i="3" s="1"/>
  <c r="E23" i="3"/>
  <c r="AH22" i="3"/>
  <c r="W22" i="3"/>
  <c r="T22" i="3"/>
  <c r="Z22" i="3" s="1"/>
  <c r="E22" i="3"/>
  <c r="E20" i="3" s="1"/>
  <c r="W21" i="3"/>
  <c r="AA21" i="3" s="1"/>
  <c r="U21" i="3"/>
  <c r="T21" i="3"/>
  <c r="Z21" i="3" s="1"/>
  <c r="E21" i="3"/>
  <c r="AA20" i="3"/>
  <c r="S20" i="3"/>
  <c r="Q20" i="3"/>
  <c r="P20" i="3"/>
  <c r="O20" i="3"/>
  <c r="N20" i="3"/>
  <c r="M20" i="3"/>
  <c r="W20" i="3" s="1"/>
  <c r="X20" i="3" s="1"/>
  <c r="L20" i="3"/>
  <c r="T20" i="3" s="1"/>
  <c r="K20" i="3"/>
  <c r="J20" i="3"/>
  <c r="I20" i="3"/>
  <c r="G20" i="3"/>
  <c r="AA19" i="3"/>
  <c r="Z19" i="3"/>
  <c r="E19" i="3"/>
  <c r="E17" i="3" s="1"/>
  <c r="X18" i="3"/>
  <c r="W18" i="3"/>
  <c r="AA18" i="3" s="1"/>
  <c r="T18" i="3"/>
  <c r="Z18" i="3" s="1"/>
  <c r="E18" i="3"/>
  <c r="AA17" i="3"/>
  <c r="S17" i="3"/>
  <c r="Q17" i="3"/>
  <c r="Q16" i="3" s="1"/>
  <c r="P17" i="3"/>
  <c r="O17" i="3"/>
  <c r="N17" i="3"/>
  <c r="M17" i="3"/>
  <c r="W17" i="3" s="1"/>
  <c r="X17" i="3" s="1"/>
  <c r="L17" i="3"/>
  <c r="T17" i="3" s="1"/>
  <c r="U17" i="3" s="1"/>
  <c r="K17" i="3"/>
  <c r="J17" i="3"/>
  <c r="I17" i="3"/>
  <c r="I16" i="3" s="1"/>
  <c r="G17" i="3"/>
  <c r="G16" i="3" s="1"/>
  <c r="Z16" i="3"/>
  <c r="U16" i="3"/>
  <c r="T16" i="3"/>
  <c r="M16" i="3"/>
  <c r="AA68" i="2"/>
  <c r="X68" i="2"/>
  <c r="W68" i="2"/>
  <c r="U68" i="2"/>
  <c r="T68" i="2"/>
  <c r="Z68" i="2" s="1"/>
  <c r="W67" i="2"/>
  <c r="AA67" i="2" s="1"/>
  <c r="U67" i="2"/>
  <c r="T67" i="2"/>
  <c r="Z67" i="2" s="1"/>
  <c r="AA66" i="2"/>
  <c r="X66" i="2"/>
  <c r="W66" i="2"/>
  <c r="T66" i="2"/>
  <c r="U66" i="2" s="1"/>
  <c r="G66" i="2"/>
  <c r="G65" i="2" s="1"/>
  <c r="G64" i="2" s="1"/>
  <c r="E66" i="2"/>
  <c r="Z65" i="2"/>
  <c r="U65" i="2"/>
  <c r="T65" i="2"/>
  <c r="Q65" i="2"/>
  <c r="O65" i="2"/>
  <c r="M65" i="2"/>
  <c r="K65" i="2"/>
  <c r="K64" i="2" s="1"/>
  <c r="I65" i="2"/>
  <c r="I64" i="2" s="1"/>
  <c r="Z64" i="2"/>
  <c r="U64" i="2" s="1"/>
  <c r="T64" i="2"/>
  <c r="Q64" i="2"/>
  <c r="O64" i="2"/>
  <c r="J64" i="2"/>
  <c r="E64" i="2"/>
  <c r="W63" i="2"/>
  <c r="AA63" i="2" s="1"/>
  <c r="U63" i="2"/>
  <c r="T63" i="2"/>
  <c r="Z63" i="2" s="1"/>
  <c r="G63" i="2"/>
  <c r="G62" i="2" s="1"/>
  <c r="E63" i="2"/>
  <c r="E62" i="2" s="1"/>
  <c r="Q62" i="2"/>
  <c r="Q61" i="2" s="1"/>
  <c r="O62" i="2"/>
  <c r="W62" i="2" s="1"/>
  <c r="X62" i="2" s="1"/>
  <c r="M62" i="2"/>
  <c r="L62" i="2"/>
  <c r="T62" i="2" s="1"/>
  <c r="K62" i="2"/>
  <c r="K61" i="2" s="1"/>
  <c r="J62" i="2"/>
  <c r="I62" i="2"/>
  <c r="U61" i="2"/>
  <c r="T61" i="2"/>
  <c r="Z61" i="2" s="1"/>
  <c r="M61" i="2"/>
  <c r="J61" i="2"/>
  <c r="I61" i="2"/>
  <c r="G61" i="2"/>
  <c r="E61" i="2"/>
  <c r="Z60" i="2"/>
  <c r="X60" i="2"/>
  <c r="W60" i="2"/>
  <c r="AA60" i="2" s="1"/>
  <c r="T60" i="2"/>
  <c r="U60" i="2" s="1"/>
  <c r="G60" i="2"/>
  <c r="G57" i="2" s="1"/>
  <c r="G56" i="2" s="1"/>
  <c r="E60" i="2"/>
  <c r="X59" i="2"/>
  <c r="W59" i="2"/>
  <c r="AA59" i="2" s="1"/>
  <c r="T59" i="2"/>
  <c r="U59" i="2" s="1"/>
  <c r="W58" i="2"/>
  <c r="X58" i="2" s="1"/>
  <c r="U58" i="2"/>
  <c r="T58" i="2"/>
  <c r="Z58" i="2" s="1"/>
  <c r="G58" i="2"/>
  <c r="E58" i="2"/>
  <c r="E57" i="2" s="1"/>
  <c r="U57" i="2"/>
  <c r="T57" i="2"/>
  <c r="Z57" i="2" s="1"/>
  <c r="Q57" i="2"/>
  <c r="O57" i="2"/>
  <c r="O56" i="2" s="1"/>
  <c r="M57" i="2"/>
  <c r="M56" i="2" s="1"/>
  <c r="K57" i="2"/>
  <c r="J57" i="2"/>
  <c r="I57" i="2"/>
  <c r="I56" i="2" s="1"/>
  <c r="Q56" i="2"/>
  <c r="L56" i="2"/>
  <c r="T56" i="2" s="1"/>
  <c r="Z56" i="2" s="1"/>
  <c r="U56" i="2" s="1"/>
  <c r="K56" i="2"/>
  <c r="J56" i="2"/>
  <c r="E56" i="2"/>
  <c r="X55" i="2"/>
  <c r="W55" i="2"/>
  <c r="AA55" i="2" s="1"/>
  <c r="U55" i="2"/>
  <c r="T55" i="2"/>
  <c r="Z55" i="2" s="1"/>
  <c r="G55" i="2"/>
  <c r="G54" i="2" s="1"/>
  <c r="G53" i="2" s="1"/>
  <c r="E55" i="2"/>
  <c r="Q54" i="2"/>
  <c r="O54" i="2"/>
  <c r="O53" i="2" s="1"/>
  <c r="M54" i="2"/>
  <c r="L54" i="2"/>
  <c r="T54" i="2" s="1"/>
  <c r="Z54" i="2" s="1"/>
  <c r="U54" i="2" s="1"/>
  <c r="K54" i="2"/>
  <c r="K53" i="2" s="1"/>
  <c r="J54" i="2"/>
  <c r="I54" i="2"/>
  <c r="Z53" i="2"/>
  <c r="U53" i="2" s="1"/>
  <c r="T53" i="2"/>
  <c r="M53" i="2"/>
  <c r="J53" i="2"/>
  <c r="E53" i="2"/>
  <c r="X52" i="2"/>
  <c r="W52" i="2"/>
  <c r="AA52" i="2" s="1"/>
  <c r="U52" i="2"/>
  <c r="T52" i="2"/>
  <c r="Z52" i="2" s="1"/>
  <c r="G52" i="2"/>
  <c r="G51" i="2" s="1"/>
  <c r="G50" i="2" s="1"/>
  <c r="Q51" i="2"/>
  <c r="O51" i="2"/>
  <c r="O50" i="2" s="1"/>
  <c r="M51" i="2"/>
  <c r="W51" i="2" s="1"/>
  <c r="L51" i="2"/>
  <c r="T51" i="2" s="1"/>
  <c r="Z51" i="2" s="1"/>
  <c r="K51" i="2"/>
  <c r="J51" i="2"/>
  <c r="J50" i="2" s="1"/>
  <c r="I51" i="2"/>
  <c r="I50" i="2" s="1"/>
  <c r="E51" i="2"/>
  <c r="AA50" i="2"/>
  <c r="T50" i="2"/>
  <c r="Z50" i="2" s="1"/>
  <c r="U50" i="2" s="1"/>
  <c r="Q50" i="2"/>
  <c r="M50" i="2"/>
  <c r="W50" i="2" s="1"/>
  <c r="X50" i="2" s="1"/>
  <c r="K50" i="2"/>
  <c r="E50" i="2"/>
  <c r="X49" i="2"/>
  <c r="W49" i="2"/>
  <c r="AA49" i="2" s="1"/>
  <c r="U49" i="2"/>
  <c r="T49" i="2"/>
  <c r="Z49" i="2" s="1"/>
  <c r="G49" i="2"/>
  <c r="G48" i="2" s="1"/>
  <c r="G47" i="2" s="1"/>
  <c r="E49" i="2"/>
  <c r="W48" i="2"/>
  <c r="T48" i="2"/>
  <c r="Z48" i="2" s="1"/>
  <c r="M48" i="2"/>
  <c r="K48" i="2"/>
  <c r="J48" i="2"/>
  <c r="U48" i="2" s="1"/>
  <c r="I48" i="2"/>
  <c r="E48" i="2"/>
  <c r="T47" i="2"/>
  <c r="Z47" i="2" s="1"/>
  <c r="M47" i="2"/>
  <c r="W47" i="2" s="1"/>
  <c r="AA47" i="2" s="1"/>
  <c r="K47" i="2"/>
  <c r="J47" i="2"/>
  <c r="U47" i="2" s="1"/>
  <c r="I47" i="2"/>
  <c r="E47" i="2"/>
  <c r="X46" i="2"/>
  <c r="W46" i="2"/>
  <c r="AA46" i="2" s="1"/>
  <c r="U46" i="2"/>
  <c r="T46" i="2"/>
  <c r="Z46" i="2" s="1"/>
  <c r="G46" i="2"/>
  <c r="G45" i="2" s="1"/>
  <c r="G44" i="2" s="1"/>
  <c r="E46" i="2"/>
  <c r="E45" i="2" s="1"/>
  <c r="W45" i="2"/>
  <c r="X45" i="2" s="1"/>
  <c r="T45" i="2"/>
  <c r="Z45" i="2" s="1"/>
  <c r="Q45" i="2"/>
  <c r="O45" i="2"/>
  <c r="O44" i="2" s="1"/>
  <c r="M45" i="2"/>
  <c r="K45" i="2"/>
  <c r="J45" i="2"/>
  <c r="U45" i="2" s="1"/>
  <c r="I45" i="2"/>
  <c r="T44" i="2"/>
  <c r="Z44" i="2" s="1"/>
  <c r="Q44" i="2"/>
  <c r="M44" i="2"/>
  <c r="K44" i="2"/>
  <c r="E44" i="2"/>
  <c r="Z43" i="2"/>
  <c r="X43" i="2"/>
  <c r="W43" i="2"/>
  <c r="AA43" i="2" s="1"/>
  <c r="T43" i="2"/>
  <c r="U43" i="2" s="1"/>
  <c r="G43" i="2"/>
  <c r="X42" i="2"/>
  <c r="W42" i="2"/>
  <c r="AA42" i="2" s="1"/>
  <c r="T42" i="2"/>
  <c r="U42" i="2" s="1"/>
  <c r="G42" i="2"/>
  <c r="G41" i="2" s="1"/>
  <c r="G40" i="2" s="1"/>
  <c r="E42" i="2"/>
  <c r="T41" i="2"/>
  <c r="Z41" i="2" s="1"/>
  <c r="Q41" i="2"/>
  <c r="Q40" i="2" s="1"/>
  <c r="O41" i="2"/>
  <c r="M41" i="2"/>
  <c r="K41" i="2"/>
  <c r="K40" i="2" s="1"/>
  <c r="J41" i="2"/>
  <c r="J40" i="2" s="1"/>
  <c r="J44" i="2" s="1"/>
  <c r="E41" i="2"/>
  <c r="T40" i="2"/>
  <c r="Z40" i="2" s="1"/>
  <c r="U40" i="2" s="1"/>
  <c r="M40" i="2"/>
  <c r="L40" i="2"/>
  <c r="L44" i="2" s="1"/>
  <c r="E40" i="2"/>
  <c r="AA39" i="2"/>
  <c r="Z39" i="2"/>
  <c r="AA38" i="2"/>
  <c r="Z38" i="2"/>
  <c r="X38" i="2"/>
  <c r="W38" i="2"/>
  <c r="T38" i="2"/>
  <c r="U38" i="2" s="1"/>
  <c r="W37" i="2"/>
  <c r="U37" i="2"/>
  <c r="T37" i="2"/>
  <c r="Z37" i="2" s="1"/>
  <c r="T36" i="2"/>
  <c r="U36" i="2" s="1"/>
  <c r="Q36" i="2"/>
  <c r="O36" i="2"/>
  <c r="M36" i="2"/>
  <c r="W36" i="2" s="1"/>
  <c r="K36" i="2"/>
  <c r="I36" i="2"/>
  <c r="G36" i="2"/>
  <c r="AA35" i="2"/>
  <c r="Z35" i="2"/>
  <c r="X35" i="2"/>
  <c r="W35" i="2"/>
  <c r="T35" i="2"/>
  <c r="U35" i="2" s="1"/>
  <c r="W34" i="2"/>
  <c r="U34" i="2"/>
  <c r="T34" i="2"/>
  <c r="Z34" i="2" s="1"/>
  <c r="T33" i="2"/>
  <c r="U33" i="2" s="1"/>
  <c r="Q33" i="2"/>
  <c r="O33" i="2"/>
  <c r="M33" i="2"/>
  <c r="W33" i="2" s="1"/>
  <c r="K33" i="2"/>
  <c r="I33" i="2"/>
  <c r="G33" i="2"/>
  <c r="AA32" i="2"/>
  <c r="Z32" i="2"/>
  <c r="X32" i="2"/>
  <c r="W32" i="2"/>
  <c r="T32" i="2"/>
  <c r="U32" i="2" s="1"/>
  <c r="W31" i="2"/>
  <c r="X31" i="2" s="1"/>
  <c r="T31" i="2"/>
  <c r="U31" i="2" s="1"/>
  <c r="Q31" i="2"/>
  <c r="O31" i="2"/>
  <c r="M31" i="2"/>
  <c r="K31" i="2"/>
  <c r="I31" i="2"/>
  <c r="AA31" i="2" s="1"/>
  <c r="G31" i="2"/>
  <c r="W30" i="2"/>
  <c r="T30" i="2"/>
  <c r="U30" i="2" s="1"/>
  <c r="AA29" i="2"/>
  <c r="W29" i="2"/>
  <c r="X29" i="2" s="1"/>
  <c r="T29" i="2"/>
  <c r="U29" i="2" s="1"/>
  <c r="W28" i="2"/>
  <c r="T28" i="2"/>
  <c r="U28" i="2" s="1"/>
  <c r="AA27" i="2"/>
  <c r="Z27" i="2"/>
  <c r="W27" i="2"/>
  <c r="X27" i="2" s="1"/>
  <c r="T27" i="2"/>
  <c r="U27" i="2" s="1"/>
  <c r="W26" i="2"/>
  <c r="T26" i="2"/>
  <c r="U26" i="2" s="1"/>
  <c r="U25" i="2"/>
  <c r="T25" i="2"/>
  <c r="Z25" i="2" s="1"/>
  <c r="Q25" i="2"/>
  <c r="O25" i="2"/>
  <c r="M25" i="2"/>
  <c r="K25" i="2"/>
  <c r="I25" i="2"/>
  <c r="G25" i="2"/>
  <c r="E25" i="2"/>
  <c r="AH24" i="2"/>
  <c r="AA24" i="2"/>
  <c r="X24" i="2"/>
  <c r="W24" i="2"/>
  <c r="T24" i="2"/>
  <c r="U24" i="2" s="1"/>
  <c r="E24" i="2"/>
  <c r="AH23" i="2"/>
  <c r="AA23" i="2"/>
  <c r="X23" i="2"/>
  <c r="W23" i="2"/>
  <c r="T23" i="2"/>
  <c r="U23" i="2" s="1"/>
  <c r="E23" i="2"/>
  <c r="AH22" i="2"/>
  <c r="AA22" i="2"/>
  <c r="X22" i="2"/>
  <c r="W22" i="2"/>
  <c r="T22" i="2"/>
  <c r="U22" i="2" s="1"/>
  <c r="E22" i="2"/>
  <c r="W21" i="2"/>
  <c r="T21" i="2"/>
  <c r="U21" i="2" s="1"/>
  <c r="E21" i="2"/>
  <c r="U20" i="2"/>
  <c r="Q20" i="2"/>
  <c r="P20" i="2"/>
  <c r="O20" i="2"/>
  <c r="W20" i="2" s="1"/>
  <c r="X20" i="2" s="1"/>
  <c r="N20" i="2"/>
  <c r="M20" i="2"/>
  <c r="L20" i="2"/>
  <c r="T20" i="2" s="1"/>
  <c r="Z20" i="2" s="1"/>
  <c r="K20" i="2"/>
  <c r="J20" i="2"/>
  <c r="I20" i="2"/>
  <c r="G20" i="2"/>
  <c r="E20" i="2"/>
  <c r="AA19" i="2"/>
  <c r="Z19" i="2"/>
  <c r="E19" i="2"/>
  <c r="AA18" i="2"/>
  <c r="W18" i="2"/>
  <c r="X18" i="2" s="1"/>
  <c r="U18" i="2"/>
  <c r="T18" i="2"/>
  <c r="Z18" i="2" s="1"/>
  <c r="E18" i="2"/>
  <c r="Q17" i="2"/>
  <c r="P17" i="2"/>
  <c r="O17" i="2"/>
  <c r="N17" i="2"/>
  <c r="T17" i="2" s="1"/>
  <c r="M17" i="2"/>
  <c r="W17" i="2" s="1"/>
  <c r="L17" i="2"/>
  <c r="K17" i="2"/>
  <c r="K16" i="2" s="1"/>
  <c r="J17" i="2"/>
  <c r="I17" i="2"/>
  <c r="G17" i="2"/>
  <c r="E17" i="2"/>
  <c r="T16" i="2"/>
  <c r="U16" i="2" s="1"/>
  <c r="Q16" i="2"/>
  <c r="I16" i="2"/>
  <c r="G16" i="2"/>
  <c r="W68" i="1"/>
  <c r="T68" i="1"/>
  <c r="U68" i="1" s="1"/>
  <c r="AA67" i="1"/>
  <c r="Z67" i="1"/>
  <c r="W67" i="1"/>
  <c r="X67" i="1" s="1"/>
  <c r="T67" i="1"/>
  <c r="U67" i="1" s="1"/>
  <c r="W66" i="1"/>
  <c r="T66" i="1"/>
  <c r="U66" i="1" s="1"/>
  <c r="G66" i="1"/>
  <c r="G65" i="1" s="1"/>
  <c r="G64" i="1" s="1"/>
  <c r="E66" i="1"/>
  <c r="W65" i="1"/>
  <c r="X65" i="1" s="1"/>
  <c r="T65" i="1"/>
  <c r="U65" i="1" s="1"/>
  <c r="M65" i="1"/>
  <c r="M64" i="1" s="1"/>
  <c r="W64" i="1" s="1"/>
  <c r="K65" i="1"/>
  <c r="K64" i="1" s="1"/>
  <c r="I65" i="1"/>
  <c r="AA65" i="1" s="1"/>
  <c r="Z64" i="1"/>
  <c r="U64" i="1" s="1"/>
  <c r="T64" i="1"/>
  <c r="J64" i="1"/>
  <c r="I64" i="1"/>
  <c r="AA64" i="1" s="1"/>
  <c r="E64" i="1"/>
  <c r="AA63" i="1"/>
  <c r="W63" i="1"/>
  <c r="X63" i="1" s="1"/>
  <c r="T63" i="1"/>
  <c r="U63" i="1" s="1"/>
  <c r="G63" i="1"/>
  <c r="E63" i="1"/>
  <c r="AA62" i="1"/>
  <c r="Z62" i="1"/>
  <c r="W62" i="1"/>
  <c r="X62" i="1" s="1"/>
  <c r="T62" i="1"/>
  <c r="M62" i="1"/>
  <c r="L62" i="1"/>
  <c r="K62" i="1"/>
  <c r="J62" i="1"/>
  <c r="I62" i="1"/>
  <c r="G62" i="1"/>
  <c r="E62" i="1"/>
  <c r="AA61" i="1"/>
  <c r="W61" i="1"/>
  <c r="X61" i="1" s="1"/>
  <c r="T61" i="1"/>
  <c r="Z61" i="1" s="1"/>
  <c r="M61" i="1"/>
  <c r="K61" i="1"/>
  <c r="J61" i="1"/>
  <c r="J56" i="1" s="1"/>
  <c r="I61" i="1"/>
  <c r="G61" i="1"/>
  <c r="E61" i="1"/>
  <c r="E56" i="1" s="1"/>
  <c r="AA60" i="1"/>
  <c r="W60" i="1"/>
  <c r="X60" i="1" s="1"/>
  <c r="U60" i="1"/>
  <c r="T60" i="1"/>
  <c r="Z60" i="1" s="1"/>
  <c r="G60" i="1"/>
  <c r="E60" i="1"/>
  <c r="AA59" i="1"/>
  <c r="W59" i="1"/>
  <c r="X59" i="1" s="1"/>
  <c r="U59" i="1"/>
  <c r="T59" i="1"/>
  <c r="Z59" i="1" s="1"/>
  <c r="X58" i="1"/>
  <c r="W58" i="1"/>
  <c r="AA58" i="1" s="1"/>
  <c r="T58" i="1"/>
  <c r="U58" i="1" s="1"/>
  <c r="G58" i="1"/>
  <c r="E58" i="1"/>
  <c r="X57" i="1"/>
  <c r="T57" i="1"/>
  <c r="U57" i="1" s="1"/>
  <c r="M57" i="1"/>
  <c r="W57" i="1" s="1"/>
  <c r="K57" i="1"/>
  <c r="J57" i="1"/>
  <c r="I57" i="1"/>
  <c r="AA57" i="1" s="1"/>
  <c r="G57" i="1"/>
  <c r="G56" i="1" s="1"/>
  <c r="E57" i="1"/>
  <c r="Z56" i="1"/>
  <c r="X56" i="1"/>
  <c r="T56" i="1"/>
  <c r="M56" i="1"/>
  <c r="W56" i="1" s="1"/>
  <c r="L56" i="1"/>
  <c r="K56" i="1"/>
  <c r="AA55" i="1"/>
  <c r="Z55" i="1"/>
  <c r="W55" i="1"/>
  <c r="X55" i="1" s="1"/>
  <c r="T55" i="1"/>
  <c r="U55" i="1" s="1"/>
  <c r="G55" i="1"/>
  <c r="E55" i="1"/>
  <c r="AA54" i="1"/>
  <c r="Z54" i="1"/>
  <c r="U54" i="1" s="1"/>
  <c r="W54" i="1"/>
  <c r="X54" i="1" s="1"/>
  <c r="T54" i="1"/>
  <c r="M54" i="1"/>
  <c r="L54" i="1"/>
  <c r="K54" i="1"/>
  <c r="K53" i="1" s="1"/>
  <c r="J54" i="1"/>
  <c r="I54" i="1"/>
  <c r="G54" i="1"/>
  <c r="Z53" i="1"/>
  <c r="W53" i="1"/>
  <c r="X53" i="1" s="1"/>
  <c r="U53" i="1"/>
  <c r="T53" i="1"/>
  <c r="M53" i="1"/>
  <c r="J53" i="1"/>
  <c r="I53" i="1"/>
  <c r="AA53" i="1" s="1"/>
  <c r="G53" i="1"/>
  <c r="E53" i="1"/>
  <c r="AA52" i="1"/>
  <c r="Z52" i="1"/>
  <c r="W52" i="1"/>
  <c r="X52" i="1" s="1"/>
  <c r="T52" i="1"/>
  <c r="U52" i="1" s="1"/>
  <c r="G52" i="1"/>
  <c r="T51" i="1"/>
  <c r="U51" i="1" s="1"/>
  <c r="M51" i="1"/>
  <c r="L51" i="1"/>
  <c r="K51" i="1"/>
  <c r="J51" i="1"/>
  <c r="I51" i="1"/>
  <c r="G51" i="1"/>
  <c r="E51" i="1"/>
  <c r="Z50" i="1"/>
  <c r="U50" i="1" s="1"/>
  <c r="T50" i="1"/>
  <c r="K50" i="1"/>
  <c r="J50" i="1"/>
  <c r="G50" i="1"/>
  <c r="E50" i="1"/>
  <c r="AA49" i="1"/>
  <c r="W49" i="1"/>
  <c r="X49" i="1" s="1"/>
  <c r="T49" i="1"/>
  <c r="Z49" i="1" s="1"/>
  <c r="G49" i="1"/>
  <c r="E49" i="1"/>
  <c r="Z48" i="1"/>
  <c r="W48" i="1"/>
  <c r="X48" i="1" s="1"/>
  <c r="T48" i="1"/>
  <c r="U48" i="1" s="1"/>
  <c r="M48" i="1"/>
  <c r="K48" i="1"/>
  <c r="J48" i="1"/>
  <c r="J47" i="1" s="1"/>
  <c r="I48" i="1"/>
  <c r="I47" i="1" s="1"/>
  <c r="AA47" i="1" s="1"/>
  <c r="G48" i="1"/>
  <c r="E48" i="1"/>
  <c r="Z47" i="1"/>
  <c r="W47" i="1"/>
  <c r="X47" i="1" s="1"/>
  <c r="T47" i="1"/>
  <c r="U47" i="1" s="1"/>
  <c r="M47" i="1"/>
  <c r="K47" i="1"/>
  <c r="G47" i="1"/>
  <c r="E47" i="1"/>
  <c r="Z46" i="1"/>
  <c r="W46" i="1"/>
  <c r="X46" i="1" s="1"/>
  <c r="U46" i="1"/>
  <c r="T46" i="1"/>
  <c r="G46" i="1"/>
  <c r="E46" i="1"/>
  <c r="E45" i="1" s="1"/>
  <c r="W45" i="1"/>
  <c r="T45" i="1"/>
  <c r="Z45" i="1" s="1"/>
  <c r="M45" i="1"/>
  <c r="K45" i="1"/>
  <c r="J45" i="1"/>
  <c r="I45" i="1"/>
  <c r="AA45" i="1" s="1"/>
  <c r="G45" i="1"/>
  <c r="M44" i="1"/>
  <c r="W44" i="1" s="1"/>
  <c r="X44" i="1" s="1"/>
  <c r="K44" i="1"/>
  <c r="I44" i="1"/>
  <c r="AA44" i="1" s="1"/>
  <c r="G44" i="1"/>
  <c r="E44" i="1"/>
  <c r="AA43" i="1"/>
  <c r="W43" i="1"/>
  <c r="X43" i="1" s="1"/>
  <c r="T43" i="1"/>
  <c r="U43" i="1" s="1"/>
  <c r="G43" i="1"/>
  <c r="E43" i="1"/>
  <c r="AA42" i="1"/>
  <c r="W42" i="1"/>
  <c r="X42" i="1" s="1"/>
  <c r="T42" i="1"/>
  <c r="U42" i="1" s="1"/>
  <c r="G42" i="1"/>
  <c r="E42" i="1"/>
  <c r="AA41" i="1"/>
  <c r="W41" i="1"/>
  <c r="X41" i="1" s="1"/>
  <c r="T41" i="1"/>
  <c r="Z41" i="1" s="1"/>
  <c r="U41" i="1" s="1"/>
  <c r="M41" i="1"/>
  <c r="K41" i="1"/>
  <c r="J41" i="1"/>
  <c r="G41" i="1"/>
  <c r="E41" i="1"/>
  <c r="T40" i="1"/>
  <c r="Z40" i="1" s="1"/>
  <c r="U40" i="1" s="1"/>
  <c r="M40" i="1"/>
  <c r="W40" i="1" s="1"/>
  <c r="L40" i="1"/>
  <c r="L44" i="1" s="1"/>
  <c r="T44" i="1" s="1"/>
  <c r="Z44" i="1" s="1"/>
  <c r="K40" i="1"/>
  <c r="J40" i="1"/>
  <c r="J44" i="1" s="1"/>
  <c r="G40" i="1"/>
  <c r="E40" i="1"/>
  <c r="AA39" i="1"/>
  <c r="Z39" i="1"/>
  <c r="E39" i="1"/>
  <c r="W38" i="1"/>
  <c r="AA38" i="1" s="1"/>
  <c r="T38" i="1"/>
  <c r="U38" i="1" s="1"/>
  <c r="AA37" i="1"/>
  <c r="W37" i="1"/>
  <c r="X37" i="1" s="1"/>
  <c r="T37" i="1"/>
  <c r="U37" i="1" s="1"/>
  <c r="E37" i="1"/>
  <c r="T36" i="1"/>
  <c r="U36" i="1" s="1"/>
  <c r="M36" i="1"/>
  <c r="W36" i="1" s="1"/>
  <c r="X36" i="1" s="1"/>
  <c r="K36" i="1"/>
  <c r="I36" i="1"/>
  <c r="AA36" i="1" s="1"/>
  <c r="G36" i="1"/>
  <c r="AA35" i="1"/>
  <c r="W35" i="1"/>
  <c r="X35" i="1" s="1"/>
  <c r="U35" i="1"/>
  <c r="T35" i="1"/>
  <c r="Z35" i="1" s="1"/>
  <c r="E35" i="1"/>
  <c r="AA34" i="1"/>
  <c r="W34" i="1"/>
  <c r="X34" i="1" s="1"/>
  <c r="T34" i="1"/>
  <c r="Z34" i="1" s="1"/>
  <c r="E34" i="1"/>
  <c r="T33" i="1"/>
  <c r="U33" i="1" s="1"/>
  <c r="M33" i="1"/>
  <c r="W33" i="1" s="1"/>
  <c r="X33" i="1" s="1"/>
  <c r="K33" i="1"/>
  <c r="I33" i="1"/>
  <c r="G33" i="1"/>
  <c r="AA32" i="1"/>
  <c r="W32" i="1"/>
  <c r="X32" i="1" s="1"/>
  <c r="U32" i="1"/>
  <c r="T32" i="1"/>
  <c r="Z32" i="1" s="1"/>
  <c r="E32" i="1"/>
  <c r="Z31" i="1"/>
  <c r="W31" i="1"/>
  <c r="X31" i="1" s="1"/>
  <c r="T31" i="1"/>
  <c r="U31" i="1" s="1"/>
  <c r="M31" i="1"/>
  <c r="K31" i="1"/>
  <c r="I31" i="1"/>
  <c r="AA31" i="1" s="1"/>
  <c r="G31" i="1"/>
  <c r="G16" i="1" s="1"/>
  <c r="W30" i="1"/>
  <c r="AA30" i="1" s="1"/>
  <c r="T30" i="1"/>
  <c r="U30" i="1" s="1"/>
  <c r="E30" i="1"/>
  <c r="AA29" i="1"/>
  <c r="W29" i="1"/>
  <c r="X29" i="1" s="1"/>
  <c r="U29" i="1"/>
  <c r="T29" i="1"/>
  <c r="Z29" i="1" s="1"/>
  <c r="E29" i="1"/>
  <c r="AA28" i="1"/>
  <c r="W28" i="1"/>
  <c r="X28" i="1" s="1"/>
  <c r="T28" i="1"/>
  <c r="U28" i="1" s="1"/>
  <c r="E28" i="1"/>
  <c r="AA27" i="1"/>
  <c r="X27" i="1"/>
  <c r="W27" i="1"/>
  <c r="T27" i="1"/>
  <c r="U27" i="1" s="1"/>
  <c r="E27" i="1"/>
  <c r="W26" i="1"/>
  <c r="AA26" i="1" s="1"/>
  <c r="T26" i="1"/>
  <c r="U26" i="1" s="1"/>
  <c r="E26" i="1"/>
  <c r="AH25" i="1"/>
  <c r="W25" i="1"/>
  <c r="X25" i="1" s="1"/>
  <c r="T25" i="1"/>
  <c r="U25" i="1" s="1"/>
  <c r="M25" i="1"/>
  <c r="K25" i="1"/>
  <c r="K16" i="1" s="1"/>
  <c r="I25" i="1"/>
  <c r="AA25" i="1" s="1"/>
  <c r="G25" i="1"/>
  <c r="E25" i="1"/>
  <c r="AH24" i="1"/>
  <c r="W24" i="1"/>
  <c r="AA24" i="1" s="1"/>
  <c r="T24" i="1"/>
  <c r="U24" i="1" s="1"/>
  <c r="E24" i="1"/>
  <c r="AH23" i="1"/>
  <c r="W23" i="1"/>
  <c r="AA23" i="1" s="1"/>
  <c r="T23" i="1"/>
  <c r="U23" i="1" s="1"/>
  <c r="E23" i="1"/>
  <c r="AH22" i="1"/>
  <c r="W22" i="1"/>
  <c r="AA22" i="1" s="1"/>
  <c r="T22" i="1"/>
  <c r="U22" i="1" s="1"/>
  <c r="E22" i="1"/>
  <c r="AA21" i="1"/>
  <c r="W21" i="1"/>
  <c r="X21" i="1" s="1"/>
  <c r="U21" i="1"/>
  <c r="T21" i="1"/>
  <c r="Z21" i="1" s="1"/>
  <c r="E21" i="1"/>
  <c r="AA20" i="1"/>
  <c r="W20" i="1"/>
  <c r="X20" i="1" s="1"/>
  <c r="T20" i="1"/>
  <c r="U20" i="1" s="1"/>
  <c r="M20" i="1"/>
  <c r="L20" i="1"/>
  <c r="K20" i="1"/>
  <c r="J20" i="1"/>
  <c r="I20" i="1"/>
  <c r="G20" i="1"/>
  <c r="E20" i="1"/>
  <c r="AA19" i="1"/>
  <c r="Z19" i="1"/>
  <c r="E19" i="1"/>
  <c r="AA18" i="1"/>
  <c r="W18" i="1"/>
  <c r="X18" i="1" s="1"/>
  <c r="T18" i="1"/>
  <c r="U18" i="1" s="1"/>
  <c r="E18" i="1"/>
  <c r="T17" i="1"/>
  <c r="U17" i="1" s="1"/>
  <c r="M17" i="1"/>
  <c r="W17" i="1" s="1"/>
  <c r="X17" i="1" s="1"/>
  <c r="L17" i="1"/>
  <c r="K17" i="1"/>
  <c r="J17" i="1"/>
  <c r="I17" i="1"/>
  <c r="AA17" i="1" s="1"/>
  <c r="G17" i="1"/>
  <c r="E17" i="1"/>
  <c r="U16" i="1"/>
  <c r="T16" i="1"/>
  <c r="Z16" i="1" s="1"/>
  <c r="I16" i="1"/>
  <c r="U44" i="1" l="1"/>
  <c r="AA33" i="1"/>
  <c r="AA40" i="1"/>
  <c r="X40" i="1"/>
  <c r="U17" i="2"/>
  <c r="Z17" i="2"/>
  <c r="Z18" i="1"/>
  <c r="Z37" i="1"/>
  <c r="Z43" i="1"/>
  <c r="W51" i="1"/>
  <c r="X51" i="1" s="1"/>
  <c r="M50" i="1"/>
  <c r="W50" i="1" s="1"/>
  <c r="X50" i="1" s="1"/>
  <c r="X51" i="2"/>
  <c r="AA51" i="2"/>
  <c r="Q53" i="2"/>
  <c r="W53" i="2" s="1"/>
  <c r="X53" i="2" s="1"/>
  <c r="W54" i="2"/>
  <c r="X54" i="2" s="1"/>
  <c r="U20" i="3"/>
  <c r="Z20" i="3"/>
  <c r="Z17" i="1"/>
  <c r="X23" i="1"/>
  <c r="X24" i="1"/>
  <c r="X30" i="1"/>
  <c r="Z33" i="1"/>
  <c r="X38" i="1"/>
  <c r="U45" i="1"/>
  <c r="AA48" i="1"/>
  <c r="U56" i="1"/>
  <c r="AA20" i="2"/>
  <c r="U41" i="2"/>
  <c r="U44" i="2"/>
  <c r="U69" i="2" s="1"/>
  <c r="U70" i="2" s="1"/>
  <c r="W65" i="2"/>
  <c r="M64" i="2"/>
  <c r="W64" i="2" s="1"/>
  <c r="U36" i="3"/>
  <c r="Z36" i="3"/>
  <c r="Z59" i="3"/>
  <c r="U59" i="3"/>
  <c r="W61" i="3"/>
  <c r="X61" i="3" s="1"/>
  <c r="Z20" i="1"/>
  <c r="Z28" i="1"/>
  <c r="X22" i="1"/>
  <c r="Z27" i="1"/>
  <c r="U34" i="1"/>
  <c r="U69" i="1" s="1"/>
  <c r="U70" i="1" s="1"/>
  <c r="Z36" i="1"/>
  <c r="AA66" i="1"/>
  <c r="X66" i="1"/>
  <c r="Z22" i="1"/>
  <c r="Z23" i="1"/>
  <c r="Z24" i="1"/>
  <c r="Z25" i="1"/>
  <c r="Z26" i="1"/>
  <c r="Z30" i="1"/>
  <c r="Z38" i="1"/>
  <c r="X45" i="1"/>
  <c r="I56" i="1"/>
  <c r="AA56" i="1" s="1"/>
  <c r="U62" i="1"/>
  <c r="Z63" i="1"/>
  <c r="X17" i="2"/>
  <c r="AA17" i="2"/>
  <c r="AA26" i="2"/>
  <c r="X26" i="2"/>
  <c r="AA30" i="2"/>
  <c r="X30" i="2"/>
  <c r="AA34" i="2"/>
  <c r="X34" i="2"/>
  <c r="AA37" i="2"/>
  <c r="X37" i="2"/>
  <c r="AA48" i="2"/>
  <c r="X48" i="2"/>
  <c r="Z24" i="3"/>
  <c r="U24" i="3"/>
  <c r="U28" i="3"/>
  <c r="Z28" i="3"/>
  <c r="W48" i="3"/>
  <c r="X48" i="3" s="1"/>
  <c r="M47" i="3"/>
  <c r="W47" i="3" s="1"/>
  <c r="X47" i="3" s="1"/>
  <c r="Z42" i="1"/>
  <c r="U61" i="1"/>
  <c r="AA21" i="2"/>
  <c r="X21" i="2"/>
  <c r="AA28" i="2"/>
  <c r="X28" i="2"/>
  <c r="X26" i="1"/>
  <c r="U49" i="1"/>
  <c r="M16" i="1"/>
  <c r="AA46" i="1"/>
  <c r="I50" i="1"/>
  <c r="AA50" i="1" s="1"/>
  <c r="Z51" i="1"/>
  <c r="X64" i="1"/>
  <c r="AA68" i="1"/>
  <c r="X68" i="1"/>
  <c r="O16" i="2"/>
  <c r="M16" i="2"/>
  <c r="AH25" i="2"/>
  <c r="W25" i="2"/>
  <c r="Z29" i="2"/>
  <c r="X33" i="2"/>
  <c r="AA33" i="2"/>
  <c r="Z33" i="2"/>
  <c r="X36" i="2"/>
  <c r="AA36" i="2"/>
  <c r="Z36" i="2"/>
  <c r="W41" i="2"/>
  <c r="X47" i="2"/>
  <c r="AA62" i="2"/>
  <c r="AA23" i="3"/>
  <c r="X23" i="3"/>
  <c r="Z57" i="1"/>
  <c r="Z58" i="1"/>
  <c r="Z22" i="2"/>
  <c r="Z23" i="2"/>
  <c r="Z24" i="2"/>
  <c r="Z42" i="2"/>
  <c r="AA45" i="2"/>
  <c r="U51" i="2"/>
  <c r="Z66" i="2"/>
  <c r="AA47" i="3"/>
  <c r="W53" i="3"/>
  <c r="AA61" i="3"/>
  <c r="AA63" i="3"/>
  <c r="X63" i="3"/>
  <c r="W65" i="3"/>
  <c r="X65" i="3" s="1"/>
  <c r="Z65" i="1"/>
  <c r="Z66" i="1"/>
  <c r="Z68" i="1"/>
  <c r="Z16" i="2"/>
  <c r="Z21" i="2"/>
  <c r="Z26" i="2"/>
  <c r="Z28" i="2"/>
  <c r="Z30" i="2"/>
  <c r="Z31" i="2"/>
  <c r="O40" i="2"/>
  <c r="W40" i="2" s="1"/>
  <c r="W44" i="2"/>
  <c r="X44" i="2" s="1"/>
  <c r="AA54" i="2"/>
  <c r="W56" i="2"/>
  <c r="X56" i="2" s="1"/>
  <c r="AA58" i="2"/>
  <c r="Z59" i="2"/>
  <c r="O61" i="2"/>
  <c r="W61" i="2" s="1"/>
  <c r="X63" i="2"/>
  <c r="X67" i="2"/>
  <c r="W16" i="3"/>
  <c r="AA16" i="3" s="1"/>
  <c r="U27" i="3"/>
  <c r="Z27" i="3"/>
  <c r="L44" i="3"/>
  <c r="T44" i="3" s="1"/>
  <c r="Z44" i="3" s="1"/>
  <c r="U44" i="3" s="1"/>
  <c r="T40" i="3"/>
  <c r="Z40" i="3" s="1"/>
  <c r="U40" i="3" s="1"/>
  <c r="W44" i="3"/>
  <c r="AA48" i="3"/>
  <c r="AA50" i="3"/>
  <c r="W54" i="3"/>
  <c r="AA54" i="3" s="1"/>
  <c r="Z58" i="3"/>
  <c r="U58" i="3"/>
  <c r="W64" i="3"/>
  <c r="X64" i="3" s="1"/>
  <c r="I44" i="2"/>
  <c r="AA44" i="2" s="1"/>
  <c r="AA56" i="2"/>
  <c r="W57" i="2"/>
  <c r="U62" i="2"/>
  <c r="Z62" i="2"/>
  <c r="AA22" i="3"/>
  <c r="X22" i="3"/>
  <c r="W45" i="3"/>
  <c r="X45" i="3" s="1"/>
  <c r="Z51" i="3"/>
  <c r="U51" i="3"/>
  <c r="AA65" i="3"/>
  <c r="Z65" i="3"/>
  <c r="Z66" i="3"/>
  <c r="Z68" i="3"/>
  <c r="I53" i="2"/>
  <c r="W62" i="3"/>
  <c r="W31" i="3"/>
  <c r="AA31" i="3" s="1"/>
  <c r="U47" i="3"/>
  <c r="U50" i="3"/>
  <c r="W51" i="3"/>
  <c r="U61" i="3"/>
  <c r="Z17" i="3"/>
  <c r="U18" i="3"/>
  <c r="U22" i="3"/>
  <c r="U32" i="3"/>
  <c r="Z47" i="3"/>
  <c r="Z48" i="3"/>
  <c r="U57" i="3"/>
  <c r="U31" i="3"/>
  <c r="U37" i="3"/>
  <c r="U38" i="3"/>
  <c r="U42" i="3"/>
  <c r="Z43" i="3"/>
  <c r="U45" i="3"/>
  <c r="U62" i="3"/>
  <c r="U63" i="3"/>
  <c r="W57" i="3"/>
  <c r="AA60" i="3"/>
  <c r="X59" i="3"/>
  <c r="AA56" i="3"/>
  <c r="X56" i="3"/>
  <c r="AA58" i="3"/>
  <c r="X53" i="3"/>
  <c r="AA53" i="3"/>
  <c r="X54" i="3"/>
  <c r="X55" i="3"/>
  <c r="AA51" i="3"/>
  <c r="X51" i="3"/>
  <c r="X52" i="3"/>
  <c r="AA49" i="3"/>
  <c r="AA44" i="3"/>
  <c r="X44" i="3"/>
  <c r="AA45" i="3"/>
  <c r="AA46" i="3"/>
  <c r="W36" i="3"/>
  <c r="X36" i="3" s="1"/>
  <c r="O16" i="3"/>
  <c r="W41" i="3"/>
  <c r="X41" i="3" s="1"/>
  <c r="W40" i="3"/>
  <c r="AA40" i="3" s="1"/>
  <c r="AA42" i="3"/>
  <c r="AA38" i="3"/>
  <c r="X37" i="3"/>
  <c r="X35" i="3"/>
  <c r="X33" i="3"/>
  <c r="AA34" i="3"/>
  <c r="X31" i="3"/>
  <c r="X32" i="3"/>
  <c r="AA30" i="3"/>
  <c r="X29" i="3"/>
  <c r="AA28" i="3"/>
  <c r="X27" i="3"/>
  <c r="AA26" i="3"/>
  <c r="W25" i="3"/>
  <c r="X21" i="3"/>
  <c r="X40" i="2" l="1"/>
  <c r="AA40" i="2"/>
  <c r="X61" i="2"/>
  <c r="AA61" i="2"/>
  <c r="X62" i="3"/>
  <c r="AA62" i="3"/>
  <c r="AH16" i="2"/>
  <c r="W16" i="2"/>
  <c r="W16" i="1"/>
  <c r="AH16" i="1"/>
  <c r="AA53" i="2"/>
  <c r="X57" i="2"/>
  <c r="AA57" i="2"/>
  <c r="AA51" i="1"/>
  <c r="X64" i="2"/>
  <c r="AA64" i="2"/>
  <c r="AA41" i="2"/>
  <c r="X41" i="2"/>
  <c r="X25" i="2"/>
  <c r="AA25" i="2"/>
  <c r="AA64" i="3"/>
  <c r="X65" i="2"/>
  <c r="AA65" i="2"/>
  <c r="U69" i="3"/>
  <c r="U70" i="3" s="1"/>
  <c r="X57" i="3"/>
  <c r="AA57" i="3"/>
  <c r="AA36" i="3"/>
  <c r="AA41" i="3"/>
  <c r="X40" i="3"/>
  <c r="AH16" i="3"/>
  <c r="X16" i="3"/>
  <c r="X69" i="3" s="1"/>
  <c r="X70" i="3" s="1"/>
  <c r="X25" i="3"/>
  <c r="AA25" i="3"/>
  <c r="X16" i="2" l="1"/>
  <c r="X69" i="2" s="1"/>
  <c r="X70" i="2" s="1"/>
  <c r="AA16" i="2"/>
  <c r="X16" i="1"/>
  <c r="X69" i="1" s="1"/>
  <c r="X70" i="1" s="1"/>
  <c r="AA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W10 PRO</author>
  </authors>
  <commentList>
    <comment ref="E42" authorId="0" shapeId="0" xr:uid="{00000000-0006-0000-0000-000001000000}">
      <text>
        <r>
          <rPr>
            <b/>
            <sz val="12"/>
            <rFont val="Tahoma"/>
            <charset val="134"/>
          </rPr>
          <t>2022 Pemagangan, Instalasi Listrik</t>
        </r>
      </text>
    </comment>
    <comment ref="J42" authorId="0" shapeId="0" xr:uid="{00000000-0006-0000-0000-000002000000}">
      <text>
        <r>
          <rPr>
            <b/>
            <sz val="12"/>
            <rFont val="Tahoma"/>
            <charset val="134"/>
          </rPr>
          <t>Pelatihan mobil bensin 20, Sepeda Motor 20, Menjahit 16, Dinamo Starter 10</t>
        </r>
      </text>
    </comment>
    <comment ref="N42" authorId="0" shapeId="0" xr:uid="{00000000-0006-0000-0000-000003000000}">
      <text>
        <r>
          <rPr>
            <b/>
            <sz val="12"/>
            <rFont val="Tahoma"/>
            <charset val="134"/>
          </rPr>
          <t>Pelatihan Mobil Bensin</t>
        </r>
      </text>
    </comment>
    <comment ref="J43" authorId="0" shapeId="0" xr:uid="{00000000-0006-0000-0000-000004000000}">
      <text>
        <r>
          <rPr>
            <b/>
            <sz val="12"/>
            <rFont val="Tahoma"/>
            <charset val="134"/>
          </rPr>
          <t>Pemagangan</t>
        </r>
      </text>
    </comment>
    <comment ref="J44" authorId="1" shapeId="0" xr:uid="{00000000-0006-0000-0000-000005000000}">
      <text>
        <r>
          <rPr>
            <b/>
            <sz val="12"/>
            <rFont val="Tahoma"/>
            <charset val="134"/>
          </rPr>
          <t>Jumlah lowongan kerja/jumlah pencari kerja terdaftarx100</t>
        </r>
      </text>
    </comment>
    <comment ref="J46" authorId="0" shapeId="0" xr:uid="{00000000-0006-0000-0000-000006000000}">
      <text>
        <r>
          <rPr>
            <b/>
            <sz val="12"/>
            <rFont val="Tahoma"/>
            <charset val="134"/>
          </rPr>
          <t>Tidak terealisasi dana dialihkan ke pelatihan dinamo starter</t>
        </r>
      </text>
    </comment>
    <comment ref="P49" authorId="0" shapeId="0" xr:uid="{00000000-0006-0000-0000-000007000000}">
      <text>
        <r>
          <rPr>
            <b/>
            <sz val="12"/>
            <rFont val="Tahoma"/>
            <charset val="134"/>
          </rPr>
          <t>tidak ada pengaduan kasus Hubungan Industrial</t>
        </r>
      </text>
    </comment>
    <comment ref="P53" authorId="0" shapeId="0" xr:uid="{00000000-0006-0000-0000-000008000000}">
      <text>
        <r>
          <rPr>
            <b/>
            <sz val="12"/>
            <rFont val="Tahoma"/>
            <charset val="134"/>
          </rPr>
          <t>Total Ijin Usaha 402</t>
        </r>
      </text>
    </comment>
    <comment ref="P55" authorId="0" shapeId="0" xr:uid="{00000000-0006-0000-0000-000009000000}">
      <text>
        <r>
          <rPr>
            <b/>
            <sz val="12"/>
            <rFont val="Tahoma"/>
            <charset val="134"/>
          </rPr>
          <t>DAK NON FISIK PROVINSI</t>
        </r>
      </text>
    </comment>
    <comment ref="P58" authorId="0" shapeId="0" xr:uid="{00000000-0006-0000-0000-00000A000000}">
      <text>
        <r>
          <rPr>
            <b/>
            <sz val="12"/>
            <rFont val="Tahoma"/>
            <charset val="134"/>
          </rPr>
          <t>Rencana Realisasi Bulan Ini menunggu Anggaran Perubahan</t>
        </r>
      </text>
    </comment>
    <comment ref="P59" authorId="0" shapeId="0" xr:uid="{00000000-0006-0000-0000-00000B000000}">
      <text>
        <r>
          <rPr>
            <b/>
            <sz val="12"/>
            <rFont val="Tahoma"/>
            <charset val="134"/>
          </rPr>
          <t>Rencana Realisasi Bulan Ini menunggu Anggaran Perubahan</t>
        </r>
      </text>
    </comment>
    <comment ref="H60" authorId="0" shapeId="0" xr:uid="{00000000-0006-0000-0000-00000C000000}">
      <text>
        <r>
          <rPr>
            <b/>
            <sz val="12"/>
            <rFont val="Tahoma"/>
            <charset val="134"/>
          </rPr>
          <t>Banjarmasin Sasirangan Festival</t>
        </r>
      </text>
    </comment>
    <comment ref="P60" authorId="0" shapeId="0" xr:uid="{00000000-0006-0000-0000-00000D000000}">
      <text>
        <r>
          <rPr>
            <b/>
            <sz val="12"/>
            <rFont val="Tahoma"/>
            <charset val="134"/>
          </rPr>
          <t>Rencana Realisasi Desember Kalsel Expo dan HSS Expo</t>
        </r>
      </text>
    </comment>
    <comment ref="N63" authorId="0" shapeId="0" xr:uid="{00000000-0006-0000-0000-00000E000000}">
      <text>
        <r>
          <rPr>
            <b/>
            <sz val="12"/>
            <rFont val="Tahoma"/>
            <charset val="134"/>
          </rPr>
          <t>P IRT</t>
        </r>
      </text>
    </comment>
    <comment ref="P63" authorId="0" shapeId="0" xr:uid="{00000000-0006-0000-0000-00000F000000}">
      <text>
        <r>
          <rPr>
            <b/>
            <sz val="12"/>
            <rFont val="Tahoma"/>
            <charset val="134"/>
          </rPr>
          <t>IUI 40, P IRT 40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W10 PRO</author>
  </authors>
  <commentList>
    <comment ref="E42" authorId="0" shapeId="0" xr:uid="{00000000-0006-0000-0100-000001000000}">
      <text>
        <r>
          <rPr>
            <b/>
            <sz val="12"/>
            <rFont val="Tahoma"/>
            <charset val="134"/>
          </rPr>
          <t>2022 Pemagangan, Instalasi Listrik</t>
        </r>
      </text>
    </comment>
    <comment ref="J42" authorId="0" shapeId="0" xr:uid="{00000000-0006-0000-0100-000002000000}">
      <text>
        <r>
          <rPr>
            <b/>
            <sz val="12"/>
            <rFont val="Tahoma"/>
            <charset val="134"/>
          </rPr>
          <t>Pelatihan mobil bensin 20, Sepeda Motor 20, Menjahit 16, Dinamo Starter 10</t>
        </r>
      </text>
    </comment>
    <comment ref="N42" authorId="0" shapeId="0" xr:uid="{00000000-0006-0000-0100-000003000000}">
      <text>
        <r>
          <rPr>
            <b/>
            <sz val="12"/>
            <rFont val="Tahoma"/>
            <charset val="134"/>
          </rPr>
          <t>Pelatihan Mobil Bensin</t>
        </r>
      </text>
    </comment>
    <comment ref="P42" authorId="0" shapeId="0" xr:uid="{00000000-0006-0000-0100-000004000000}">
      <text>
        <r>
          <rPr>
            <b/>
            <sz val="12"/>
            <rFont val="Tahoma"/>
            <charset val="134"/>
          </rPr>
          <t>Pelatihan Mobil Bensin</t>
        </r>
      </text>
    </comment>
    <comment ref="J43" authorId="0" shapeId="0" xr:uid="{00000000-0006-0000-0100-000005000000}">
      <text>
        <r>
          <rPr>
            <b/>
            <sz val="12"/>
            <rFont val="Tahoma"/>
            <charset val="134"/>
          </rPr>
          <t>Pemagangan</t>
        </r>
      </text>
    </comment>
    <comment ref="J44" authorId="1" shapeId="0" xr:uid="{00000000-0006-0000-0100-000006000000}">
      <text>
        <r>
          <rPr>
            <b/>
            <sz val="12"/>
            <rFont val="Tahoma"/>
            <charset val="134"/>
          </rPr>
          <t>Jumlah lowongan kerja/jumlah pencari kerja terdaftarx100</t>
        </r>
      </text>
    </comment>
    <comment ref="J46" authorId="0" shapeId="0" xr:uid="{00000000-0006-0000-0100-000007000000}">
      <text>
        <r>
          <rPr>
            <b/>
            <sz val="12"/>
            <rFont val="Tahoma"/>
            <charset val="134"/>
          </rPr>
          <t>Tidak terealisasi dana dialihkan ke pelatihan dinamo starter</t>
        </r>
      </text>
    </comment>
    <comment ref="H60" authorId="0" shapeId="0" xr:uid="{00000000-0006-0000-0100-000008000000}">
      <text>
        <r>
          <rPr>
            <b/>
            <sz val="12"/>
            <rFont val="Tahoma"/>
            <charset val="134"/>
          </rPr>
          <t>Banjarmasin Sasirangan Festival</t>
        </r>
      </text>
    </comment>
    <comment ref="N63" authorId="0" shapeId="0" xr:uid="{00000000-0006-0000-0100-000009000000}">
      <text>
        <r>
          <rPr>
            <b/>
            <sz val="12"/>
            <rFont val="Tahoma"/>
            <charset val="134"/>
          </rPr>
          <t>P IRT</t>
        </r>
      </text>
    </comment>
    <comment ref="P63" authorId="0" shapeId="0" xr:uid="{00000000-0006-0000-0100-00000A000000}">
      <text>
        <r>
          <rPr>
            <b/>
            <sz val="12"/>
            <rFont val="Tahoma"/>
            <charset val="134"/>
          </rPr>
          <t>P IRT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W10 PRO</author>
  </authors>
  <commentList>
    <comment ref="E42" authorId="0" shapeId="0" xr:uid="{00000000-0006-0000-0200-000001000000}">
      <text>
        <r>
          <rPr>
            <b/>
            <sz val="12"/>
            <rFont val="Tahoma"/>
            <charset val="134"/>
          </rPr>
          <t>2022 Pemagangan, Instalasi Listrik</t>
        </r>
      </text>
    </comment>
    <comment ref="J42" authorId="0" shapeId="0" xr:uid="{00000000-0006-0000-0200-000002000000}">
      <text>
        <r>
          <rPr>
            <b/>
            <sz val="12"/>
            <rFont val="Tahoma"/>
            <charset val="134"/>
          </rPr>
          <t>Pelatihan mobil bensin 20, Sepeda Motor 20, Menjahit 16, Dinamo Starter 10</t>
        </r>
      </text>
    </comment>
    <comment ref="N42" authorId="0" shapeId="0" xr:uid="{00000000-0006-0000-0200-000003000000}">
      <text>
        <r>
          <rPr>
            <b/>
            <sz val="12"/>
            <rFont val="Tahoma"/>
            <charset val="134"/>
          </rPr>
          <t>Pelatihan Mobil Bensin</t>
        </r>
      </text>
    </comment>
    <comment ref="P42" authorId="0" shapeId="0" xr:uid="{00000000-0006-0000-0200-000004000000}">
      <text>
        <r>
          <rPr>
            <b/>
            <sz val="12"/>
            <rFont val="Tahoma"/>
            <charset val="134"/>
          </rPr>
          <t>Pelatihan Mobil Bensin</t>
        </r>
      </text>
    </comment>
    <comment ref="R42" authorId="0" shapeId="0" xr:uid="{00000000-0006-0000-0200-000005000000}">
      <text>
        <r>
          <rPr>
            <b/>
            <sz val="12"/>
            <rFont val="Tahoma"/>
            <charset val="134"/>
          </rPr>
          <t>Pelatihan Mobil Bensin</t>
        </r>
      </text>
    </comment>
    <comment ref="J43" authorId="0" shapeId="0" xr:uid="{00000000-0006-0000-0200-000006000000}">
      <text>
        <r>
          <rPr>
            <b/>
            <sz val="12"/>
            <rFont val="Tahoma"/>
            <charset val="134"/>
          </rPr>
          <t>Pemagangan</t>
        </r>
      </text>
    </comment>
    <comment ref="J44" authorId="1" shapeId="0" xr:uid="{00000000-0006-0000-0200-000007000000}">
      <text>
        <r>
          <rPr>
            <b/>
            <sz val="12"/>
            <rFont val="Tahoma"/>
            <charset val="134"/>
          </rPr>
          <t>Jumlah lowongan kerja/jumlah pencari kerja terdaftarx100</t>
        </r>
      </text>
    </comment>
    <comment ref="J46" authorId="0" shapeId="0" xr:uid="{00000000-0006-0000-0200-000008000000}">
      <text>
        <r>
          <rPr>
            <b/>
            <sz val="12"/>
            <rFont val="Tahoma"/>
            <charset val="134"/>
          </rPr>
          <t>Tidak terealisasi dana dialihkan ke pelatihan dinamo starter</t>
        </r>
      </text>
    </comment>
    <comment ref="H60" authorId="0" shapeId="0" xr:uid="{00000000-0006-0000-0200-000009000000}">
      <text>
        <r>
          <rPr>
            <b/>
            <sz val="12"/>
            <rFont val="Tahoma"/>
            <charset val="134"/>
          </rPr>
          <t>Banjarmasin Sasirangan Festival</t>
        </r>
      </text>
    </comment>
    <comment ref="N63" authorId="0" shapeId="0" xr:uid="{00000000-0006-0000-0200-00000A000000}">
      <text>
        <r>
          <rPr>
            <b/>
            <sz val="12"/>
            <rFont val="Tahoma"/>
            <charset val="134"/>
          </rPr>
          <t>P IRT</t>
        </r>
      </text>
    </comment>
    <comment ref="P63" authorId="0" shapeId="0" xr:uid="{00000000-0006-0000-0200-00000B000000}">
      <text>
        <r>
          <rPr>
            <b/>
            <sz val="12"/>
            <rFont val="Tahoma"/>
            <charset val="134"/>
          </rPr>
          <t>P IRT</t>
        </r>
      </text>
    </comment>
    <comment ref="R63" authorId="0" shapeId="0" xr:uid="{00000000-0006-0000-0200-00000C000000}">
      <text>
        <r>
          <rPr>
            <b/>
            <sz val="12"/>
            <rFont val="Tahoma"/>
            <charset val="134"/>
          </rPr>
          <t>P IRT</t>
        </r>
      </text>
    </comment>
  </commentList>
</comments>
</file>

<file path=xl/sharedStrings.xml><?xml version="1.0" encoding="utf-8"?>
<sst xmlns="http://schemas.openxmlformats.org/spreadsheetml/2006/main" count="1243" uniqueCount="238">
  <si>
    <t>EVALUASI TERHADAP HASIL RENCANA KERJA PERANGKAT DAERAH LINGKUP KABUPATEN</t>
  </si>
  <si>
    <t>RENCANA KERJA PERANGKAT DAERAH</t>
  </si>
  <si>
    <t>DINAS TENAGA KERJA, KOPERASI, USAHA KECIL MENENGAH DAN PERINDUSTRIAN</t>
  </si>
  <si>
    <t>PERIODE PELAKSANAAN TRIWULAN I TAHUN 2022</t>
  </si>
  <si>
    <t>Indikator dan Target Kinerja Perangkat Daerah Kabupaten yang Mengacu Pada Sasaran RKPD Kabupaten</t>
  </si>
  <si>
    <t>No</t>
  </si>
  <si>
    <t>Sasaran</t>
  </si>
  <si>
    <t>Program/Kegiatan</t>
  </si>
  <si>
    <r>
      <rPr>
        <b/>
        <sz val="12"/>
        <color theme="1"/>
        <rFont val="Arial"/>
        <charset val="134"/>
      </rPr>
      <t>Indikator Kinerja Program (</t>
    </r>
    <r>
      <rPr>
        <b/>
        <i/>
        <sz val="12"/>
        <color theme="1"/>
        <rFont val="Arial"/>
        <charset val="134"/>
      </rPr>
      <t>Outcome</t>
    </r>
    <r>
      <rPr>
        <b/>
        <sz val="12"/>
        <color theme="1"/>
        <rFont val="Arial"/>
        <charset val="134"/>
      </rPr>
      <t>)/Kegiatan (</t>
    </r>
    <r>
      <rPr>
        <b/>
        <i/>
        <sz val="12"/>
        <color theme="1"/>
        <rFont val="Arial"/>
        <charset val="134"/>
      </rPr>
      <t>Output</t>
    </r>
    <r>
      <rPr>
        <b/>
        <sz val="12"/>
        <color theme="1"/>
        <rFont val="Arial"/>
        <charset val="134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</si>
  <si>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</si>
  <si>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</si>
  <si>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2021)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</si>
  <si>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</si>
  <si>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</si>
  <si>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</si>
  <si>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</si>
  <si>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</si>
  <si>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</si>
  <si>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</si>
  <si>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</si>
  <si>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</si>
  <si>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</si>
  <si>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</si>
  <si>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</si>
  <si>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</si>
  <si>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</si>
  <si>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</si>
  <si>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</si>
  <si>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</si>
  <si>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</si>
  <si>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</si>
  <si>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</si>
  <si>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</si>
  <si>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</si>
  <si>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</si>
  <si>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</si>
  <si>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</si>
  <si>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</si>
  <si>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</si>
  <si>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</si>
  <si>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</si>
  <si>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Program Penunjang Urusan Pemerintahan Daerah Kabupaten/Kota</t>
  </si>
  <si>
    <t>Tingkat kepuasan pelayanan</t>
  </si>
  <si>
    <t>%</t>
  </si>
  <si>
    <t>Dinas Tenaga Kerja, Koperasi, Usaha Kecil Menengah dan Perindustrian</t>
  </si>
  <si>
    <t>Meningkatnya Kinerja Keuangan dan Kinerja Birokrasi</t>
  </si>
  <si>
    <t>Perencanaan, Pengangnggaran dan Evaluasi Kinerja Perangkat Daerah</t>
  </si>
  <si>
    <t>Jumlah dokumen Perencanaan dan Evaluasi Kinerja yang berkualitas</t>
  </si>
  <si>
    <t>Dok</t>
  </si>
  <si>
    <t>Penyusunan Dokumen Perencanaan Perangkat Daerah</t>
  </si>
  <si>
    <t>Jumlah Dokumen Perencanaan Perangkat Daerah</t>
  </si>
  <si>
    <t>Evaluasi Kinerja Perangkat Daerah</t>
  </si>
  <si>
    <t>Jumlah Laporan Evaluasi Kinerja Perangkat Daerah</t>
  </si>
  <si>
    <t>Lap</t>
  </si>
  <si>
    <t>Administrasi Keuangan Perangkat Daerah</t>
  </si>
  <si>
    <t>Jumlah dokumen administrasi Keuangan sesuai standar</t>
  </si>
  <si>
    <t>Penyediaan Gaji dan Tunjangan ASN</t>
  </si>
  <si>
    <t>Jumlah Orang yang Menerima Gaji dan Tunjangan ASN</t>
  </si>
  <si>
    <t>Org</t>
  </si>
  <si>
    <t>Koordinasi dan Penyusunan Laporan Keuangan Akhir Tahun SKPD</t>
  </si>
  <si>
    <t>Jumlah Laporan Keuangan Akhir Tahun SKPD dan Laporan Hasil Koordinasi Penyusunan Laporan Keuangan Akhir Tahun SKPD</t>
  </si>
  <si>
    <t>Koordinasi dan Penyusunan Laporan Keuangan Bulanan/Triwulanan/Semesteran SKPD</t>
  </si>
  <si>
    <t>Jumlah Laporan Keuangan Bulanan/Triwulanan/Semesteran SKPD dan Laporan Koordinasi Penyusunan Laporan Keuangan Bulanan/Triwulanan/Semesteran SKPD</t>
  </si>
  <si>
    <t>Penyusunan Pelaporan dan Analisis Prognosis Realisasi Anggaran</t>
  </si>
  <si>
    <t>Jumlah Dokumen Pelaporan dan Analisis Prognosis Realisasi Anggaran</t>
  </si>
  <si>
    <t>Administrasi Umum Perangkat Daerah</t>
  </si>
  <si>
    <t>Jumlah dokumen administrasi umum sesuai standar</t>
  </si>
  <si>
    <t>Penyediaan Peralatan dan Perlengkapan Kantor</t>
  </si>
  <si>
    <t>Jumlah Paket Peralatan dan Perlengkapan Kantor yang Disediakan</t>
  </si>
  <si>
    <t>Paket</t>
  </si>
  <si>
    <t>Penyediaan Bahan Logistik Kantor</t>
  </si>
  <si>
    <t>Jumlah Paket Bahan Logistik Kantor yang Disediakan</t>
  </si>
  <si>
    <t>Penyediaan Barang Cetakan dan Penggandaan</t>
  </si>
  <si>
    <t>Jumlah Paket Barang Cetakan dan Penggandaan yang Disediakan</t>
  </si>
  <si>
    <t>Penyediaan Bahan Bacaan dan Peraturan Perundang‑undangan</t>
  </si>
  <si>
    <t>Jumlah Dokumen Bahan Bacaan dan Peraturan Perundang-Undangan yang Disediakan</t>
  </si>
  <si>
    <t>Penyelenggaraan Rapat Koordinasi dan Konsultasi SKPD</t>
  </si>
  <si>
    <t>Jumlah Laporan Penyelenggaraan Rapat Koordinasi dan Konsultasi SKPD</t>
  </si>
  <si>
    <t xml:space="preserve">Pengadaan Barang Milik Daerah Penunjang Urusan Pemerintah Daerah </t>
  </si>
  <si>
    <t>Tingkat Pelayanan Adminstrasi Umum sesuai Standar</t>
  </si>
  <si>
    <t>Pengadaan Sarana dan Prasarana Gedung Kantor atau Bangunan Lainnya</t>
  </si>
  <si>
    <t>Jumlah Unit Sarana dan Prasarana Gedung Kantor atau Bangunan Lainnya yang Disediakan</t>
  </si>
  <si>
    <t>Unit</t>
  </si>
  <si>
    <t>Penyediaan Jasa Penunjang Urusan Pemerintahan Daerah</t>
  </si>
  <si>
    <t>Penyediaan Jasa Komunikasi, Sumber Daya Air dan Listrik</t>
  </si>
  <si>
    <t>Jumlah Laporan Penyediaan Jasa Surat Menyurat</t>
  </si>
  <si>
    <t>Penyediaan Jasa Pelayanan Umum Kantor</t>
  </si>
  <si>
    <t>Jumlah Laporan Penyediaan Jasa Komunikasi, Sumber Daya Air dan Listrik yang Disediakan</t>
  </si>
  <si>
    <t>Pemeliharaan Barang Milik Daerah Penunjang Urusan Pemerintahan Daerah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</si>
  <si>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</si>
  <si>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</si>
  <si>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Pemeliharaan/Rehabilitasi Gedung Kantor dan Bangunan Lainnya</t>
  </si>
  <si>
    <t>Jumlah Gedung Kantor dan Bangunan Lainnya yang Dipelihara/Direhabilitasi</t>
  </si>
  <si>
    <t>Pemeliharaan/Rehabilitasi Sarana dan Prasarana Gedung Kantor atau Bangunan Lainnya</t>
  </si>
  <si>
    <t>Jumlah Sarana dan Prasarana Gedung Kantor atau Bangunan Lainnya yang Dipelihara/Direhabilitasi</t>
  </si>
  <si>
    <t>Program Pelatihan Kerja Dan Produktivitas Tenaga Kerja</t>
  </si>
  <si>
    <t>Persentase Tenaga Kerja Yang Kompeten</t>
  </si>
  <si>
    <t>Pelaksanaan Pelatihan berdasarkan Unit Kompetensi</t>
  </si>
  <si>
    <t>Persentase Tenaga Kerja Yang Mengikuti Pelatihan Berdasarkan Unit Kompetensi</t>
  </si>
  <si>
    <t>Proses Pelaksanaan Pendidikan dan Pelatihan Keterampilan bagi Pencari Kerja berdasarkan Klaster Kompetensi</t>
  </si>
  <si>
    <t>Jumlah Tenaga Kerja yang Mendapat Pelatihan Berbasis Kompetensi pada Tahun n</t>
  </si>
  <si>
    <t>Koordinasi Lintas Lembaga dan Kerja Sama dengan Sektor Swasta untuk Penyediaan Instruktur serta Sarana dan Prasarana Lembaga Pelatihan Kerja</t>
  </si>
  <si>
    <t>Jumlah Kesepakatan/Koordinasi dalam rangka Optimalisasi Kapasitas Instruktur dan Peningkatan Sarana Prasarana Pelatihan Vokasi dan Produktivitas pada Tahun n</t>
  </si>
  <si>
    <t>Lembaga</t>
  </si>
  <si>
    <t>Menurunnya Tingkat Pengangguran Terbuka</t>
  </si>
  <si>
    <t>Program Penempatan Tenaga Kerja</t>
  </si>
  <si>
    <t>Pelayanan Antarkerja di Daerah Kabupaten/Kota</t>
  </si>
  <si>
    <t>Jumlah Calon Tenaga Kerja Yang Terseleksi</t>
  </si>
  <si>
    <t xml:space="preserve">Penyediaan Sumber Daya Pelayanan antar Kerja </t>
  </si>
  <si>
    <t>Jumlah SDM Pelayanan antar Kerja yang Mendapatkan Pelatihan Melalui Bimtek dan lain-lain untuk Peningkatan Kompetensi</t>
  </si>
  <si>
    <t>Program Hubungan Industrial</t>
  </si>
  <si>
    <t>Persentase Kasus Yang Diselesaikan Melalui Perjanjian Bersama (PB)</t>
  </si>
  <si>
    <t>Pencegahan dan Penyelesaian Perselisihan Hubungan Industrial, Mogok Kerja dan Penutupan Perusahaan di Daerah Kabupaten/Kota</t>
  </si>
  <si>
    <t>Persentase Kasus yang diselesaikan melalui perjanjian bersama (PB)</t>
  </si>
  <si>
    <t>Penyelesaian Perselisihan Hubungan Industrial, Mogok Kerja, dan Penutupan Perusahaan yang Berakibat/Berdampak pada Kepentingan di 1 (satu) Daerah Kabupaten/Kota</t>
  </si>
  <si>
    <t>Jumlah Perkara Perselisihan yang Terselesaikan</t>
  </si>
  <si>
    <t>Perkara</t>
  </si>
  <si>
    <t>Program Pendidikan dan Latihan Perkoperasian</t>
  </si>
  <si>
    <t>Persentase Koperasi Aktif</t>
  </si>
  <si>
    <t>Pendidikan dan Latihan Perkoperasian bagi Koperasi yang Wilayah Keanggotaan dalam Daerah Kabupaten/Kota</t>
  </si>
  <si>
    <t>Jumlah Koperasi Aktif</t>
  </si>
  <si>
    <t>Koperasi</t>
  </si>
  <si>
    <t>Peningkatan Pemahaman dan Pengetahuan Perkoperasian serta Kapasitas dan Kompetensi SDM Koperasi</t>
  </si>
  <si>
    <t>Jumlah SDM yang Memahami Pengetahuan Perkoperasian</t>
  </si>
  <si>
    <t>Program Pengembangan UMKM</t>
  </si>
  <si>
    <t>Persentase SDM Usaha Kecil Menengah Yang Memiliki Ijin Usaha</t>
  </si>
  <si>
    <t>Pengembangan Usaha Mikro dengan Orientasi Peningkatan Skala Usaha menjadi Usaha Kecil</t>
  </si>
  <si>
    <t>Jumlah Wirausaha yang Terlatih</t>
  </si>
  <si>
    <t>UMKM</t>
  </si>
  <si>
    <t>Fasilitasi Usaha Mikro Menjadi Usaha Kecil dalam Pengembangan Produksi dan Pengolahan, Pemasaran, SDM, serta Desain dan Teknologi</t>
  </si>
  <si>
    <t>Jumlah Unit Usaha Mikro yang Terfasilitasi dalam Pengembangan Produksi dan Pengolahan, Pemasaran, SDM, serta Desain dan Teknologi</t>
  </si>
  <si>
    <t>Unit Usaha</t>
  </si>
  <si>
    <t>Program Perencanaan Dan Pembangunan Industri</t>
  </si>
  <si>
    <t>Persentase Produk Industri Yang Bersertifikasi Mutu</t>
  </si>
  <si>
    <t>Penyusunan dan Evaluasi Rencana Pembangunan Industri Kabupaten/Kota</t>
  </si>
  <si>
    <t>Jumlah Peserta Pelatihan Pembangunan Industri Yg Dilaksanakan</t>
  </si>
  <si>
    <t>Koordinasi, Sinkronisasi, dan Pelaksanaan Pembangunan Sumber Daya Industri</t>
  </si>
  <si>
    <t>Jumlah Dokumen Hasil Koordinasi, Sinkronisasi, dan Pelaksanaan Pembangunan Sumber Daya Industri</t>
  </si>
  <si>
    <t>Koordinasi, Sinkronisasi, dan Pelaksanaan Pembangunan Sarana dan Prasarana Industri</t>
  </si>
  <si>
    <t>Jumlah Dokumen Hasil Koordinasi, Sinkronisasi, dan Pelaksanaan Pembangunan Sarana dan Prasarana Industri</t>
  </si>
  <si>
    <t>Koordinasi, Sinkronisasi, dan Pelaksanaan Pemberdayaan Industri dan Peran Serta Masyarakat</t>
  </si>
  <si>
    <t>Jumlah Dokumen Hasil Koordinasi, Sinkronisasi, dan Pelaksanaan Pemberdayaan Industri dan Peran Serta Masyarakat</t>
  </si>
  <si>
    <t>Program Pengendalian Izin Usaha Industri Kabupaten/Kota</t>
  </si>
  <si>
    <t>Penerbitan Izin Usaha Industri (IUI), Izin Perluasan Usaha Industri (IPUI), Izin Usaha Kawasan Industri (IUKI) dan Izin Perluasan Kawasan Industri (IPKI) Kewenangan Kabupaten/Kota</t>
  </si>
  <si>
    <t>Jumlah Pemenuhan Sertifikasi Ikm Pangan</t>
  </si>
  <si>
    <t>IKM</t>
  </si>
  <si>
    <t>Fasilitasi Pemenuhan Komitmen Perolehan IUI, IPUI, IUKI dan IPKI Kewenangan Kabupaten/Kota dalam Sistem Informasi Industri Nasional (SIINas) yang Terintegrasi dengan Sistem Pelayanan Perizinan Berusaha Terintegrasi secara Elektronik</t>
  </si>
  <si>
    <t>Jumlah Dokumen Hasil Fasilitasi Verifikasi Teknis Pemenuhan Kesesuaian Persyaratan Teknis Perizinan Berusaha Sektor Industri dan/atau dalam rangka Perluasan Usaha untuk Bidang Usaha dengan Risiko Usaha Menengah-Tinggi dan Tinggi, Melalui SIINas yang Terintegrasi dengan Sistem OSS</t>
  </si>
  <si>
    <t>Program Pengelolaan Sistem Informasi Industri Nasional</t>
  </si>
  <si>
    <t>Penyediaan Informasi Industri untuk Informasi Industri untuk IUI, IPUI, IUKI dan IPKI Kewenangan Kabupaten/Kota</t>
  </si>
  <si>
    <t>Jumlah Informasi Industri Kecil Menengah yang terdokumentasi dengan baik</t>
  </si>
  <si>
    <t>Data</t>
  </si>
  <si>
    <t>Fasilitasi Pengumpulan, Pengolahan dan Analisis Data Industri, Data Kawasan Industri serta Data Lain Lingkup Kabupaten/Kota melalui Sistem Informasi Industri Nasional (SIINas)</t>
  </si>
  <si>
    <t>Jumlah Dokumen Hasil Fasilitasi Pengumpulan, Pengolahan dan Analisis Data Industri, Data Kawasan Industri serta Data Lain Lingkup Kabupaten/Kota melalui Sistem Informasi Industri Nasional (SIINas)</t>
  </si>
  <si>
    <t>Diseminasi, Publikasi Data Informasi dan Analisa Industri Kabupaten/Kota melalui SIINas</t>
  </si>
  <si>
    <t>Jumlah Dokumen Hasil Diseminasi dan Publikasi Data Informasi dan Analisis Industri Kabupaten/Kota Melalui SIINas</t>
  </si>
  <si>
    <t>Pemantauan dan Evaluasi Kepatuhan Perusahaan Industri dan Perusahaan Kawasan Industri Lingkup Kabupaten/Kota dalam Penyampaian Data ke SIINas</t>
  </si>
  <si>
    <t>Jumlah Dokumen Hasil Pemantauan dan Evaluasi Kepatuhan Perusahaan Industri dan Perusahaan Kawasan Industri Lingkup Kabupaten/Kota dalam Penyampaian Data ke SIINas</t>
  </si>
  <si>
    <t>Rata-rata Capaian Kinerja (%)</t>
  </si>
  <si>
    <t>Predikat Kinerja</t>
  </si>
  <si>
    <t xml:space="preserve">Faktor pendorong keberhasilan pencapaian: </t>
  </si>
  <si>
    <t>Faktor penghambat pencapaian kinerja: Jadwal pelaksanaan terkendala pada refocusing anggaran covid-19 dan keterlambatan pengesahan Dokumen Pelaksanaan Anggaran (DPA)</t>
  </si>
  <si>
    <t>Tindak lanjut yang diperlukan dalam triwulan berikutnya*): Mempercepat pelaksanaan program kegiatan setelah pengesahan DPA</t>
  </si>
  <si>
    <t>Tindak lanjut yang diperlukan dalam Renja Perangkat Daerah Kabupaten berikutnya*): Perubahan waktu pelaksanaan dipercepat.</t>
  </si>
  <si>
    <t>Disusun</t>
  </si>
  <si>
    <t>Kandangan,         April 2022</t>
  </si>
  <si>
    <t>Kepala Dinas Tenaga Kerja, Koperasi, UKMP</t>
  </si>
  <si>
    <t>Kabupaten Hulu Sungai Selatan</t>
  </si>
  <si>
    <t>No.</t>
  </si>
  <si>
    <t xml:space="preserve">INTERVAL NILAI REALISASI KINERJA </t>
  </si>
  <si>
    <t xml:space="preserve">KRITERIA PENILAIAN REALISASI KINERJA </t>
  </si>
  <si>
    <r>
      <rPr>
        <sz val="10"/>
        <color rgb="FF000000"/>
        <rFont val="Arial Narrow"/>
        <charset val="134"/>
      </rPr>
      <t>(1)</t>
    </r>
    <r>
      <rPr>
        <sz val="7"/>
        <color rgb="FF000000"/>
        <rFont val="Arial Narrow"/>
        <charset val="134"/>
      </rPr>
      <t xml:space="preserve">             </t>
    </r>
    <r>
      <rPr>
        <sz val="10"/>
        <color rgb="FF000000"/>
        <rFont val="Arial Narrow"/>
        <charset val="134"/>
      </rPr>
      <t> </t>
    </r>
  </si>
  <si>
    <r>
      <rPr>
        <sz val="10"/>
        <color rgb="FF000000"/>
        <rFont val="Arial Narrow"/>
        <charset val="134"/>
      </rPr>
      <t xml:space="preserve">91% </t>
    </r>
    <r>
      <rPr>
        <sz val="12"/>
        <color rgb="FF000000"/>
        <rFont val="Arial Narrow"/>
        <charset val="134"/>
      </rPr>
      <t>≤</t>
    </r>
    <r>
      <rPr>
        <sz val="10"/>
        <color rgb="FF000000"/>
        <rFont val="Arial Narrow"/>
        <charset val="134"/>
      </rPr>
      <t xml:space="preserve"> 100%</t>
    </r>
  </si>
  <si>
    <t>Sangat tinggi</t>
  </si>
  <si>
    <t>Drs. HENDRO MARTONO, MT</t>
  </si>
  <si>
    <r>
      <rPr>
        <sz val="10"/>
        <color rgb="FF000000"/>
        <rFont val="Arial Narrow"/>
        <charset val="134"/>
      </rPr>
      <t>(2)</t>
    </r>
    <r>
      <rPr>
        <sz val="7"/>
        <color rgb="FF000000"/>
        <rFont val="Arial Narrow"/>
        <charset val="134"/>
      </rPr>
      <t xml:space="preserve">             </t>
    </r>
    <r>
      <rPr>
        <sz val="10"/>
        <color rgb="FF000000"/>
        <rFont val="Arial Narrow"/>
        <charset val="134"/>
      </rPr>
      <t> </t>
    </r>
  </si>
  <si>
    <r>
      <rPr>
        <sz val="10"/>
        <color rgb="FF000000"/>
        <rFont val="Arial Narrow"/>
        <charset val="134"/>
      </rPr>
      <t xml:space="preserve">76% </t>
    </r>
    <r>
      <rPr>
        <sz val="12"/>
        <color rgb="FF000000"/>
        <rFont val="Arial Narrow"/>
        <charset val="134"/>
      </rPr>
      <t xml:space="preserve">≤ </t>
    </r>
    <r>
      <rPr>
        <sz val="10"/>
        <color rgb="FF000000"/>
        <rFont val="Arial Narrow"/>
        <charset val="134"/>
      </rPr>
      <t xml:space="preserve">90% </t>
    </r>
  </si>
  <si>
    <t>Tinggi</t>
  </si>
  <si>
    <t>NIP. 19730309 199402 1 002</t>
  </si>
  <si>
    <r>
      <rPr>
        <sz val="10"/>
        <color rgb="FF000000"/>
        <rFont val="Arial Narrow"/>
        <charset val="134"/>
      </rPr>
      <t>(3)</t>
    </r>
    <r>
      <rPr>
        <sz val="7"/>
        <color rgb="FF000000"/>
        <rFont val="Arial Narrow"/>
        <charset val="134"/>
      </rPr>
      <t xml:space="preserve">             </t>
    </r>
    <r>
      <rPr>
        <sz val="10"/>
        <color rgb="FF000000"/>
        <rFont val="Arial Narrow"/>
        <charset val="134"/>
      </rPr>
      <t> </t>
    </r>
  </si>
  <si>
    <r>
      <rPr>
        <sz val="10"/>
        <color rgb="FF000000"/>
        <rFont val="Arial Narrow"/>
        <charset val="134"/>
      </rPr>
      <t xml:space="preserve">66% </t>
    </r>
    <r>
      <rPr>
        <sz val="12"/>
        <color rgb="FF000000"/>
        <rFont val="Arial Narrow"/>
        <charset val="134"/>
      </rPr>
      <t xml:space="preserve">≤ </t>
    </r>
    <r>
      <rPr>
        <sz val="10"/>
        <color rgb="FF000000"/>
        <rFont val="Arial Narrow"/>
        <charset val="134"/>
      </rPr>
      <t>75%</t>
    </r>
  </si>
  <si>
    <t>Sedang</t>
  </si>
  <si>
    <r>
      <rPr>
        <sz val="10"/>
        <color rgb="FF000000"/>
        <rFont val="Arial Narrow"/>
        <charset val="134"/>
      </rPr>
      <t>(4)</t>
    </r>
    <r>
      <rPr>
        <sz val="7"/>
        <color rgb="FF000000"/>
        <rFont val="Arial Narrow"/>
        <charset val="134"/>
      </rPr>
      <t xml:space="preserve">             </t>
    </r>
    <r>
      <rPr>
        <sz val="10"/>
        <color rgb="FF000000"/>
        <rFont val="Arial Narrow"/>
        <charset val="134"/>
      </rPr>
      <t> </t>
    </r>
  </si>
  <si>
    <r>
      <rPr>
        <sz val="10"/>
        <color rgb="FF000000"/>
        <rFont val="Arial Narrow"/>
        <charset val="134"/>
      </rPr>
      <t xml:space="preserve">51% </t>
    </r>
    <r>
      <rPr>
        <sz val="12"/>
        <color rgb="FF000000"/>
        <rFont val="Arial Narrow"/>
        <charset val="134"/>
      </rPr>
      <t xml:space="preserve">≤ </t>
    </r>
    <r>
      <rPr>
        <sz val="10"/>
        <color rgb="FF000000"/>
        <rFont val="Arial Narrow"/>
        <charset val="134"/>
      </rPr>
      <t>65%</t>
    </r>
  </si>
  <si>
    <t>Rendah</t>
  </si>
  <si>
    <r>
      <rPr>
        <sz val="10"/>
        <color rgb="FF000000"/>
        <rFont val="Arial Narrow"/>
        <charset val="134"/>
      </rPr>
      <t>(5)</t>
    </r>
    <r>
      <rPr>
        <sz val="7"/>
        <color rgb="FF000000"/>
        <rFont val="Arial Narrow"/>
        <charset val="134"/>
      </rPr>
      <t xml:space="preserve">             </t>
    </r>
    <r>
      <rPr>
        <sz val="10"/>
        <color rgb="FF000000"/>
        <rFont val="Arial Narrow"/>
        <charset val="134"/>
      </rPr>
      <t> </t>
    </r>
  </si>
  <si>
    <r>
      <rPr>
        <sz val="12"/>
        <color rgb="FF000000"/>
        <rFont val="Arial Narrow"/>
        <charset val="134"/>
      </rPr>
      <t>≤</t>
    </r>
    <r>
      <rPr>
        <sz val="10"/>
        <color rgb="FF000000"/>
        <rFont val="Arial Narrow"/>
        <charset val="134"/>
      </rPr>
      <t xml:space="preserve"> 50%</t>
    </r>
  </si>
  <si>
    <t>Sangat Rendah</t>
  </si>
  <si>
    <t>PERIODE PELAKSANAAN TRIWULAN III TAHUN 2022</t>
  </si>
  <si>
    <t>Jumlah dokumen perencanaan Perangkat Daerah yang berkualitas</t>
  </si>
  <si>
    <t>Jumlah dokumen laporan AKIP yang berkualitas</t>
  </si>
  <si>
    <t>Jumlah laporan Gaji dan Tunjangan ASN</t>
  </si>
  <si>
    <t>Jumlah laporan keuangan akhir tahun</t>
  </si>
  <si>
    <t>-</t>
  </si>
  <si>
    <t>Jumlah laporan keuangan bulanan/semesteran/triwulan</t>
  </si>
  <si>
    <t>Jumlah laporan prognosis realisasi anggaran</t>
  </si>
  <si>
    <t>Persentase peralatan dan perlengkapan kantor sesuai kebutuhan kerja</t>
  </si>
  <si>
    <t>Persentase pemanfaatan bahan logistik kantor sesuai kebutuhan kerja</t>
  </si>
  <si>
    <t>Persentase barang cetakan dan penggandaan sesuai kebutuhan kerja</t>
  </si>
  <si>
    <t>Jumlah penyediaan bahan bacaan dan peraturan perundang-undangan sesuai kebutuhan</t>
  </si>
  <si>
    <t>Persentase pelayanan koordinasi dan konsultasi yang sesuai anggaran</t>
  </si>
  <si>
    <t>Jumlah pengadaan sarana dan prasarana gedung kantor atau bangunan lainnya sesuai kebutuhan</t>
  </si>
  <si>
    <t>Persentase fasilitasi komunikasi, sumber daya air dan listrik tersedia dengan baik</t>
  </si>
  <si>
    <t>Persentase tenaga jasa umum kantor bekerja dengan baik</t>
  </si>
  <si>
    <t>Persentase kendaraan operasional yang layak jalan dan berfungsi baik</t>
  </si>
  <si>
    <t>Persentase gedung kantor dalam kondisi baik</t>
  </si>
  <si>
    <t>Persentase Tenaga kerja bersertifikat kompetensi</t>
  </si>
  <si>
    <t xml:space="preserve"> Jumlah Tenaga Kerja yang mendapat pelatihan</t>
  </si>
  <si>
    <t>Jumlah Pencari Kerja Yang Dilatih berdasarkan klaster kompetensi</t>
  </si>
  <si>
    <t>Jumlah Pencari kerja  yang di ikutkan dalam pelatihan kerja</t>
  </si>
  <si>
    <t>orang/peserta magang</t>
  </si>
  <si>
    <t>Rasio lowongan (posisi) kerja per X ribu angkatan kerja</t>
  </si>
  <si>
    <t>2,01</t>
  </si>
  <si>
    <t>Jumlah tenaga kerja yang ditempatkan</t>
  </si>
  <si>
    <t>Jumlah penempatan calon peserta seleksi</t>
  </si>
  <si>
    <t>Persentase perselisihan pengusaha-pekerja yang diselesaikan</t>
  </si>
  <si>
    <t>Jumlah Kasus yang diselesaikan</t>
  </si>
  <si>
    <t>Kasus</t>
  </si>
  <si>
    <t>Persentase tingkat penyelesaian laporan tahunan</t>
  </si>
  <si>
    <t>Persentase tingkat keaktifan pengurus dan pengawas</t>
  </si>
  <si>
    <t>Jumlah Koperasi yang dibina</t>
  </si>
  <si>
    <t>Jumlah Wirausaha yang mengikuti Pelatihan</t>
  </si>
  <si>
    <t>Persentasi produk 
industri Yang Bersertifikasi Mutu</t>
  </si>
  <si>
    <t xml:space="preserve"> Jumlah industri pengolahan yang dilatih</t>
  </si>
  <si>
    <t>Jumlah peserta pelatihan kerajinan bambu/kayu</t>
  </si>
  <si>
    <t>Jumlah fasilitasi P-IRT dan Produk Halal IKM Pangan</t>
  </si>
  <si>
    <t>Jumlah Pameran yang diikuti</t>
  </si>
  <si>
    <t>Pameran</t>
  </si>
  <si>
    <t>Rasio industri pengolahan pangan yg mengikuti sertifikasi P-IRT / Jumlah industri pengolahan pangan x 100</t>
  </si>
  <si>
    <t>Jumlah  industri pengolahan yang dilatih</t>
  </si>
  <si>
    <t>Persentase pengelolaan Informasi Industri kecil menengah yang teradministrasi dengan baik</t>
  </si>
  <si>
    <t>Jumlah Peserta Sosialisasi yang mengikuti</t>
  </si>
  <si>
    <t>Jumlah Publikasi Data Informasi dan Analisis Industri</t>
  </si>
  <si>
    <t>Jumlah Pemantauan dan Evaluasi Industri Kecil Menengah</t>
  </si>
  <si>
    <t>Kandangan,         Oktober 2022</t>
  </si>
  <si>
    <t>PERIODE PELAKSANAAN TRIWULAN IV TAHUN 2022</t>
  </si>
  <si>
    <t>82.167.276</t>
  </si>
  <si>
    <t>21.554.865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</si>
</sst>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9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8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2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8"/>
      <color theme="1"/>
      <name val="Arial"/>
      <charset val="134"/>
    </font>
    <font>
      <sz val="10"/>
      <color rgb="FF000000"/>
      <name val="Arial Narrow"/>
      <charset val="134"/>
    </font>
    <font>
      <sz val="12"/>
      <color rgb="FF000000"/>
      <name val="Arial Narrow"/>
      <charset val="134"/>
    </font>
    <font>
      <b/>
      <u/>
      <sz val="12"/>
      <color theme="1"/>
      <name val="Arial"/>
      <charset val="134"/>
    </font>
    <font>
      <sz val="11"/>
      <color rgb="FF000000"/>
      <name val="Calibri"/>
      <charset val="134"/>
    </font>
    <font>
      <b/>
      <i/>
      <sz val="12"/>
      <color theme="1"/>
      <name val="Arial"/>
      <charset val="134"/>
    </font>
    <font>
      <sz val="7"/>
      <color rgb="FF000000"/>
      <name val="Arial Narrow"/>
      <charset val="134"/>
    </font>
    <font>
      <b/>
      <sz val="12"/>
      <name val="Tahoma"/>
      <charset val="134"/>
    </font>
    <font>
      <sz val="11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4" fillId="0" borderId="0"/>
  </cellStyleXfs>
  <cellXfs count="2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/>
    </xf>
    <xf numFmtId="166" fontId="5" fillId="0" borderId="2" xfId="1" applyNumberFormat="1" applyFont="1" applyFill="1" applyBorder="1" applyAlignment="1">
      <alignment vertical="top"/>
    </xf>
    <xf numFmtId="0" fontId="5" fillId="0" borderId="1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166" fontId="6" fillId="0" borderId="2" xfId="1" applyNumberFormat="1" applyFont="1" applyFill="1" applyBorder="1" applyAlignment="1">
      <alignment vertical="top"/>
    </xf>
    <xf numFmtId="0" fontId="6" fillId="4" borderId="2" xfId="0" applyFont="1" applyFill="1" applyBorder="1" applyAlignment="1">
      <alignment horizontal="left" vertical="top" wrapText="1"/>
    </xf>
    <xf numFmtId="1" fontId="5" fillId="0" borderId="15" xfId="0" applyNumberFormat="1" applyFont="1" applyBorder="1" applyAlignment="1">
      <alignment horizontal="center" vertical="top" wrapText="1"/>
    </xf>
    <xf numFmtId="9" fontId="5" fillId="0" borderId="15" xfId="0" applyNumberFormat="1" applyFont="1" applyBorder="1" applyAlignment="1">
      <alignment horizontal="center" vertical="top"/>
    </xf>
    <xf numFmtId="0" fontId="6" fillId="2" borderId="15" xfId="0" applyFont="1" applyFill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center" vertical="top" wrapText="1"/>
    </xf>
    <xf numFmtId="9" fontId="6" fillId="0" borderId="15" xfId="0" applyNumberFormat="1" applyFont="1" applyBorder="1" applyAlignment="1">
      <alignment horizontal="center" vertical="top"/>
    </xf>
    <xf numFmtId="164" fontId="6" fillId="0" borderId="2" xfId="2" applyFont="1" applyFill="1" applyBorder="1" applyAlignment="1">
      <alignment vertical="top"/>
    </xf>
    <xf numFmtId="164" fontId="5" fillId="0" borderId="0" xfId="2" applyFont="1" applyFill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9" fontId="6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3" fontId="5" fillId="0" borderId="2" xfId="1" applyNumberFormat="1" applyFont="1" applyFill="1" applyBorder="1" applyAlignment="1">
      <alignment horizontal="right" vertical="top"/>
    </xf>
    <xf numFmtId="0" fontId="5" fillId="0" borderId="15" xfId="0" applyFont="1" applyBorder="1" applyAlignment="1">
      <alignment horizontal="center" vertical="top"/>
    </xf>
    <xf numFmtId="164" fontId="8" fillId="0" borderId="2" xfId="2" applyFont="1" applyFill="1" applyBorder="1" applyAlignment="1">
      <alignment horizontal="right" vertical="top" wrapText="1"/>
    </xf>
    <xf numFmtId="164" fontId="8" fillId="0" borderId="0" xfId="2" applyFont="1" applyFill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right" vertical="top" wrapText="1"/>
    </xf>
    <xf numFmtId="164" fontId="5" fillId="0" borderId="2" xfId="2" applyFont="1" applyFill="1" applyBorder="1" applyAlignment="1">
      <alignment horizontal="right" vertical="top"/>
    </xf>
    <xf numFmtId="0" fontId="5" fillId="0" borderId="0" xfId="0" applyFont="1" applyAlignment="1">
      <alignment vertical="top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1" fontId="5" fillId="6" borderId="2" xfId="0" applyNumberFormat="1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166" fontId="6" fillId="7" borderId="2" xfId="1" applyNumberFormat="1" applyFont="1" applyFill="1" applyBorder="1" applyAlignment="1">
      <alignment vertical="top"/>
    </xf>
    <xf numFmtId="0" fontId="6" fillId="6" borderId="2" xfId="0" applyFont="1" applyFill="1" applyBorder="1" applyAlignment="1">
      <alignment horizontal="center" vertical="top" wrapText="1"/>
    </xf>
    <xf numFmtId="166" fontId="5" fillId="7" borderId="2" xfId="1" applyNumberFormat="1" applyFont="1" applyFill="1" applyBorder="1" applyAlignment="1">
      <alignment vertical="top"/>
    </xf>
    <xf numFmtId="1" fontId="5" fillId="6" borderId="15" xfId="0" applyNumberFormat="1" applyFont="1" applyFill="1" applyBorder="1" applyAlignment="1">
      <alignment horizontal="center" vertical="top" wrapText="1"/>
    </xf>
    <xf numFmtId="1" fontId="6" fillId="6" borderId="2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vertical="top" wrapText="1"/>
    </xf>
    <xf numFmtId="2" fontId="5" fillId="6" borderId="2" xfId="0" applyNumberFormat="1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top" wrapText="1"/>
    </xf>
    <xf numFmtId="3" fontId="5" fillId="7" borderId="2" xfId="1" applyNumberFormat="1" applyFont="1" applyFill="1" applyBorder="1" applyAlignment="1">
      <alignment horizontal="right" vertical="top"/>
    </xf>
    <xf numFmtId="166" fontId="5" fillId="0" borderId="2" xfId="1" applyNumberFormat="1" applyFont="1" applyFill="1" applyBorder="1" applyAlignment="1">
      <alignment horizontal="right" vertical="top"/>
    </xf>
    <xf numFmtId="3" fontId="6" fillId="7" borderId="2" xfId="1" applyNumberFormat="1" applyFont="1" applyFill="1" applyBorder="1" applyAlignment="1">
      <alignment horizontal="right" vertical="top"/>
    </xf>
    <xf numFmtId="164" fontId="8" fillId="7" borderId="2" xfId="2" applyFont="1" applyFill="1" applyBorder="1" applyAlignment="1">
      <alignment horizontal="right" vertical="top" wrapText="1"/>
    </xf>
    <xf numFmtId="164" fontId="8" fillId="7" borderId="0" xfId="2" applyFont="1" applyFill="1" applyBorder="1" applyAlignment="1">
      <alignment horizontal="right" vertical="top" wrapText="1"/>
    </xf>
    <xf numFmtId="3" fontId="9" fillId="7" borderId="2" xfId="0" applyNumberFormat="1" applyFont="1" applyFill="1" applyBorder="1" applyAlignment="1">
      <alignment horizontal="right" vertical="top" wrapText="1"/>
    </xf>
    <xf numFmtId="164" fontId="5" fillId="7" borderId="2" xfId="2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center" vertical="top" wrapText="1"/>
    </xf>
    <xf numFmtId="166" fontId="5" fillId="6" borderId="2" xfId="1" applyNumberFormat="1" applyFont="1" applyFill="1" applyBorder="1" applyAlignment="1">
      <alignment vertical="top"/>
    </xf>
    <xf numFmtId="1" fontId="5" fillId="8" borderId="2" xfId="0" applyNumberFormat="1" applyFont="1" applyFill="1" applyBorder="1" applyAlignment="1">
      <alignment horizontal="center" vertical="top" wrapText="1"/>
    </xf>
    <xf numFmtId="166" fontId="5" fillId="5" borderId="2" xfId="1" applyNumberFormat="1" applyFont="1" applyFill="1" applyBorder="1" applyAlignment="1">
      <alignment vertical="top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0" fontId="5" fillId="8" borderId="2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164" fontId="5" fillId="0" borderId="10" xfId="0" applyNumberFormat="1" applyFont="1" applyBorder="1" applyAlignment="1">
      <alignment vertical="top"/>
    </xf>
    <xf numFmtId="2" fontId="5" fillId="0" borderId="10" xfId="0" applyNumberFormat="1" applyFont="1" applyBorder="1" applyAlignment="1">
      <alignment horizontal="center" vertical="top"/>
    </xf>
    <xf numFmtId="166" fontId="6" fillId="6" borderId="2" xfId="1" applyNumberFormat="1" applyFont="1" applyFill="1" applyBorder="1" applyAlignment="1">
      <alignment vertical="top"/>
    </xf>
    <xf numFmtId="166" fontId="6" fillId="5" borderId="2" xfId="1" applyNumberFormat="1" applyFont="1" applyFill="1" applyBorder="1" applyAlignment="1">
      <alignment vertical="top"/>
    </xf>
    <xf numFmtId="1" fontId="6" fillId="0" borderId="2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" fontId="5" fillId="8" borderId="15" xfId="0" applyNumberFormat="1" applyFont="1" applyFill="1" applyBorder="1" applyAlignment="1">
      <alignment horizontal="center" vertical="top" wrapText="1"/>
    </xf>
    <xf numFmtId="1" fontId="6" fillId="8" borderId="2" xfId="0" applyNumberFormat="1" applyFont="1" applyFill="1" applyBorder="1" applyAlignment="1">
      <alignment horizontal="center" vertical="top" wrapText="1"/>
    </xf>
    <xf numFmtId="2" fontId="5" fillId="8" borderId="2" xfId="0" applyNumberFormat="1" applyFont="1" applyFill="1" applyBorder="1" applyAlignment="1">
      <alignment horizontal="center" vertical="top" wrapText="1"/>
    </xf>
    <xf numFmtId="164" fontId="8" fillId="6" borderId="2" xfId="2" applyFont="1" applyFill="1" applyBorder="1" applyAlignment="1">
      <alignment horizontal="right" vertical="top" wrapText="1"/>
    </xf>
    <xf numFmtId="164" fontId="8" fillId="5" borderId="2" xfId="2" applyFont="1" applyFill="1" applyBorder="1" applyAlignment="1">
      <alignment horizontal="right" vertical="top" wrapText="1"/>
    </xf>
    <xf numFmtId="164" fontId="8" fillId="6" borderId="0" xfId="2" applyFont="1" applyFill="1" applyBorder="1" applyAlignment="1">
      <alignment horizontal="right" vertical="top" wrapText="1"/>
    </xf>
    <xf numFmtId="164" fontId="8" fillId="5" borderId="0" xfId="2" applyFont="1" applyFill="1" applyBorder="1" applyAlignment="1">
      <alignment horizontal="right" vertical="top" wrapText="1"/>
    </xf>
    <xf numFmtId="164" fontId="5" fillId="6" borderId="2" xfId="2" applyFont="1" applyFill="1" applyBorder="1" applyAlignment="1">
      <alignment horizontal="right" vertical="top"/>
    </xf>
    <xf numFmtId="164" fontId="5" fillId="5" borderId="2" xfId="2" applyFont="1" applyFill="1" applyBorder="1" applyAlignment="1">
      <alignment horizontal="right" vertical="top"/>
    </xf>
    <xf numFmtId="0" fontId="10" fillId="0" borderId="0" xfId="0" applyFont="1"/>
    <xf numFmtId="0" fontId="3" fillId="0" borderId="0" xfId="0" applyFont="1"/>
    <xf numFmtId="0" fontId="5" fillId="3" borderId="15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0" borderId="14" xfId="0" applyFont="1" applyBorder="1"/>
    <xf numFmtId="164" fontId="5" fillId="0" borderId="2" xfId="0" applyNumberFormat="1" applyFont="1" applyBorder="1" applyAlignment="1">
      <alignment vertical="top"/>
    </xf>
    <xf numFmtId="0" fontId="5" fillId="0" borderId="14" xfId="0" applyFont="1" applyBorder="1" applyAlignment="1">
      <alignment horizontal="center" vertical="top" wrapText="1"/>
    </xf>
    <xf numFmtId="0" fontId="2" fillId="0" borderId="14" xfId="0" applyFont="1" applyBorder="1"/>
    <xf numFmtId="164" fontId="6" fillId="0" borderId="2" xfId="0" applyNumberFormat="1" applyFont="1" applyBorder="1" applyAlignment="1">
      <alignment vertical="top"/>
    </xf>
    <xf numFmtId="166" fontId="6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3" fontId="5" fillId="0" borderId="2" xfId="0" applyNumberFormat="1" applyFont="1" applyBorder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0" fontId="6" fillId="0" borderId="0" xfId="0" applyFont="1"/>
    <xf numFmtId="0" fontId="5" fillId="0" borderId="0" xfId="0" applyFont="1"/>
    <xf numFmtId="0" fontId="11" fillId="9" borderId="16" xfId="3" applyFont="1" applyFill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3" fontId="8" fillId="7" borderId="0" xfId="0" applyNumberFormat="1" applyFont="1" applyFill="1" applyAlignment="1">
      <alignment horizontal="right" vertical="top" wrapText="1"/>
    </xf>
    <xf numFmtId="166" fontId="8" fillId="0" borderId="0" xfId="0" applyNumberFormat="1" applyFont="1" applyAlignment="1">
      <alignment horizontal="right" vertical="top"/>
    </xf>
    <xf numFmtId="166" fontId="8" fillId="6" borderId="0" xfId="0" applyNumberFormat="1" applyFont="1" applyFill="1" applyAlignment="1">
      <alignment horizontal="right" vertical="top"/>
    </xf>
    <xf numFmtId="166" fontId="8" fillId="5" borderId="0" xfId="0" applyNumberFormat="1" applyFont="1" applyFill="1" applyAlignment="1">
      <alignment horizontal="right" vertical="top"/>
    </xf>
    <xf numFmtId="2" fontId="6" fillId="7" borderId="2" xfId="0" applyNumberFormat="1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/>
    </xf>
    <xf numFmtId="2" fontId="6" fillId="7" borderId="11" xfId="0" applyNumberFormat="1" applyFont="1" applyFill="1" applyBorder="1" applyAlignment="1">
      <alignment horizontal="right"/>
    </xf>
    <xf numFmtId="0" fontId="6" fillId="7" borderId="2" xfId="0" applyFont="1" applyFill="1" applyBorder="1" applyAlignment="1">
      <alignment horizontal="left"/>
    </xf>
    <xf numFmtId="0" fontId="6" fillId="7" borderId="11" xfId="0" applyFont="1" applyFill="1" applyBorder="1"/>
    <xf numFmtId="0" fontId="6" fillId="0" borderId="0" xfId="0" applyFont="1" applyAlignment="1">
      <alignment horizontal="center"/>
    </xf>
    <xf numFmtId="2" fontId="6" fillId="7" borderId="12" xfId="0" applyNumberFormat="1" applyFont="1" applyFill="1" applyBorder="1" applyAlignment="1">
      <alignment horizontal="right"/>
    </xf>
    <xf numFmtId="2" fontId="6" fillId="7" borderId="13" xfId="0" applyNumberFormat="1" applyFont="1" applyFill="1" applyBorder="1" applyAlignment="1">
      <alignment horizontal="right"/>
    </xf>
    <xf numFmtId="0" fontId="6" fillId="7" borderId="12" xfId="0" applyFont="1" applyFill="1" applyBorder="1" applyAlignment="1">
      <alignment horizontal="left"/>
    </xf>
    <xf numFmtId="0" fontId="6" fillId="7" borderId="12" xfId="0" applyFont="1" applyFill="1" applyBorder="1"/>
    <xf numFmtId="0" fontId="6" fillId="7" borderId="13" xfId="0" applyFont="1" applyFill="1" applyBorder="1"/>
    <xf numFmtId="0" fontId="1" fillId="0" borderId="15" xfId="0" applyFont="1" applyBorder="1"/>
    <xf numFmtId="3" fontId="6" fillId="0" borderId="2" xfId="1" applyNumberFormat="1" applyFont="1" applyFill="1" applyBorder="1" applyAlignment="1">
      <alignment horizontal="right" vertical="top"/>
    </xf>
    <xf numFmtId="3" fontId="8" fillId="0" borderId="2" xfId="0" applyNumberFormat="1" applyFont="1" applyBorder="1" applyAlignment="1">
      <alignment horizontal="right" vertical="top" wrapText="1"/>
    </xf>
    <xf numFmtId="0" fontId="6" fillId="0" borderId="15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6" fillId="0" borderId="10" xfId="0" applyFont="1" applyBorder="1" applyAlignment="1">
      <alignment horizontal="left" vertical="top" wrapText="1"/>
    </xf>
    <xf numFmtId="1" fontId="6" fillId="8" borderId="2" xfId="0" quotePrefix="1" applyNumberFormat="1" applyFont="1" applyFill="1" applyBorder="1" applyAlignment="1">
      <alignment horizontal="center" vertical="top" wrapText="1"/>
    </xf>
    <xf numFmtId="2" fontId="5" fillId="8" borderId="2" xfId="0" quotePrefix="1" applyNumberFormat="1" applyFont="1" applyFill="1" applyBorder="1" applyAlignment="1">
      <alignment horizontal="center" vertical="top" wrapText="1"/>
    </xf>
    <xf numFmtId="166" fontId="5" fillId="0" borderId="2" xfId="1" quotePrefix="1" applyNumberFormat="1" applyFont="1" applyFill="1" applyBorder="1" applyAlignment="1">
      <alignment horizontal="right" vertical="top"/>
    </xf>
    <xf numFmtId="166" fontId="5" fillId="5" borderId="2" xfId="1" quotePrefix="1" applyNumberFormat="1" applyFont="1" applyFill="1" applyBorder="1" applyAlignment="1">
      <alignment horizontal="right" vertical="top"/>
    </xf>
    <xf numFmtId="1" fontId="6" fillId="6" borderId="2" xfId="0" quotePrefix="1" applyNumberFormat="1" applyFont="1" applyFill="1" applyBorder="1" applyAlignment="1">
      <alignment horizontal="center" vertical="top" wrapText="1"/>
    </xf>
    <xf numFmtId="2" fontId="5" fillId="6" borderId="2" xfId="0" quotePrefix="1" applyNumberFormat="1" applyFont="1" applyFill="1" applyBorder="1" applyAlignment="1">
      <alignment horizontal="center" vertical="top" wrapText="1"/>
    </xf>
    <xf numFmtId="166" fontId="5" fillId="6" borderId="2" xfId="1" quotePrefix="1" applyNumberFormat="1" applyFont="1" applyFill="1" applyBorder="1" applyAlignment="1">
      <alignment horizontal="right" vertical="top"/>
    </xf>
    <xf numFmtId="166" fontId="0" fillId="0" borderId="0" xfId="1" applyNumberFormat="1" applyFont="1"/>
    <xf numFmtId="166" fontId="0" fillId="10" borderId="0" xfId="1" applyNumberFormat="1" applyFont="1" applyFill="1" applyAlignment="1">
      <alignment vertical="top"/>
    </xf>
    <xf numFmtId="166" fontId="6" fillId="10" borderId="2" xfId="1" applyNumberFormat="1" applyFont="1" applyFill="1" applyBorder="1" applyAlignment="1">
      <alignment vertical="top"/>
    </xf>
    <xf numFmtId="166" fontId="6" fillId="10" borderId="2" xfId="1" applyNumberFormat="1" applyFont="1" applyFill="1" applyBorder="1" applyAlignment="1">
      <alignment horizontal="right" vertical="top"/>
    </xf>
    <xf numFmtId="166" fontId="0" fillId="0" borderId="0" xfId="0" applyNumberFormat="1"/>
    <xf numFmtId="166" fontId="5" fillId="10" borderId="2" xfId="1" applyNumberFormat="1" applyFont="1" applyFill="1" applyBorder="1" applyAlignment="1">
      <alignment vertical="top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7" borderId="2" xfId="0" applyFont="1" applyFill="1" applyBorder="1" applyAlignment="1">
      <alignment horizontal="left" vertical="top"/>
    </xf>
    <xf numFmtId="0" fontId="6" fillId="7" borderId="11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</cellXfs>
  <cellStyles count="4">
    <cellStyle name="Comma" xfId="1" builtinId="3"/>
    <cellStyle name="Comma [0]" xfId="2" builtinId="6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85"/>
  <sheetViews>
    <sheetView showRuler="0" view="pageBreakPreview" zoomScale="55" zoomScaleNormal="40" zoomScalePageLayoutView="55" workbookViewId="0">
      <selection activeCell="Q17" sqref="Q17"/>
    </sheetView>
  </sheetViews>
  <sheetFormatPr defaultColWidth="9.140625" defaultRowHeight="14.25"/>
  <cols>
    <col min="1" max="1" width="6.42578125" style="1" customWidth="1"/>
    <col min="2" max="2" width="18" style="1" customWidth="1"/>
    <col min="3" max="3" width="19.42578125" style="1" customWidth="1"/>
    <col min="4" max="4" width="15" style="1" customWidth="1"/>
    <col min="5" max="6" width="7.7109375" style="1" customWidth="1"/>
    <col min="7" max="7" width="18.28515625" style="1" customWidth="1"/>
    <col min="8" max="8" width="8.28515625" style="1" customWidth="1"/>
    <col min="9" max="9" width="21.42578125" style="1" customWidth="1"/>
    <col min="10" max="10" width="9" style="1" customWidth="1"/>
    <col min="11" max="11" width="23.7109375" style="1" customWidth="1"/>
    <col min="12" max="12" width="7.7109375" style="1" customWidth="1"/>
    <col min="13" max="13" width="18.28515625" style="1" customWidth="1"/>
    <col min="14" max="14" width="7.7109375" style="1" customWidth="1"/>
    <col min="15" max="15" width="18.7109375" style="1" customWidth="1"/>
    <col min="16" max="16" width="7.7109375" style="1" customWidth="1"/>
    <col min="17" max="17" width="18.28515625" style="1" customWidth="1"/>
    <col min="18" max="18" width="9" style="1" customWidth="1"/>
    <col min="19" max="19" width="17.85546875" style="1" customWidth="1"/>
    <col min="20" max="20" width="8" style="1" customWidth="1"/>
    <col min="21" max="21" width="9.42578125" style="1" customWidth="1"/>
    <col min="22" max="22" width="5.5703125" style="4" customWidth="1"/>
    <col min="23" max="23" width="18.5703125" style="1" customWidth="1"/>
    <col min="24" max="24" width="8" style="1" customWidth="1"/>
    <col min="25" max="25" width="5.5703125" style="4" customWidth="1"/>
    <col min="26" max="26" width="8" style="1" customWidth="1"/>
    <col min="27" max="27" width="18.5703125" style="1" customWidth="1"/>
    <col min="28" max="28" width="8" style="1" customWidth="1"/>
    <col min="29" max="29" width="5.5703125" style="4" customWidth="1"/>
    <col min="30" max="30" width="9.85546875" style="1" customWidth="1"/>
    <col min="31" max="31" width="15" style="1" customWidth="1"/>
    <col min="32" max="32" width="9.140625" style="1"/>
    <col min="33" max="37" width="19.5703125" style="1" customWidth="1"/>
    <col min="38" max="16384" width="9.140625" style="1"/>
  </cols>
  <sheetData>
    <row r="1" spans="1:37" ht="23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98"/>
    </row>
    <row r="2" spans="1:37" ht="23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99"/>
    </row>
    <row r="3" spans="1:37" ht="23.25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99"/>
    </row>
    <row r="4" spans="1:37" ht="23.25">
      <c r="A4" s="212" t="s">
        <v>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98"/>
    </row>
    <row r="5" spans="1:37" ht="18">
      <c r="A5" s="213" t="s">
        <v>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</row>
    <row r="6" spans="1:37" ht="18">
      <c r="A6" s="205" t="s">
        <v>2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</row>
    <row r="7" spans="1:37" ht="81" customHeight="1">
      <c r="A7" s="183" t="s">
        <v>5</v>
      </c>
      <c r="B7" s="183" t="s">
        <v>6</v>
      </c>
      <c r="C7" s="191" t="s">
        <v>7</v>
      </c>
      <c r="D7" s="191" t="s">
        <v>8</v>
      </c>
      <c r="E7" s="166" t="s">
        <v>9</v>
      </c>
      <c r="F7" s="167"/>
      <c r="G7" s="170"/>
      <c r="H7" s="166" t="s">
        <v>10</v>
      </c>
      <c r="I7" s="170"/>
      <c r="J7" s="166" t="s">
        <v>11</v>
      </c>
      <c r="K7" s="167"/>
      <c r="L7" s="166" t="s">
        <v>12</v>
      </c>
      <c r="M7" s="167"/>
      <c r="N7" s="167"/>
      <c r="O7" s="167"/>
      <c r="P7" s="167"/>
      <c r="Q7" s="167"/>
      <c r="R7" s="167"/>
      <c r="S7" s="170"/>
      <c r="T7" s="166" t="s">
        <v>13</v>
      </c>
      <c r="U7" s="167"/>
      <c r="V7" s="167"/>
      <c r="W7" s="167"/>
      <c r="X7" s="167"/>
      <c r="Y7" s="170"/>
      <c r="Z7" s="166" t="s">
        <v>14</v>
      </c>
      <c r="AA7" s="170"/>
      <c r="AB7" s="166" t="s">
        <v>15</v>
      </c>
      <c r="AC7" s="167"/>
      <c r="AD7" s="167"/>
      <c r="AE7" s="154" t="s">
        <v>16</v>
      </c>
      <c r="AG7" s="4"/>
      <c r="AH7" s="4"/>
      <c r="AI7" s="4"/>
      <c r="AJ7" s="4"/>
      <c r="AK7" s="4"/>
    </row>
    <row r="8" spans="1:37" ht="18" customHeight="1">
      <c r="A8" s="183"/>
      <c r="B8" s="183"/>
      <c r="C8" s="191"/>
      <c r="D8" s="191"/>
      <c r="E8" s="172"/>
      <c r="F8" s="174"/>
      <c r="G8" s="173"/>
      <c r="H8" s="172"/>
      <c r="I8" s="173"/>
      <c r="J8" s="168"/>
      <c r="K8" s="169"/>
      <c r="L8" s="168"/>
      <c r="M8" s="169"/>
      <c r="N8" s="169"/>
      <c r="O8" s="169"/>
      <c r="P8" s="169"/>
      <c r="Q8" s="169"/>
      <c r="R8" s="169"/>
      <c r="S8" s="171"/>
      <c r="T8" s="168"/>
      <c r="U8" s="169"/>
      <c r="V8" s="169"/>
      <c r="W8" s="169"/>
      <c r="X8" s="169"/>
      <c r="Y8" s="171"/>
      <c r="Z8" s="168"/>
      <c r="AA8" s="171"/>
      <c r="AB8" s="168"/>
      <c r="AC8" s="169"/>
      <c r="AD8" s="169"/>
      <c r="AE8" s="155"/>
    </row>
    <row r="9" spans="1:37" ht="15.75" customHeight="1">
      <c r="A9" s="183"/>
      <c r="B9" s="183"/>
      <c r="C9" s="191"/>
      <c r="D9" s="191"/>
      <c r="E9" s="168"/>
      <c r="F9" s="169"/>
      <c r="G9" s="171"/>
      <c r="H9" s="168"/>
      <c r="I9" s="171"/>
      <c r="J9" s="206">
        <v>2022</v>
      </c>
      <c r="K9" s="207"/>
      <c r="L9" s="208" t="s">
        <v>17</v>
      </c>
      <c r="M9" s="209"/>
      <c r="N9" s="208" t="s">
        <v>18</v>
      </c>
      <c r="O9" s="209"/>
      <c r="P9" s="208" t="s">
        <v>19</v>
      </c>
      <c r="Q9" s="209"/>
      <c r="R9" s="208" t="s">
        <v>20</v>
      </c>
      <c r="S9" s="209"/>
      <c r="T9" s="208">
        <v>2022</v>
      </c>
      <c r="U9" s="210"/>
      <c r="V9" s="210"/>
      <c r="W9" s="210"/>
      <c r="X9" s="210"/>
      <c r="Y9" s="209"/>
      <c r="Z9" s="208">
        <v>2022</v>
      </c>
      <c r="AA9" s="209"/>
      <c r="AB9" s="208">
        <v>2022</v>
      </c>
      <c r="AC9" s="210"/>
      <c r="AD9" s="209"/>
      <c r="AE9" s="100"/>
    </row>
    <row r="10" spans="1:37" s="2" customFormat="1" ht="15.75">
      <c r="A10" s="152">
        <v>1</v>
      </c>
      <c r="B10" s="152">
        <v>2</v>
      </c>
      <c r="C10" s="152">
        <v>3</v>
      </c>
      <c r="D10" s="152">
        <v>4</v>
      </c>
      <c r="E10" s="197">
        <v>5</v>
      </c>
      <c r="F10" s="204"/>
      <c r="G10" s="198"/>
      <c r="H10" s="197">
        <v>6</v>
      </c>
      <c r="I10" s="198"/>
      <c r="J10" s="199">
        <v>7</v>
      </c>
      <c r="K10" s="200"/>
      <c r="L10" s="199">
        <v>8</v>
      </c>
      <c r="M10" s="200"/>
      <c r="N10" s="199">
        <v>9</v>
      </c>
      <c r="O10" s="200"/>
      <c r="P10" s="199">
        <v>10</v>
      </c>
      <c r="Q10" s="200"/>
      <c r="R10" s="199">
        <v>11</v>
      </c>
      <c r="S10" s="200"/>
      <c r="T10" s="201">
        <v>12</v>
      </c>
      <c r="U10" s="202"/>
      <c r="V10" s="202"/>
      <c r="W10" s="202"/>
      <c r="X10" s="202"/>
      <c r="Y10" s="203"/>
      <c r="Z10" s="201">
        <v>13</v>
      </c>
      <c r="AA10" s="203"/>
      <c r="AB10" s="201">
        <v>14</v>
      </c>
      <c r="AC10" s="202"/>
      <c r="AD10" s="203"/>
      <c r="AE10" s="101">
        <v>15</v>
      </c>
    </row>
    <row r="11" spans="1:37" s="2" customFormat="1" ht="87" customHeight="1">
      <c r="A11" s="184"/>
      <c r="B11" s="184"/>
      <c r="C11" s="184"/>
      <c r="D11" s="184"/>
      <c r="E11" s="162" t="s">
        <v>21</v>
      </c>
      <c r="F11" s="163"/>
      <c r="G11" s="153" t="s">
        <v>22</v>
      </c>
      <c r="H11" s="162" t="s">
        <v>21</v>
      </c>
      <c r="I11" s="153" t="s">
        <v>22</v>
      </c>
      <c r="J11" s="162" t="s">
        <v>21</v>
      </c>
      <c r="K11" s="152" t="s">
        <v>22</v>
      </c>
      <c r="L11" s="162" t="s">
        <v>21</v>
      </c>
      <c r="M11" s="152" t="s">
        <v>22</v>
      </c>
      <c r="N11" s="162" t="s">
        <v>21</v>
      </c>
      <c r="O11" s="152" t="s">
        <v>22</v>
      </c>
      <c r="P11" s="162" t="s">
        <v>21</v>
      </c>
      <c r="Q11" s="152" t="s">
        <v>22</v>
      </c>
      <c r="R11" s="162" t="s">
        <v>21</v>
      </c>
      <c r="S11" s="152" t="s">
        <v>22</v>
      </c>
      <c r="T11" s="5" t="s">
        <v>23</v>
      </c>
      <c r="U11" s="197" t="s">
        <v>24</v>
      </c>
      <c r="V11" s="198"/>
      <c r="W11" s="72" t="s">
        <v>25</v>
      </c>
      <c r="X11" s="197" t="s">
        <v>26</v>
      </c>
      <c r="Y11" s="198"/>
      <c r="Z11" s="5" t="s">
        <v>27</v>
      </c>
      <c r="AA11" s="72" t="s">
        <v>28</v>
      </c>
      <c r="AB11" s="197" t="s">
        <v>29</v>
      </c>
      <c r="AC11" s="198"/>
      <c r="AD11" s="72" t="s">
        <v>30</v>
      </c>
      <c r="AE11" s="102"/>
    </row>
    <row r="12" spans="1:37" s="2" customFormat="1" ht="15.75">
      <c r="A12" s="153"/>
      <c r="B12" s="153"/>
      <c r="C12" s="153"/>
      <c r="D12" s="153"/>
      <c r="E12" s="164"/>
      <c r="F12" s="165"/>
      <c r="G12" s="181"/>
      <c r="H12" s="164"/>
      <c r="I12" s="181"/>
      <c r="J12" s="164"/>
      <c r="K12" s="153"/>
      <c r="L12" s="164"/>
      <c r="M12" s="153"/>
      <c r="N12" s="164"/>
      <c r="O12" s="153"/>
      <c r="P12" s="164"/>
      <c r="Q12" s="153"/>
      <c r="R12" s="164"/>
      <c r="S12" s="153"/>
      <c r="T12" s="6" t="s">
        <v>21</v>
      </c>
      <c r="U12" s="164" t="s">
        <v>21</v>
      </c>
      <c r="V12" s="165"/>
      <c r="W12" s="7" t="s">
        <v>22</v>
      </c>
      <c r="X12" s="164" t="s">
        <v>22</v>
      </c>
      <c r="Y12" s="165"/>
      <c r="Z12" s="6" t="s">
        <v>21</v>
      </c>
      <c r="AA12" s="7" t="s">
        <v>22</v>
      </c>
      <c r="AB12" s="164" t="s">
        <v>21</v>
      </c>
      <c r="AC12" s="165"/>
      <c r="AD12" s="7" t="s">
        <v>22</v>
      </c>
      <c r="AE12" s="103"/>
    </row>
    <row r="13" spans="1:37" ht="15" hidden="1" customHeight="1">
      <c r="A13" s="185"/>
      <c r="B13" s="188" t="s">
        <v>31</v>
      </c>
      <c r="C13" s="175" t="s">
        <v>32</v>
      </c>
      <c r="D13" s="188" t="s">
        <v>33</v>
      </c>
      <c r="E13" s="156" t="s">
        <v>34</v>
      </c>
      <c r="F13" s="157"/>
      <c r="G13" s="185"/>
      <c r="H13" s="156" t="s">
        <v>35</v>
      </c>
      <c r="I13" s="175" t="s">
        <v>36</v>
      </c>
      <c r="J13" s="178" t="s">
        <v>37</v>
      </c>
      <c r="K13" s="175" t="s">
        <v>38</v>
      </c>
      <c r="L13" s="178" t="s">
        <v>39</v>
      </c>
      <c r="M13" s="52"/>
      <c r="N13" s="52"/>
      <c r="O13" s="52"/>
      <c r="P13" s="52"/>
      <c r="Q13" s="52"/>
      <c r="R13" s="52"/>
      <c r="S13" s="52"/>
      <c r="T13" s="52"/>
      <c r="U13" s="52"/>
      <c r="V13" s="8"/>
      <c r="W13" s="52"/>
      <c r="X13" s="52"/>
      <c r="Y13" s="8"/>
      <c r="Z13" s="52"/>
      <c r="AA13" s="52"/>
      <c r="AB13" s="52"/>
      <c r="AC13" s="8"/>
      <c r="AD13" s="52"/>
      <c r="AE13" s="104"/>
    </row>
    <row r="14" spans="1:37" ht="15" hidden="1" customHeight="1">
      <c r="A14" s="186"/>
      <c r="B14" s="189"/>
      <c r="C14" s="176"/>
      <c r="D14" s="189"/>
      <c r="E14" s="158"/>
      <c r="F14" s="159"/>
      <c r="G14" s="186"/>
      <c r="H14" s="158"/>
      <c r="I14" s="176"/>
      <c r="J14" s="179"/>
      <c r="K14" s="176"/>
      <c r="L14" s="179"/>
      <c r="M14" s="53"/>
      <c r="N14" s="53"/>
      <c r="O14" s="53"/>
      <c r="P14" s="53"/>
      <c r="Q14" s="53"/>
      <c r="R14" s="53"/>
      <c r="S14" s="53"/>
      <c r="T14" s="53"/>
      <c r="U14" s="53"/>
      <c r="V14" s="9"/>
      <c r="W14" s="53"/>
      <c r="X14" s="53"/>
      <c r="Y14" s="9"/>
      <c r="Z14" s="53"/>
      <c r="AA14" s="53"/>
      <c r="AB14" s="53"/>
      <c r="AC14" s="9"/>
      <c r="AD14" s="53"/>
      <c r="AE14" s="104"/>
    </row>
    <row r="15" spans="1:37" ht="15" hidden="1" customHeight="1">
      <c r="A15" s="187"/>
      <c r="B15" s="190"/>
      <c r="C15" s="177"/>
      <c r="D15" s="190"/>
      <c r="E15" s="160"/>
      <c r="F15" s="161"/>
      <c r="G15" s="187"/>
      <c r="H15" s="160"/>
      <c r="I15" s="177"/>
      <c r="J15" s="180"/>
      <c r="K15" s="177"/>
      <c r="L15" s="180"/>
      <c r="M15" s="54"/>
      <c r="N15" s="54"/>
      <c r="O15" s="54"/>
      <c r="P15" s="54"/>
      <c r="Q15" s="54"/>
      <c r="R15" s="54"/>
      <c r="S15" s="54"/>
      <c r="T15" s="54"/>
      <c r="U15" s="54"/>
      <c r="V15" s="11"/>
      <c r="W15" s="54"/>
      <c r="X15" s="54"/>
      <c r="Y15" s="11"/>
      <c r="Z15" s="54"/>
      <c r="AA15" s="54"/>
      <c r="AB15" s="54"/>
      <c r="AC15" s="11"/>
      <c r="AD15" s="54"/>
      <c r="AE15" s="104"/>
    </row>
    <row r="16" spans="1:37" ht="153.75" customHeight="1">
      <c r="A16" s="12">
        <v>1</v>
      </c>
      <c r="B16" s="13" t="s">
        <v>40</v>
      </c>
      <c r="C16" s="14" t="s">
        <v>41</v>
      </c>
      <c r="D16" s="15" t="s">
        <v>42</v>
      </c>
      <c r="E16" s="16">
        <v>100</v>
      </c>
      <c r="F16" s="17" t="s">
        <v>43</v>
      </c>
      <c r="G16" s="18">
        <f>SUM(G17,G20,G25,G31,G33,G36)</f>
        <v>0</v>
      </c>
      <c r="H16" s="16">
        <v>200</v>
      </c>
      <c r="I16" s="18">
        <f>SUM(I17,I20,I25,I31,I33,I36)</f>
        <v>3298269593</v>
      </c>
      <c r="J16" s="16">
        <v>100</v>
      </c>
      <c r="K16" s="18">
        <f>SUM(K17,K20,K25,K31,K33,K36)</f>
        <v>3551202028</v>
      </c>
      <c r="L16" s="43">
        <v>25</v>
      </c>
      <c r="M16" s="18">
        <f>SUM(M17,M20,M25,M31,M33,M36)</f>
        <v>0</v>
      </c>
      <c r="N16" s="43"/>
      <c r="O16" s="18"/>
      <c r="P16" s="43"/>
      <c r="Q16" s="18"/>
      <c r="R16" s="43"/>
      <c r="S16" s="18"/>
      <c r="T16" s="76">
        <f>SUM(L16,N16,P16,R16)</f>
        <v>25</v>
      </c>
      <c r="U16" s="76">
        <f>T16/J16*100</f>
        <v>25</v>
      </c>
      <c r="V16" s="77" t="s">
        <v>43</v>
      </c>
      <c r="W16" s="78">
        <f>SUM(M16,O16,Q16,S16)</f>
        <v>0</v>
      </c>
      <c r="X16" s="76">
        <f>W16/K16*100</f>
        <v>0</v>
      </c>
      <c r="Y16" s="77" t="s">
        <v>43</v>
      </c>
      <c r="Z16" s="76">
        <f t="shared" ref="Z16:Z47" si="0">SUM(H16,T16)</f>
        <v>225</v>
      </c>
      <c r="AA16" s="105">
        <f t="shared" ref="AA16:AA47" si="1">SUM(I16,W16)</f>
        <v>3298269593</v>
      </c>
      <c r="AB16" s="76"/>
      <c r="AC16" s="77" t="s">
        <v>43</v>
      </c>
      <c r="AD16" s="76"/>
      <c r="AE16" s="106" t="s">
        <v>44</v>
      </c>
      <c r="AH16" s="109">
        <f>M16+O16+Q16+S16</f>
        <v>0</v>
      </c>
    </row>
    <row r="17" spans="1:34" s="3" customFormat="1" ht="120" customHeight="1">
      <c r="A17" s="12">
        <v>2</v>
      </c>
      <c r="B17" s="19" t="s">
        <v>45</v>
      </c>
      <c r="C17" s="20" t="s">
        <v>46</v>
      </c>
      <c r="D17" s="14" t="s">
        <v>47</v>
      </c>
      <c r="E17" s="16">
        <f>SUM(E18:E19)</f>
        <v>45</v>
      </c>
      <c r="F17" s="17" t="s">
        <v>48</v>
      </c>
      <c r="G17" s="18">
        <f>SUM(G18:G19)</f>
        <v>0</v>
      </c>
      <c r="H17" s="16">
        <v>30</v>
      </c>
      <c r="I17" s="18">
        <f>SUM(I18:I19)</f>
        <v>5600000</v>
      </c>
      <c r="J17" s="16">
        <f>SUM(J18:J19)</f>
        <v>5</v>
      </c>
      <c r="K17" s="18">
        <f>SUM(K18:K19)</f>
        <v>8900000</v>
      </c>
      <c r="L17" s="16">
        <f>SUM(L18:L19)</f>
        <v>0</v>
      </c>
      <c r="M17" s="18">
        <f>SUM(M18:M19)</f>
        <v>0</v>
      </c>
      <c r="N17" s="16"/>
      <c r="O17" s="18"/>
      <c r="P17" s="16"/>
      <c r="Q17" s="18"/>
      <c r="R17" s="16"/>
      <c r="S17" s="18"/>
      <c r="T17" s="80">
        <f>SUM(L17,N17,P17,R17)</f>
        <v>0</v>
      </c>
      <c r="U17" s="77">
        <f>T17/J17*100</f>
        <v>0</v>
      </c>
      <c r="V17" s="17" t="s">
        <v>43</v>
      </c>
      <c r="W17" s="81">
        <f>SUM(M17,O17,Q17,S17)</f>
        <v>0</v>
      </c>
      <c r="X17" s="82">
        <f>W17/K17*100</f>
        <v>0</v>
      </c>
      <c r="Y17" s="17" t="s">
        <v>43</v>
      </c>
      <c r="Z17" s="80">
        <f t="shared" si="0"/>
        <v>30</v>
      </c>
      <c r="AA17" s="105">
        <f t="shared" si="1"/>
        <v>5600000</v>
      </c>
      <c r="AB17" s="76"/>
      <c r="AC17" s="17" t="s">
        <v>43</v>
      </c>
      <c r="AD17" s="76"/>
      <c r="AE17" s="107"/>
      <c r="AH17" s="110"/>
    </row>
    <row r="18" spans="1:34" ht="75">
      <c r="A18" s="21"/>
      <c r="B18" s="13"/>
      <c r="C18" s="22" t="s">
        <v>49</v>
      </c>
      <c r="D18" s="22" t="s">
        <v>50</v>
      </c>
      <c r="E18" s="24">
        <f>5*3</f>
        <v>15</v>
      </c>
      <c r="F18" s="25" t="s">
        <v>48</v>
      </c>
      <c r="G18" s="26"/>
      <c r="H18" s="24">
        <v>10</v>
      </c>
      <c r="I18" s="26">
        <v>4875000</v>
      </c>
      <c r="J18" s="24">
        <v>5</v>
      </c>
      <c r="K18" s="26">
        <v>8900000</v>
      </c>
      <c r="L18" s="24">
        <v>0</v>
      </c>
      <c r="M18" s="26">
        <v>0</v>
      </c>
      <c r="N18" s="24"/>
      <c r="O18" s="26"/>
      <c r="P18" s="24"/>
      <c r="Q18" s="26"/>
      <c r="R18" s="24"/>
      <c r="S18" s="26"/>
      <c r="T18" s="85">
        <f>SUM(L18,N18,P18,R18)</f>
        <v>0</v>
      </c>
      <c r="U18" s="86">
        <f>T18/J18*100</f>
        <v>0</v>
      </c>
      <c r="V18" s="87" t="s">
        <v>43</v>
      </c>
      <c r="W18" s="88">
        <f>SUM(M18,O18,Q18,S18)</f>
        <v>0</v>
      </c>
      <c r="X18" s="86">
        <f>W18/K18*100</f>
        <v>0</v>
      </c>
      <c r="Y18" s="87" t="s">
        <v>43</v>
      </c>
      <c r="Z18" s="85">
        <f t="shared" si="0"/>
        <v>10</v>
      </c>
      <c r="AA18" s="108">
        <f t="shared" si="1"/>
        <v>4875000</v>
      </c>
      <c r="AB18" s="86"/>
      <c r="AC18" s="87" t="s">
        <v>43</v>
      </c>
      <c r="AD18" s="86"/>
      <c r="AE18" s="104"/>
      <c r="AH18" s="109"/>
    </row>
    <row r="19" spans="1:34" ht="90">
      <c r="A19" s="21"/>
      <c r="B19" s="13"/>
      <c r="C19" s="27" t="s">
        <v>51</v>
      </c>
      <c r="D19" s="27" t="s">
        <v>52</v>
      </c>
      <c r="E19" s="24">
        <f>10*3</f>
        <v>30</v>
      </c>
      <c r="F19" s="25" t="s">
        <v>53</v>
      </c>
      <c r="G19" s="26"/>
      <c r="H19" s="24">
        <v>20</v>
      </c>
      <c r="I19" s="26">
        <v>725000</v>
      </c>
      <c r="J19" s="24"/>
      <c r="K19" s="26"/>
      <c r="L19" s="24"/>
      <c r="M19" s="26"/>
      <c r="N19" s="24"/>
      <c r="O19" s="26"/>
      <c r="P19" s="24"/>
      <c r="Q19" s="26"/>
      <c r="R19" s="24"/>
      <c r="S19" s="26"/>
      <c r="T19" s="85"/>
      <c r="U19" s="86"/>
      <c r="V19" s="87"/>
      <c r="W19" s="88"/>
      <c r="X19" s="86"/>
      <c r="Y19" s="87"/>
      <c r="Z19" s="85">
        <f t="shared" si="0"/>
        <v>20</v>
      </c>
      <c r="AA19" s="108">
        <f t="shared" si="1"/>
        <v>725000</v>
      </c>
      <c r="AB19" s="86"/>
      <c r="AC19" s="87" t="s">
        <v>43</v>
      </c>
      <c r="AD19" s="86"/>
      <c r="AE19" s="104"/>
      <c r="AH19" s="109"/>
    </row>
    <row r="20" spans="1:34" ht="114" customHeight="1">
      <c r="A20" s="21"/>
      <c r="B20" s="13"/>
      <c r="C20" s="14" t="s">
        <v>54</v>
      </c>
      <c r="D20" s="14" t="s">
        <v>55</v>
      </c>
      <c r="E20" s="28">
        <f>SUM(E22:E24)</f>
        <v>42</v>
      </c>
      <c r="F20" s="29" t="s">
        <v>48</v>
      </c>
      <c r="G20" s="18">
        <f>SUM(G21:G24)</f>
        <v>0</v>
      </c>
      <c r="H20" s="28">
        <v>28</v>
      </c>
      <c r="I20" s="18">
        <f>SUM(I21:I24)</f>
        <v>3022676993</v>
      </c>
      <c r="J20" s="28">
        <f>SUM(J22:J24)</f>
        <v>14</v>
      </c>
      <c r="K20" s="18">
        <f>SUM(K21:K24)</f>
        <v>3150635840</v>
      </c>
      <c r="L20" s="28">
        <f>SUM(L22:L24)</f>
        <v>3</v>
      </c>
      <c r="M20" s="18">
        <f>SUM(M21:M24)</f>
        <v>0</v>
      </c>
      <c r="N20" s="28"/>
      <c r="O20" s="18"/>
      <c r="P20" s="28"/>
      <c r="Q20" s="18"/>
      <c r="R20" s="28"/>
      <c r="S20" s="18"/>
      <c r="T20" s="80">
        <f t="shared" ref="T20:T38" si="2">SUM(L20,N20,P20,R20)</f>
        <v>3</v>
      </c>
      <c r="U20" s="76">
        <f t="shared" ref="U20:U38" si="3">T20/J20*100</f>
        <v>21.428571428571427</v>
      </c>
      <c r="V20" s="77" t="s">
        <v>43</v>
      </c>
      <c r="W20" s="78">
        <f t="shared" ref="W20:W38" si="4">SUM(M20,O20,Q20,S20)</f>
        <v>0</v>
      </c>
      <c r="X20" s="76">
        <f t="shared" ref="X20:X38" si="5">W20/K20*100</f>
        <v>0</v>
      </c>
      <c r="Y20" s="77" t="s">
        <v>43</v>
      </c>
      <c r="Z20" s="80">
        <f t="shared" si="0"/>
        <v>31</v>
      </c>
      <c r="AA20" s="105">
        <f t="shared" si="1"/>
        <v>3022676993</v>
      </c>
      <c r="AB20" s="76"/>
      <c r="AC20" s="77" t="s">
        <v>43</v>
      </c>
      <c r="AD20" s="76"/>
      <c r="AE20" s="104"/>
      <c r="AH20" s="109"/>
    </row>
    <row r="21" spans="1:34" ht="94.5" customHeight="1">
      <c r="A21" s="21"/>
      <c r="B21" s="13"/>
      <c r="C21" s="22" t="s">
        <v>56</v>
      </c>
      <c r="D21" s="136" t="s">
        <v>57</v>
      </c>
      <c r="E21" s="31">
        <f>12*3</f>
        <v>36</v>
      </c>
      <c r="F21" s="32" t="s">
        <v>58</v>
      </c>
      <c r="G21" s="18"/>
      <c r="H21" s="31">
        <v>24</v>
      </c>
      <c r="I21" s="26">
        <v>3020376993</v>
      </c>
      <c r="J21" s="31">
        <v>12</v>
      </c>
      <c r="K21" s="26">
        <v>3146955840</v>
      </c>
      <c r="L21" s="31">
        <v>3</v>
      </c>
      <c r="M21" s="26">
        <v>0</v>
      </c>
      <c r="N21" s="31"/>
      <c r="O21" s="26"/>
      <c r="P21" s="31"/>
      <c r="Q21" s="26"/>
      <c r="R21" s="31"/>
      <c r="S21" s="26"/>
      <c r="T21" s="85">
        <f t="shared" si="2"/>
        <v>3</v>
      </c>
      <c r="U21" s="86">
        <f t="shared" si="3"/>
        <v>25</v>
      </c>
      <c r="V21" s="87" t="s">
        <v>43</v>
      </c>
      <c r="W21" s="88">
        <f t="shared" si="4"/>
        <v>0</v>
      </c>
      <c r="X21" s="86">
        <f t="shared" si="5"/>
        <v>0</v>
      </c>
      <c r="Y21" s="87" t="s">
        <v>43</v>
      </c>
      <c r="Z21" s="85">
        <f t="shared" si="0"/>
        <v>27</v>
      </c>
      <c r="AA21" s="108">
        <f t="shared" si="1"/>
        <v>3020376993</v>
      </c>
      <c r="AB21" s="86"/>
      <c r="AC21" s="87" t="s">
        <v>43</v>
      </c>
      <c r="AD21" s="76"/>
      <c r="AE21" s="104"/>
      <c r="AH21" s="109"/>
    </row>
    <row r="22" spans="1:34" ht="180" customHeight="1">
      <c r="A22" s="21"/>
      <c r="B22" s="13"/>
      <c r="C22" s="22" t="s">
        <v>59</v>
      </c>
      <c r="D22" s="22" t="s">
        <v>60</v>
      </c>
      <c r="E22" s="31">
        <f>1*3</f>
        <v>3</v>
      </c>
      <c r="F22" s="32" t="s">
        <v>53</v>
      </c>
      <c r="G22" s="33"/>
      <c r="H22" s="31">
        <v>2</v>
      </c>
      <c r="I22" s="26">
        <v>1050000</v>
      </c>
      <c r="J22" s="31">
        <v>1</v>
      </c>
      <c r="K22" s="26">
        <v>1400000</v>
      </c>
      <c r="L22" s="31">
        <v>0</v>
      </c>
      <c r="M22" s="26">
        <v>0</v>
      </c>
      <c r="N22" s="31"/>
      <c r="O22" s="26"/>
      <c r="P22" s="31"/>
      <c r="Q22" s="26"/>
      <c r="R22" s="31"/>
      <c r="S22" s="26"/>
      <c r="T22" s="85">
        <f t="shared" si="2"/>
        <v>0</v>
      </c>
      <c r="U22" s="86">
        <f t="shared" si="3"/>
        <v>0</v>
      </c>
      <c r="V22" s="87" t="s">
        <v>43</v>
      </c>
      <c r="W22" s="88">
        <f t="shared" si="4"/>
        <v>0</v>
      </c>
      <c r="X22" s="86">
        <f t="shared" si="5"/>
        <v>0</v>
      </c>
      <c r="Y22" s="87" t="s">
        <v>43</v>
      </c>
      <c r="Z22" s="85">
        <f t="shared" si="0"/>
        <v>2</v>
      </c>
      <c r="AA22" s="108">
        <f t="shared" si="1"/>
        <v>1050000</v>
      </c>
      <c r="AB22" s="86"/>
      <c r="AC22" s="87" t="s">
        <v>43</v>
      </c>
      <c r="AD22" s="86"/>
      <c r="AE22" s="10"/>
      <c r="AH22" s="109">
        <f>M22+O22+Q22+S22</f>
        <v>0</v>
      </c>
    </row>
    <row r="23" spans="1:34" ht="210">
      <c r="A23" s="21"/>
      <c r="B23" s="13"/>
      <c r="C23" s="22" t="s">
        <v>61</v>
      </c>
      <c r="D23" s="22" t="s">
        <v>62</v>
      </c>
      <c r="E23" s="31">
        <f>12*3</f>
        <v>36</v>
      </c>
      <c r="F23" s="32" t="s">
        <v>53</v>
      </c>
      <c r="G23" s="33"/>
      <c r="H23" s="31">
        <v>24</v>
      </c>
      <c r="I23" s="26">
        <v>300000</v>
      </c>
      <c r="J23" s="31">
        <v>12</v>
      </c>
      <c r="K23" s="26">
        <v>1140000</v>
      </c>
      <c r="L23" s="31">
        <v>3</v>
      </c>
      <c r="M23" s="26">
        <v>0</v>
      </c>
      <c r="N23" s="31"/>
      <c r="O23" s="26"/>
      <c r="P23" s="31"/>
      <c r="Q23" s="26"/>
      <c r="R23" s="31"/>
      <c r="S23" s="26"/>
      <c r="T23" s="85">
        <f t="shared" si="2"/>
        <v>3</v>
      </c>
      <c r="U23" s="86">
        <f t="shared" si="3"/>
        <v>25</v>
      </c>
      <c r="V23" s="87" t="s">
        <v>43</v>
      </c>
      <c r="W23" s="88">
        <f t="shared" si="4"/>
        <v>0</v>
      </c>
      <c r="X23" s="86">
        <f t="shared" si="5"/>
        <v>0</v>
      </c>
      <c r="Y23" s="87" t="s">
        <v>43</v>
      </c>
      <c r="Z23" s="85">
        <f t="shared" si="0"/>
        <v>27</v>
      </c>
      <c r="AA23" s="108">
        <f t="shared" si="1"/>
        <v>300000</v>
      </c>
      <c r="AB23" s="86"/>
      <c r="AC23" s="87" t="s">
        <v>43</v>
      </c>
      <c r="AD23" s="86"/>
      <c r="AE23" s="104"/>
      <c r="AH23" s="109">
        <f>M23+O23+Q23+S23</f>
        <v>0</v>
      </c>
    </row>
    <row r="24" spans="1:34" ht="105">
      <c r="A24" s="21"/>
      <c r="B24" s="13"/>
      <c r="C24" s="22" t="s">
        <v>63</v>
      </c>
      <c r="D24" s="22" t="s">
        <v>64</v>
      </c>
      <c r="E24" s="31">
        <f>1*3</f>
        <v>3</v>
      </c>
      <c r="F24" s="32" t="s">
        <v>48</v>
      </c>
      <c r="G24" s="33"/>
      <c r="H24" s="31">
        <v>2</v>
      </c>
      <c r="I24" s="26">
        <v>950000</v>
      </c>
      <c r="J24" s="31">
        <v>1</v>
      </c>
      <c r="K24" s="26">
        <v>1140000</v>
      </c>
      <c r="L24" s="31">
        <v>0</v>
      </c>
      <c r="M24" s="26">
        <v>0</v>
      </c>
      <c r="N24" s="31"/>
      <c r="O24" s="26"/>
      <c r="P24" s="31"/>
      <c r="Q24" s="26"/>
      <c r="R24" s="31"/>
      <c r="S24" s="26"/>
      <c r="T24" s="85">
        <f t="shared" si="2"/>
        <v>0</v>
      </c>
      <c r="U24" s="86">
        <f t="shared" si="3"/>
        <v>0</v>
      </c>
      <c r="V24" s="87" t="s">
        <v>43</v>
      </c>
      <c r="W24" s="88">
        <f t="shared" si="4"/>
        <v>0</v>
      </c>
      <c r="X24" s="86">
        <f t="shared" si="5"/>
        <v>0</v>
      </c>
      <c r="Y24" s="87" t="s">
        <v>43</v>
      </c>
      <c r="Z24" s="85">
        <f t="shared" si="0"/>
        <v>2</v>
      </c>
      <c r="AA24" s="108">
        <f t="shared" si="1"/>
        <v>950000</v>
      </c>
      <c r="AB24" s="86"/>
      <c r="AC24" s="87" t="s">
        <v>43</v>
      </c>
      <c r="AD24" s="86"/>
      <c r="AE24" s="104"/>
      <c r="AH24" s="109">
        <f>M24+O24+Q24+S24</f>
        <v>0</v>
      </c>
    </row>
    <row r="25" spans="1:34" ht="111" customHeight="1">
      <c r="A25" s="21"/>
      <c r="B25" s="13"/>
      <c r="C25" s="14" t="s">
        <v>65</v>
      </c>
      <c r="D25" s="14" t="s">
        <v>66</v>
      </c>
      <c r="E25" s="28">
        <f>1*3</f>
        <v>3</v>
      </c>
      <c r="F25" s="29" t="s">
        <v>48</v>
      </c>
      <c r="G25" s="34">
        <f>SUM(G26:G30)</f>
        <v>0</v>
      </c>
      <c r="H25" s="28">
        <v>1</v>
      </c>
      <c r="I25" s="62">
        <f>SUM(I26:I30)</f>
        <v>105610321</v>
      </c>
      <c r="J25" s="28">
        <v>1</v>
      </c>
      <c r="K25" s="62">
        <f>SUM(K26:K30)</f>
        <v>174399900</v>
      </c>
      <c r="L25" s="28">
        <v>0</v>
      </c>
      <c r="M25" s="62">
        <f>SUM(M26:M30)</f>
        <v>0</v>
      </c>
      <c r="N25" s="28"/>
      <c r="O25" s="62"/>
      <c r="P25" s="28"/>
      <c r="Q25" s="62"/>
      <c r="R25" s="28"/>
      <c r="S25" s="62"/>
      <c r="T25" s="80">
        <f t="shared" si="2"/>
        <v>0</v>
      </c>
      <c r="U25" s="76">
        <f t="shared" si="3"/>
        <v>0</v>
      </c>
      <c r="V25" s="77" t="s">
        <v>43</v>
      </c>
      <c r="W25" s="78">
        <f t="shared" si="4"/>
        <v>0</v>
      </c>
      <c r="X25" s="76">
        <f t="shared" si="5"/>
        <v>0</v>
      </c>
      <c r="Y25" s="77" t="s">
        <v>43</v>
      </c>
      <c r="Z25" s="80">
        <f t="shared" si="0"/>
        <v>1</v>
      </c>
      <c r="AA25" s="105">
        <f t="shared" si="1"/>
        <v>105610321</v>
      </c>
      <c r="AB25" s="76"/>
      <c r="AC25" s="77" t="s">
        <v>43</v>
      </c>
      <c r="AD25" s="76"/>
      <c r="AE25" s="104"/>
      <c r="AH25" s="109">
        <f>M25+O25+Q25+S25</f>
        <v>0</v>
      </c>
    </row>
    <row r="26" spans="1:34" ht="79.5" customHeight="1">
      <c r="A26" s="21"/>
      <c r="B26" s="13"/>
      <c r="C26" s="22" t="s">
        <v>67</v>
      </c>
      <c r="D26" s="22" t="s">
        <v>68</v>
      </c>
      <c r="E26" s="31">
        <f t="shared" ref="E26:E30" si="6">12*3</f>
        <v>36</v>
      </c>
      <c r="F26" s="25" t="s">
        <v>69</v>
      </c>
      <c r="G26" s="33"/>
      <c r="H26" s="31">
        <v>24</v>
      </c>
      <c r="I26" s="26">
        <v>14950000</v>
      </c>
      <c r="J26" s="31">
        <v>12</v>
      </c>
      <c r="K26" s="26">
        <v>50000000</v>
      </c>
      <c r="L26" s="31">
        <v>3</v>
      </c>
      <c r="M26" s="26">
        <v>0</v>
      </c>
      <c r="N26" s="31"/>
      <c r="O26" s="26"/>
      <c r="P26" s="31"/>
      <c r="Q26" s="26"/>
      <c r="R26" s="31"/>
      <c r="S26" s="26"/>
      <c r="T26" s="85">
        <f t="shared" si="2"/>
        <v>3</v>
      </c>
      <c r="U26" s="86">
        <f t="shared" si="3"/>
        <v>25</v>
      </c>
      <c r="V26" s="87" t="s">
        <v>43</v>
      </c>
      <c r="W26" s="88">
        <f t="shared" si="4"/>
        <v>0</v>
      </c>
      <c r="X26" s="86">
        <f t="shared" si="5"/>
        <v>0</v>
      </c>
      <c r="Y26" s="87" t="s">
        <v>43</v>
      </c>
      <c r="Z26" s="85">
        <f t="shared" si="0"/>
        <v>27</v>
      </c>
      <c r="AA26" s="108">
        <f t="shared" si="1"/>
        <v>14950000</v>
      </c>
      <c r="AB26" s="86"/>
      <c r="AC26" s="87" t="s">
        <v>43</v>
      </c>
      <c r="AD26" s="86"/>
      <c r="AE26" s="104"/>
      <c r="AH26" s="109"/>
    </row>
    <row r="27" spans="1:34" ht="75">
      <c r="A27" s="21"/>
      <c r="B27" s="13"/>
      <c r="C27" s="22" t="s">
        <v>70</v>
      </c>
      <c r="D27" s="22" t="s">
        <v>71</v>
      </c>
      <c r="E27" s="31">
        <f t="shared" si="6"/>
        <v>36</v>
      </c>
      <c r="F27" s="25" t="s">
        <v>69</v>
      </c>
      <c r="G27" s="33"/>
      <c r="H27" s="31">
        <v>24</v>
      </c>
      <c r="I27" s="26">
        <v>9700000</v>
      </c>
      <c r="J27" s="31">
        <v>12</v>
      </c>
      <c r="K27" s="26">
        <v>28200000</v>
      </c>
      <c r="L27" s="31">
        <v>3</v>
      </c>
      <c r="M27" s="26">
        <v>0</v>
      </c>
      <c r="N27" s="31"/>
      <c r="O27" s="26"/>
      <c r="P27" s="31"/>
      <c r="Q27" s="26"/>
      <c r="R27" s="31"/>
      <c r="S27" s="26"/>
      <c r="T27" s="85">
        <f t="shared" si="2"/>
        <v>3</v>
      </c>
      <c r="U27" s="86">
        <f t="shared" si="3"/>
        <v>25</v>
      </c>
      <c r="V27" s="87" t="s">
        <v>43</v>
      </c>
      <c r="W27" s="88">
        <f t="shared" si="4"/>
        <v>0</v>
      </c>
      <c r="X27" s="86">
        <f t="shared" si="5"/>
        <v>0</v>
      </c>
      <c r="Y27" s="87" t="s">
        <v>43</v>
      </c>
      <c r="Z27" s="85">
        <f t="shared" si="0"/>
        <v>27</v>
      </c>
      <c r="AA27" s="108">
        <f t="shared" si="1"/>
        <v>9700000</v>
      </c>
      <c r="AB27" s="86"/>
      <c r="AC27" s="87" t="s">
        <v>43</v>
      </c>
      <c r="AD27" s="86"/>
      <c r="AE27" s="104"/>
      <c r="AH27" s="109"/>
    </row>
    <row r="28" spans="1:34" ht="105">
      <c r="A28" s="21"/>
      <c r="B28" s="13"/>
      <c r="C28" s="22" t="s">
        <v>72</v>
      </c>
      <c r="D28" s="22" t="s">
        <v>73</v>
      </c>
      <c r="E28" s="31">
        <f t="shared" si="6"/>
        <v>36</v>
      </c>
      <c r="F28" s="25" t="s">
        <v>69</v>
      </c>
      <c r="G28" s="33"/>
      <c r="H28" s="31">
        <v>24</v>
      </c>
      <c r="I28" s="26">
        <v>7350000</v>
      </c>
      <c r="J28" s="31">
        <v>12</v>
      </c>
      <c r="K28" s="26">
        <v>1399900</v>
      </c>
      <c r="L28" s="31">
        <v>3</v>
      </c>
      <c r="M28" s="18">
        <v>0</v>
      </c>
      <c r="N28" s="31"/>
      <c r="O28" s="18"/>
      <c r="P28" s="31"/>
      <c r="Q28" s="18"/>
      <c r="R28" s="31"/>
      <c r="S28" s="26"/>
      <c r="T28" s="85">
        <f t="shared" si="2"/>
        <v>3</v>
      </c>
      <c r="U28" s="86">
        <f t="shared" si="3"/>
        <v>25</v>
      </c>
      <c r="V28" s="87" t="s">
        <v>43</v>
      </c>
      <c r="W28" s="88">
        <f t="shared" si="4"/>
        <v>0</v>
      </c>
      <c r="X28" s="86">
        <f t="shared" si="5"/>
        <v>0</v>
      </c>
      <c r="Y28" s="87" t="s">
        <v>43</v>
      </c>
      <c r="Z28" s="85">
        <f t="shared" si="0"/>
        <v>27</v>
      </c>
      <c r="AA28" s="108">
        <f t="shared" si="1"/>
        <v>7350000</v>
      </c>
      <c r="AB28" s="86"/>
      <c r="AC28" s="87" t="s">
        <v>43</v>
      </c>
      <c r="AD28" s="76"/>
      <c r="AE28" s="104"/>
      <c r="AH28" s="109"/>
    </row>
    <row r="29" spans="1:34" ht="135">
      <c r="A29" s="21"/>
      <c r="B29" s="13"/>
      <c r="C29" s="22" t="s">
        <v>74</v>
      </c>
      <c r="D29" s="137" t="s">
        <v>75</v>
      </c>
      <c r="E29" s="31">
        <f t="shared" si="6"/>
        <v>36</v>
      </c>
      <c r="F29" s="32" t="s">
        <v>48</v>
      </c>
      <c r="G29" s="33"/>
      <c r="H29" s="31">
        <v>24</v>
      </c>
      <c r="I29" s="26">
        <v>4300000</v>
      </c>
      <c r="J29" s="31">
        <v>12</v>
      </c>
      <c r="K29" s="26">
        <v>4800000</v>
      </c>
      <c r="L29" s="31">
        <v>3</v>
      </c>
      <c r="M29" s="26">
        <v>0</v>
      </c>
      <c r="N29" s="31"/>
      <c r="O29" s="26"/>
      <c r="P29" s="31"/>
      <c r="Q29" s="26"/>
      <c r="R29" s="31"/>
      <c r="S29" s="26"/>
      <c r="T29" s="85">
        <f t="shared" si="2"/>
        <v>3</v>
      </c>
      <c r="U29" s="86">
        <f t="shared" si="3"/>
        <v>25</v>
      </c>
      <c r="V29" s="87" t="s">
        <v>43</v>
      </c>
      <c r="W29" s="88">
        <f t="shared" si="4"/>
        <v>0</v>
      </c>
      <c r="X29" s="86">
        <f t="shared" si="5"/>
        <v>0</v>
      </c>
      <c r="Y29" s="87" t="s">
        <v>43</v>
      </c>
      <c r="Z29" s="85">
        <f t="shared" si="0"/>
        <v>27</v>
      </c>
      <c r="AA29" s="108">
        <f t="shared" si="1"/>
        <v>4300000</v>
      </c>
      <c r="AB29" s="86"/>
      <c r="AC29" s="87" t="s">
        <v>43</v>
      </c>
      <c r="AD29" s="86"/>
      <c r="AE29" s="104"/>
      <c r="AH29" s="109"/>
    </row>
    <row r="30" spans="1:34" ht="120">
      <c r="A30" s="21"/>
      <c r="B30" s="13"/>
      <c r="C30" s="22" t="s">
        <v>76</v>
      </c>
      <c r="D30" s="138" t="s">
        <v>77</v>
      </c>
      <c r="E30" s="31">
        <f t="shared" si="6"/>
        <v>36</v>
      </c>
      <c r="F30" s="32" t="s">
        <v>53</v>
      </c>
      <c r="G30" s="33"/>
      <c r="H30" s="31">
        <v>24</v>
      </c>
      <c r="I30" s="26">
        <v>69310321</v>
      </c>
      <c r="J30" s="31">
        <v>12</v>
      </c>
      <c r="K30" s="26">
        <v>90000000</v>
      </c>
      <c r="L30" s="31">
        <v>3</v>
      </c>
      <c r="M30" s="26">
        <v>0</v>
      </c>
      <c r="N30" s="31"/>
      <c r="O30" s="26"/>
      <c r="P30" s="31"/>
      <c r="Q30" s="26"/>
      <c r="R30" s="31"/>
      <c r="S30" s="26"/>
      <c r="T30" s="85">
        <f t="shared" si="2"/>
        <v>3</v>
      </c>
      <c r="U30" s="86">
        <f t="shared" si="3"/>
        <v>25</v>
      </c>
      <c r="V30" s="87" t="s">
        <v>43</v>
      </c>
      <c r="W30" s="88">
        <f t="shared" si="4"/>
        <v>0</v>
      </c>
      <c r="X30" s="86">
        <f t="shared" si="5"/>
        <v>0</v>
      </c>
      <c r="Y30" s="87" t="s">
        <v>43</v>
      </c>
      <c r="Z30" s="85">
        <f t="shared" si="0"/>
        <v>27</v>
      </c>
      <c r="AA30" s="108">
        <f t="shared" si="1"/>
        <v>69310321</v>
      </c>
      <c r="AB30" s="86"/>
      <c r="AC30" s="87" t="s">
        <v>43</v>
      </c>
      <c r="AD30" s="86"/>
      <c r="AE30" s="104"/>
      <c r="AH30" s="109"/>
    </row>
    <row r="31" spans="1:34" ht="123.75" customHeight="1">
      <c r="A31" s="21"/>
      <c r="B31" s="13"/>
      <c r="C31" s="14" t="s">
        <v>78</v>
      </c>
      <c r="D31" s="14" t="s">
        <v>79</v>
      </c>
      <c r="E31" s="28">
        <v>100</v>
      </c>
      <c r="F31" s="29" t="s">
        <v>43</v>
      </c>
      <c r="G31" s="18">
        <f>SUM(G32)</f>
        <v>0</v>
      </c>
      <c r="H31" s="28">
        <v>200</v>
      </c>
      <c r="I31" s="18">
        <f>SUM(I32)</f>
        <v>26071000</v>
      </c>
      <c r="J31" s="28">
        <v>100</v>
      </c>
      <c r="K31" s="18">
        <f>SUM(K32)</f>
        <v>31720100</v>
      </c>
      <c r="L31" s="16">
        <v>25</v>
      </c>
      <c r="M31" s="18">
        <f>SUM(M32)</f>
        <v>0</v>
      </c>
      <c r="N31" s="16"/>
      <c r="O31" s="18"/>
      <c r="P31" s="16"/>
      <c r="Q31" s="18"/>
      <c r="R31" s="16"/>
      <c r="S31" s="18"/>
      <c r="T31" s="80">
        <f t="shared" si="2"/>
        <v>25</v>
      </c>
      <c r="U31" s="76">
        <f t="shared" si="3"/>
        <v>25</v>
      </c>
      <c r="V31" s="77" t="s">
        <v>43</v>
      </c>
      <c r="W31" s="78">
        <f t="shared" si="4"/>
        <v>0</v>
      </c>
      <c r="X31" s="76">
        <f t="shared" si="5"/>
        <v>0</v>
      </c>
      <c r="Y31" s="77" t="s">
        <v>43</v>
      </c>
      <c r="Z31" s="80">
        <f t="shared" si="0"/>
        <v>225</v>
      </c>
      <c r="AA31" s="105">
        <f t="shared" si="1"/>
        <v>26071000</v>
      </c>
      <c r="AB31" s="76"/>
      <c r="AC31" s="77" t="s">
        <v>43</v>
      </c>
      <c r="AD31" s="76"/>
      <c r="AE31" s="104"/>
      <c r="AH31" s="109"/>
    </row>
    <row r="32" spans="1:34" ht="120">
      <c r="A32" s="21"/>
      <c r="B32" s="13"/>
      <c r="C32" s="22" t="s">
        <v>80</v>
      </c>
      <c r="D32" s="22" t="s">
        <v>81</v>
      </c>
      <c r="E32" s="31">
        <f>12*3</f>
        <v>36</v>
      </c>
      <c r="F32" s="25" t="s">
        <v>82</v>
      </c>
      <c r="G32" s="33"/>
      <c r="H32" s="31">
        <v>24</v>
      </c>
      <c r="I32" s="26">
        <v>26071000</v>
      </c>
      <c r="J32" s="31">
        <v>12</v>
      </c>
      <c r="K32" s="26">
        <v>31720100</v>
      </c>
      <c r="L32" s="31">
        <v>3</v>
      </c>
      <c r="M32" s="26">
        <v>0</v>
      </c>
      <c r="N32" s="31"/>
      <c r="O32" s="26"/>
      <c r="P32" s="31"/>
      <c r="Q32" s="26"/>
      <c r="R32" s="31"/>
      <c r="S32" s="26"/>
      <c r="T32" s="85">
        <f t="shared" si="2"/>
        <v>3</v>
      </c>
      <c r="U32" s="86">
        <f t="shared" si="3"/>
        <v>25</v>
      </c>
      <c r="V32" s="87" t="s">
        <v>43</v>
      </c>
      <c r="W32" s="88">
        <f t="shared" si="4"/>
        <v>0</v>
      </c>
      <c r="X32" s="86">
        <f t="shared" si="5"/>
        <v>0</v>
      </c>
      <c r="Y32" s="87" t="s">
        <v>43</v>
      </c>
      <c r="Z32" s="85">
        <f t="shared" si="0"/>
        <v>27</v>
      </c>
      <c r="AA32" s="108">
        <f t="shared" si="1"/>
        <v>26071000</v>
      </c>
      <c r="AB32" s="86"/>
      <c r="AC32" s="87" t="s">
        <v>43</v>
      </c>
      <c r="AD32" s="86"/>
      <c r="AE32" s="104"/>
      <c r="AH32" s="109"/>
    </row>
    <row r="33" spans="1:34" ht="109.5" customHeight="1">
      <c r="A33" s="21"/>
      <c r="B33" s="13"/>
      <c r="C33" s="14" t="s">
        <v>83</v>
      </c>
      <c r="D33" s="14" t="s">
        <v>79</v>
      </c>
      <c r="E33" s="28">
        <v>100</v>
      </c>
      <c r="F33" s="29" t="s">
        <v>43</v>
      </c>
      <c r="G33" s="18">
        <f>SUM(G34:G35)</f>
        <v>0</v>
      </c>
      <c r="H33" s="28">
        <v>200</v>
      </c>
      <c r="I33" s="18">
        <f>SUM(I34:I35)</f>
        <v>76285840</v>
      </c>
      <c r="J33" s="28">
        <v>100</v>
      </c>
      <c r="K33" s="18">
        <f>SUM(K34:K35)</f>
        <v>97796188</v>
      </c>
      <c r="L33" s="16">
        <v>25</v>
      </c>
      <c r="M33" s="18">
        <f>SUM(M34:M35)</f>
        <v>0</v>
      </c>
      <c r="N33" s="16"/>
      <c r="O33" s="18"/>
      <c r="P33" s="16"/>
      <c r="Q33" s="18"/>
      <c r="R33" s="16"/>
      <c r="S33" s="18"/>
      <c r="T33" s="80">
        <f t="shared" si="2"/>
        <v>25</v>
      </c>
      <c r="U33" s="76">
        <f t="shared" si="3"/>
        <v>25</v>
      </c>
      <c r="V33" s="77" t="s">
        <v>43</v>
      </c>
      <c r="W33" s="78">
        <f t="shared" si="4"/>
        <v>0</v>
      </c>
      <c r="X33" s="76">
        <f t="shared" si="5"/>
        <v>0</v>
      </c>
      <c r="Y33" s="77" t="s">
        <v>43</v>
      </c>
      <c r="Z33" s="80">
        <f t="shared" si="0"/>
        <v>225</v>
      </c>
      <c r="AA33" s="105">
        <f t="shared" si="1"/>
        <v>76285840</v>
      </c>
      <c r="AB33" s="76"/>
      <c r="AC33" s="77" t="s">
        <v>43</v>
      </c>
      <c r="AD33" s="76"/>
      <c r="AE33" s="104"/>
      <c r="AH33" s="109"/>
    </row>
    <row r="34" spans="1:34" ht="75">
      <c r="A34" s="21"/>
      <c r="B34" s="13"/>
      <c r="C34" s="22" t="s">
        <v>84</v>
      </c>
      <c r="D34" s="22" t="s">
        <v>85</v>
      </c>
      <c r="E34" s="31">
        <f t="shared" ref="E34:E35" si="7">12*3</f>
        <v>36</v>
      </c>
      <c r="F34" s="25" t="s">
        <v>53</v>
      </c>
      <c r="G34" s="33"/>
      <c r="H34" s="31">
        <v>24</v>
      </c>
      <c r="I34" s="26">
        <v>73485840</v>
      </c>
      <c r="J34" s="31">
        <v>12</v>
      </c>
      <c r="K34" s="26">
        <v>40846188</v>
      </c>
      <c r="L34" s="31">
        <v>3</v>
      </c>
      <c r="M34" s="26">
        <v>0</v>
      </c>
      <c r="N34" s="31"/>
      <c r="O34" s="26"/>
      <c r="P34" s="31"/>
      <c r="Q34" s="26"/>
      <c r="R34" s="31"/>
      <c r="S34" s="26"/>
      <c r="T34" s="85">
        <f t="shared" si="2"/>
        <v>3</v>
      </c>
      <c r="U34" s="86">
        <f t="shared" si="3"/>
        <v>25</v>
      </c>
      <c r="V34" s="87" t="s">
        <v>43</v>
      </c>
      <c r="W34" s="88">
        <f t="shared" si="4"/>
        <v>0</v>
      </c>
      <c r="X34" s="86">
        <f t="shared" si="5"/>
        <v>0</v>
      </c>
      <c r="Y34" s="87" t="s">
        <v>43</v>
      </c>
      <c r="Z34" s="85">
        <f t="shared" si="0"/>
        <v>27</v>
      </c>
      <c r="AA34" s="108">
        <f t="shared" si="1"/>
        <v>73485840</v>
      </c>
      <c r="AB34" s="86"/>
      <c r="AC34" s="87" t="s">
        <v>43</v>
      </c>
      <c r="AD34" s="86"/>
      <c r="AE34" s="104"/>
      <c r="AH34" s="109"/>
    </row>
    <row r="35" spans="1:34" ht="135">
      <c r="A35" s="21"/>
      <c r="B35" s="13"/>
      <c r="C35" s="22" t="s">
        <v>86</v>
      </c>
      <c r="D35" s="22" t="s">
        <v>87</v>
      </c>
      <c r="E35" s="31">
        <f t="shared" si="7"/>
        <v>36</v>
      </c>
      <c r="F35" s="25" t="s">
        <v>53</v>
      </c>
      <c r="G35" s="18"/>
      <c r="H35" s="31">
        <v>24</v>
      </c>
      <c r="I35" s="26">
        <v>2800000</v>
      </c>
      <c r="J35" s="31">
        <v>12</v>
      </c>
      <c r="K35" s="26">
        <v>56950000</v>
      </c>
      <c r="L35" s="31">
        <v>3</v>
      </c>
      <c r="M35" s="18">
        <v>0</v>
      </c>
      <c r="N35" s="31"/>
      <c r="O35" s="26"/>
      <c r="P35" s="31"/>
      <c r="Q35" s="26"/>
      <c r="R35" s="31"/>
      <c r="S35" s="26"/>
      <c r="T35" s="85">
        <f t="shared" si="2"/>
        <v>3</v>
      </c>
      <c r="U35" s="86">
        <f t="shared" si="3"/>
        <v>25</v>
      </c>
      <c r="V35" s="87" t="s">
        <v>43</v>
      </c>
      <c r="W35" s="88">
        <f t="shared" si="4"/>
        <v>0</v>
      </c>
      <c r="X35" s="86">
        <f t="shared" si="5"/>
        <v>0</v>
      </c>
      <c r="Y35" s="87" t="s">
        <v>43</v>
      </c>
      <c r="Z35" s="85">
        <f t="shared" si="0"/>
        <v>27</v>
      </c>
      <c r="AA35" s="108">
        <f t="shared" si="1"/>
        <v>2800000</v>
      </c>
      <c r="AB35" s="86"/>
      <c r="AC35" s="87" t="s">
        <v>43</v>
      </c>
      <c r="AD35" s="86"/>
      <c r="AE35" s="104"/>
      <c r="AH35" s="109"/>
    </row>
    <row r="36" spans="1:34" ht="125.25" customHeight="1">
      <c r="A36" s="21"/>
      <c r="B36" s="13"/>
      <c r="C36" s="14" t="s">
        <v>88</v>
      </c>
      <c r="D36" s="14" t="s">
        <v>79</v>
      </c>
      <c r="E36" s="28">
        <v>100</v>
      </c>
      <c r="F36" s="29" t="s">
        <v>43</v>
      </c>
      <c r="G36" s="18">
        <f>SUM(G37:G39)</f>
        <v>0</v>
      </c>
      <c r="H36" s="28">
        <v>200</v>
      </c>
      <c r="I36" s="18">
        <f>SUM(I37:I39)</f>
        <v>62025439</v>
      </c>
      <c r="J36" s="28">
        <v>100</v>
      </c>
      <c r="K36" s="18">
        <f>SUM(K37:K39)</f>
        <v>87750000</v>
      </c>
      <c r="L36" s="16">
        <v>25</v>
      </c>
      <c r="M36" s="18">
        <f>SUM(M37:M39)</f>
        <v>0</v>
      </c>
      <c r="N36" s="16"/>
      <c r="O36" s="18"/>
      <c r="P36" s="16"/>
      <c r="Q36" s="18"/>
      <c r="R36" s="16"/>
      <c r="S36" s="18"/>
      <c r="T36" s="80">
        <f t="shared" si="2"/>
        <v>25</v>
      </c>
      <c r="U36" s="76">
        <f t="shared" si="3"/>
        <v>25</v>
      </c>
      <c r="V36" s="77" t="s">
        <v>43</v>
      </c>
      <c r="W36" s="78">
        <f t="shared" si="4"/>
        <v>0</v>
      </c>
      <c r="X36" s="76">
        <f t="shared" si="5"/>
        <v>0</v>
      </c>
      <c r="Y36" s="77" t="s">
        <v>43</v>
      </c>
      <c r="Z36" s="80">
        <f t="shared" si="0"/>
        <v>225</v>
      </c>
      <c r="AA36" s="105">
        <f t="shared" si="1"/>
        <v>62025439</v>
      </c>
      <c r="AB36" s="76"/>
      <c r="AC36" s="77" t="s">
        <v>43</v>
      </c>
      <c r="AD36" s="76"/>
      <c r="AE36" s="104"/>
      <c r="AH36" s="109"/>
    </row>
    <row r="37" spans="1:34" ht="169.5" customHeight="1">
      <c r="A37" s="21"/>
      <c r="B37" s="13"/>
      <c r="C37" s="22" t="s">
        <v>89</v>
      </c>
      <c r="D37" s="22" t="s">
        <v>90</v>
      </c>
      <c r="E37" s="31">
        <f t="shared" ref="E37:E39" si="8">12*3</f>
        <v>36</v>
      </c>
      <c r="F37" s="25" t="s">
        <v>82</v>
      </c>
      <c r="G37" s="18"/>
      <c r="H37" s="31">
        <v>24</v>
      </c>
      <c r="I37" s="26">
        <v>44423060</v>
      </c>
      <c r="J37" s="31">
        <v>12</v>
      </c>
      <c r="K37" s="26">
        <v>68000000</v>
      </c>
      <c r="L37" s="31">
        <v>3</v>
      </c>
      <c r="M37" s="26">
        <v>0</v>
      </c>
      <c r="N37" s="31"/>
      <c r="O37" s="26"/>
      <c r="P37" s="31"/>
      <c r="Q37" s="26"/>
      <c r="R37" s="31"/>
      <c r="S37" s="26"/>
      <c r="T37" s="86">
        <f t="shared" si="2"/>
        <v>3</v>
      </c>
      <c r="U37" s="86">
        <f t="shared" si="3"/>
        <v>25</v>
      </c>
      <c r="V37" s="87" t="s">
        <v>43</v>
      </c>
      <c r="W37" s="88">
        <f t="shared" si="4"/>
        <v>0</v>
      </c>
      <c r="X37" s="86">
        <f t="shared" si="5"/>
        <v>0</v>
      </c>
      <c r="Y37" s="87" t="s">
        <v>43</v>
      </c>
      <c r="Z37" s="86">
        <f t="shared" si="0"/>
        <v>27</v>
      </c>
      <c r="AA37" s="108">
        <f t="shared" si="1"/>
        <v>44423060</v>
      </c>
      <c r="AB37" s="86"/>
      <c r="AC37" s="87" t="s">
        <v>43</v>
      </c>
      <c r="AD37" s="76"/>
      <c r="AE37" s="104"/>
      <c r="AH37" s="109"/>
    </row>
    <row r="38" spans="1:34" ht="105">
      <c r="A38" s="21"/>
      <c r="B38" s="13"/>
      <c r="C38" s="22" t="s">
        <v>91</v>
      </c>
      <c r="D38" s="22" t="s">
        <v>92</v>
      </c>
      <c r="E38" s="31"/>
      <c r="F38" s="25" t="s">
        <v>82</v>
      </c>
      <c r="G38" s="33"/>
      <c r="H38" s="31"/>
      <c r="I38" s="26"/>
      <c r="J38" s="31">
        <v>12</v>
      </c>
      <c r="K38" s="26">
        <v>19750000</v>
      </c>
      <c r="L38" s="31">
        <v>3</v>
      </c>
      <c r="M38" s="26">
        <v>0</v>
      </c>
      <c r="N38" s="31"/>
      <c r="O38" s="26"/>
      <c r="P38" s="31"/>
      <c r="Q38" s="26"/>
      <c r="R38" s="31"/>
      <c r="S38" s="26"/>
      <c r="T38" s="85">
        <f t="shared" si="2"/>
        <v>3</v>
      </c>
      <c r="U38" s="86">
        <f t="shared" si="3"/>
        <v>25</v>
      </c>
      <c r="V38" s="87" t="s">
        <v>43</v>
      </c>
      <c r="W38" s="88">
        <f t="shared" si="4"/>
        <v>0</v>
      </c>
      <c r="X38" s="86">
        <f t="shared" si="5"/>
        <v>0</v>
      </c>
      <c r="Y38" s="87" t="s">
        <v>43</v>
      </c>
      <c r="Z38" s="85">
        <f t="shared" si="0"/>
        <v>3</v>
      </c>
      <c r="AA38" s="108">
        <f t="shared" si="1"/>
        <v>0</v>
      </c>
      <c r="AB38" s="86"/>
      <c r="AC38" s="87" t="s">
        <v>43</v>
      </c>
      <c r="AD38" s="86"/>
      <c r="AE38" s="104"/>
      <c r="AH38" s="109"/>
    </row>
    <row r="39" spans="1:34" ht="135">
      <c r="A39" s="21"/>
      <c r="B39" s="13"/>
      <c r="C39" s="27" t="s">
        <v>93</v>
      </c>
      <c r="D39" s="27" t="s">
        <v>94</v>
      </c>
      <c r="E39" s="31">
        <f t="shared" si="8"/>
        <v>36</v>
      </c>
      <c r="F39" s="25" t="s">
        <v>82</v>
      </c>
      <c r="G39" s="33"/>
      <c r="H39" s="31">
        <v>24</v>
      </c>
      <c r="I39" s="26">
        <v>17602379</v>
      </c>
      <c r="J39" s="31"/>
      <c r="K39" s="26"/>
      <c r="L39" s="31"/>
      <c r="M39" s="26"/>
      <c r="N39" s="31"/>
      <c r="O39" s="26"/>
      <c r="P39" s="31"/>
      <c r="Q39" s="26"/>
      <c r="R39" s="31"/>
      <c r="S39" s="26"/>
      <c r="T39" s="85"/>
      <c r="U39" s="86"/>
      <c r="V39" s="87"/>
      <c r="W39" s="88"/>
      <c r="X39" s="86"/>
      <c r="Y39" s="87"/>
      <c r="Z39" s="85">
        <f t="shared" si="0"/>
        <v>24</v>
      </c>
      <c r="AA39" s="108">
        <f t="shared" si="1"/>
        <v>17602379</v>
      </c>
      <c r="AB39" s="86"/>
      <c r="AC39" s="87" t="s">
        <v>43</v>
      </c>
      <c r="AD39" s="86"/>
      <c r="AE39" s="104"/>
      <c r="AH39" s="109"/>
    </row>
    <row r="40" spans="1:34" ht="78.75">
      <c r="A40" s="21"/>
      <c r="B40" s="13"/>
      <c r="C40" s="14" t="s">
        <v>95</v>
      </c>
      <c r="D40" s="15" t="s">
        <v>96</v>
      </c>
      <c r="E40" s="38">
        <f>E41</f>
        <v>41.428571428571431</v>
      </c>
      <c r="F40" s="39" t="s">
        <v>43</v>
      </c>
      <c r="G40" s="18">
        <f>SUM(G41)</f>
        <v>1065711650</v>
      </c>
      <c r="H40" s="38">
        <v>32.396839332748002</v>
      </c>
      <c r="I40" s="18">
        <v>316555200</v>
      </c>
      <c r="J40" s="38">
        <f>J41</f>
        <v>37.401229148375769</v>
      </c>
      <c r="K40" s="18">
        <f>SUM(K41)</f>
        <v>202019700</v>
      </c>
      <c r="L40" s="38">
        <f>L41</f>
        <v>0</v>
      </c>
      <c r="M40" s="18">
        <f>SUM(M41)</f>
        <v>0</v>
      </c>
      <c r="N40" s="38"/>
      <c r="O40" s="18"/>
      <c r="P40" s="38"/>
      <c r="Q40" s="18"/>
      <c r="R40" s="38"/>
      <c r="S40" s="18"/>
      <c r="T40" s="76">
        <f t="shared" ref="T40:T68" si="9">SUM(L40,N40,P40,R40)</f>
        <v>0</v>
      </c>
      <c r="U40" s="76">
        <f>Z40/J40*100</f>
        <v>86.619718309859095</v>
      </c>
      <c r="V40" s="77" t="s">
        <v>43</v>
      </c>
      <c r="W40" s="78">
        <f t="shared" ref="W40:W68" si="10">SUM(M40,O40,Q40,S40)</f>
        <v>0</v>
      </c>
      <c r="X40" s="76">
        <f t="shared" ref="X40:X68" si="11">W40/K40*100</f>
        <v>0</v>
      </c>
      <c r="Y40" s="77" t="s">
        <v>43</v>
      </c>
      <c r="Z40" s="76">
        <f t="shared" si="0"/>
        <v>32.396839332748002</v>
      </c>
      <c r="AA40" s="105">
        <f t="shared" si="1"/>
        <v>316555200</v>
      </c>
      <c r="AB40" s="76"/>
      <c r="AC40" s="77" t="s">
        <v>43</v>
      </c>
      <c r="AD40" s="76"/>
      <c r="AE40" s="104"/>
      <c r="AH40" s="109"/>
    </row>
    <row r="41" spans="1:34" ht="135.75" customHeight="1">
      <c r="A41" s="21"/>
      <c r="B41" s="13"/>
      <c r="C41" s="14" t="s">
        <v>97</v>
      </c>
      <c r="D41" s="14" t="s">
        <v>98</v>
      </c>
      <c r="E41" s="38">
        <f>(350+85)/1050*100</f>
        <v>41.428571428571431</v>
      </c>
      <c r="F41" s="39" t="s">
        <v>43</v>
      </c>
      <c r="G41" s="18">
        <f>SUM(G42:G43)</f>
        <v>1065711650</v>
      </c>
      <c r="H41" s="38">
        <v>32.396839332748002</v>
      </c>
      <c r="I41" s="18">
        <v>316555200</v>
      </c>
      <c r="J41" s="38">
        <f>(350+76)/1139*100</f>
        <v>37.401229148375769</v>
      </c>
      <c r="K41" s="18">
        <f>SUM(K42:K43)</f>
        <v>202019700</v>
      </c>
      <c r="L41" s="38">
        <v>0</v>
      </c>
      <c r="M41" s="18">
        <f>SUM(M42:M43)</f>
        <v>0</v>
      </c>
      <c r="N41" s="38"/>
      <c r="O41" s="18"/>
      <c r="P41" s="38"/>
      <c r="Q41" s="18"/>
      <c r="R41" s="38"/>
      <c r="S41" s="18"/>
      <c r="T41" s="76">
        <f t="shared" si="9"/>
        <v>0</v>
      </c>
      <c r="U41" s="76">
        <f>Z41/J41*100</f>
        <v>86.619718309859095</v>
      </c>
      <c r="V41" s="77" t="s">
        <v>43</v>
      </c>
      <c r="W41" s="78">
        <f t="shared" si="10"/>
        <v>0</v>
      </c>
      <c r="X41" s="76">
        <f t="shared" si="11"/>
        <v>0</v>
      </c>
      <c r="Y41" s="77" t="s">
        <v>43</v>
      </c>
      <c r="Z41" s="76">
        <f t="shared" si="0"/>
        <v>32.396839332748002</v>
      </c>
      <c r="AA41" s="105">
        <f t="shared" si="1"/>
        <v>316555200</v>
      </c>
      <c r="AB41" s="76"/>
      <c r="AC41" s="77" t="s">
        <v>43</v>
      </c>
      <c r="AD41" s="76"/>
      <c r="AE41" s="104"/>
      <c r="AH41" s="109"/>
    </row>
    <row r="42" spans="1:34" ht="139.5" customHeight="1">
      <c r="A42" s="21"/>
      <c r="B42" s="13"/>
      <c r="C42" s="22" t="s">
        <v>99</v>
      </c>
      <c r="D42" s="22" t="s">
        <v>100</v>
      </c>
      <c r="E42" s="24">
        <f>66+56+40</f>
        <v>162</v>
      </c>
      <c r="F42" s="42" t="s">
        <v>58</v>
      </c>
      <c r="G42" s="26">
        <f>308480350*3</f>
        <v>925441050</v>
      </c>
      <c r="H42" s="31">
        <v>20</v>
      </c>
      <c r="I42" s="26">
        <v>280624600</v>
      </c>
      <c r="J42" s="24">
        <v>66</v>
      </c>
      <c r="K42" s="26">
        <v>150089850</v>
      </c>
      <c r="L42" s="24">
        <v>0</v>
      </c>
      <c r="M42" s="26">
        <v>0</v>
      </c>
      <c r="N42" s="24"/>
      <c r="O42" s="26"/>
      <c r="P42" s="24"/>
      <c r="Q42" s="26"/>
      <c r="R42" s="24"/>
      <c r="S42" s="26"/>
      <c r="T42" s="85">
        <f t="shared" si="9"/>
        <v>0</v>
      </c>
      <c r="U42" s="86">
        <f>T42/J42*100</f>
        <v>0</v>
      </c>
      <c r="V42" s="87" t="s">
        <v>43</v>
      </c>
      <c r="W42" s="88">
        <f t="shared" si="10"/>
        <v>0</v>
      </c>
      <c r="X42" s="86">
        <f t="shared" si="11"/>
        <v>0</v>
      </c>
      <c r="Y42" s="87" t="s">
        <v>43</v>
      </c>
      <c r="Z42" s="85">
        <f t="shared" si="0"/>
        <v>20</v>
      </c>
      <c r="AA42" s="108">
        <f t="shared" si="1"/>
        <v>280624600</v>
      </c>
      <c r="AB42" s="86"/>
      <c r="AC42" s="87" t="s">
        <v>43</v>
      </c>
      <c r="AD42" s="86"/>
      <c r="AE42" s="104"/>
      <c r="AH42" s="109"/>
    </row>
    <row r="43" spans="1:34" ht="240">
      <c r="A43" s="21"/>
      <c r="B43" s="13"/>
      <c r="C43" s="22" t="s">
        <v>101</v>
      </c>
      <c r="D43" s="22" t="s">
        <v>102</v>
      </c>
      <c r="E43" s="24">
        <f>20*3</f>
        <v>60</v>
      </c>
      <c r="F43" s="42" t="s">
        <v>103</v>
      </c>
      <c r="G43" s="26">
        <f>36410600+51930000+51930000</f>
        <v>140270600</v>
      </c>
      <c r="H43" s="31">
        <v>0</v>
      </c>
      <c r="I43" s="26">
        <v>35930600</v>
      </c>
      <c r="J43" s="24">
        <v>20</v>
      </c>
      <c r="K43" s="26">
        <v>51929850</v>
      </c>
      <c r="L43" s="24">
        <v>0</v>
      </c>
      <c r="M43" s="26">
        <v>0</v>
      </c>
      <c r="N43" s="24"/>
      <c r="O43" s="26"/>
      <c r="P43" s="24"/>
      <c r="Q43" s="26"/>
      <c r="R43" s="24"/>
      <c r="S43" s="26"/>
      <c r="T43" s="85">
        <f t="shared" si="9"/>
        <v>0</v>
      </c>
      <c r="U43" s="86">
        <f>T43/J43*100</f>
        <v>0</v>
      </c>
      <c r="V43" s="87" t="s">
        <v>43</v>
      </c>
      <c r="W43" s="88">
        <f t="shared" si="10"/>
        <v>0</v>
      </c>
      <c r="X43" s="86">
        <f t="shared" si="11"/>
        <v>0</v>
      </c>
      <c r="Y43" s="87" t="s">
        <v>43</v>
      </c>
      <c r="Z43" s="85">
        <f t="shared" si="0"/>
        <v>0</v>
      </c>
      <c r="AA43" s="108">
        <f t="shared" si="1"/>
        <v>35930600</v>
      </c>
      <c r="AB43" s="86"/>
      <c r="AC43" s="87" t="s">
        <v>43</v>
      </c>
      <c r="AD43" s="86"/>
      <c r="AE43" s="104"/>
      <c r="AH43" s="109"/>
    </row>
    <row r="44" spans="1:34" ht="63">
      <c r="A44" s="12">
        <v>14</v>
      </c>
      <c r="B44" s="19" t="s">
        <v>104</v>
      </c>
      <c r="C44" s="14" t="s">
        <v>105</v>
      </c>
      <c r="D44" s="15" t="s">
        <v>96</v>
      </c>
      <c r="E44" s="38">
        <f>E40</f>
        <v>41.428571428571431</v>
      </c>
      <c r="F44" s="39" t="s">
        <v>43</v>
      </c>
      <c r="G44" s="18">
        <f>SUM(G45)</f>
        <v>106684780</v>
      </c>
      <c r="H44" s="38">
        <v>32.396839332748002</v>
      </c>
      <c r="I44" s="18">
        <f>SUM(I45)</f>
        <v>27886500</v>
      </c>
      <c r="J44" s="38">
        <f>J40</f>
        <v>37.401229148375769</v>
      </c>
      <c r="K44" s="18">
        <f>SUM(K45)</f>
        <v>38577100</v>
      </c>
      <c r="L44" s="38">
        <f>L40</f>
        <v>0</v>
      </c>
      <c r="M44" s="18">
        <f>SUM(M45)</f>
        <v>0</v>
      </c>
      <c r="N44" s="38"/>
      <c r="O44" s="18"/>
      <c r="P44" s="38"/>
      <c r="Q44" s="18"/>
      <c r="R44" s="38"/>
      <c r="S44" s="18"/>
      <c r="T44" s="76">
        <f t="shared" si="9"/>
        <v>0</v>
      </c>
      <c r="U44" s="76">
        <f>Z44/J44*100</f>
        <v>86.619718309859095</v>
      </c>
      <c r="V44" s="77" t="s">
        <v>43</v>
      </c>
      <c r="W44" s="78">
        <f t="shared" si="10"/>
        <v>0</v>
      </c>
      <c r="X44" s="76">
        <f t="shared" si="11"/>
        <v>0</v>
      </c>
      <c r="Y44" s="77" t="s">
        <v>43</v>
      </c>
      <c r="Z44" s="76">
        <f t="shared" si="0"/>
        <v>32.396839332748002</v>
      </c>
      <c r="AA44" s="105">
        <f t="shared" si="1"/>
        <v>27886500</v>
      </c>
      <c r="AB44" s="76"/>
      <c r="AC44" s="77" t="s">
        <v>43</v>
      </c>
      <c r="AD44" s="76"/>
      <c r="AE44" s="104"/>
      <c r="AH44" s="109"/>
    </row>
    <row r="45" spans="1:34" ht="78.75">
      <c r="A45" s="21"/>
      <c r="B45" s="13"/>
      <c r="C45" s="14" t="s">
        <v>106</v>
      </c>
      <c r="D45" s="15" t="s">
        <v>107</v>
      </c>
      <c r="E45" s="43">
        <f>E46</f>
        <v>60</v>
      </c>
      <c r="F45" s="39" t="s">
        <v>58</v>
      </c>
      <c r="G45" s="18">
        <f>SUM(G46)</f>
        <v>106684780</v>
      </c>
      <c r="H45" s="43">
        <v>0</v>
      </c>
      <c r="I45" s="18">
        <f>SUM(I46)</f>
        <v>27886500</v>
      </c>
      <c r="J45" s="43">
        <f>J46</f>
        <v>20</v>
      </c>
      <c r="K45" s="18">
        <f>SUM(K46)</f>
        <v>38577100</v>
      </c>
      <c r="L45" s="16">
        <v>0</v>
      </c>
      <c r="M45" s="18">
        <f>SUM(M46)</f>
        <v>0</v>
      </c>
      <c r="N45" s="16"/>
      <c r="O45" s="18"/>
      <c r="P45" s="16"/>
      <c r="Q45" s="18"/>
      <c r="R45" s="16"/>
      <c r="S45" s="18"/>
      <c r="T45" s="80">
        <f t="shared" si="9"/>
        <v>0</v>
      </c>
      <c r="U45" s="76">
        <f>T45/J45*100</f>
        <v>0</v>
      </c>
      <c r="V45" s="77" t="s">
        <v>43</v>
      </c>
      <c r="W45" s="78">
        <f t="shared" si="10"/>
        <v>0</v>
      </c>
      <c r="X45" s="76">
        <f t="shared" si="11"/>
        <v>0</v>
      </c>
      <c r="Y45" s="77" t="s">
        <v>43</v>
      </c>
      <c r="Z45" s="80">
        <f t="shared" si="0"/>
        <v>0</v>
      </c>
      <c r="AA45" s="105">
        <f t="shared" si="1"/>
        <v>27886500</v>
      </c>
      <c r="AB45" s="76"/>
      <c r="AC45" s="77" t="s">
        <v>43</v>
      </c>
      <c r="AD45" s="76"/>
      <c r="AE45" s="104"/>
      <c r="AH45" s="109"/>
    </row>
    <row r="46" spans="1:34" ht="165">
      <c r="A46" s="21"/>
      <c r="B46" s="13"/>
      <c r="C46" s="22" t="s">
        <v>108</v>
      </c>
      <c r="D46" s="22" t="s">
        <v>109</v>
      </c>
      <c r="E46" s="24">
        <f>20*3</f>
        <v>60</v>
      </c>
      <c r="F46" s="25" t="s">
        <v>58</v>
      </c>
      <c r="G46" s="26">
        <f>29530500+38577140+38577140</f>
        <v>106684780</v>
      </c>
      <c r="H46" s="31">
        <v>0</v>
      </c>
      <c r="I46" s="26">
        <v>27886500</v>
      </c>
      <c r="J46" s="24">
        <v>20</v>
      </c>
      <c r="K46" s="26">
        <v>38577100</v>
      </c>
      <c r="L46" s="24">
        <v>0</v>
      </c>
      <c r="M46" s="26">
        <v>0</v>
      </c>
      <c r="N46" s="24"/>
      <c r="O46" s="26"/>
      <c r="P46" s="24"/>
      <c r="Q46" s="26"/>
      <c r="R46" s="24"/>
      <c r="S46" s="26"/>
      <c r="T46" s="85">
        <f t="shared" si="9"/>
        <v>0</v>
      </c>
      <c r="U46" s="86">
        <f>T46/J46*100</f>
        <v>0</v>
      </c>
      <c r="V46" s="87" t="s">
        <v>43</v>
      </c>
      <c r="W46" s="88">
        <f t="shared" si="10"/>
        <v>0</v>
      </c>
      <c r="X46" s="86">
        <f t="shared" si="11"/>
        <v>0</v>
      </c>
      <c r="Y46" s="87" t="s">
        <v>43</v>
      </c>
      <c r="Z46" s="85">
        <f t="shared" si="0"/>
        <v>0</v>
      </c>
      <c r="AA46" s="108">
        <f t="shared" si="1"/>
        <v>27886500</v>
      </c>
      <c r="AB46" s="86"/>
      <c r="AC46" s="87" t="s">
        <v>43</v>
      </c>
      <c r="AD46" s="86"/>
      <c r="AE46" s="104"/>
      <c r="AH46" s="109"/>
    </row>
    <row r="47" spans="1:34" ht="110.25">
      <c r="A47" s="21"/>
      <c r="B47" s="13"/>
      <c r="C47" s="14" t="s">
        <v>110</v>
      </c>
      <c r="D47" s="14" t="s">
        <v>111</v>
      </c>
      <c r="E47" s="16">
        <f>E48</f>
        <v>100</v>
      </c>
      <c r="F47" s="39" t="s">
        <v>43</v>
      </c>
      <c r="G47" s="44">
        <f>SUM(G48)</f>
        <v>198840000</v>
      </c>
      <c r="H47" s="16">
        <v>100</v>
      </c>
      <c r="I47" s="50">
        <f>SUM(I48)</f>
        <v>0</v>
      </c>
      <c r="J47" s="16">
        <f>J48</f>
        <v>100</v>
      </c>
      <c r="K47" s="44">
        <f>SUM(K48)</f>
        <v>66344750</v>
      </c>
      <c r="L47" s="16">
        <v>0</v>
      </c>
      <c r="M47" s="66">
        <f>SUM(M48)</f>
        <v>0</v>
      </c>
      <c r="N47" s="16"/>
      <c r="O47" s="66"/>
      <c r="P47" s="16"/>
      <c r="Q47" s="66"/>
      <c r="R47" s="16"/>
      <c r="S47" s="66"/>
      <c r="T47" s="80">
        <f t="shared" si="9"/>
        <v>0</v>
      </c>
      <c r="U47" s="76">
        <f>T47/J47*100</f>
        <v>0</v>
      </c>
      <c r="V47" s="77" t="s">
        <v>43</v>
      </c>
      <c r="W47" s="78">
        <f t="shared" si="10"/>
        <v>0</v>
      </c>
      <c r="X47" s="76">
        <f t="shared" si="11"/>
        <v>0</v>
      </c>
      <c r="Y47" s="77" t="s">
        <v>43</v>
      </c>
      <c r="Z47" s="80">
        <f t="shared" si="0"/>
        <v>100</v>
      </c>
      <c r="AA47" s="105">
        <f t="shared" si="1"/>
        <v>0</v>
      </c>
      <c r="AB47" s="76"/>
      <c r="AC47" s="77" t="s">
        <v>43</v>
      </c>
      <c r="AD47" s="76"/>
      <c r="AE47" s="104"/>
      <c r="AH47" s="109"/>
    </row>
    <row r="48" spans="1:34" ht="189">
      <c r="A48" s="21"/>
      <c r="B48" s="13"/>
      <c r="C48" s="14" t="s">
        <v>112</v>
      </c>
      <c r="D48" s="14" t="s">
        <v>113</v>
      </c>
      <c r="E48" s="43">
        <f>6/6*100</f>
        <v>100</v>
      </c>
      <c r="F48" s="39" t="s">
        <v>43</v>
      </c>
      <c r="G48" s="44">
        <f>SUM(G49)</f>
        <v>198840000</v>
      </c>
      <c r="H48" s="43">
        <v>100</v>
      </c>
      <c r="I48" s="50">
        <f>SUM(I49)</f>
        <v>0</v>
      </c>
      <c r="J48" s="16">
        <f>J49/J49*100</f>
        <v>100</v>
      </c>
      <c r="K48" s="44">
        <f>SUM(K49)</f>
        <v>66344750</v>
      </c>
      <c r="L48" s="16">
        <v>0</v>
      </c>
      <c r="M48" s="66">
        <f>SUM(M49)</f>
        <v>0</v>
      </c>
      <c r="N48" s="16"/>
      <c r="O48" s="66"/>
      <c r="P48" s="16"/>
      <c r="Q48" s="66"/>
      <c r="R48" s="16"/>
      <c r="S48" s="66"/>
      <c r="T48" s="80">
        <f t="shared" si="9"/>
        <v>0</v>
      </c>
      <c r="U48" s="76">
        <f>T48/J48*100</f>
        <v>0</v>
      </c>
      <c r="V48" s="77" t="s">
        <v>43</v>
      </c>
      <c r="W48" s="78">
        <f t="shared" si="10"/>
        <v>0</v>
      </c>
      <c r="X48" s="76">
        <f t="shared" si="11"/>
        <v>0</v>
      </c>
      <c r="Y48" s="77" t="s">
        <v>43</v>
      </c>
      <c r="Z48" s="80">
        <f t="shared" ref="Z48:Z68" si="12">SUM(H48,T48)</f>
        <v>100</v>
      </c>
      <c r="AA48" s="105">
        <f t="shared" ref="AA48:AA68" si="13">SUM(I48,W48)</f>
        <v>0</v>
      </c>
      <c r="AB48" s="76"/>
      <c r="AC48" s="77" t="s">
        <v>43</v>
      </c>
      <c r="AD48" s="76"/>
      <c r="AE48" s="104"/>
      <c r="AH48" s="109"/>
    </row>
    <row r="49" spans="1:34" ht="180">
      <c r="A49" s="45"/>
      <c r="B49" s="20"/>
      <c r="C49" s="22" t="s">
        <v>114</v>
      </c>
      <c r="D49" s="22" t="s">
        <v>115</v>
      </c>
      <c r="E49" s="31">
        <f>7+6+6</f>
        <v>19</v>
      </c>
      <c r="F49" s="42" t="s">
        <v>116</v>
      </c>
      <c r="G49" s="26">
        <f>66280000*3</f>
        <v>198840000</v>
      </c>
      <c r="H49" s="31">
        <v>3</v>
      </c>
      <c r="I49" s="18">
        <v>0</v>
      </c>
      <c r="J49" s="31">
        <v>7</v>
      </c>
      <c r="K49" s="134">
        <v>66344750</v>
      </c>
      <c r="L49" s="24">
        <v>0</v>
      </c>
      <c r="M49" s="18">
        <v>0</v>
      </c>
      <c r="N49" s="24"/>
      <c r="O49" s="18"/>
      <c r="P49" s="24"/>
      <c r="Q49" s="18"/>
      <c r="R49" s="24"/>
      <c r="S49" s="18"/>
      <c r="T49" s="85">
        <f t="shared" si="9"/>
        <v>0</v>
      </c>
      <c r="U49" s="86">
        <f>T49/J49*100</f>
        <v>0</v>
      </c>
      <c r="V49" s="87" t="s">
        <v>43</v>
      </c>
      <c r="W49" s="88">
        <f t="shared" si="10"/>
        <v>0</v>
      </c>
      <c r="X49" s="86">
        <f t="shared" si="11"/>
        <v>0</v>
      </c>
      <c r="Y49" s="87" t="s">
        <v>43</v>
      </c>
      <c r="Z49" s="86">
        <f t="shared" si="12"/>
        <v>3</v>
      </c>
      <c r="AA49" s="108">
        <f t="shared" si="13"/>
        <v>0</v>
      </c>
      <c r="AB49" s="86"/>
      <c r="AC49" s="87" t="s">
        <v>43</v>
      </c>
      <c r="AD49" s="76"/>
      <c r="AE49" s="104"/>
      <c r="AH49" s="109"/>
    </row>
    <row r="50" spans="1:34" ht="63">
      <c r="A50" s="21"/>
      <c r="B50" s="13"/>
      <c r="C50" s="14" t="s">
        <v>117</v>
      </c>
      <c r="D50" s="14" t="s">
        <v>118</v>
      </c>
      <c r="E50" s="38">
        <f>E51/162*100</f>
        <v>82.098765432098759</v>
      </c>
      <c r="F50" s="39" t="s">
        <v>43</v>
      </c>
      <c r="G50" s="135">
        <f>SUM(G51)</f>
        <v>410291200</v>
      </c>
      <c r="H50" s="38">
        <v>78.395061728395106</v>
      </c>
      <c r="I50" s="135">
        <f>SUM(I51)</f>
        <v>125192500</v>
      </c>
      <c r="J50" s="38">
        <f>J51/162*100</f>
        <v>79.629629629629633</v>
      </c>
      <c r="K50" s="135">
        <f>SUM(K51)</f>
        <v>466323300</v>
      </c>
      <c r="L50" s="16">
        <v>0</v>
      </c>
      <c r="M50" s="135">
        <f>SUM(M51)</f>
        <v>0</v>
      </c>
      <c r="N50" s="16"/>
      <c r="O50" s="135"/>
      <c r="P50" s="16"/>
      <c r="Q50" s="135"/>
      <c r="R50" s="16"/>
      <c r="S50" s="135"/>
      <c r="T50" s="80">
        <f t="shared" si="9"/>
        <v>0</v>
      </c>
      <c r="U50" s="76">
        <f>Z50/J50*100</f>
        <v>98.449612403100829</v>
      </c>
      <c r="V50" s="77" t="s">
        <v>43</v>
      </c>
      <c r="W50" s="78">
        <f t="shared" si="10"/>
        <v>0</v>
      </c>
      <c r="X50" s="76">
        <f t="shared" si="11"/>
        <v>0</v>
      </c>
      <c r="Y50" s="77" t="s">
        <v>43</v>
      </c>
      <c r="Z50" s="76">
        <f t="shared" si="12"/>
        <v>78.395061728395106</v>
      </c>
      <c r="AA50" s="105">
        <f t="shared" si="13"/>
        <v>125192500</v>
      </c>
      <c r="AB50" s="76"/>
      <c r="AC50" s="77" t="s">
        <v>43</v>
      </c>
      <c r="AD50" s="76"/>
      <c r="AE50" s="104"/>
      <c r="AH50" s="109"/>
    </row>
    <row r="51" spans="1:34" ht="141.75">
      <c r="A51" s="21"/>
      <c r="B51" s="13"/>
      <c r="C51" s="14" t="s">
        <v>119</v>
      </c>
      <c r="D51" s="14" t="s">
        <v>120</v>
      </c>
      <c r="E51" s="43">
        <f>E52</f>
        <v>133</v>
      </c>
      <c r="F51" s="39" t="s">
        <v>121</v>
      </c>
      <c r="G51" s="112">
        <f>SUM(G52)</f>
        <v>410291200</v>
      </c>
      <c r="H51" s="43">
        <v>220</v>
      </c>
      <c r="I51" s="112">
        <f>SUM(I52)</f>
        <v>125192500</v>
      </c>
      <c r="J51" s="43">
        <f>J52</f>
        <v>129</v>
      </c>
      <c r="K51" s="112">
        <f>SUM(K52)</f>
        <v>466323300</v>
      </c>
      <c r="L51" s="16">
        <f>L52</f>
        <v>31</v>
      </c>
      <c r="M51" s="112">
        <f>SUM(M52)</f>
        <v>0</v>
      </c>
      <c r="N51" s="16"/>
      <c r="O51" s="112"/>
      <c r="P51" s="16"/>
      <c r="Q51" s="112"/>
      <c r="R51" s="16"/>
      <c r="S51" s="112"/>
      <c r="T51" s="80">
        <f t="shared" si="9"/>
        <v>31</v>
      </c>
      <c r="U51" s="76">
        <f>T51/J51*100</f>
        <v>24.031007751937985</v>
      </c>
      <c r="V51" s="77" t="s">
        <v>43</v>
      </c>
      <c r="W51" s="78">
        <f t="shared" si="10"/>
        <v>0</v>
      </c>
      <c r="X51" s="76">
        <f t="shared" si="11"/>
        <v>0</v>
      </c>
      <c r="Y51" s="77" t="s">
        <v>43</v>
      </c>
      <c r="Z51" s="80">
        <f t="shared" si="12"/>
        <v>251</v>
      </c>
      <c r="AA51" s="105">
        <f t="shared" si="13"/>
        <v>125192500</v>
      </c>
      <c r="AB51" s="76"/>
      <c r="AC51" s="77" t="s">
        <v>43</v>
      </c>
      <c r="AD51" s="76"/>
      <c r="AE51" s="104"/>
      <c r="AH51" s="109"/>
    </row>
    <row r="52" spans="1:34" ht="105">
      <c r="A52" s="21"/>
      <c r="B52" s="13"/>
      <c r="C52" s="22" t="s">
        <v>122</v>
      </c>
      <c r="D52" s="22" t="s">
        <v>123</v>
      </c>
      <c r="E52" s="48">
        <v>133</v>
      </c>
      <c r="F52" s="42" t="s">
        <v>58</v>
      </c>
      <c r="G52" s="49">
        <f>175262200+235029000</f>
        <v>410291200</v>
      </c>
      <c r="H52" s="48">
        <v>220</v>
      </c>
      <c r="I52" s="26">
        <v>125192500</v>
      </c>
      <c r="J52" s="48">
        <v>129</v>
      </c>
      <c r="K52" s="49">
        <v>466323300</v>
      </c>
      <c r="L52" s="24">
        <v>31</v>
      </c>
      <c r="M52" s="26">
        <v>0</v>
      </c>
      <c r="N52" s="24"/>
      <c r="O52" s="26"/>
      <c r="P52" s="24"/>
      <c r="Q52" s="26"/>
      <c r="R52" s="24"/>
      <c r="S52" s="26"/>
      <c r="T52" s="85">
        <f t="shared" si="9"/>
        <v>31</v>
      </c>
      <c r="U52" s="86">
        <f>T52/J52*100</f>
        <v>24.031007751937985</v>
      </c>
      <c r="V52" s="87" t="s">
        <v>43</v>
      </c>
      <c r="W52" s="88">
        <f t="shared" si="10"/>
        <v>0</v>
      </c>
      <c r="X52" s="86">
        <f t="shared" si="11"/>
        <v>0</v>
      </c>
      <c r="Y52" s="87" t="s">
        <v>43</v>
      </c>
      <c r="Z52" s="85">
        <f t="shared" si="12"/>
        <v>251</v>
      </c>
      <c r="AA52" s="108">
        <f t="shared" si="13"/>
        <v>125192500</v>
      </c>
      <c r="AB52" s="86"/>
      <c r="AC52" s="87" t="s">
        <v>43</v>
      </c>
      <c r="AD52" s="86"/>
      <c r="AE52" s="104"/>
      <c r="AH52" s="109"/>
    </row>
    <row r="53" spans="1:34" ht="114.75" customHeight="1">
      <c r="A53" s="21"/>
      <c r="B53" s="13"/>
      <c r="C53" s="14" t="s">
        <v>124</v>
      </c>
      <c r="D53" s="14" t="s">
        <v>125</v>
      </c>
      <c r="E53" s="16">
        <f>531/2200*100</f>
        <v>24.136363636363637</v>
      </c>
      <c r="F53" s="17" t="s">
        <v>43</v>
      </c>
      <c r="G53" s="44">
        <f>SUM(G54)</f>
        <v>350000000</v>
      </c>
      <c r="H53" s="38">
        <v>19.4713615459655</v>
      </c>
      <c r="I53" s="44">
        <f>SUM(I54)</f>
        <v>85919000</v>
      </c>
      <c r="J53" s="38">
        <f>431/2090*100</f>
        <v>20.62200956937799</v>
      </c>
      <c r="K53" s="44">
        <f>SUM(K54)</f>
        <v>294505400</v>
      </c>
      <c r="L53" s="16">
        <v>0</v>
      </c>
      <c r="M53" s="50">
        <f>SUM(M54)</f>
        <v>0</v>
      </c>
      <c r="N53" s="16"/>
      <c r="O53" s="50"/>
      <c r="P53" s="38"/>
      <c r="Q53" s="50"/>
      <c r="R53" s="38"/>
      <c r="S53" s="50"/>
      <c r="T53" s="76">
        <f t="shared" si="9"/>
        <v>0</v>
      </c>
      <c r="U53" s="76">
        <f>Z53/J53*100</f>
        <v>94.420291487396511</v>
      </c>
      <c r="V53" s="77" t="s">
        <v>43</v>
      </c>
      <c r="W53" s="78">
        <f t="shared" si="10"/>
        <v>0</v>
      </c>
      <c r="X53" s="76">
        <f t="shared" si="11"/>
        <v>0</v>
      </c>
      <c r="Y53" s="77" t="s">
        <v>43</v>
      </c>
      <c r="Z53" s="76">
        <f t="shared" si="12"/>
        <v>19.4713615459655</v>
      </c>
      <c r="AA53" s="105">
        <f t="shared" si="13"/>
        <v>85919000</v>
      </c>
      <c r="AB53" s="76"/>
      <c r="AC53" s="77" t="s">
        <v>43</v>
      </c>
      <c r="AD53" s="76"/>
      <c r="AE53" s="104"/>
      <c r="AH53" s="109"/>
    </row>
    <row r="54" spans="1:34" ht="126">
      <c r="A54" s="21"/>
      <c r="B54" s="13"/>
      <c r="C54" s="14" t="s">
        <v>126</v>
      </c>
      <c r="D54" s="14" t="s">
        <v>127</v>
      </c>
      <c r="E54" s="16">
        <v>390</v>
      </c>
      <c r="F54" s="39" t="s">
        <v>128</v>
      </c>
      <c r="G54" s="50">
        <f>SUM(G55)</f>
        <v>350000000</v>
      </c>
      <c r="H54" s="43">
        <v>240</v>
      </c>
      <c r="I54" s="50">
        <f>SUM(I55)</f>
        <v>85919000</v>
      </c>
      <c r="J54" s="43">
        <f>H54+60</f>
        <v>300</v>
      </c>
      <c r="K54" s="50">
        <f>SUM(K55)</f>
        <v>294505400</v>
      </c>
      <c r="L54" s="43">
        <f>L55</f>
        <v>0</v>
      </c>
      <c r="M54" s="50">
        <f>SUM(M55)</f>
        <v>0</v>
      </c>
      <c r="N54" s="43"/>
      <c r="O54" s="50"/>
      <c r="P54" s="43"/>
      <c r="Q54" s="50"/>
      <c r="R54" s="43"/>
      <c r="S54" s="50"/>
      <c r="T54" s="80">
        <f t="shared" si="9"/>
        <v>0</v>
      </c>
      <c r="U54" s="76">
        <f>Z54/J54*100</f>
        <v>80</v>
      </c>
      <c r="V54" s="77" t="s">
        <v>43</v>
      </c>
      <c r="W54" s="78">
        <f t="shared" si="10"/>
        <v>0</v>
      </c>
      <c r="X54" s="76">
        <f t="shared" si="11"/>
        <v>0</v>
      </c>
      <c r="Y54" s="77" t="s">
        <v>43</v>
      </c>
      <c r="Z54" s="80">
        <f t="shared" si="12"/>
        <v>240</v>
      </c>
      <c r="AA54" s="105">
        <f t="shared" si="13"/>
        <v>85919000</v>
      </c>
      <c r="AB54" s="76"/>
      <c r="AC54" s="77" t="s">
        <v>43</v>
      </c>
      <c r="AD54" s="76"/>
      <c r="AE54" s="104"/>
      <c r="AH54" s="109"/>
    </row>
    <row r="55" spans="1:34" ht="195">
      <c r="A55" s="21"/>
      <c r="B55" s="13"/>
      <c r="C55" s="22" t="s">
        <v>129</v>
      </c>
      <c r="D55" s="22" t="s">
        <v>130</v>
      </c>
      <c r="E55" s="24">
        <f>30*3</f>
        <v>90</v>
      </c>
      <c r="F55" s="42" t="s">
        <v>131</v>
      </c>
      <c r="G55" s="26">
        <f>100000000+125000000+125000000</f>
        <v>350000000</v>
      </c>
      <c r="H55" s="31">
        <v>90</v>
      </c>
      <c r="I55" s="26">
        <v>85919000</v>
      </c>
      <c r="J55" s="31">
        <v>30</v>
      </c>
      <c r="K55" s="134">
        <v>294505400</v>
      </c>
      <c r="L55" s="24">
        <v>0</v>
      </c>
      <c r="M55" s="26">
        <v>0</v>
      </c>
      <c r="N55" s="24"/>
      <c r="O55" s="26"/>
      <c r="P55" s="24"/>
      <c r="Q55" s="26"/>
      <c r="R55" s="24"/>
      <c r="S55" s="26"/>
      <c r="T55" s="85">
        <f t="shared" si="9"/>
        <v>0</v>
      </c>
      <c r="U55" s="85">
        <f>T55/J55*100</f>
        <v>0</v>
      </c>
      <c r="V55" s="87" t="s">
        <v>43</v>
      </c>
      <c r="W55" s="88">
        <f t="shared" si="10"/>
        <v>0</v>
      </c>
      <c r="X55" s="86">
        <f t="shared" si="11"/>
        <v>0</v>
      </c>
      <c r="Y55" s="87" t="s">
        <v>43</v>
      </c>
      <c r="Z55" s="85">
        <f t="shared" si="12"/>
        <v>90</v>
      </c>
      <c r="AA55" s="108">
        <f t="shared" si="13"/>
        <v>85919000</v>
      </c>
      <c r="AB55" s="86"/>
      <c r="AC55" s="87" t="s">
        <v>43</v>
      </c>
      <c r="AD55" s="86"/>
      <c r="AE55" s="104"/>
      <c r="AH55" s="109"/>
    </row>
    <row r="56" spans="1:34" ht="96" customHeight="1">
      <c r="A56" s="21"/>
      <c r="B56" s="13"/>
      <c r="C56" s="14" t="s">
        <v>132</v>
      </c>
      <c r="D56" s="15" t="s">
        <v>133</v>
      </c>
      <c r="E56" s="38">
        <f>E61</f>
        <v>22.973698336017176</v>
      </c>
      <c r="F56" s="17" t="s">
        <v>43</v>
      </c>
      <c r="G56" s="18">
        <f>SUM(G57)</f>
        <v>3191809056</v>
      </c>
      <c r="H56" s="38">
        <v>20.1242121438809</v>
      </c>
      <c r="I56" s="18">
        <f>SUM(I57)</f>
        <v>574241932</v>
      </c>
      <c r="J56" s="38">
        <f>J61</f>
        <v>19.391853126792885</v>
      </c>
      <c r="K56" s="18">
        <f>SUM(K57)</f>
        <v>1148962120</v>
      </c>
      <c r="L56" s="38">
        <f>L61</f>
        <v>0</v>
      </c>
      <c r="M56" s="18">
        <f>SUM(M57)</f>
        <v>0</v>
      </c>
      <c r="N56" s="38"/>
      <c r="O56" s="18"/>
      <c r="P56" s="38"/>
      <c r="Q56" s="18"/>
      <c r="R56" s="38"/>
      <c r="S56" s="18"/>
      <c r="T56" s="76">
        <f t="shared" si="9"/>
        <v>0</v>
      </c>
      <c r="U56" s="76">
        <f>Z56/J56*100</f>
        <v>103.77663244610773</v>
      </c>
      <c r="V56" s="77" t="s">
        <v>43</v>
      </c>
      <c r="W56" s="78">
        <f t="shared" si="10"/>
        <v>0</v>
      </c>
      <c r="X56" s="76">
        <f t="shared" si="11"/>
        <v>0</v>
      </c>
      <c r="Y56" s="77" t="s">
        <v>43</v>
      </c>
      <c r="Z56" s="76">
        <f t="shared" si="12"/>
        <v>20.1242121438809</v>
      </c>
      <c r="AA56" s="105">
        <f t="shared" si="13"/>
        <v>574241932</v>
      </c>
      <c r="AB56" s="76"/>
      <c r="AC56" s="77" t="s">
        <v>43</v>
      </c>
      <c r="AD56" s="76"/>
      <c r="AE56" s="104"/>
      <c r="AH56" s="109"/>
    </row>
    <row r="57" spans="1:34" ht="131.25" customHeight="1">
      <c r="A57" s="21"/>
      <c r="B57" s="13"/>
      <c r="C57" s="14" t="s">
        <v>134</v>
      </c>
      <c r="D57" s="14" t="s">
        <v>135</v>
      </c>
      <c r="E57" s="16">
        <f>E58</f>
        <v>280</v>
      </c>
      <c r="F57" s="17" t="s">
        <v>58</v>
      </c>
      <c r="G57" s="18">
        <f>SUM(G58:G60)</f>
        <v>3191809056</v>
      </c>
      <c r="H57" s="43">
        <v>0</v>
      </c>
      <c r="I57" s="18">
        <f>SUM(I58:I60)</f>
        <v>574241932</v>
      </c>
      <c r="J57" s="16">
        <f>J58</f>
        <v>20</v>
      </c>
      <c r="K57" s="18">
        <f>SUM(K58:K60)</f>
        <v>1148962120</v>
      </c>
      <c r="L57" s="16">
        <v>0</v>
      </c>
      <c r="M57" s="18">
        <f>SUM(M58:M60)</f>
        <v>0</v>
      </c>
      <c r="N57" s="16"/>
      <c r="O57" s="18"/>
      <c r="P57" s="16"/>
      <c r="Q57" s="18"/>
      <c r="R57" s="16"/>
      <c r="S57" s="18"/>
      <c r="T57" s="76">
        <f t="shared" si="9"/>
        <v>0</v>
      </c>
      <c r="U57" s="76">
        <f>T57/J57*100</f>
        <v>0</v>
      </c>
      <c r="V57" s="77" t="s">
        <v>43</v>
      </c>
      <c r="W57" s="78">
        <f t="shared" si="10"/>
        <v>0</v>
      </c>
      <c r="X57" s="76">
        <f t="shared" si="11"/>
        <v>0</v>
      </c>
      <c r="Y57" s="77" t="s">
        <v>43</v>
      </c>
      <c r="Z57" s="76">
        <f t="shared" si="12"/>
        <v>0</v>
      </c>
      <c r="AA57" s="105">
        <f t="shared" si="13"/>
        <v>574241932</v>
      </c>
      <c r="AB57" s="76"/>
      <c r="AC57" s="77" t="s">
        <v>43</v>
      </c>
      <c r="AD57" s="76"/>
      <c r="AE57" s="104"/>
      <c r="AH57" s="109"/>
    </row>
    <row r="58" spans="1:34" ht="150">
      <c r="A58" s="21"/>
      <c r="B58" s="13"/>
      <c r="C58" s="22" t="s">
        <v>136</v>
      </c>
      <c r="D58" s="22" t="s">
        <v>137</v>
      </c>
      <c r="E58" s="24">
        <f>20+130+130</f>
        <v>280</v>
      </c>
      <c r="F58" s="42" t="s">
        <v>48</v>
      </c>
      <c r="G58" s="33">
        <f>383333000+276262900+383333000</f>
        <v>1042928900</v>
      </c>
      <c r="H58" s="31">
        <v>0</v>
      </c>
      <c r="I58" s="26">
        <v>188979332</v>
      </c>
      <c r="J58" s="24">
        <v>20</v>
      </c>
      <c r="K58" s="26">
        <v>276262900</v>
      </c>
      <c r="L58" s="24">
        <v>0</v>
      </c>
      <c r="M58" s="26">
        <v>0</v>
      </c>
      <c r="N58" s="24"/>
      <c r="O58" s="26"/>
      <c r="P58" s="24"/>
      <c r="Q58" s="26"/>
      <c r="R58" s="24"/>
      <c r="S58" s="26"/>
      <c r="T58" s="85">
        <f t="shared" si="9"/>
        <v>0</v>
      </c>
      <c r="U58" s="86">
        <f>T58/J58*100</f>
        <v>0</v>
      </c>
      <c r="V58" s="87" t="s">
        <v>43</v>
      </c>
      <c r="W58" s="88">
        <f t="shared" si="10"/>
        <v>0</v>
      </c>
      <c r="X58" s="86">
        <f t="shared" si="11"/>
        <v>0</v>
      </c>
      <c r="Y58" s="87" t="s">
        <v>43</v>
      </c>
      <c r="Z58" s="85">
        <f t="shared" si="12"/>
        <v>0</v>
      </c>
      <c r="AA58" s="108">
        <f t="shared" si="13"/>
        <v>188979332</v>
      </c>
      <c r="AB58" s="86"/>
      <c r="AC58" s="87" t="s">
        <v>43</v>
      </c>
      <c r="AD58" s="86"/>
      <c r="AE58" s="104"/>
      <c r="AH58" s="109"/>
    </row>
    <row r="59" spans="1:34" ht="165">
      <c r="A59" s="21"/>
      <c r="B59" s="13"/>
      <c r="C59" s="22" t="s">
        <v>138</v>
      </c>
      <c r="D59" s="22" t="s">
        <v>139</v>
      </c>
      <c r="E59" s="24"/>
      <c r="F59" s="42" t="s">
        <v>48</v>
      </c>
      <c r="G59" s="33"/>
      <c r="H59" s="31"/>
      <c r="I59" s="26"/>
      <c r="J59" s="24">
        <v>20</v>
      </c>
      <c r="K59" s="26">
        <v>121000000</v>
      </c>
      <c r="L59" s="24">
        <v>0</v>
      </c>
      <c r="M59" s="26">
        <v>0</v>
      </c>
      <c r="N59" s="24"/>
      <c r="O59" s="26"/>
      <c r="P59" s="24"/>
      <c r="Q59" s="26"/>
      <c r="R59" s="24"/>
      <c r="S59" s="26"/>
      <c r="T59" s="85">
        <f t="shared" si="9"/>
        <v>0</v>
      </c>
      <c r="U59" s="86">
        <f>T59/J59*100</f>
        <v>0</v>
      </c>
      <c r="V59" s="87" t="s">
        <v>43</v>
      </c>
      <c r="W59" s="88">
        <f t="shared" si="10"/>
        <v>0</v>
      </c>
      <c r="X59" s="86">
        <f t="shared" si="11"/>
        <v>0</v>
      </c>
      <c r="Y59" s="87" t="s">
        <v>43</v>
      </c>
      <c r="Z59" s="85">
        <f t="shared" si="12"/>
        <v>0</v>
      </c>
      <c r="AA59" s="108">
        <f t="shared" si="13"/>
        <v>0</v>
      </c>
      <c r="AB59" s="86"/>
      <c r="AC59" s="87" t="s">
        <v>43</v>
      </c>
      <c r="AD59" s="86"/>
      <c r="AE59" s="104"/>
      <c r="AH59" s="109"/>
    </row>
    <row r="60" spans="1:34" ht="180">
      <c r="A60" s="21"/>
      <c r="B60" s="13"/>
      <c r="C60" s="22" t="s">
        <v>140</v>
      </c>
      <c r="D60" s="22" t="s">
        <v>141</v>
      </c>
      <c r="E60" s="24">
        <f>5*3</f>
        <v>15</v>
      </c>
      <c r="F60" s="42" t="s">
        <v>48</v>
      </c>
      <c r="G60" s="33">
        <f>645481716+751699220+751699220</f>
        <v>2148880156</v>
      </c>
      <c r="H60" s="31">
        <v>1</v>
      </c>
      <c r="I60" s="26">
        <v>385262600</v>
      </c>
      <c r="J60" s="24">
        <v>5</v>
      </c>
      <c r="K60" s="26">
        <v>751699220</v>
      </c>
      <c r="L60" s="24">
        <v>0</v>
      </c>
      <c r="M60" s="26">
        <v>0</v>
      </c>
      <c r="N60" s="24"/>
      <c r="O60" s="26"/>
      <c r="P60" s="24"/>
      <c r="Q60" s="26"/>
      <c r="R60" s="24"/>
      <c r="S60" s="26"/>
      <c r="T60" s="85">
        <f t="shared" si="9"/>
        <v>0</v>
      </c>
      <c r="U60" s="86">
        <f>T60/J60*100</f>
        <v>0</v>
      </c>
      <c r="V60" s="87" t="s">
        <v>43</v>
      </c>
      <c r="W60" s="88">
        <f t="shared" si="10"/>
        <v>0</v>
      </c>
      <c r="X60" s="86">
        <f t="shared" si="11"/>
        <v>0</v>
      </c>
      <c r="Y60" s="87" t="s">
        <v>43</v>
      </c>
      <c r="Z60" s="85">
        <f t="shared" si="12"/>
        <v>1</v>
      </c>
      <c r="AA60" s="108">
        <f t="shared" si="13"/>
        <v>385262600</v>
      </c>
      <c r="AB60" s="86"/>
      <c r="AC60" s="87" t="s">
        <v>43</v>
      </c>
      <c r="AD60" s="86"/>
      <c r="AE60" s="104"/>
      <c r="AH60" s="109"/>
    </row>
    <row r="61" spans="1:34" ht="94.5">
      <c r="A61" s="21"/>
      <c r="B61" s="13"/>
      <c r="C61" s="14" t="s">
        <v>142</v>
      </c>
      <c r="D61" s="14" t="s">
        <v>133</v>
      </c>
      <c r="E61" s="38">
        <f>856/3726*100</f>
        <v>22.973698336017176</v>
      </c>
      <c r="F61" s="17" t="s">
        <v>43</v>
      </c>
      <c r="G61" s="18">
        <f>SUM(G62)</f>
        <v>271435925</v>
      </c>
      <c r="H61" s="38">
        <v>20.1242121438809</v>
      </c>
      <c r="I61" s="18">
        <f>SUM(I62)</f>
        <v>74992000</v>
      </c>
      <c r="J61" s="38">
        <f>(586+90)/3486*100</f>
        <v>19.391853126792885</v>
      </c>
      <c r="K61" s="18">
        <f>SUM(K62)</f>
        <v>32475925</v>
      </c>
      <c r="L61" s="16">
        <v>0</v>
      </c>
      <c r="M61" s="18">
        <f>SUM(M62)</f>
        <v>0</v>
      </c>
      <c r="N61" s="38"/>
      <c r="O61" s="18"/>
      <c r="P61" s="38"/>
      <c r="Q61" s="18"/>
      <c r="R61" s="38"/>
      <c r="S61" s="18"/>
      <c r="T61" s="76">
        <f t="shared" si="9"/>
        <v>0</v>
      </c>
      <c r="U61" s="76">
        <f>Z61/J61*100</f>
        <v>103.77663244610773</v>
      </c>
      <c r="V61" s="77" t="s">
        <v>43</v>
      </c>
      <c r="W61" s="78">
        <f t="shared" si="10"/>
        <v>0</v>
      </c>
      <c r="X61" s="76">
        <f t="shared" si="11"/>
        <v>0</v>
      </c>
      <c r="Y61" s="77" t="s">
        <v>43</v>
      </c>
      <c r="Z61" s="76">
        <f t="shared" si="12"/>
        <v>20.1242121438809</v>
      </c>
      <c r="AA61" s="105">
        <f t="shared" si="13"/>
        <v>74992000</v>
      </c>
      <c r="AB61" s="76"/>
      <c r="AC61" s="77" t="s">
        <v>43</v>
      </c>
      <c r="AD61" s="76"/>
      <c r="AE61" s="104"/>
      <c r="AH61" s="109"/>
    </row>
    <row r="62" spans="1:34" ht="231" customHeight="1">
      <c r="A62" s="21"/>
      <c r="B62" s="13"/>
      <c r="C62" s="14" t="s">
        <v>143</v>
      </c>
      <c r="D62" s="51" t="s">
        <v>144</v>
      </c>
      <c r="E62" s="16">
        <f>E63</f>
        <v>270</v>
      </c>
      <c r="F62" s="17" t="s">
        <v>145</v>
      </c>
      <c r="G62" s="18">
        <f>SUM(G63)</f>
        <v>271435925</v>
      </c>
      <c r="H62" s="16">
        <v>150</v>
      </c>
      <c r="I62" s="18">
        <f>SUM(I63)</f>
        <v>74992000</v>
      </c>
      <c r="J62" s="16">
        <f>J63</f>
        <v>90</v>
      </c>
      <c r="K62" s="18">
        <f>SUM(K63)</f>
        <v>32475925</v>
      </c>
      <c r="L62" s="16">
        <f>L63</f>
        <v>0</v>
      </c>
      <c r="M62" s="18">
        <f>SUM(M63)</f>
        <v>0</v>
      </c>
      <c r="N62" s="16"/>
      <c r="O62" s="18"/>
      <c r="P62" s="16"/>
      <c r="Q62" s="18"/>
      <c r="R62" s="16"/>
      <c r="S62" s="18"/>
      <c r="T62" s="80">
        <f t="shared" si="9"/>
        <v>0</v>
      </c>
      <c r="U62" s="76">
        <f>T62/J62*100</f>
        <v>0</v>
      </c>
      <c r="V62" s="77" t="s">
        <v>43</v>
      </c>
      <c r="W62" s="78">
        <f t="shared" si="10"/>
        <v>0</v>
      </c>
      <c r="X62" s="76">
        <f t="shared" si="11"/>
        <v>0</v>
      </c>
      <c r="Y62" s="77" t="s">
        <v>43</v>
      </c>
      <c r="Z62" s="76">
        <f t="shared" si="12"/>
        <v>150</v>
      </c>
      <c r="AA62" s="105">
        <f t="shared" si="13"/>
        <v>74992000</v>
      </c>
      <c r="AB62" s="76"/>
      <c r="AC62" s="77" t="s">
        <v>43</v>
      </c>
      <c r="AD62" s="76"/>
      <c r="AE62" s="104"/>
      <c r="AH62" s="109"/>
    </row>
    <row r="63" spans="1:34" ht="409.5">
      <c r="A63" s="21"/>
      <c r="B63" s="13"/>
      <c r="C63" s="22" t="s">
        <v>146</v>
      </c>
      <c r="D63" s="22" t="s">
        <v>147</v>
      </c>
      <c r="E63" s="24">
        <f>90*3</f>
        <v>270</v>
      </c>
      <c r="F63" s="25" t="s">
        <v>48</v>
      </c>
      <c r="G63" s="33">
        <f>119480000+32475925+119480000</f>
        <v>271435925</v>
      </c>
      <c r="H63" s="24">
        <v>150</v>
      </c>
      <c r="I63" s="26">
        <v>74992000</v>
      </c>
      <c r="J63" s="24">
        <v>90</v>
      </c>
      <c r="K63" s="26">
        <v>32475925</v>
      </c>
      <c r="L63" s="24">
        <v>0</v>
      </c>
      <c r="M63" s="26">
        <v>0</v>
      </c>
      <c r="N63" s="24"/>
      <c r="O63" s="26"/>
      <c r="P63" s="24"/>
      <c r="Q63" s="26"/>
      <c r="R63" s="24"/>
      <c r="S63" s="26"/>
      <c r="T63" s="85">
        <f t="shared" si="9"/>
        <v>0</v>
      </c>
      <c r="U63" s="86">
        <f>T63/J63*100</f>
        <v>0</v>
      </c>
      <c r="V63" s="87" t="s">
        <v>43</v>
      </c>
      <c r="W63" s="88">
        <f t="shared" si="10"/>
        <v>0</v>
      </c>
      <c r="X63" s="86">
        <f t="shared" si="11"/>
        <v>0</v>
      </c>
      <c r="Y63" s="87" t="s">
        <v>43</v>
      </c>
      <c r="Z63" s="86">
        <f t="shared" si="12"/>
        <v>150</v>
      </c>
      <c r="AA63" s="108">
        <f t="shared" si="13"/>
        <v>74992000</v>
      </c>
      <c r="AB63" s="86"/>
      <c r="AC63" s="87" t="s">
        <v>43</v>
      </c>
      <c r="AD63" s="76"/>
      <c r="AE63" s="104"/>
      <c r="AH63" s="109"/>
    </row>
    <row r="64" spans="1:34" ht="94.5">
      <c r="A64" s="21"/>
      <c r="B64" s="13"/>
      <c r="C64" s="14" t="s">
        <v>148</v>
      </c>
      <c r="D64" s="14" t="s">
        <v>133</v>
      </c>
      <c r="E64" s="38">
        <f>856/3726*100</f>
        <v>22.973698336017176</v>
      </c>
      <c r="F64" s="17" t="s">
        <v>43</v>
      </c>
      <c r="G64" s="18">
        <f>SUM(G65)</f>
        <v>75000000</v>
      </c>
      <c r="H64" s="38">
        <v>20.1242121438809</v>
      </c>
      <c r="I64" s="18">
        <f>SUM(I65)</f>
        <v>22570000</v>
      </c>
      <c r="J64" s="38">
        <f>(586+90)/3486*100</f>
        <v>19.391853126792885</v>
      </c>
      <c r="K64" s="18">
        <f>SUM(K65)</f>
        <v>74999800</v>
      </c>
      <c r="L64" s="16">
        <v>0</v>
      </c>
      <c r="M64" s="18">
        <f>SUM(M65)</f>
        <v>0</v>
      </c>
      <c r="N64" s="38"/>
      <c r="O64" s="18"/>
      <c r="P64" s="38"/>
      <c r="Q64" s="18"/>
      <c r="R64" s="38"/>
      <c r="S64" s="18"/>
      <c r="T64" s="76">
        <f t="shared" si="9"/>
        <v>0</v>
      </c>
      <c r="U64" s="76">
        <f>Z64/J64*100</f>
        <v>103.77663244610773</v>
      </c>
      <c r="V64" s="77" t="s">
        <v>43</v>
      </c>
      <c r="W64" s="78">
        <f t="shared" si="10"/>
        <v>0</v>
      </c>
      <c r="X64" s="76">
        <f t="shared" si="11"/>
        <v>0</v>
      </c>
      <c r="Y64" s="77" t="s">
        <v>43</v>
      </c>
      <c r="Z64" s="76">
        <f t="shared" si="12"/>
        <v>20.1242121438809</v>
      </c>
      <c r="AA64" s="105">
        <f t="shared" si="13"/>
        <v>22570000</v>
      </c>
      <c r="AB64" s="76"/>
      <c r="AC64" s="77" t="s">
        <v>43</v>
      </c>
      <c r="AD64" s="76"/>
      <c r="AE64" s="104"/>
      <c r="AH64" s="109"/>
    </row>
    <row r="65" spans="1:34" ht="149.25" customHeight="1">
      <c r="A65" s="21"/>
      <c r="B65" s="13"/>
      <c r="C65" s="14" t="s">
        <v>149</v>
      </c>
      <c r="D65" s="14" t="s">
        <v>150</v>
      </c>
      <c r="E65" s="111">
        <v>3726</v>
      </c>
      <c r="F65" s="17" t="s">
        <v>151</v>
      </c>
      <c r="G65" s="112">
        <f>SUM(G66:G68)</f>
        <v>75000000</v>
      </c>
      <c r="H65" s="43">
        <v>3486</v>
      </c>
      <c r="I65" s="112">
        <f>SUM(I66:I68)</f>
        <v>22570000</v>
      </c>
      <c r="J65" s="111">
        <v>3486</v>
      </c>
      <c r="K65" s="112">
        <f>SUM(K66:K68)</f>
        <v>74999800</v>
      </c>
      <c r="L65" s="16">
        <v>0</v>
      </c>
      <c r="M65" s="119">
        <f>M68</f>
        <v>0</v>
      </c>
      <c r="N65" s="16"/>
      <c r="O65" s="119"/>
      <c r="P65" s="111"/>
      <c r="Q65" s="119"/>
      <c r="R65" s="111"/>
      <c r="S65" s="119"/>
      <c r="T65" s="80">
        <f t="shared" si="9"/>
        <v>0</v>
      </c>
      <c r="U65" s="76">
        <f>T65/J65*100</f>
        <v>0</v>
      </c>
      <c r="V65" s="77" t="s">
        <v>43</v>
      </c>
      <c r="W65" s="78">
        <f t="shared" si="10"/>
        <v>0</v>
      </c>
      <c r="X65" s="76">
        <f t="shared" si="11"/>
        <v>0</v>
      </c>
      <c r="Y65" s="77" t="s">
        <v>43</v>
      </c>
      <c r="Z65" s="76">
        <f t="shared" si="12"/>
        <v>3486</v>
      </c>
      <c r="AA65" s="105">
        <f t="shared" si="13"/>
        <v>22570000</v>
      </c>
      <c r="AB65" s="76"/>
      <c r="AC65" s="77" t="s">
        <v>43</v>
      </c>
      <c r="AD65" s="76"/>
      <c r="AE65" s="104"/>
      <c r="AH65" s="109"/>
    </row>
    <row r="66" spans="1:34" ht="315">
      <c r="A66" s="21"/>
      <c r="B66" s="13"/>
      <c r="C66" s="22" t="s">
        <v>152</v>
      </c>
      <c r="D66" s="22" t="s">
        <v>153</v>
      </c>
      <c r="E66" s="48">
        <f>50*3</f>
        <v>150</v>
      </c>
      <c r="F66" s="42" t="s">
        <v>48</v>
      </c>
      <c r="G66" s="49">
        <f>25000000*3</f>
        <v>75000000</v>
      </c>
      <c r="H66" s="31">
        <v>0</v>
      </c>
      <c r="I66" s="26">
        <v>22570000</v>
      </c>
      <c r="J66" s="48">
        <v>50</v>
      </c>
      <c r="K66" s="49">
        <v>25000000</v>
      </c>
      <c r="L66" s="24">
        <v>0</v>
      </c>
      <c r="M66" s="26">
        <v>0</v>
      </c>
      <c r="N66" s="24"/>
      <c r="O66" s="26"/>
      <c r="P66" s="24"/>
      <c r="Q66" s="26"/>
      <c r="R66" s="24"/>
      <c r="S66" s="26"/>
      <c r="T66" s="85">
        <f t="shared" si="9"/>
        <v>0</v>
      </c>
      <c r="U66" s="86">
        <f>T66/J66*100</f>
        <v>0</v>
      </c>
      <c r="V66" s="87" t="s">
        <v>43</v>
      </c>
      <c r="W66" s="88">
        <f t="shared" si="10"/>
        <v>0</v>
      </c>
      <c r="X66" s="86">
        <f t="shared" si="11"/>
        <v>0</v>
      </c>
      <c r="Y66" s="87" t="s">
        <v>43</v>
      </c>
      <c r="Z66" s="85">
        <f t="shared" si="12"/>
        <v>0</v>
      </c>
      <c r="AA66" s="108">
        <f t="shared" si="13"/>
        <v>22570000</v>
      </c>
      <c r="AB66" s="86"/>
      <c r="AC66" s="87" t="s">
        <v>43</v>
      </c>
      <c r="AD66" s="86"/>
      <c r="AE66" s="104"/>
      <c r="AH66" s="109"/>
    </row>
    <row r="67" spans="1:34" ht="195">
      <c r="A67" s="21"/>
      <c r="B67" s="13"/>
      <c r="C67" s="22" t="s">
        <v>154</v>
      </c>
      <c r="D67" s="22" t="s">
        <v>155</v>
      </c>
      <c r="E67" s="48"/>
      <c r="F67" s="42" t="s">
        <v>48</v>
      </c>
      <c r="G67" s="49"/>
      <c r="H67" s="31"/>
      <c r="I67" s="26"/>
      <c r="J67" s="48">
        <v>50</v>
      </c>
      <c r="K67" s="49">
        <v>24999900</v>
      </c>
      <c r="L67" s="24">
        <v>0</v>
      </c>
      <c r="M67" s="26">
        <v>0</v>
      </c>
      <c r="N67" s="24"/>
      <c r="O67" s="26"/>
      <c r="P67" s="24"/>
      <c r="Q67" s="26"/>
      <c r="R67" s="24"/>
      <c r="S67" s="26"/>
      <c r="T67" s="85">
        <f t="shared" si="9"/>
        <v>0</v>
      </c>
      <c r="U67" s="86">
        <f>T67/J67*100</f>
        <v>0</v>
      </c>
      <c r="V67" s="87" t="s">
        <v>43</v>
      </c>
      <c r="W67" s="88">
        <f t="shared" si="10"/>
        <v>0</v>
      </c>
      <c r="X67" s="86">
        <f t="shared" si="11"/>
        <v>0</v>
      </c>
      <c r="Y67" s="87" t="s">
        <v>43</v>
      </c>
      <c r="Z67" s="85">
        <f t="shared" si="12"/>
        <v>0</v>
      </c>
      <c r="AA67" s="108">
        <f t="shared" si="13"/>
        <v>0</v>
      </c>
      <c r="AB67" s="86"/>
      <c r="AC67" s="87" t="s">
        <v>43</v>
      </c>
      <c r="AD67" s="86"/>
      <c r="AE67" s="104"/>
      <c r="AH67" s="109"/>
    </row>
    <row r="68" spans="1:34" ht="255">
      <c r="A68" s="21"/>
      <c r="B68" s="13"/>
      <c r="C68" s="22" t="s">
        <v>156</v>
      </c>
      <c r="D68" s="22" t="s">
        <v>157</v>
      </c>
      <c r="E68" s="48"/>
      <c r="F68" s="42" t="s">
        <v>48</v>
      </c>
      <c r="G68" s="49"/>
      <c r="H68" s="31"/>
      <c r="I68" s="26"/>
      <c r="J68" s="48">
        <v>50</v>
      </c>
      <c r="K68" s="49">
        <v>24999900</v>
      </c>
      <c r="L68" s="24">
        <v>0</v>
      </c>
      <c r="M68" s="26">
        <v>0</v>
      </c>
      <c r="N68" s="24"/>
      <c r="O68" s="26"/>
      <c r="P68" s="24"/>
      <c r="Q68" s="26"/>
      <c r="R68" s="24"/>
      <c r="S68" s="26"/>
      <c r="T68" s="85">
        <f t="shared" si="9"/>
        <v>0</v>
      </c>
      <c r="U68" s="86">
        <f>T68/J68*100</f>
        <v>0</v>
      </c>
      <c r="V68" s="87" t="s">
        <v>43</v>
      </c>
      <c r="W68" s="88">
        <f t="shared" si="10"/>
        <v>0</v>
      </c>
      <c r="X68" s="86">
        <f t="shared" si="11"/>
        <v>0</v>
      </c>
      <c r="Y68" s="87" t="s">
        <v>43</v>
      </c>
      <c r="Z68" s="85">
        <f t="shared" si="12"/>
        <v>0</v>
      </c>
      <c r="AA68" s="108">
        <f t="shared" si="13"/>
        <v>0</v>
      </c>
      <c r="AB68" s="86"/>
      <c r="AC68" s="87" t="s">
        <v>43</v>
      </c>
      <c r="AD68" s="86"/>
      <c r="AE68" s="104"/>
      <c r="AH68" s="109"/>
    </row>
    <row r="69" spans="1:34" ht="15">
      <c r="A69" s="195" t="s">
        <v>158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22">
        <f>AVERAGE(U16:U68)</f>
        <v>25.755873393938135</v>
      </c>
      <c r="V69" s="123"/>
      <c r="W69" s="124"/>
      <c r="X69" s="122">
        <f>AVERAGE(X16,X56,X44,X40,X61,X50)</f>
        <v>0</v>
      </c>
      <c r="Y69" s="123"/>
      <c r="Z69" s="128"/>
      <c r="AA69" s="128"/>
      <c r="AB69" s="128"/>
      <c r="AC69" s="123"/>
      <c r="AD69" s="129"/>
      <c r="AE69" s="104"/>
    </row>
    <row r="70" spans="1:34" ht="15">
      <c r="A70" s="195" t="s">
        <v>159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25" t="str">
        <f>IF(U69&gt;=91,"Sangat Tinggi",IF(U69&gt;=76,"Tinggi",IF(U69&gt;=66,"Sedang",IF(U69&gt;=51,"Rendah",IF(U69&lt;=50,"Sangat Rendah")))))</f>
        <v>Sangat Rendah</v>
      </c>
      <c r="V70" s="123"/>
      <c r="W70" s="126"/>
      <c r="X70" s="125" t="str">
        <f>IF(X69&gt;=91,"Sangat Tinggi",IF(X69&gt;=76,"Tinggi",IF(X69&gt;=66,"Sedang",IF(X69&gt;=51,"Rendah",IF(X69&lt;=50,"Sangat Rendah")))))</f>
        <v>Sangat Rendah</v>
      </c>
      <c r="Y70" s="123"/>
      <c r="Z70" s="130"/>
      <c r="AA70" s="131"/>
      <c r="AB70" s="130"/>
      <c r="AC70" s="123"/>
      <c r="AD70" s="132"/>
      <c r="AE70" s="104"/>
    </row>
    <row r="71" spans="1:34" ht="15">
      <c r="A71" s="194" t="s">
        <v>160</v>
      </c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04"/>
    </row>
    <row r="72" spans="1:34" ht="15">
      <c r="A72" s="194" t="s">
        <v>161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04"/>
    </row>
    <row r="73" spans="1:34" ht="15">
      <c r="A73" s="194" t="s">
        <v>162</v>
      </c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04"/>
    </row>
    <row r="74" spans="1:34" ht="15">
      <c r="A74" s="194" t="s">
        <v>163</v>
      </c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33"/>
    </row>
    <row r="75" spans="1:34" ht="1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27"/>
      <c r="W75" s="113"/>
      <c r="X75" s="113"/>
      <c r="Y75" s="127"/>
      <c r="Z75" s="113"/>
      <c r="AA75" s="113"/>
      <c r="AB75" s="113"/>
      <c r="AC75" s="127"/>
      <c r="AD75" s="113"/>
    </row>
    <row r="76" spans="1:34" ht="1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92" t="s">
        <v>164</v>
      </c>
      <c r="U76" s="192"/>
      <c r="V76" s="192"/>
      <c r="W76" s="192"/>
      <c r="X76" s="192"/>
      <c r="Y76" s="127"/>
      <c r="Z76" s="113"/>
      <c r="AA76" s="192"/>
      <c r="AB76" s="192"/>
      <c r="AC76" s="192"/>
      <c r="AD76" s="192"/>
      <c r="AE76" s="192"/>
    </row>
    <row r="77" spans="1:34" ht="15.75">
      <c r="A77" s="114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92" t="s">
        <v>165</v>
      </c>
      <c r="U77" s="192"/>
      <c r="V77" s="192"/>
      <c r="W77" s="192"/>
      <c r="X77" s="192"/>
      <c r="Y77" s="127"/>
      <c r="Z77" s="113"/>
      <c r="AA77" s="192"/>
      <c r="AB77" s="192"/>
      <c r="AC77" s="192"/>
      <c r="AD77" s="192"/>
      <c r="AE77" s="192"/>
    </row>
    <row r="78" spans="1:34" ht="15">
      <c r="T78" s="192" t="s">
        <v>166</v>
      </c>
      <c r="U78" s="192"/>
      <c r="V78" s="192"/>
      <c r="W78" s="192"/>
      <c r="X78" s="192"/>
      <c r="AA78" s="192"/>
      <c r="AB78" s="192"/>
      <c r="AC78" s="192"/>
      <c r="AD78" s="192"/>
      <c r="AE78" s="192"/>
    </row>
    <row r="79" spans="1:34" ht="15">
      <c r="T79" s="192" t="s">
        <v>167</v>
      </c>
      <c r="U79" s="192"/>
      <c r="V79" s="192"/>
      <c r="W79" s="192"/>
      <c r="X79" s="192"/>
      <c r="AA79" s="192"/>
      <c r="AB79" s="192"/>
      <c r="AC79" s="192"/>
      <c r="AD79" s="192"/>
      <c r="AE79" s="192"/>
    </row>
    <row r="80" spans="1:34" ht="25.5">
      <c r="A80" s="115" t="s">
        <v>168</v>
      </c>
      <c r="B80" s="115" t="s">
        <v>169</v>
      </c>
      <c r="C80" s="115" t="s">
        <v>170</v>
      </c>
      <c r="T80" s="113"/>
      <c r="U80" s="113"/>
      <c r="V80" s="127"/>
      <c r="W80" s="113"/>
      <c r="AA80" s="127"/>
      <c r="AB80" s="113"/>
      <c r="AC80" s="127"/>
      <c r="AD80" s="113"/>
    </row>
    <row r="81" spans="1:31" ht="26.25">
      <c r="A81" s="116" t="s">
        <v>171</v>
      </c>
      <c r="B81" s="116" t="s">
        <v>172</v>
      </c>
      <c r="C81" s="116" t="s">
        <v>173</v>
      </c>
      <c r="T81" s="193" t="s">
        <v>174</v>
      </c>
      <c r="U81" s="193"/>
      <c r="V81" s="193"/>
      <c r="W81" s="193"/>
      <c r="X81" s="193"/>
      <c r="AA81" s="193"/>
      <c r="AB81" s="193"/>
      <c r="AC81" s="193"/>
      <c r="AD81" s="193"/>
      <c r="AE81" s="193"/>
    </row>
    <row r="82" spans="1:31" ht="26.25">
      <c r="A82" s="116" t="s">
        <v>175</v>
      </c>
      <c r="B82" s="116" t="s">
        <v>176</v>
      </c>
      <c r="C82" s="116" t="s">
        <v>177</v>
      </c>
      <c r="T82" s="182" t="s">
        <v>178</v>
      </c>
      <c r="U82" s="182"/>
      <c r="V82" s="182"/>
      <c r="W82" s="182"/>
      <c r="X82" s="182"/>
      <c r="AA82" s="182"/>
      <c r="AB82" s="182"/>
      <c r="AC82" s="182"/>
      <c r="AD82" s="182"/>
      <c r="AE82" s="182"/>
    </row>
    <row r="83" spans="1:31" ht="26.25">
      <c r="A83" s="116" t="s">
        <v>179</v>
      </c>
      <c r="B83" s="116" t="s">
        <v>180</v>
      </c>
      <c r="C83" s="116" t="s">
        <v>181</v>
      </c>
    </row>
    <row r="84" spans="1:31" ht="26.25">
      <c r="A84" s="116" t="s">
        <v>182</v>
      </c>
      <c r="B84" s="116" t="s">
        <v>183</v>
      </c>
      <c r="C84" s="116" t="s">
        <v>184</v>
      </c>
    </row>
    <row r="85" spans="1:31" ht="26.25">
      <c r="A85" s="116" t="s">
        <v>185</v>
      </c>
      <c r="B85" s="117" t="s">
        <v>186</v>
      </c>
      <c r="C85" s="116" t="s">
        <v>187</v>
      </c>
    </row>
  </sheetData>
  <mergeCells count="89">
    <mergeCell ref="A1:AD1"/>
    <mergeCell ref="A2:AD2"/>
    <mergeCell ref="A3:AD3"/>
    <mergeCell ref="A4:AD4"/>
    <mergeCell ref="A5:AD5"/>
    <mergeCell ref="A6:AD6"/>
    <mergeCell ref="J9:K9"/>
    <mergeCell ref="L9:M9"/>
    <mergeCell ref="N9:O9"/>
    <mergeCell ref="P9:Q9"/>
    <mergeCell ref="R9:S9"/>
    <mergeCell ref="T9:Y9"/>
    <mergeCell ref="Z9:AA9"/>
    <mergeCell ref="AB9:AD9"/>
    <mergeCell ref="E10:G10"/>
    <mergeCell ref="H10:I10"/>
    <mergeCell ref="J10:K10"/>
    <mergeCell ref="L10:M10"/>
    <mergeCell ref="N10:O10"/>
    <mergeCell ref="P10:Q10"/>
    <mergeCell ref="R10:S10"/>
    <mergeCell ref="T10:Y10"/>
    <mergeCell ref="Z10:AA10"/>
    <mergeCell ref="AB10:AD10"/>
    <mergeCell ref="U11:V11"/>
    <mergeCell ref="X11:Y11"/>
    <mergeCell ref="AB11:AC11"/>
    <mergeCell ref="U12:V12"/>
    <mergeCell ref="X12:Y12"/>
    <mergeCell ref="AB12:AC12"/>
    <mergeCell ref="A69:T69"/>
    <mergeCell ref="A70:T70"/>
    <mergeCell ref="A71:AD71"/>
    <mergeCell ref="A72:AD72"/>
    <mergeCell ref="A73:AD73"/>
    <mergeCell ref="A74:AD74"/>
    <mergeCell ref="T76:X76"/>
    <mergeCell ref="AA76:AE76"/>
    <mergeCell ref="T77:X77"/>
    <mergeCell ref="AA77:AE77"/>
    <mergeCell ref="T78:X78"/>
    <mergeCell ref="AA78:AE78"/>
    <mergeCell ref="T79:X79"/>
    <mergeCell ref="AA79:AE79"/>
    <mergeCell ref="T81:X81"/>
    <mergeCell ref="AA81:AE81"/>
    <mergeCell ref="T82:X82"/>
    <mergeCell ref="AA82:AE82"/>
    <mergeCell ref="A7:A9"/>
    <mergeCell ref="A10:A12"/>
    <mergeCell ref="A13:A15"/>
    <mergeCell ref="B7:B9"/>
    <mergeCell ref="B10:B12"/>
    <mergeCell ref="B13:B15"/>
    <mergeCell ref="C7:C9"/>
    <mergeCell ref="C10:C12"/>
    <mergeCell ref="C13:C15"/>
    <mergeCell ref="D7:D9"/>
    <mergeCell ref="D10:D12"/>
    <mergeCell ref="D13:D15"/>
    <mergeCell ref="G11:G12"/>
    <mergeCell ref="G13:G15"/>
    <mergeCell ref="H11:H12"/>
    <mergeCell ref="H13:H15"/>
    <mergeCell ref="I11:I12"/>
    <mergeCell ref="I13:I15"/>
    <mergeCell ref="J11:J12"/>
    <mergeCell ref="J13:J15"/>
    <mergeCell ref="K11:K12"/>
    <mergeCell ref="K13:K15"/>
    <mergeCell ref="L11:L12"/>
    <mergeCell ref="L13:L15"/>
    <mergeCell ref="M11:M12"/>
    <mergeCell ref="S11:S12"/>
    <mergeCell ref="AE7:AE8"/>
    <mergeCell ref="E13:F15"/>
    <mergeCell ref="E11:F12"/>
    <mergeCell ref="J7:K8"/>
    <mergeCell ref="Z7:AA8"/>
    <mergeCell ref="L7:S8"/>
    <mergeCell ref="AB7:AD8"/>
    <mergeCell ref="H7:I9"/>
    <mergeCell ref="T7:Y8"/>
    <mergeCell ref="E7:G9"/>
    <mergeCell ref="N11:N12"/>
    <mergeCell ref="O11:O12"/>
    <mergeCell ref="P11:P12"/>
    <mergeCell ref="Q11:Q12"/>
    <mergeCell ref="R11:R12"/>
  </mergeCells>
  <printOptions horizontalCentered="1"/>
  <pageMargins left="0.23622047244094499" right="0.23622047244094499" top="3.9370078740157501E-2" bottom="3.9370078740157501E-2" header="0" footer="0"/>
  <pageSetup paperSize="256" scale="32" orientation="landscape" r:id="rId1"/>
  <rowBreaks count="1" manualBreakCount="1">
    <brk id="61" max="3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5"/>
  <sheetViews>
    <sheetView zoomScale="69" zoomScaleNormal="69" workbookViewId="0">
      <selection sqref="A1:XFD1048576"/>
    </sheetView>
  </sheetViews>
  <sheetFormatPr defaultColWidth="9.140625" defaultRowHeight="14.25"/>
  <cols>
    <col min="1" max="1" width="6.42578125" style="1" customWidth="1"/>
    <col min="2" max="2" width="18" style="1" customWidth="1"/>
    <col min="3" max="3" width="19.42578125" style="1" customWidth="1"/>
    <col min="4" max="4" width="15" style="1" customWidth="1"/>
    <col min="5" max="6" width="7.7109375" style="1" customWidth="1"/>
    <col min="7" max="7" width="18.28515625" style="1" customWidth="1"/>
    <col min="8" max="8" width="8.28515625" style="1" customWidth="1"/>
    <col min="9" max="9" width="21.42578125" style="1" customWidth="1"/>
    <col min="10" max="10" width="9" style="1" customWidth="1"/>
    <col min="11" max="11" width="23.7109375" style="1" customWidth="1"/>
    <col min="12" max="12" width="7.7109375" style="1" customWidth="1"/>
    <col min="13" max="13" width="18.28515625" style="1" customWidth="1"/>
    <col min="14" max="14" width="7.7109375" style="1" customWidth="1"/>
    <col min="15" max="15" width="18.7109375" style="1" customWidth="1"/>
    <col min="16" max="16" width="7.7109375" style="1" customWidth="1"/>
    <col min="17" max="17" width="18.28515625" style="1" customWidth="1"/>
    <col min="18" max="18" width="9" style="1" customWidth="1"/>
    <col min="19" max="19" width="17.85546875" style="1" customWidth="1"/>
    <col min="20" max="20" width="8" style="1" customWidth="1"/>
    <col min="21" max="21" width="9.42578125" style="1" customWidth="1"/>
    <col min="22" max="22" width="5.5703125" style="4" customWidth="1"/>
    <col min="23" max="23" width="18.5703125" style="1" customWidth="1"/>
    <col min="24" max="24" width="8" style="1" customWidth="1"/>
    <col min="25" max="25" width="5.5703125" style="4" customWidth="1"/>
    <col min="26" max="26" width="8" style="1" customWidth="1"/>
    <col min="27" max="27" width="18.5703125" style="1" customWidth="1"/>
    <col min="28" max="28" width="8" style="1" customWidth="1"/>
    <col min="29" max="29" width="5.5703125" style="4" customWidth="1"/>
    <col min="30" max="30" width="9.85546875" style="1" customWidth="1"/>
    <col min="31" max="31" width="15" style="1" customWidth="1"/>
    <col min="32" max="32" width="9.140625" style="1"/>
    <col min="33" max="37" width="19.5703125" style="1" customWidth="1"/>
    <col min="38" max="16384" width="9.140625" style="1"/>
  </cols>
  <sheetData>
    <row r="1" spans="1:37" ht="23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98"/>
    </row>
    <row r="2" spans="1:37" ht="23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99"/>
    </row>
    <row r="3" spans="1:37" ht="23.25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99"/>
    </row>
    <row r="4" spans="1:37" ht="23.25">
      <c r="A4" s="212" t="s">
        <v>188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98"/>
    </row>
    <row r="5" spans="1:37" ht="18">
      <c r="A5" s="213" t="s">
        <v>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</row>
    <row r="6" spans="1:37" ht="18">
      <c r="A6" s="205" t="s">
        <v>2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</row>
    <row r="7" spans="1:37" ht="81" customHeight="1">
      <c r="A7" s="183" t="s">
        <v>5</v>
      </c>
      <c r="B7" s="183" t="s">
        <v>6</v>
      </c>
      <c r="C7" s="191" t="s">
        <v>7</v>
      </c>
      <c r="D7" s="191" t="s">
        <v>8</v>
      </c>
      <c r="E7" s="166" t="s">
        <v>9</v>
      </c>
      <c r="F7" s="167"/>
      <c r="G7" s="170"/>
      <c r="H7" s="166" t="s">
        <v>10</v>
      </c>
      <c r="I7" s="170"/>
      <c r="J7" s="166" t="s">
        <v>11</v>
      </c>
      <c r="K7" s="167"/>
      <c r="L7" s="166" t="s">
        <v>12</v>
      </c>
      <c r="M7" s="167"/>
      <c r="N7" s="167"/>
      <c r="O7" s="167"/>
      <c r="P7" s="167"/>
      <c r="Q7" s="167"/>
      <c r="R7" s="167"/>
      <c r="S7" s="170"/>
      <c r="T7" s="166" t="s">
        <v>13</v>
      </c>
      <c r="U7" s="167"/>
      <c r="V7" s="167"/>
      <c r="W7" s="167"/>
      <c r="X7" s="167"/>
      <c r="Y7" s="170"/>
      <c r="Z7" s="166" t="s">
        <v>14</v>
      </c>
      <c r="AA7" s="170"/>
      <c r="AB7" s="166" t="s">
        <v>15</v>
      </c>
      <c r="AC7" s="167"/>
      <c r="AD7" s="167"/>
      <c r="AE7" s="154" t="s">
        <v>16</v>
      </c>
      <c r="AG7" s="4"/>
      <c r="AH7" s="4"/>
      <c r="AI7" s="4"/>
      <c r="AJ7" s="4"/>
      <c r="AK7" s="4"/>
    </row>
    <row r="8" spans="1:37" ht="18" customHeight="1">
      <c r="A8" s="183"/>
      <c r="B8" s="183"/>
      <c r="C8" s="191"/>
      <c r="D8" s="191"/>
      <c r="E8" s="172"/>
      <c r="F8" s="174"/>
      <c r="G8" s="173"/>
      <c r="H8" s="172"/>
      <c r="I8" s="173"/>
      <c r="J8" s="168"/>
      <c r="K8" s="169"/>
      <c r="L8" s="168"/>
      <c r="M8" s="169"/>
      <c r="N8" s="169"/>
      <c r="O8" s="169"/>
      <c r="P8" s="169"/>
      <c r="Q8" s="169"/>
      <c r="R8" s="169"/>
      <c r="S8" s="171"/>
      <c r="T8" s="168"/>
      <c r="U8" s="169"/>
      <c r="V8" s="169"/>
      <c r="W8" s="169"/>
      <c r="X8" s="169"/>
      <c r="Y8" s="171"/>
      <c r="Z8" s="168"/>
      <c r="AA8" s="171"/>
      <c r="AB8" s="168"/>
      <c r="AC8" s="169"/>
      <c r="AD8" s="169"/>
      <c r="AE8" s="155"/>
    </row>
    <row r="9" spans="1:37" ht="15.75" customHeight="1">
      <c r="A9" s="183"/>
      <c r="B9" s="183"/>
      <c r="C9" s="191"/>
      <c r="D9" s="191"/>
      <c r="E9" s="168"/>
      <c r="F9" s="169"/>
      <c r="G9" s="171"/>
      <c r="H9" s="168"/>
      <c r="I9" s="171"/>
      <c r="J9" s="206">
        <v>2022</v>
      </c>
      <c r="K9" s="207"/>
      <c r="L9" s="208" t="s">
        <v>17</v>
      </c>
      <c r="M9" s="209"/>
      <c r="N9" s="208" t="s">
        <v>18</v>
      </c>
      <c r="O9" s="209"/>
      <c r="P9" s="208" t="s">
        <v>19</v>
      </c>
      <c r="Q9" s="209"/>
      <c r="R9" s="208" t="s">
        <v>20</v>
      </c>
      <c r="S9" s="209"/>
      <c r="T9" s="208">
        <v>2022</v>
      </c>
      <c r="U9" s="210"/>
      <c r="V9" s="210"/>
      <c r="W9" s="210"/>
      <c r="X9" s="210"/>
      <c r="Y9" s="209"/>
      <c r="Z9" s="208">
        <v>2022</v>
      </c>
      <c r="AA9" s="209"/>
      <c r="AB9" s="208">
        <v>2022</v>
      </c>
      <c r="AC9" s="210"/>
      <c r="AD9" s="209"/>
      <c r="AE9" s="100"/>
    </row>
    <row r="10" spans="1:37" s="2" customFormat="1" ht="15.75">
      <c r="A10" s="152">
        <v>1</v>
      </c>
      <c r="B10" s="152">
        <v>2</v>
      </c>
      <c r="C10" s="152">
        <v>3</v>
      </c>
      <c r="D10" s="152">
        <v>4</v>
      </c>
      <c r="E10" s="197">
        <v>5</v>
      </c>
      <c r="F10" s="204"/>
      <c r="G10" s="198"/>
      <c r="H10" s="197">
        <v>6</v>
      </c>
      <c r="I10" s="198"/>
      <c r="J10" s="199">
        <v>7</v>
      </c>
      <c r="K10" s="200"/>
      <c r="L10" s="199">
        <v>8</v>
      </c>
      <c r="M10" s="200"/>
      <c r="N10" s="199">
        <v>9</v>
      </c>
      <c r="O10" s="200"/>
      <c r="P10" s="199">
        <v>10</v>
      </c>
      <c r="Q10" s="200"/>
      <c r="R10" s="199">
        <v>11</v>
      </c>
      <c r="S10" s="200"/>
      <c r="T10" s="201">
        <v>12</v>
      </c>
      <c r="U10" s="202"/>
      <c r="V10" s="202"/>
      <c r="W10" s="202"/>
      <c r="X10" s="202"/>
      <c r="Y10" s="203"/>
      <c r="Z10" s="201">
        <v>13</v>
      </c>
      <c r="AA10" s="203"/>
      <c r="AB10" s="201">
        <v>14</v>
      </c>
      <c r="AC10" s="202"/>
      <c r="AD10" s="203"/>
      <c r="AE10" s="101">
        <v>15</v>
      </c>
    </row>
    <row r="11" spans="1:37" s="2" customFormat="1" ht="87" customHeight="1">
      <c r="A11" s="184"/>
      <c r="B11" s="184"/>
      <c r="C11" s="184"/>
      <c r="D11" s="184"/>
      <c r="E11" s="162" t="s">
        <v>21</v>
      </c>
      <c r="F11" s="163"/>
      <c r="G11" s="153" t="s">
        <v>22</v>
      </c>
      <c r="H11" s="162" t="s">
        <v>21</v>
      </c>
      <c r="I11" s="153" t="s">
        <v>22</v>
      </c>
      <c r="J11" s="162" t="s">
        <v>21</v>
      </c>
      <c r="K11" s="152" t="s">
        <v>22</v>
      </c>
      <c r="L11" s="162" t="s">
        <v>21</v>
      </c>
      <c r="M11" s="152" t="s">
        <v>22</v>
      </c>
      <c r="N11" s="162" t="s">
        <v>21</v>
      </c>
      <c r="O11" s="152" t="s">
        <v>22</v>
      </c>
      <c r="P11" s="162" t="s">
        <v>21</v>
      </c>
      <c r="Q11" s="152" t="s">
        <v>22</v>
      </c>
      <c r="R11" s="162" t="s">
        <v>21</v>
      </c>
      <c r="S11" s="152" t="s">
        <v>22</v>
      </c>
      <c r="T11" s="5" t="s">
        <v>23</v>
      </c>
      <c r="U11" s="197" t="s">
        <v>24</v>
      </c>
      <c r="V11" s="198"/>
      <c r="W11" s="72" t="s">
        <v>25</v>
      </c>
      <c r="X11" s="197" t="s">
        <v>26</v>
      </c>
      <c r="Y11" s="198"/>
      <c r="Z11" s="5" t="s">
        <v>27</v>
      </c>
      <c r="AA11" s="72" t="s">
        <v>28</v>
      </c>
      <c r="AB11" s="197" t="s">
        <v>29</v>
      </c>
      <c r="AC11" s="198"/>
      <c r="AD11" s="72" t="s">
        <v>30</v>
      </c>
      <c r="AE11" s="102"/>
    </row>
    <row r="12" spans="1:37" s="2" customFormat="1" ht="15.75">
      <c r="A12" s="153"/>
      <c r="B12" s="153"/>
      <c r="C12" s="153"/>
      <c r="D12" s="153"/>
      <c r="E12" s="164"/>
      <c r="F12" s="165"/>
      <c r="G12" s="181"/>
      <c r="H12" s="164"/>
      <c r="I12" s="181"/>
      <c r="J12" s="164"/>
      <c r="K12" s="153"/>
      <c r="L12" s="164"/>
      <c r="M12" s="153"/>
      <c r="N12" s="164"/>
      <c r="O12" s="153"/>
      <c r="P12" s="164"/>
      <c r="Q12" s="153"/>
      <c r="R12" s="164"/>
      <c r="S12" s="153"/>
      <c r="T12" s="6" t="s">
        <v>21</v>
      </c>
      <c r="U12" s="164" t="s">
        <v>21</v>
      </c>
      <c r="V12" s="165"/>
      <c r="W12" s="7" t="s">
        <v>22</v>
      </c>
      <c r="X12" s="164" t="s">
        <v>22</v>
      </c>
      <c r="Y12" s="165"/>
      <c r="Z12" s="6" t="s">
        <v>21</v>
      </c>
      <c r="AA12" s="7" t="s">
        <v>22</v>
      </c>
      <c r="AB12" s="164" t="s">
        <v>21</v>
      </c>
      <c r="AC12" s="165"/>
      <c r="AD12" s="7" t="s">
        <v>22</v>
      </c>
      <c r="AE12" s="103"/>
    </row>
    <row r="13" spans="1:37" ht="15" hidden="1" customHeight="1">
      <c r="A13" s="185"/>
      <c r="B13" s="188" t="s">
        <v>31</v>
      </c>
      <c r="C13" s="175" t="s">
        <v>32</v>
      </c>
      <c r="D13" s="188" t="s">
        <v>33</v>
      </c>
      <c r="E13" s="156" t="s">
        <v>34</v>
      </c>
      <c r="F13" s="157"/>
      <c r="G13" s="185"/>
      <c r="H13" s="156" t="s">
        <v>35</v>
      </c>
      <c r="I13" s="175" t="s">
        <v>36</v>
      </c>
      <c r="J13" s="178" t="s">
        <v>37</v>
      </c>
      <c r="K13" s="175" t="s">
        <v>38</v>
      </c>
      <c r="L13" s="178" t="s">
        <v>39</v>
      </c>
      <c r="M13" s="52"/>
      <c r="N13" s="52"/>
      <c r="O13" s="52"/>
      <c r="P13" s="52"/>
      <c r="Q13" s="52"/>
      <c r="R13" s="52"/>
      <c r="S13" s="52"/>
      <c r="T13" s="52"/>
      <c r="U13" s="52"/>
      <c r="V13" s="8"/>
      <c r="W13" s="52"/>
      <c r="X13" s="52"/>
      <c r="Y13" s="8"/>
      <c r="Z13" s="52"/>
      <c r="AA13" s="52"/>
      <c r="AB13" s="52"/>
      <c r="AC13" s="8"/>
      <c r="AD13" s="52"/>
      <c r="AE13" s="104"/>
    </row>
    <row r="14" spans="1:37" ht="15" hidden="1" customHeight="1">
      <c r="A14" s="186"/>
      <c r="B14" s="189"/>
      <c r="C14" s="176"/>
      <c r="D14" s="189"/>
      <c r="E14" s="158"/>
      <c r="F14" s="159"/>
      <c r="G14" s="186"/>
      <c r="H14" s="158"/>
      <c r="I14" s="176"/>
      <c r="J14" s="179"/>
      <c r="K14" s="176"/>
      <c r="L14" s="179"/>
      <c r="M14" s="53"/>
      <c r="N14" s="53"/>
      <c r="O14" s="53"/>
      <c r="P14" s="53"/>
      <c r="Q14" s="53"/>
      <c r="R14" s="53"/>
      <c r="S14" s="53"/>
      <c r="T14" s="53"/>
      <c r="U14" s="53"/>
      <c r="V14" s="9"/>
      <c r="W14" s="53"/>
      <c r="X14" s="53"/>
      <c r="Y14" s="9"/>
      <c r="Z14" s="53"/>
      <c r="AA14" s="53"/>
      <c r="AB14" s="53"/>
      <c r="AC14" s="9"/>
      <c r="AD14" s="53"/>
      <c r="AE14" s="104"/>
    </row>
    <row r="15" spans="1:37" ht="15" hidden="1" customHeight="1">
      <c r="A15" s="187"/>
      <c r="B15" s="190"/>
      <c r="C15" s="177"/>
      <c r="D15" s="190"/>
      <c r="E15" s="160"/>
      <c r="F15" s="161"/>
      <c r="G15" s="187"/>
      <c r="H15" s="160"/>
      <c r="I15" s="177"/>
      <c r="J15" s="180"/>
      <c r="K15" s="177"/>
      <c r="L15" s="180"/>
      <c r="M15" s="54"/>
      <c r="N15" s="54"/>
      <c r="O15" s="54"/>
      <c r="P15" s="54"/>
      <c r="Q15" s="54"/>
      <c r="R15" s="54"/>
      <c r="S15" s="54"/>
      <c r="T15" s="54"/>
      <c r="U15" s="54"/>
      <c r="V15" s="11"/>
      <c r="W15" s="54"/>
      <c r="X15" s="54"/>
      <c r="Y15" s="11"/>
      <c r="Z15" s="54"/>
      <c r="AA15" s="54"/>
      <c r="AB15" s="54"/>
      <c r="AC15" s="11"/>
      <c r="AD15" s="54"/>
      <c r="AE15" s="104"/>
    </row>
    <row r="16" spans="1:37" ht="153.75" customHeight="1">
      <c r="A16" s="12">
        <v>1</v>
      </c>
      <c r="B16" s="13" t="s">
        <v>40</v>
      </c>
      <c r="C16" s="14" t="s">
        <v>41</v>
      </c>
      <c r="D16" s="15" t="s">
        <v>42</v>
      </c>
      <c r="E16" s="16">
        <v>100</v>
      </c>
      <c r="F16" s="17" t="s">
        <v>43</v>
      </c>
      <c r="G16" s="18">
        <f>SUM(G17,G20,G25,G31,G33,G36)</f>
        <v>0</v>
      </c>
      <c r="H16" s="16">
        <v>200</v>
      </c>
      <c r="I16" s="18">
        <f>SUM(I17,I20,I25,I31,I33,I36)</f>
        <v>3298269593</v>
      </c>
      <c r="J16" s="16">
        <v>100</v>
      </c>
      <c r="K16" s="18">
        <f>SUM(K17,K20,K25,K31,K33,K36)</f>
        <v>3551202028</v>
      </c>
      <c r="L16" s="43">
        <v>100</v>
      </c>
      <c r="M16" s="18">
        <f>SUM(M17,M20,M25,M31,M33,M36)</f>
        <v>0</v>
      </c>
      <c r="N16" s="43">
        <v>100</v>
      </c>
      <c r="O16" s="18">
        <f>O17+O20+O25+O31+O33+O36</f>
        <v>1918986623</v>
      </c>
      <c r="P16" s="74">
        <v>100</v>
      </c>
      <c r="Q16" s="75">
        <f>Q17+Q20+Q25+Q31+Q33+Q36</f>
        <v>645281327</v>
      </c>
      <c r="R16" s="43"/>
      <c r="S16" s="18"/>
      <c r="T16" s="76">
        <f>AVERAGE(L16,N16,P16,R16)</f>
        <v>100</v>
      </c>
      <c r="U16" s="76">
        <f>T16/J16*100</f>
        <v>100</v>
      </c>
      <c r="V16" s="77" t="s">
        <v>43</v>
      </c>
      <c r="W16" s="78">
        <f>SUM(M16,O16,Q16,S16)</f>
        <v>2564267950</v>
      </c>
      <c r="X16" s="76">
        <f>W16/K16*100</f>
        <v>72.208450259422975</v>
      </c>
      <c r="Y16" s="77" t="s">
        <v>43</v>
      </c>
      <c r="Z16" s="76">
        <f t="shared" ref="Z16:Z68" si="0">SUM(H16,T16)</f>
        <v>300</v>
      </c>
      <c r="AA16" s="105">
        <f t="shared" ref="AA16:AA68" si="1">SUM(I16,W16)</f>
        <v>5862537543</v>
      </c>
      <c r="AB16" s="76"/>
      <c r="AC16" s="77" t="s">
        <v>43</v>
      </c>
      <c r="AD16" s="76"/>
      <c r="AE16" s="106" t="s">
        <v>44</v>
      </c>
      <c r="AH16" s="109">
        <f>M16+O16+Q16+S16</f>
        <v>2564267950</v>
      </c>
    </row>
    <row r="17" spans="1:34" s="3" customFormat="1" ht="120" customHeight="1">
      <c r="A17" s="12">
        <v>2</v>
      </c>
      <c r="B17" s="19" t="s">
        <v>45</v>
      </c>
      <c r="C17" s="20" t="s">
        <v>46</v>
      </c>
      <c r="D17" s="14" t="s">
        <v>47</v>
      </c>
      <c r="E17" s="16">
        <f>SUM(E18:E19)</f>
        <v>45</v>
      </c>
      <c r="F17" s="17" t="s">
        <v>48</v>
      </c>
      <c r="G17" s="18">
        <f>SUM(G18:G19)</f>
        <v>0</v>
      </c>
      <c r="H17" s="16">
        <v>30</v>
      </c>
      <c r="I17" s="18">
        <f t="shared" ref="I17:O17" si="2">SUM(I18:I19)</f>
        <v>5600000</v>
      </c>
      <c r="J17" s="16">
        <f t="shared" si="2"/>
        <v>5</v>
      </c>
      <c r="K17" s="18">
        <f t="shared" si="2"/>
        <v>8900000</v>
      </c>
      <c r="L17" s="16">
        <f t="shared" si="2"/>
        <v>0</v>
      </c>
      <c r="M17" s="18">
        <f t="shared" si="2"/>
        <v>0</v>
      </c>
      <c r="N17" s="16">
        <f t="shared" si="2"/>
        <v>0</v>
      </c>
      <c r="O17" s="18">
        <f t="shared" si="2"/>
        <v>0</v>
      </c>
      <c r="P17" s="79">
        <f t="shared" ref="P17" si="3">SUM(P18:P19)</f>
        <v>0</v>
      </c>
      <c r="Q17" s="75">
        <f t="shared" ref="Q17" si="4">SUM(Q18:Q19)</f>
        <v>0</v>
      </c>
      <c r="R17" s="16"/>
      <c r="S17" s="18"/>
      <c r="T17" s="80">
        <f>SUM(L17,N17,P17,R17)</f>
        <v>0</v>
      </c>
      <c r="U17" s="77">
        <f>T17/J17*100</f>
        <v>0</v>
      </c>
      <c r="V17" s="17" t="s">
        <v>43</v>
      </c>
      <c r="W17" s="81">
        <f>SUM(M17,O17,Q17,S17)</f>
        <v>0</v>
      </c>
      <c r="X17" s="82">
        <f>W17/K17*100</f>
        <v>0</v>
      </c>
      <c r="Y17" s="17" t="s">
        <v>43</v>
      </c>
      <c r="Z17" s="80">
        <f t="shared" si="0"/>
        <v>30</v>
      </c>
      <c r="AA17" s="105">
        <f t="shared" si="1"/>
        <v>5600000</v>
      </c>
      <c r="AB17" s="76"/>
      <c r="AC17" s="17" t="s">
        <v>43</v>
      </c>
      <c r="AD17" s="76"/>
      <c r="AE17" s="107"/>
      <c r="AH17" s="110"/>
    </row>
    <row r="18" spans="1:34" ht="90">
      <c r="A18" s="21"/>
      <c r="B18" s="13"/>
      <c r="C18" s="22" t="s">
        <v>49</v>
      </c>
      <c r="D18" s="23" t="s">
        <v>189</v>
      </c>
      <c r="E18" s="24">
        <f>5*3</f>
        <v>15</v>
      </c>
      <c r="F18" s="25" t="s">
        <v>48</v>
      </c>
      <c r="G18" s="26"/>
      <c r="H18" s="24">
        <v>10</v>
      </c>
      <c r="I18" s="26">
        <v>4875000</v>
      </c>
      <c r="J18" s="24">
        <v>5</v>
      </c>
      <c r="K18" s="26">
        <v>8900000</v>
      </c>
      <c r="L18" s="24">
        <v>0</v>
      </c>
      <c r="M18" s="26">
        <v>0</v>
      </c>
      <c r="N18" s="24">
        <v>0</v>
      </c>
      <c r="O18" s="26">
        <v>0</v>
      </c>
      <c r="P18" s="64">
        <v>0</v>
      </c>
      <c r="Q18" s="84">
        <v>0</v>
      </c>
      <c r="R18" s="24"/>
      <c r="S18" s="26"/>
      <c r="T18" s="85">
        <f>SUM(L18,N18,P18,R18)</f>
        <v>0</v>
      </c>
      <c r="U18" s="86">
        <f>T18/J18*100</f>
        <v>0</v>
      </c>
      <c r="V18" s="87" t="s">
        <v>43</v>
      </c>
      <c r="W18" s="88">
        <f>SUM(M18,O18,Q18,S18)</f>
        <v>0</v>
      </c>
      <c r="X18" s="86">
        <f>W18/K18*100</f>
        <v>0</v>
      </c>
      <c r="Y18" s="87" t="s">
        <v>43</v>
      </c>
      <c r="Z18" s="85">
        <f t="shared" si="0"/>
        <v>10</v>
      </c>
      <c r="AA18" s="108">
        <f t="shared" si="1"/>
        <v>4875000</v>
      </c>
      <c r="AB18" s="86"/>
      <c r="AC18" s="87" t="s">
        <v>43</v>
      </c>
      <c r="AD18" s="86"/>
      <c r="AE18" s="104"/>
      <c r="AH18" s="109"/>
    </row>
    <row r="19" spans="1:34" ht="75">
      <c r="A19" s="21"/>
      <c r="B19" s="13"/>
      <c r="C19" s="27" t="s">
        <v>51</v>
      </c>
      <c r="D19" s="27" t="s">
        <v>190</v>
      </c>
      <c r="E19" s="24">
        <f>10*3</f>
        <v>30</v>
      </c>
      <c r="F19" s="25" t="s">
        <v>53</v>
      </c>
      <c r="G19" s="26"/>
      <c r="H19" s="24">
        <v>20</v>
      </c>
      <c r="I19" s="26">
        <v>725000</v>
      </c>
      <c r="J19" s="24"/>
      <c r="K19" s="26"/>
      <c r="L19" s="24"/>
      <c r="M19" s="26"/>
      <c r="N19" s="24"/>
      <c r="O19" s="26"/>
      <c r="P19" s="64"/>
      <c r="Q19" s="84"/>
      <c r="R19" s="24"/>
      <c r="S19" s="26"/>
      <c r="T19" s="85"/>
      <c r="U19" s="86"/>
      <c r="V19" s="87"/>
      <c r="W19" s="88"/>
      <c r="X19" s="86"/>
      <c r="Y19" s="87"/>
      <c r="Z19" s="85">
        <f t="shared" si="0"/>
        <v>20</v>
      </c>
      <c r="AA19" s="108">
        <f t="shared" si="1"/>
        <v>725000</v>
      </c>
      <c r="AB19" s="86"/>
      <c r="AC19" s="87" t="s">
        <v>43</v>
      </c>
      <c r="AD19" s="86"/>
      <c r="AE19" s="104"/>
      <c r="AH19" s="109"/>
    </row>
    <row r="20" spans="1:34" ht="114" customHeight="1">
      <c r="A20" s="21"/>
      <c r="B20" s="13"/>
      <c r="C20" s="14" t="s">
        <v>54</v>
      </c>
      <c r="D20" s="14" t="s">
        <v>55</v>
      </c>
      <c r="E20" s="28">
        <f>SUM(E22:E24)</f>
        <v>42</v>
      </c>
      <c r="F20" s="29" t="s">
        <v>48</v>
      </c>
      <c r="G20" s="18">
        <f>SUM(G21:G24)</f>
        <v>0</v>
      </c>
      <c r="H20" s="28">
        <v>28</v>
      </c>
      <c r="I20" s="18">
        <f>SUM(I21:I24)</f>
        <v>3022676993</v>
      </c>
      <c r="J20" s="28">
        <f>SUM(J22:J24)</f>
        <v>14</v>
      </c>
      <c r="K20" s="18">
        <f>SUM(K21:K24)</f>
        <v>3150635840</v>
      </c>
      <c r="L20" s="28">
        <f>SUM(L22:L24)</f>
        <v>3</v>
      </c>
      <c r="M20" s="18">
        <f>SUM(M21:M24)</f>
        <v>0</v>
      </c>
      <c r="N20" s="28">
        <f>SUM(N22:N24)</f>
        <v>0</v>
      </c>
      <c r="O20" s="18">
        <f>O21+O22+O23+O24</f>
        <v>1859088922</v>
      </c>
      <c r="P20" s="89">
        <f>SUM(P22:P24)</f>
        <v>4</v>
      </c>
      <c r="Q20" s="75">
        <f>Q21+Q22+Q23+Q24</f>
        <v>581250662</v>
      </c>
      <c r="R20" s="28"/>
      <c r="S20" s="18"/>
      <c r="T20" s="80">
        <f t="shared" ref="T20:T38" si="5">SUM(L20,N20,P20,R20)</f>
        <v>7</v>
      </c>
      <c r="U20" s="76">
        <f t="shared" ref="U20:U38" si="6">T20/J20*100</f>
        <v>50</v>
      </c>
      <c r="V20" s="77" t="s">
        <v>43</v>
      </c>
      <c r="W20" s="78">
        <f t="shared" ref="W20:W38" si="7">SUM(M20,O20,Q20,S20)</f>
        <v>2440339584</v>
      </c>
      <c r="X20" s="76">
        <f t="shared" ref="X20:X38" si="8">W20/K20*100</f>
        <v>77.455463212149581</v>
      </c>
      <c r="Y20" s="77" t="s">
        <v>43</v>
      </c>
      <c r="Z20" s="80">
        <f t="shared" si="0"/>
        <v>35</v>
      </c>
      <c r="AA20" s="105">
        <f t="shared" si="1"/>
        <v>5463016577</v>
      </c>
      <c r="AB20" s="76"/>
      <c r="AC20" s="77" t="s">
        <v>43</v>
      </c>
      <c r="AD20" s="76"/>
      <c r="AE20" s="104"/>
      <c r="AH20" s="109"/>
    </row>
    <row r="21" spans="1:34" ht="94.5" customHeight="1">
      <c r="A21" s="21"/>
      <c r="B21" s="13"/>
      <c r="C21" s="22" t="s">
        <v>56</v>
      </c>
      <c r="D21" s="30" t="s">
        <v>191</v>
      </c>
      <c r="E21" s="31">
        <f>12*3</f>
        <v>36</v>
      </c>
      <c r="F21" s="32" t="s">
        <v>58</v>
      </c>
      <c r="G21" s="18"/>
      <c r="H21" s="31">
        <v>24</v>
      </c>
      <c r="I21" s="26">
        <v>3020376993</v>
      </c>
      <c r="J21" s="31">
        <v>26</v>
      </c>
      <c r="K21" s="26">
        <v>3146955840</v>
      </c>
      <c r="L21" s="31">
        <v>26</v>
      </c>
      <c r="M21" s="26">
        <v>0</v>
      </c>
      <c r="N21" s="31">
        <v>26</v>
      </c>
      <c r="O21" s="26">
        <v>1859088922</v>
      </c>
      <c r="P21" s="90">
        <v>26</v>
      </c>
      <c r="Q21" s="84">
        <v>581250662</v>
      </c>
      <c r="R21" s="31"/>
      <c r="S21" s="26"/>
      <c r="T21" s="85">
        <f>AVERAGE(L21,N21,P21,R21)</f>
        <v>26</v>
      </c>
      <c r="U21" s="86">
        <f t="shared" si="6"/>
        <v>100</v>
      </c>
      <c r="V21" s="87" t="s">
        <v>43</v>
      </c>
      <c r="W21" s="88">
        <f t="shared" si="7"/>
        <v>2440339584</v>
      </c>
      <c r="X21" s="86">
        <f t="shared" si="8"/>
        <v>77.54603839626806</v>
      </c>
      <c r="Y21" s="87" t="s">
        <v>43</v>
      </c>
      <c r="Z21" s="85">
        <f t="shared" si="0"/>
        <v>50</v>
      </c>
      <c r="AA21" s="108">
        <f t="shared" si="1"/>
        <v>5460716577</v>
      </c>
      <c r="AB21" s="86"/>
      <c r="AC21" s="87" t="s">
        <v>43</v>
      </c>
      <c r="AD21" s="76"/>
      <c r="AE21" s="104"/>
      <c r="AH21" s="109"/>
    </row>
    <row r="22" spans="1:34" ht="180" customHeight="1">
      <c r="A22" s="21"/>
      <c r="B22" s="13"/>
      <c r="C22" s="22" t="s">
        <v>59</v>
      </c>
      <c r="D22" s="23" t="s">
        <v>192</v>
      </c>
      <c r="E22" s="31">
        <f>1*3</f>
        <v>3</v>
      </c>
      <c r="F22" s="32" t="s">
        <v>53</v>
      </c>
      <c r="G22" s="33"/>
      <c r="H22" s="31">
        <v>2</v>
      </c>
      <c r="I22" s="26">
        <v>1050000</v>
      </c>
      <c r="J22" s="31">
        <v>1</v>
      </c>
      <c r="K22" s="26">
        <v>1400000</v>
      </c>
      <c r="L22" s="31">
        <v>0</v>
      </c>
      <c r="M22" s="26">
        <v>0</v>
      </c>
      <c r="N22" s="31"/>
      <c r="O22" s="26">
        <v>0</v>
      </c>
      <c r="P22" s="139" t="s">
        <v>193</v>
      </c>
      <c r="Q22" s="84">
        <v>0</v>
      </c>
      <c r="R22" s="31"/>
      <c r="S22" s="26"/>
      <c r="T22" s="85">
        <f t="shared" si="5"/>
        <v>0</v>
      </c>
      <c r="U22" s="86">
        <f t="shared" si="6"/>
        <v>0</v>
      </c>
      <c r="V22" s="87" t="s">
        <v>43</v>
      </c>
      <c r="W22" s="88">
        <f t="shared" si="7"/>
        <v>0</v>
      </c>
      <c r="X22" s="86">
        <f t="shared" si="8"/>
        <v>0</v>
      </c>
      <c r="Y22" s="87" t="s">
        <v>43</v>
      </c>
      <c r="Z22" s="85">
        <f t="shared" si="0"/>
        <v>2</v>
      </c>
      <c r="AA22" s="108">
        <f t="shared" si="1"/>
        <v>1050000</v>
      </c>
      <c r="AB22" s="86"/>
      <c r="AC22" s="87" t="s">
        <v>43</v>
      </c>
      <c r="AD22" s="86"/>
      <c r="AE22" s="10"/>
      <c r="AH22" s="109">
        <f>M22+O22+Q22+S22</f>
        <v>0</v>
      </c>
    </row>
    <row r="23" spans="1:34" ht="105">
      <c r="A23" s="21"/>
      <c r="B23" s="13"/>
      <c r="C23" s="22" t="s">
        <v>61</v>
      </c>
      <c r="D23" s="23" t="s">
        <v>194</v>
      </c>
      <c r="E23" s="31">
        <f>12*3</f>
        <v>36</v>
      </c>
      <c r="F23" s="32" t="s">
        <v>53</v>
      </c>
      <c r="G23" s="33"/>
      <c r="H23" s="31">
        <v>24</v>
      </c>
      <c r="I23" s="26">
        <v>300000</v>
      </c>
      <c r="J23" s="31">
        <v>12</v>
      </c>
      <c r="K23" s="26">
        <v>1140000</v>
      </c>
      <c r="L23" s="31">
        <v>3</v>
      </c>
      <c r="M23" s="26">
        <v>0</v>
      </c>
      <c r="N23" s="31"/>
      <c r="O23" s="26">
        <v>0</v>
      </c>
      <c r="P23" s="90">
        <v>3</v>
      </c>
      <c r="Q23" s="84">
        <v>0</v>
      </c>
      <c r="R23" s="31"/>
      <c r="S23" s="26"/>
      <c r="T23" s="85">
        <f t="shared" si="5"/>
        <v>6</v>
      </c>
      <c r="U23" s="86">
        <f t="shared" si="6"/>
        <v>50</v>
      </c>
      <c r="V23" s="87" t="s">
        <v>43</v>
      </c>
      <c r="W23" s="88">
        <f t="shared" si="7"/>
        <v>0</v>
      </c>
      <c r="X23" s="86">
        <f t="shared" si="8"/>
        <v>0</v>
      </c>
      <c r="Y23" s="87" t="s">
        <v>43</v>
      </c>
      <c r="Z23" s="85">
        <f t="shared" si="0"/>
        <v>30</v>
      </c>
      <c r="AA23" s="108">
        <f t="shared" si="1"/>
        <v>300000</v>
      </c>
      <c r="AB23" s="86"/>
      <c r="AC23" s="87" t="s">
        <v>43</v>
      </c>
      <c r="AD23" s="86"/>
      <c r="AE23" s="104"/>
      <c r="AH23" s="109">
        <f>M23+O23+Q23+S23</f>
        <v>0</v>
      </c>
    </row>
    <row r="24" spans="1:34" ht="90">
      <c r="A24" s="21"/>
      <c r="B24" s="13"/>
      <c r="C24" s="22" t="s">
        <v>63</v>
      </c>
      <c r="D24" s="23" t="s">
        <v>195</v>
      </c>
      <c r="E24" s="31">
        <f>1*3</f>
        <v>3</v>
      </c>
      <c r="F24" s="32" t="s">
        <v>48</v>
      </c>
      <c r="G24" s="33"/>
      <c r="H24" s="31">
        <v>2</v>
      </c>
      <c r="I24" s="26">
        <v>950000</v>
      </c>
      <c r="J24" s="31">
        <v>1</v>
      </c>
      <c r="K24" s="26">
        <v>1140000</v>
      </c>
      <c r="L24" s="31">
        <v>0</v>
      </c>
      <c r="M24" s="26">
        <v>0</v>
      </c>
      <c r="N24" s="31"/>
      <c r="O24" s="26">
        <v>0</v>
      </c>
      <c r="P24" s="90">
        <v>1</v>
      </c>
      <c r="Q24" s="84">
        <v>0</v>
      </c>
      <c r="R24" s="31"/>
      <c r="S24" s="26"/>
      <c r="T24" s="85">
        <f t="shared" si="5"/>
        <v>1</v>
      </c>
      <c r="U24" s="86">
        <f t="shared" si="6"/>
        <v>100</v>
      </c>
      <c r="V24" s="87" t="s">
        <v>43</v>
      </c>
      <c r="W24" s="88">
        <f t="shared" si="7"/>
        <v>0</v>
      </c>
      <c r="X24" s="86">
        <f t="shared" si="8"/>
        <v>0</v>
      </c>
      <c r="Y24" s="87" t="s">
        <v>43</v>
      </c>
      <c r="Z24" s="85">
        <f t="shared" si="0"/>
        <v>3</v>
      </c>
      <c r="AA24" s="108">
        <f t="shared" si="1"/>
        <v>950000</v>
      </c>
      <c r="AB24" s="86"/>
      <c r="AC24" s="87" t="s">
        <v>43</v>
      </c>
      <c r="AD24" s="86"/>
      <c r="AE24" s="104"/>
      <c r="AH24" s="109">
        <f>M24+O24+Q24+S24</f>
        <v>0</v>
      </c>
    </row>
    <row r="25" spans="1:34" ht="111" customHeight="1">
      <c r="A25" s="21"/>
      <c r="B25" s="13"/>
      <c r="C25" s="14" t="s">
        <v>65</v>
      </c>
      <c r="D25" s="14" t="s">
        <v>66</v>
      </c>
      <c r="E25" s="28">
        <f>1*3</f>
        <v>3</v>
      </c>
      <c r="F25" s="29" t="s">
        <v>48</v>
      </c>
      <c r="G25" s="34">
        <f>SUM(G26:G30)</f>
        <v>0</v>
      </c>
      <c r="H25" s="28">
        <v>1</v>
      </c>
      <c r="I25" s="18">
        <f>I26+I27+I28+I29+I30</f>
        <v>105610321</v>
      </c>
      <c r="J25" s="28">
        <v>1</v>
      </c>
      <c r="K25" s="18">
        <f>K26+K27+K28+K29+K30</f>
        <v>174399900</v>
      </c>
      <c r="L25" s="28">
        <v>0</v>
      </c>
      <c r="M25" s="62">
        <f>SUM(M26:M30)</f>
        <v>0</v>
      </c>
      <c r="N25" s="28">
        <v>0</v>
      </c>
      <c r="O25" s="18">
        <f>O26+O27+O28+O29+O30</f>
        <v>29800000</v>
      </c>
      <c r="P25" s="89">
        <v>100</v>
      </c>
      <c r="Q25" s="75">
        <f>Q26+Q27+Q28+Q29+Q30</f>
        <v>26485800</v>
      </c>
      <c r="R25" s="28"/>
      <c r="S25" s="62"/>
      <c r="T25" s="80">
        <f t="shared" si="5"/>
        <v>100</v>
      </c>
      <c r="U25" s="76">
        <f t="shared" si="6"/>
        <v>10000</v>
      </c>
      <c r="V25" s="77" t="s">
        <v>43</v>
      </c>
      <c r="W25" s="78">
        <f t="shared" si="7"/>
        <v>56285800</v>
      </c>
      <c r="X25" s="76">
        <f t="shared" si="8"/>
        <v>32.273986395634402</v>
      </c>
      <c r="Y25" s="77" t="s">
        <v>43</v>
      </c>
      <c r="Z25" s="80">
        <f t="shared" si="0"/>
        <v>101</v>
      </c>
      <c r="AA25" s="105">
        <f t="shared" si="1"/>
        <v>161896121</v>
      </c>
      <c r="AB25" s="76"/>
      <c r="AC25" s="77" t="s">
        <v>43</v>
      </c>
      <c r="AD25" s="76"/>
      <c r="AE25" s="104"/>
      <c r="AH25" s="109">
        <f>M25+O25+Q25+S25</f>
        <v>56285800</v>
      </c>
    </row>
    <row r="26" spans="1:34" ht="79.5" customHeight="1">
      <c r="A26" s="21"/>
      <c r="B26" s="13"/>
      <c r="C26" s="22" t="s">
        <v>67</v>
      </c>
      <c r="D26" s="23" t="s">
        <v>196</v>
      </c>
      <c r="E26" s="31">
        <v>100</v>
      </c>
      <c r="F26" s="25" t="s">
        <v>43</v>
      </c>
      <c r="G26" s="33"/>
      <c r="H26" s="31">
        <v>24</v>
      </c>
      <c r="I26" s="26">
        <v>14950000</v>
      </c>
      <c r="J26" s="31">
        <v>12</v>
      </c>
      <c r="K26" s="26">
        <v>50000000</v>
      </c>
      <c r="L26" s="31">
        <v>3</v>
      </c>
      <c r="M26" s="26">
        <v>0</v>
      </c>
      <c r="N26" s="31">
        <v>3</v>
      </c>
      <c r="O26" s="26">
        <v>29800000</v>
      </c>
      <c r="P26" s="90">
        <v>100</v>
      </c>
      <c r="Q26" s="84">
        <v>0</v>
      </c>
      <c r="R26" s="31"/>
      <c r="S26" s="26"/>
      <c r="T26" s="85">
        <f t="shared" si="5"/>
        <v>106</v>
      </c>
      <c r="U26" s="86">
        <f t="shared" si="6"/>
        <v>883.33333333333337</v>
      </c>
      <c r="V26" s="87" t="s">
        <v>43</v>
      </c>
      <c r="W26" s="88">
        <f t="shared" si="7"/>
        <v>29800000</v>
      </c>
      <c r="X26" s="86">
        <f t="shared" si="8"/>
        <v>59.599999999999994</v>
      </c>
      <c r="Y26" s="87" t="s">
        <v>43</v>
      </c>
      <c r="Z26" s="85">
        <f t="shared" si="0"/>
        <v>130</v>
      </c>
      <c r="AA26" s="108">
        <f t="shared" si="1"/>
        <v>44750000</v>
      </c>
      <c r="AB26" s="86"/>
      <c r="AC26" s="87" t="s">
        <v>43</v>
      </c>
      <c r="AD26" s="86"/>
      <c r="AE26" s="104"/>
      <c r="AH26" s="109"/>
    </row>
    <row r="27" spans="1:34" ht="105">
      <c r="A27" s="21"/>
      <c r="B27" s="13"/>
      <c r="C27" s="22" t="s">
        <v>70</v>
      </c>
      <c r="D27" s="23" t="s">
        <v>197</v>
      </c>
      <c r="E27" s="31">
        <v>100</v>
      </c>
      <c r="F27" s="25" t="s">
        <v>43</v>
      </c>
      <c r="G27" s="33"/>
      <c r="H27" s="31">
        <v>24</v>
      </c>
      <c r="I27" s="26">
        <v>9700000</v>
      </c>
      <c r="J27" s="31">
        <v>12</v>
      </c>
      <c r="K27" s="26">
        <v>28200000</v>
      </c>
      <c r="L27" s="31">
        <v>3</v>
      </c>
      <c r="M27" s="26">
        <v>0</v>
      </c>
      <c r="N27" s="31">
        <v>3</v>
      </c>
      <c r="O27" s="26"/>
      <c r="P27" s="90">
        <v>100</v>
      </c>
      <c r="Q27" s="84">
        <v>4970000</v>
      </c>
      <c r="R27" s="31"/>
      <c r="S27" s="26"/>
      <c r="T27" s="85">
        <f t="shared" si="5"/>
        <v>106</v>
      </c>
      <c r="U27" s="86">
        <f t="shared" si="6"/>
        <v>883.33333333333337</v>
      </c>
      <c r="V27" s="87" t="s">
        <v>43</v>
      </c>
      <c r="W27" s="88">
        <f t="shared" si="7"/>
        <v>4970000</v>
      </c>
      <c r="X27" s="86">
        <f t="shared" si="8"/>
        <v>17.624113475177307</v>
      </c>
      <c r="Y27" s="87" t="s">
        <v>43</v>
      </c>
      <c r="Z27" s="85">
        <f t="shared" si="0"/>
        <v>130</v>
      </c>
      <c r="AA27" s="108">
        <f t="shared" si="1"/>
        <v>14670000</v>
      </c>
      <c r="AB27" s="86"/>
      <c r="AC27" s="87" t="s">
        <v>43</v>
      </c>
      <c r="AD27" s="86"/>
      <c r="AE27" s="104"/>
      <c r="AH27" s="109"/>
    </row>
    <row r="28" spans="1:34" ht="105">
      <c r="A28" s="21"/>
      <c r="B28" s="13"/>
      <c r="C28" s="22" t="s">
        <v>72</v>
      </c>
      <c r="D28" s="23" t="s">
        <v>198</v>
      </c>
      <c r="E28" s="31">
        <v>100</v>
      </c>
      <c r="F28" s="25" t="s">
        <v>43</v>
      </c>
      <c r="G28" s="33"/>
      <c r="H28" s="31">
        <v>24</v>
      </c>
      <c r="I28" s="26">
        <v>7350000</v>
      </c>
      <c r="J28" s="31">
        <v>12</v>
      </c>
      <c r="K28" s="26">
        <v>1399900</v>
      </c>
      <c r="L28" s="31">
        <v>3</v>
      </c>
      <c r="M28" s="18">
        <v>0</v>
      </c>
      <c r="N28" s="31">
        <v>3</v>
      </c>
      <c r="O28" s="18"/>
      <c r="P28" s="90">
        <v>100</v>
      </c>
      <c r="Q28" s="75">
        <v>0</v>
      </c>
      <c r="R28" s="31"/>
      <c r="S28" s="26"/>
      <c r="T28" s="85">
        <f t="shared" si="5"/>
        <v>106</v>
      </c>
      <c r="U28" s="86">
        <f t="shared" si="6"/>
        <v>883.33333333333337</v>
      </c>
      <c r="V28" s="87" t="s">
        <v>43</v>
      </c>
      <c r="W28" s="88">
        <f t="shared" si="7"/>
        <v>0</v>
      </c>
      <c r="X28" s="86">
        <f t="shared" si="8"/>
        <v>0</v>
      </c>
      <c r="Y28" s="87" t="s">
        <v>43</v>
      </c>
      <c r="Z28" s="85">
        <f t="shared" si="0"/>
        <v>130</v>
      </c>
      <c r="AA28" s="108">
        <f t="shared" si="1"/>
        <v>7350000</v>
      </c>
      <c r="AB28" s="86"/>
      <c r="AC28" s="87" t="s">
        <v>43</v>
      </c>
      <c r="AD28" s="76"/>
      <c r="AE28" s="104"/>
      <c r="AH28" s="109"/>
    </row>
    <row r="29" spans="1:34" ht="135">
      <c r="A29" s="21"/>
      <c r="B29" s="13"/>
      <c r="C29" s="22" t="s">
        <v>74</v>
      </c>
      <c r="D29" s="35" t="s">
        <v>199</v>
      </c>
      <c r="E29" s="31">
        <v>100</v>
      </c>
      <c r="F29" s="25" t="s">
        <v>43</v>
      </c>
      <c r="G29" s="33"/>
      <c r="H29" s="31">
        <v>24</v>
      </c>
      <c r="I29" s="26">
        <v>4300000</v>
      </c>
      <c r="J29" s="31">
        <v>12</v>
      </c>
      <c r="K29" s="26">
        <v>4800000</v>
      </c>
      <c r="L29" s="31">
        <v>3</v>
      </c>
      <c r="M29" s="26">
        <v>0</v>
      </c>
      <c r="N29" s="31">
        <v>3</v>
      </c>
      <c r="O29" s="26"/>
      <c r="P29" s="90">
        <v>100</v>
      </c>
      <c r="Q29" s="84">
        <v>1340000</v>
      </c>
      <c r="R29" s="31"/>
      <c r="S29" s="26"/>
      <c r="T29" s="85">
        <f t="shared" si="5"/>
        <v>106</v>
      </c>
      <c r="U29" s="86">
        <f t="shared" si="6"/>
        <v>883.33333333333337</v>
      </c>
      <c r="V29" s="87" t="s">
        <v>43</v>
      </c>
      <c r="W29" s="88">
        <f t="shared" si="7"/>
        <v>1340000</v>
      </c>
      <c r="X29" s="86">
        <f t="shared" si="8"/>
        <v>27.916666666666668</v>
      </c>
      <c r="Y29" s="87" t="s">
        <v>43</v>
      </c>
      <c r="Z29" s="85">
        <f t="shared" si="0"/>
        <v>130</v>
      </c>
      <c r="AA29" s="108">
        <f t="shared" si="1"/>
        <v>5640000</v>
      </c>
      <c r="AB29" s="86"/>
      <c r="AC29" s="87" t="s">
        <v>43</v>
      </c>
      <c r="AD29" s="86"/>
      <c r="AE29" s="104"/>
      <c r="AH29" s="109"/>
    </row>
    <row r="30" spans="1:34" ht="105">
      <c r="A30" s="21"/>
      <c r="B30" s="13"/>
      <c r="C30" s="22" t="s">
        <v>76</v>
      </c>
      <c r="D30" s="36" t="s">
        <v>200</v>
      </c>
      <c r="E30" s="31">
        <v>100</v>
      </c>
      <c r="F30" s="25" t="s">
        <v>43</v>
      </c>
      <c r="G30" s="33"/>
      <c r="H30" s="31">
        <v>24</v>
      </c>
      <c r="I30" s="26">
        <v>69310321</v>
      </c>
      <c r="J30" s="31">
        <v>12</v>
      </c>
      <c r="K30" s="26">
        <v>90000000</v>
      </c>
      <c r="L30" s="31">
        <v>3</v>
      </c>
      <c r="M30" s="26">
        <v>0</v>
      </c>
      <c r="N30" s="31">
        <v>3</v>
      </c>
      <c r="O30" s="26"/>
      <c r="P30" s="90">
        <v>100</v>
      </c>
      <c r="Q30" s="84">
        <v>20175800</v>
      </c>
      <c r="R30" s="31"/>
      <c r="S30" s="26"/>
      <c r="T30" s="85">
        <f t="shared" si="5"/>
        <v>106</v>
      </c>
      <c r="U30" s="86">
        <f t="shared" si="6"/>
        <v>883.33333333333337</v>
      </c>
      <c r="V30" s="87" t="s">
        <v>43</v>
      </c>
      <c r="W30" s="88">
        <f t="shared" si="7"/>
        <v>20175800</v>
      </c>
      <c r="X30" s="86">
        <f t="shared" si="8"/>
        <v>22.417555555555555</v>
      </c>
      <c r="Y30" s="87" t="s">
        <v>43</v>
      </c>
      <c r="Z30" s="85">
        <f t="shared" si="0"/>
        <v>130</v>
      </c>
      <c r="AA30" s="108">
        <f t="shared" si="1"/>
        <v>89486121</v>
      </c>
      <c r="AB30" s="86"/>
      <c r="AC30" s="87" t="s">
        <v>43</v>
      </c>
      <c r="AD30" s="86"/>
      <c r="AE30" s="104"/>
      <c r="AH30" s="109"/>
    </row>
    <row r="31" spans="1:34" ht="123.75" customHeight="1">
      <c r="A31" s="21"/>
      <c r="B31" s="13"/>
      <c r="C31" s="14" t="s">
        <v>78</v>
      </c>
      <c r="D31" s="14" t="s">
        <v>79</v>
      </c>
      <c r="E31" s="28">
        <v>100</v>
      </c>
      <c r="F31" s="29" t="s">
        <v>43</v>
      </c>
      <c r="G31" s="18">
        <f>SUM(G32)</f>
        <v>0</v>
      </c>
      <c r="H31" s="28">
        <v>200</v>
      </c>
      <c r="I31" s="18">
        <f>SUM(I32)</f>
        <v>26071000</v>
      </c>
      <c r="J31" s="28">
        <v>100</v>
      </c>
      <c r="K31" s="18">
        <f>SUM(K32)</f>
        <v>31720100</v>
      </c>
      <c r="L31" s="16">
        <v>100</v>
      </c>
      <c r="M31" s="18">
        <f>SUM(M32)</f>
        <v>0</v>
      </c>
      <c r="N31" s="16">
        <v>100</v>
      </c>
      <c r="O31" s="18">
        <f>SUM(O32)</f>
        <v>0</v>
      </c>
      <c r="P31" s="79">
        <v>100</v>
      </c>
      <c r="Q31" s="75">
        <f>SUM(Q32)</f>
        <v>19864865</v>
      </c>
      <c r="R31" s="16"/>
      <c r="S31" s="18"/>
      <c r="T31" s="80">
        <f>AVERAGE(L31,N31,P31,R31)</f>
        <v>100</v>
      </c>
      <c r="U31" s="76">
        <f t="shared" si="6"/>
        <v>100</v>
      </c>
      <c r="V31" s="77" t="s">
        <v>43</v>
      </c>
      <c r="W31" s="78">
        <f t="shared" si="7"/>
        <v>19864865</v>
      </c>
      <c r="X31" s="76">
        <f t="shared" si="8"/>
        <v>62.625480373643207</v>
      </c>
      <c r="Y31" s="77" t="s">
        <v>43</v>
      </c>
      <c r="Z31" s="80">
        <f t="shared" si="0"/>
        <v>300</v>
      </c>
      <c r="AA31" s="105">
        <f t="shared" si="1"/>
        <v>45935865</v>
      </c>
      <c r="AB31" s="76"/>
      <c r="AC31" s="77" t="s">
        <v>43</v>
      </c>
      <c r="AD31" s="76"/>
      <c r="AE31" s="104"/>
      <c r="AH31" s="109"/>
    </row>
    <row r="32" spans="1:34" ht="150">
      <c r="A32" s="21"/>
      <c r="B32" s="13"/>
      <c r="C32" s="22" t="s">
        <v>80</v>
      </c>
      <c r="D32" s="23" t="s">
        <v>201</v>
      </c>
      <c r="E32" s="31">
        <v>100</v>
      </c>
      <c r="F32" s="25" t="s">
        <v>43</v>
      </c>
      <c r="G32" s="33"/>
      <c r="H32" s="31">
        <v>24</v>
      </c>
      <c r="I32" s="26">
        <v>26071000</v>
      </c>
      <c r="J32" s="31">
        <v>12</v>
      </c>
      <c r="K32" s="26">
        <v>31720100</v>
      </c>
      <c r="L32" s="31">
        <v>3</v>
      </c>
      <c r="M32" s="26">
        <v>0</v>
      </c>
      <c r="N32" s="31">
        <v>3</v>
      </c>
      <c r="O32" s="26">
        <v>0</v>
      </c>
      <c r="P32" s="90">
        <v>3</v>
      </c>
      <c r="Q32" s="84">
        <v>19864865</v>
      </c>
      <c r="R32" s="31"/>
      <c r="S32" s="26"/>
      <c r="T32" s="85">
        <f t="shared" si="5"/>
        <v>9</v>
      </c>
      <c r="U32" s="86">
        <f t="shared" si="6"/>
        <v>75</v>
      </c>
      <c r="V32" s="87" t="s">
        <v>43</v>
      </c>
      <c r="W32" s="88">
        <f t="shared" si="7"/>
        <v>19864865</v>
      </c>
      <c r="X32" s="86">
        <f t="shared" si="8"/>
        <v>62.625480373643207</v>
      </c>
      <c r="Y32" s="87" t="s">
        <v>43</v>
      </c>
      <c r="Z32" s="85">
        <f t="shared" si="0"/>
        <v>33</v>
      </c>
      <c r="AA32" s="108">
        <f t="shared" si="1"/>
        <v>45935865</v>
      </c>
      <c r="AB32" s="86"/>
      <c r="AC32" s="87" t="s">
        <v>43</v>
      </c>
      <c r="AD32" s="86"/>
      <c r="AE32" s="104"/>
      <c r="AH32" s="109"/>
    </row>
    <row r="33" spans="1:34" ht="109.5" customHeight="1">
      <c r="A33" s="21"/>
      <c r="B33" s="13"/>
      <c r="C33" s="14" t="s">
        <v>83</v>
      </c>
      <c r="D33" s="14" t="s">
        <v>79</v>
      </c>
      <c r="E33" s="28">
        <v>100</v>
      </c>
      <c r="F33" s="29" t="s">
        <v>43</v>
      </c>
      <c r="G33" s="18">
        <f>SUM(G34:G35)</f>
        <v>0</v>
      </c>
      <c r="H33" s="28">
        <v>200</v>
      </c>
      <c r="I33" s="18">
        <f>SUM(I34:I35)</f>
        <v>76285840</v>
      </c>
      <c r="J33" s="28">
        <v>100</v>
      </c>
      <c r="K33" s="18">
        <f>SUM(K34:K35)</f>
        <v>97796188</v>
      </c>
      <c r="L33" s="16">
        <v>100</v>
      </c>
      <c r="M33" s="18">
        <f>SUM(M34:M35)</f>
        <v>0</v>
      </c>
      <c r="N33" s="16">
        <v>100</v>
      </c>
      <c r="O33" s="18">
        <f>O34+O35</f>
        <v>30097701</v>
      </c>
      <c r="P33" s="79">
        <v>100</v>
      </c>
      <c r="Q33" s="75">
        <f>Q34+Q35</f>
        <v>6000000</v>
      </c>
      <c r="R33" s="16"/>
      <c r="S33" s="18"/>
      <c r="T33" s="80">
        <f>AVERAGE(L33,N33,P33,R33)</f>
        <v>100</v>
      </c>
      <c r="U33" s="76">
        <f t="shared" si="6"/>
        <v>100</v>
      </c>
      <c r="V33" s="77" t="s">
        <v>43</v>
      </c>
      <c r="W33" s="78">
        <f t="shared" si="7"/>
        <v>36097701</v>
      </c>
      <c r="X33" s="76">
        <f t="shared" si="8"/>
        <v>36.911153428597849</v>
      </c>
      <c r="Y33" s="77" t="s">
        <v>43</v>
      </c>
      <c r="Z33" s="80">
        <f t="shared" si="0"/>
        <v>300</v>
      </c>
      <c r="AA33" s="105">
        <f t="shared" si="1"/>
        <v>112383541</v>
      </c>
      <c r="AB33" s="76"/>
      <c r="AC33" s="77" t="s">
        <v>43</v>
      </c>
      <c r="AD33" s="76"/>
      <c r="AE33" s="104"/>
      <c r="AH33" s="109"/>
    </row>
    <row r="34" spans="1:34" ht="105">
      <c r="A34" s="21"/>
      <c r="B34" s="13"/>
      <c r="C34" s="22" t="s">
        <v>84</v>
      </c>
      <c r="D34" s="23" t="s">
        <v>202</v>
      </c>
      <c r="E34" s="31">
        <v>100</v>
      </c>
      <c r="F34" s="25" t="s">
        <v>43</v>
      </c>
      <c r="G34" s="33"/>
      <c r="H34" s="31">
        <v>24</v>
      </c>
      <c r="I34" s="26">
        <v>73485840</v>
      </c>
      <c r="J34" s="31">
        <v>12</v>
      </c>
      <c r="K34" s="26">
        <v>40846188</v>
      </c>
      <c r="L34" s="31">
        <v>3</v>
      </c>
      <c r="M34" s="26">
        <v>0</v>
      </c>
      <c r="N34" s="31">
        <v>3</v>
      </c>
      <c r="O34" s="26">
        <v>9097701</v>
      </c>
      <c r="P34" s="90">
        <v>3</v>
      </c>
      <c r="Q34" s="84">
        <v>0</v>
      </c>
      <c r="R34" s="31"/>
      <c r="S34" s="26"/>
      <c r="T34" s="85">
        <f t="shared" si="5"/>
        <v>9</v>
      </c>
      <c r="U34" s="86">
        <f t="shared" si="6"/>
        <v>75</v>
      </c>
      <c r="V34" s="87" t="s">
        <v>43</v>
      </c>
      <c r="W34" s="88">
        <f t="shared" si="7"/>
        <v>9097701</v>
      </c>
      <c r="X34" s="86">
        <f t="shared" si="8"/>
        <v>22.27307233664008</v>
      </c>
      <c r="Y34" s="87" t="s">
        <v>43</v>
      </c>
      <c r="Z34" s="85">
        <f t="shared" si="0"/>
        <v>33</v>
      </c>
      <c r="AA34" s="108">
        <f t="shared" si="1"/>
        <v>82583541</v>
      </c>
      <c r="AB34" s="86"/>
      <c r="AC34" s="87" t="s">
        <v>43</v>
      </c>
      <c r="AD34" s="86"/>
      <c r="AE34" s="104"/>
      <c r="AH34" s="109"/>
    </row>
    <row r="35" spans="1:34" ht="75">
      <c r="A35" s="21"/>
      <c r="B35" s="13"/>
      <c r="C35" s="22" t="s">
        <v>86</v>
      </c>
      <c r="D35" s="23" t="s">
        <v>203</v>
      </c>
      <c r="E35" s="31">
        <v>100</v>
      </c>
      <c r="F35" s="25" t="s">
        <v>43</v>
      </c>
      <c r="G35" s="18"/>
      <c r="H35" s="31">
        <v>24</v>
      </c>
      <c r="I35" s="26">
        <v>2800000</v>
      </c>
      <c r="J35" s="31">
        <v>12</v>
      </c>
      <c r="K35" s="26">
        <v>56950000</v>
      </c>
      <c r="L35" s="31">
        <v>3</v>
      </c>
      <c r="M35" s="18">
        <v>0</v>
      </c>
      <c r="N35" s="31">
        <v>3</v>
      </c>
      <c r="O35" s="26">
        <v>21000000</v>
      </c>
      <c r="P35" s="90">
        <v>3</v>
      </c>
      <c r="Q35" s="84">
        <v>6000000</v>
      </c>
      <c r="R35" s="31"/>
      <c r="S35" s="26"/>
      <c r="T35" s="85">
        <f t="shared" si="5"/>
        <v>9</v>
      </c>
      <c r="U35" s="86">
        <f t="shared" si="6"/>
        <v>75</v>
      </c>
      <c r="V35" s="87" t="s">
        <v>43</v>
      </c>
      <c r="W35" s="88">
        <f t="shared" si="7"/>
        <v>27000000</v>
      </c>
      <c r="X35" s="86">
        <f t="shared" si="8"/>
        <v>47.410008779631255</v>
      </c>
      <c r="Y35" s="87" t="s">
        <v>43</v>
      </c>
      <c r="Z35" s="85">
        <f t="shared" si="0"/>
        <v>33</v>
      </c>
      <c r="AA35" s="108">
        <f t="shared" si="1"/>
        <v>29800000</v>
      </c>
      <c r="AB35" s="86"/>
      <c r="AC35" s="87" t="s">
        <v>43</v>
      </c>
      <c r="AD35" s="86"/>
      <c r="AE35" s="104"/>
      <c r="AH35" s="109"/>
    </row>
    <row r="36" spans="1:34" ht="125.25" customHeight="1">
      <c r="A36" s="21"/>
      <c r="B36" s="13"/>
      <c r="C36" s="14" t="s">
        <v>88</v>
      </c>
      <c r="D36" s="14" t="s">
        <v>79</v>
      </c>
      <c r="E36" s="28">
        <v>100</v>
      </c>
      <c r="F36" s="29" t="s">
        <v>43</v>
      </c>
      <c r="G36" s="18">
        <f>SUM(G37:G39)</f>
        <v>0</v>
      </c>
      <c r="H36" s="28">
        <v>200</v>
      </c>
      <c r="I36" s="18">
        <f>SUM(I37:I39)</f>
        <v>62025439</v>
      </c>
      <c r="J36" s="28">
        <v>100</v>
      </c>
      <c r="K36" s="18">
        <f>SUM(K37:K39)</f>
        <v>87750000</v>
      </c>
      <c r="L36" s="16">
        <v>100</v>
      </c>
      <c r="M36" s="18">
        <f>SUM(M37:M39)</f>
        <v>0</v>
      </c>
      <c r="N36" s="16">
        <v>100</v>
      </c>
      <c r="O36" s="18">
        <f>SUM(O37:O39)</f>
        <v>0</v>
      </c>
      <c r="P36" s="79">
        <v>100</v>
      </c>
      <c r="Q36" s="75">
        <f>SUM(Q37:Q39)</f>
        <v>11680000</v>
      </c>
      <c r="R36" s="16"/>
      <c r="S36" s="18"/>
      <c r="T36" s="80">
        <f>AVERAGE(L36,N36,P36,R36)</f>
        <v>100</v>
      </c>
      <c r="U36" s="76">
        <f t="shared" si="6"/>
        <v>100</v>
      </c>
      <c r="V36" s="77" t="s">
        <v>43</v>
      </c>
      <c r="W36" s="78">
        <f t="shared" si="7"/>
        <v>11680000</v>
      </c>
      <c r="X36" s="76">
        <f t="shared" si="8"/>
        <v>13.310541310541311</v>
      </c>
      <c r="Y36" s="77" t="s">
        <v>43</v>
      </c>
      <c r="Z36" s="80">
        <f t="shared" si="0"/>
        <v>300</v>
      </c>
      <c r="AA36" s="105">
        <f t="shared" si="1"/>
        <v>73705439</v>
      </c>
      <c r="AB36" s="76"/>
      <c r="AC36" s="77" t="s">
        <v>43</v>
      </c>
      <c r="AD36" s="76"/>
      <c r="AE36" s="104"/>
      <c r="AH36" s="109"/>
    </row>
    <row r="37" spans="1:34" ht="169.5" customHeight="1">
      <c r="A37" s="21"/>
      <c r="B37" s="13"/>
      <c r="C37" s="22" t="s">
        <v>89</v>
      </c>
      <c r="D37" s="23" t="s">
        <v>204</v>
      </c>
      <c r="E37" s="31">
        <v>100</v>
      </c>
      <c r="F37" s="25" t="s">
        <v>43</v>
      </c>
      <c r="G37" s="18"/>
      <c r="H37" s="31">
        <v>24</v>
      </c>
      <c r="I37" s="26">
        <v>44423060</v>
      </c>
      <c r="J37" s="31">
        <v>12</v>
      </c>
      <c r="K37" s="26">
        <v>68000000</v>
      </c>
      <c r="L37" s="31">
        <v>3</v>
      </c>
      <c r="M37" s="26">
        <v>0</v>
      </c>
      <c r="N37" s="31"/>
      <c r="O37" s="26">
        <v>0</v>
      </c>
      <c r="P37" s="90"/>
      <c r="Q37" s="84">
        <v>11380000</v>
      </c>
      <c r="R37" s="31"/>
      <c r="S37" s="26"/>
      <c r="T37" s="86">
        <f t="shared" si="5"/>
        <v>3</v>
      </c>
      <c r="U37" s="86">
        <f t="shared" si="6"/>
        <v>25</v>
      </c>
      <c r="V37" s="87" t="s">
        <v>43</v>
      </c>
      <c r="W37" s="88">
        <f t="shared" si="7"/>
        <v>11380000</v>
      </c>
      <c r="X37" s="86">
        <f t="shared" si="8"/>
        <v>16.735294117647058</v>
      </c>
      <c r="Y37" s="87" t="s">
        <v>43</v>
      </c>
      <c r="Z37" s="86">
        <f t="shared" si="0"/>
        <v>27</v>
      </c>
      <c r="AA37" s="108">
        <f t="shared" si="1"/>
        <v>55803060</v>
      </c>
      <c r="AB37" s="86"/>
      <c r="AC37" s="87" t="s">
        <v>43</v>
      </c>
      <c r="AD37" s="76"/>
      <c r="AE37" s="104"/>
      <c r="AH37" s="109"/>
    </row>
    <row r="38" spans="1:34" ht="75">
      <c r="A38" s="21"/>
      <c r="B38" s="13"/>
      <c r="C38" s="22" t="s">
        <v>91</v>
      </c>
      <c r="D38" s="23" t="s">
        <v>205</v>
      </c>
      <c r="E38" s="31">
        <v>100</v>
      </c>
      <c r="F38" s="25" t="s">
        <v>43</v>
      </c>
      <c r="G38" s="33"/>
      <c r="H38" s="31"/>
      <c r="I38" s="26"/>
      <c r="J38" s="31">
        <v>12</v>
      </c>
      <c r="K38" s="26">
        <v>19750000</v>
      </c>
      <c r="L38" s="31">
        <v>3</v>
      </c>
      <c r="M38" s="26">
        <v>0</v>
      </c>
      <c r="N38" s="31"/>
      <c r="O38" s="26">
        <v>0</v>
      </c>
      <c r="P38" s="90"/>
      <c r="Q38" s="84">
        <v>300000</v>
      </c>
      <c r="R38" s="31"/>
      <c r="S38" s="26"/>
      <c r="T38" s="85">
        <f t="shared" si="5"/>
        <v>3</v>
      </c>
      <c r="U38" s="86">
        <f t="shared" si="6"/>
        <v>25</v>
      </c>
      <c r="V38" s="87" t="s">
        <v>43</v>
      </c>
      <c r="W38" s="88">
        <f t="shared" si="7"/>
        <v>300000</v>
      </c>
      <c r="X38" s="86">
        <f t="shared" si="8"/>
        <v>1.5189873417721518</v>
      </c>
      <c r="Y38" s="87" t="s">
        <v>43</v>
      </c>
      <c r="Z38" s="85">
        <f t="shared" si="0"/>
        <v>3</v>
      </c>
      <c r="AA38" s="108">
        <f t="shared" si="1"/>
        <v>300000</v>
      </c>
      <c r="AB38" s="86"/>
      <c r="AC38" s="87" t="s">
        <v>43</v>
      </c>
      <c r="AD38" s="86"/>
      <c r="AE38" s="104"/>
      <c r="AH38" s="109"/>
    </row>
    <row r="39" spans="1:34" ht="135">
      <c r="A39" s="21"/>
      <c r="B39" s="13"/>
      <c r="C39" s="27" t="s">
        <v>93</v>
      </c>
      <c r="D39" s="27" t="s">
        <v>94</v>
      </c>
      <c r="E39" s="31">
        <v>100</v>
      </c>
      <c r="F39" s="25" t="s">
        <v>43</v>
      </c>
      <c r="G39" s="33"/>
      <c r="H39" s="31">
        <v>24</v>
      </c>
      <c r="I39" s="26">
        <v>17602379</v>
      </c>
      <c r="J39" s="31"/>
      <c r="K39" s="26"/>
      <c r="L39" s="31"/>
      <c r="M39" s="26"/>
      <c r="N39" s="31"/>
      <c r="O39" s="26"/>
      <c r="P39" s="90"/>
      <c r="Q39" s="84"/>
      <c r="R39" s="31"/>
      <c r="S39" s="26"/>
      <c r="T39" s="85"/>
      <c r="U39" s="86"/>
      <c r="V39" s="87"/>
      <c r="W39" s="88"/>
      <c r="X39" s="86"/>
      <c r="Y39" s="87"/>
      <c r="Z39" s="85">
        <f t="shared" si="0"/>
        <v>24</v>
      </c>
      <c r="AA39" s="108">
        <f t="shared" si="1"/>
        <v>17602379</v>
      </c>
      <c r="AB39" s="86"/>
      <c r="AC39" s="87" t="s">
        <v>43</v>
      </c>
      <c r="AD39" s="86"/>
      <c r="AE39" s="104"/>
      <c r="AH39" s="109"/>
    </row>
    <row r="40" spans="1:34" ht="78.75">
      <c r="A40" s="21"/>
      <c r="B40" s="13"/>
      <c r="C40" s="14" t="s">
        <v>95</v>
      </c>
      <c r="D40" s="37" t="s">
        <v>206</v>
      </c>
      <c r="E40" s="38">
        <f>E41</f>
        <v>41.428571428571431</v>
      </c>
      <c r="F40" s="39" t="s">
        <v>43</v>
      </c>
      <c r="G40" s="18">
        <f>SUM(G41)</f>
        <v>1065711650</v>
      </c>
      <c r="H40" s="38">
        <v>32.396839332748002</v>
      </c>
      <c r="I40" s="18">
        <v>316555200</v>
      </c>
      <c r="J40" s="38">
        <f>J41</f>
        <v>37.401229148375769</v>
      </c>
      <c r="K40" s="18">
        <f>SUM(K41)</f>
        <v>202019700</v>
      </c>
      <c r="L40" s="38">
        <f>L41</f>
        <v>0</v>
      </c>
      <c r="M40" s="18">
        <f>SUM(M41)</f>
        <v>0</v>
      </c>
      <c r="N40" s="38"/>
      <c r="O40" s="18">
        <f>O41</f>
        <v>138060100</v>
      </c>
      <c r="P40" s="91"/>
      <c r="Q40" s="75">
        <f>Q41</f>
        <v>42834460</v>
      </c>
      <c r="R40" s="38"/>
      <c r="S40" s="18"/>
      <c r="T40" s="76">
        <f t="shared" ref="T40:T68" si="9">SUM(L40,N40,P40,R40)</f>
        <v>0</v>
      </c>
      <c r="U40" s="76">
        <f>Z40/J40*100</f>
        <v>86.619718309859095</v>
      </c>
      <c r="V40" s="77" t="s">
        <v>43</v>
      </c>
      <c r="W40" s="78">
        <f t="shared" ref="W40:W68" si="10">SUM(M40,O40,Q40,S40)</f>
        <v>180894560</v>
      </c>
      <c r="X40" s="76">
        <f t="shared" ref="X40:X68" si="11">W40/K40*100</f>
        <v>89.54302971442884</v>
      </c>
      <c r="Y40" s="77" t="s">
        <v>43</v>
      </c>
      <c r="Z40" s="76">
        <f t="shared" si="0"/>
        <v>32.396839332748002</v>
      </c>
      <c r="AA40" s="105">
        <f t="shared" si="1"/>
        <v>497449760</v>
      </c>
      <c r="AB40" s="76"/>
      <c r="AC40" s="77" t="s">
        <v>43</v>
      </c>
      <c r="AD40" s="76"/>
      <c r="AE40" s="104"/>
      <c r="AH40" s="109"/>
    </row>
    <row r="41" spans="1:34" ht="135.75" customHeight="1">
      <c r="A41" s="21"/>
      <c r="B41" s="13"/>
      <c r="C41" s="14" t="s">
        <v>97</v>
      </c>
      <c r="D41" s="40" t="s">
        <v>207</v>
      </c>
      <c r="E41" s="38">
        <f>(350+85)/1050*100</f>
        <v>41.428571428571431</v>
      </c>
      <c r="F41" s="39" t="s">
        <v>43</v>
      </c>
      <c r="G41" s="18">
        <f>SUM(G42:G43)</f>
        <v>1065711650</v>
      </c>
      <c r="H41" s="38">
        <v>32.396839332748002</v>
      </c>
      <c r="I41" s="18">
        <v>316555200</v>
      </c>
      <c r="J41" s="38">
        <f>(350+76)/1139*100</f>
        <v>37.401229148375769</v>
      </c>
      <c r="K41" s="18">
        <f>SUM(K42:K43)</f>
        <v>202019700</v>
      </c>
      <c r="L41" s="38">
        <v>0</v>
      </c>
      <c r="M41" s="18">
        <f>SUM(M42:M43)</f>
        <v>0</v>
      </c>
      <c r="N41" s="38"/>
      <c r="O41" s="18">
        <f>O42+O43</f>
        <v>138060100</v>
      </c>
      <c r="P41" s="91"/>
      <c r="Q41" s="75">
        <f>Q42+Q43</f>
        <v>42834460</v>
      </c>
      <c r="R41" s="38"/>
      <c r="S41" s="18"/>
      <c r="T41" s="76">
        <f t="shared" si="9"/>
        <v>0</v>
      </c>
      <c r="U41" s="76">
        <f>Z41/J41*100</f>
        <v>86.619718309859095</v>
      </c>
      <c r="V41" s="77" t="s">
        <v>43</v>
      </c>
      <c r="W41" s="78">
        <f t="shared" si="10"/>
        <v>180894560</v>
      </c>
      <c r="X41" s="76">
        <f t="shared" si="11"/>
        <v>89.54302971442884</v>
      </c>
      <c r="Y41" s="77" t="s">
        <v>43</v>
      </c>
      <c r="Z41" s="76">
        <f t="shared" si="0"/>
        <v>32.396839332748002</v>
      </c>
      <c r="AA41" s="105">
        <f t="shared" si="1"/>
        <v>497449760</v>
      </c>
      <c r="AB41" s="76"/>
      <c r="AC41" s="77" t="s">
        <v>43</v>
      </c>
      <c r="AD41" s="76"/>
      <c r="AE41" s="104"/>
      <c r="AH41" s="109"/>
    </row>
    <row r="42" spans="1:34" ht="139.5" customHeight="1">
      <c r="A42" s="21"/>
      <c r="B42" s="13"/>
      <c r="C42" s="22" t="s">
        <v>99</v>
      </c>
      <c r="D42" s="41" t="s">
        <v>208</v>
      </c>
      <c r="E42" s="24">
        <f>66+56+40</f>
        <v>162</v>
      </c>
      <c r="F42" s="42" t="s">
        <v>58</v>
      </c>
      <c r="G42" s="26">
        <f>308480350*3</f>
        <v>925441050</v>
      </c>
      <c r="H42" s="31">
        <v>20</v>
      </c>
      <c r="I42" s="26">
        <v>280624600</v>
      </c>
      <c r="J42" s="24">
        <v>66</v>
      </c>
      <c r="K42" s="26">
        <v>150089850</v>
      </c>
      <c r="L42" s="24">
        <v>0</v>
      </c>
      <c r="M42" s="26">
        <v>0</v>
      </c>
      <c r="N42" s="24"/>
      <c r="O42" s="26">
        <v>90604000</v>
      </c>
      <c r="P42" s="64">
        <v>16</v>
      </c>
      <c r="Q42" s="84">
        <v>39103829</v>
      </c>
      <c r="R42" s="24"/>
      <c r="S42" s="26"/>
      <c r="T42" s="85">
        <f t="shared" si="9"/>
        <v>16</v>
      </c>
      <c r="U42" s="86">
        <f>T42/J42*100</f>
        <v>24.242424242424242</v>
      </c>
      <c r="V42" s="87" t="s">
        <v>43</v>
      </c>
      <c r="W42" s="88">
        <f t="shared" si="10"/>
        <v>129707829</v>
      </c>
      <c r="X42" s="86">
        <f t="shared" si="11"/>
        <v>86.420120347911606</v>
      </c>
      <c r="Y42" s="87" t="s">
        <v>43</v>
      </c>
      <c r="Z42" s="85">
        <f t="shared" si="0"/>
        <v>36</v>
      </c>
      <c r="AA42" s="108">
        <f t="shared" si="1"/>
        <v>410332429</v>
      </c>
      <c r="AB42" s="86"/>
      <c r="AC42" s="87" t="s">
        <v>43</v>
      </c>
      <c r="AD42" s="86"/>
      <c r="AE42" s="104"/>
      <c r="AH42" s="109"/>
    </row>
    <row r="43" spans="1:34" ht="165">
      <c r="A43" s="21"/>
      <c r="B43" s="13"/>
      <c r="C43" s="22" t="s">
        <v>101</v>
      </c>
      <c r="D43" s="41" t="s">
        <v>209</v>
      </c>
      <c r="E43" s="24">
        <v>40</v>
      </c>
      <c r="F43" s="42" t="s">
        <v>210</v>
      </c>
      <c r="G43" s="26">
        <f>36410600+51930000+51930000</f>
        <v>140270600</v>
      </c>
      <c r="H43" s="31">
        <v>0</v>
      </c>
      <c r="I43" s="26">
        <v>35930600</v>
      </c>
      <c r="J43" s="24">
        <v>20</v>
      </c>
      <c r="K43" s="26">
        <v>51929850</v>
      </c>
      <c r="L43" s="24">
        <v>0</v>
      </c>
      <c r="M43" s="26">
        <v>0</v>
      </c>
      <c r="N43" s="24"/>
      <c r="O43" s="26">
        <v>47456100</v>
      </c>
      <c r="P43" s="64">
        <v>20</v>
      </c>
      <c r="Q43" s="84">
        <v>3730631</v>
      </c>
      <c r="R43" s="24"/>
      <c r="S43" s="26"/>
      <c r="T43" s="85">
        <f t="shared" si="9"/>
        <v>20</v>
      </c>
      <c r="U43" s="86">
        <f>T43/J43*100</f>
        <v>100</v>
      </c>
      <c r="V43" s="87" t="s">
        <v>43</v>
      </c>
      <c r="W43" s="88">
        <f t="shared" si="10"/>
        <v>51186731</v>
      </c>
      <c r="X43" s="86">
        <f t="shared" si="11"/>
        <v>98.568994518566882</v>
      </c>
      <c r="Y43" s="87" t="s">
        <v>43</v>
      </c>
      <c r="Z43" s="85">
        <f t="shared" si="0"/>
        <v>20</v>
      </c>
      <c r="AA43" s="108">
        <f t="shared" si="1"/>
        <v>87117331</v>
      </c>
      <c r="AB43" s="86"/>
      <c r="AC43" s="87" t="s">
        <v>43</v>
      </c>
      <c r="AD43" s="86"/>
      <c r="AE43" s="104"/>
      <c r="AH43" s="109"/>
    </row>
    <row r="44" spans="1:34" ht="110.25">
      <c r="A44" s="12">
        <v>14</v>
      </c>
      <c r="B44" s="19" t="s">
        <v>104</v>
      </c>
      <c r="C44" s="14" t="s">
        <v>105</v>
      </c>
      <c r="D44" s="15" t="s">
        <v>211</v>
      </c>
      <c r="E44" s="38">
        <f>9.73</f>
        <v>9.73</v>
      </c>
      <c r="F44" s="39" t="s">
        <v>43</v>
      </c>
      <c r="G44" s="18">
        <f>SUM(G45)</f>
        <v>106684780</v>
      </c>
      <c r="H44" s="38">
        <v>1.9</v>
      </c>
      <c r="I44" s="18">
        <f>SUM(I45)</f>
        <v>27886500</v>
      </c>
      <c r="J44" s="38">
        <f>J40</f>
        <v>37.401229148375769</v>
      </c>
      <c r="K44" s="18">
        <f>SUM(K45)</f>
        <v>38577100</v>
      </c>
      <c r="L44" s="38">
        <f>L40</f>
        <v>0</v>
      </c>
      <c r="M44" s="18">
        <f>SUM(M45)</f>
        <v>0</v>
      </c>
      <c r="N44" s="38"/>
      <c r="O44" s="18">
        <f>O45</f>
        <v>19874850</v>
      </c>
      <c r="P44" s="140" t="s">
        <v>212</v>
      </c>
      <c r="Q44" s="75">
        <f>Q45</f>
        <v>3000000</v>
      </c>
      <c r="R44" s="38"/>
      <c r="S44" s="18"/>
      <c r="T44" s="76">
        <f t="shared" si="9"/>
        <v>0</v>
      </c>
      <c r="U44" s="76">
        <f>Z44/J44*100</f>
        <v>5.0800469483568067</v>
      </c>
      <c r="V44" s="77" t="s">
        <v>43</v>
      </c>
      <c r="W44" s="78">
        <f t="shared" si="10"/>
        <v>22874850</v>
      </c>
      <c r="X44" s="76">
        <f t="shared" si="11"/>
        <v>59.29644789266171</v>
      </c>
      <c r="Y44" s="77" t="s">
        <v>43</v>
      </c>
      <c r="Z44" s="76">
        <f t="shared" si="0"/>
        <v>1.9</v>
      </c>
      <c r="AA44" s="105">
        <f t="shared" si="1"/>
        <v>50761350</v>
      </c>
      <c r="AB44" s="76"/>
      <c r="AC44" s="77" t="s">
        <v>43</v>
      </c>
      <c r="AD44" s="76"/>
      <c r="AE44" s="104"/>
      <c r="AH44" s="109"/>
    </row>
    <row r="45" spans="1:34" ht="78.75">
      <c r="A45" s="21"/>
      <c r="B45" s="13"/>
      <c r="C45" s="14" t="s">
        <v>106</v>
      </c>
      <c r="D45" s="15" t="s">
        <v>213</v>
      </c>
      <c r="E45" s="43">
        <f>E46</f>
        <v>60</v>
      </c>
      <c r="F45" s="39" t="s">
        <v>58</v>
      </c>
      <c r="G45" s="18">
        <f>SUM(G46)</f>
        <v>106684780</v>
      </c>
      <c r="H45" s="43">
        <v>0</v>
      </c>
      <c r="I45" s="18">
        <f>SUM(I46)</f>
        <v>27886500</v>
      </c>
      <c r="J45" s="43">
        <f>J46</f>
        <v>20</v>
      </c>
      <c r="K45" s="18">
        <f>SUM(K46)</f>
        <v>38577100</v>
      </c>
      <c r="L45" s="16">
        <v>0</v>
      </c>
      <c r="M45" s="18">
        <f>SUM(M46)</f>
        <v>0</v>
      </c>
      <c r="N45" s="16"/>
      <c r="O45" s="18">
        <f>O46</f>
        <v>19874850</v>
      </c>
      <c r="P45" s="79">
        <v>20</v>
      </c>
      <c r="Q45" s="75">
        <f>Q46</f>
        <v>3000000</v>
      </c>
      <c r="R45" s="16"/>
      <c r="S45" s="18"/>
      <c r="T45" s="80">
        <f t="shared" si="9"/>
        <v>20</v>
      </c>
      <c r="U45" s="76">
        <f>T45/J45*100</f>
        <v>100</v>
      </c>
      <c r="V45" s="77" t="s">
        <v>43</v>
      </c>
      <c r="W45" s="78">
        <f t="shared" si="10"/>
        <v>22874850</v>
      </c>
      <c r="X45" s="76">
        <f t="shared" si="11"/>
        <v>59.29644789266171</v>
      </c>
      <c r="Y45" s="77" t="s">
        <v>43</v>
      </c>
      <c r="Z45" s="80">
        <f t="shared" si="0"/>
        <v>20</v>
      </c>
      <c r="AA45" s="105">
        <f t="shared" si="1"/>
        <v>50761350</v>
      </c>
      <c r="AB45" s="76"/>
      <c r="AC45" s="77" t="s">
        <v>43</v>
      </c>
      <c r="AD45" s="76"/>
      <c r="AE45" s="104"/>
      <c r="AH45" s="109"/>
    </row>
    <row r="46" spans="1:34" ht="60">
      <c r="A46" s="21"/>
      <c r="B46" s="13"/>
      <c r="C46" s="22" t="s">
        <v>108</v>
      </c>
      <c r="D46" s="22" t="s">
        <v>214</v>
      </c>
      <c r="E46" s="24">
        <f>20*3</f>
        <v>60</v>
      </c>
      <c r="F46" s="25" t="s">
        <v>58</v>
      </c>
      <c r="G46" s="26">
        <f>29530500+38577140+38577140</f>
        <v>106684780</v>
      </c>
      <c r="H46" s="31">
        <v>0</v>
      </c>
      <c r="I46" s="26">
        <v>27886500</v>
      </c>
      <c r="J46" s="24">
        <v>20</v>
      </c>
      <c r="K46" s="26">
        <v>38577100</v>
      </c>
      <c r="L46" s="24">
        <v>0</v>
      </c>
      <c r="M46" s="26">
        <v>0</v>
      </c>
      <c r="N46" s="24"/>
      <c r="O46" s="26">
        <v>19874850</v>
      </c>
      <c r="P46" s="64">
        <v>20</v>
      </c>
      <c r="Q46" s="84">
        <v>3000000</v>
      </c>
      <c r="R46" s="24"/>
      <c r="S46" s="26"/>
      <c r="T46" s="85">
        <f t="shared" si="9"/>
        <v>20</v>
      </c>
      <c r="U46" s="86">
        <f>T46/J46*100</f>
        <v>100</v>
      </c>
      <c r="V46" s="87" t="s">
        <v>43</v>
      </c>
      <c r="W46" s="88">
        <f t="shared" si="10"/>
        <v>22874850</v>
      </c>
      <c r="X46" s="86">
        <f t="shared" si="11"/>
        <v>59.29644789266171</v>
      </c>
      <c r="Y46" s="87" t="s">
        <v>43</v>
      </c>
      <c r="Z46" s="85">
        <f t="shared" si="0"/>
        <v>20</v>
      </c>
      <c r="AA46" s="108">
        <f t="shared" si="1"/>
        <v>50761350</v>
      </c>
      <c r="AB46" s="86"/>
      <c r="AC46" s="87" t="s">
        <v>43</v>
      </c>
      <c r="AD46" s="86"/>
      <c r="AE46" s="104"/>
      <c r="AH46" s="109"/>
    </row>
    <row r="47" spans="1:34" ht="110.25">
      <c r="A47" s="21"/>
      <c r="B47" s="13"/>
      <c r="C47" s="14" t="s">
        <v>110</v>
      </c>
      <c r="D47" s="14" t="s">
        <v>215</v>
      </c>
      <c r="E47" s="16">
        <f>E48</f>
        <v>100</v>
      </c>
      <c r="F47" s="39" t="s">
        <v>43</v>
      </c>
      <c r="G47" s="44">
        <f>SUM(G48)</f>
        <v>198840000</v>
      </c>
      <c r="H47" s="16">
        <v>100</v>
      </c>
      <c r="I47" s="50">
        <f>SUM(I48)</f>
        <v>0</v>
      </c>
      <c r="J47" s="16">
        <f>J48</f>
        <v>100</v>
      </c>
      <c r="K47" s="44">
        <f>SUM(K48)</f>
        <v>66344750</v>
      </c>
      <c r="L47" s="16">
        <v>0</v>
      </c>
      <c r="M47" s="66">
        <f>SUM(M48)</f>
        <v>0</v>
      </c>
      <c r="N47" s="16"/>
      <c r="O47" s="141" t="s">
        <v>193</v>
      </c>
      <c r="P47" s="79">
        <v>100</v>
      </c>
      <c r="Q47" s="142" t="s">
        <v>193</v>
      </c>
      <c r="R47" s="16"/>
      <c r="S47" s="66"/>
      <c r="T47" s="80">
        <f t="shared" si="9"/>
        <v>100</v>
      </c>
      <c r="U47" s="76">
        <f>T47/J47*100</f>
        <v>100</v>
      </c>
      <c r="V47" s="77" t="s">
        <v>43</v>
      </c>
      <c r="W47" s="78">
        <f t="shared" si="10"/>
        <v>0</v>
      </c>
      <c r="X47" s="76">
        <f t="shared" si="11"/>
        <v>0</v>
      </c>
      <c r="Y47" s="77" t="s">
        <v>43</v>
      </c>
      <c r="Z47" s="80">
        <f t="shared" si="0"/>
        <v>200</v>
      </c>
      <c r="AA47" s="105">
        <f t="shared" si="1"/>
        <v>0</v>
      </c>
      <c r="AB47" s="76"/>
      <c r="AC47" s="77" t="s">
        <v>43</v>
      </c>
      <c r="AD47" s="76"/>
      <c r="AE47" s="104"/>
      <c r="AH47" s="109"/>
    </row>
    <row r="48" spans="1:34" ht="189">
      <c r="A48" s="21"/>
      <c r="B48" s="13"/>
      <c r="C48" s="14" t="s">
        <v>112</v>
      </c>
      <c r="D48" s="14" t="s">
        <v>113</v>
      </c>
      <c r="E48" s="43">
        <f>6/6*100</f>
        <v>100</v>
      </c>
      <c r="F48" s="39" t="s">
        <v>43</v>
      </c>
      <c r="G48" s="44">
        <f>SUM(G49)</f>
        <v>198840000</v>
      </c>
      <c r="H48" s="43">
        <v>100</v>
      </c>
      <c r="I48" s="50">
        <f>SUM(I49)</f>
        <v>0</v>
      </c>
      <c r="J48" s="16">
        <f>J49/J49*100</f>
        <v>100</v>
      </c>
      <c r="K48" s="44">
        <f>SUM(K49)</f>
        <v>66344750</v>
      </c>
      <c r="L48" s="16">
        <v>0</v>
      </c>
      <c r="M48" s="66">
        <f>SUM(M49)</f>
        <v>0</v>
      </c>
      <c r="N48" s="16"/>
      <c r="O48" s="141" t="s">
        <v>193</v>
      </c>
      <c r="P48" s="79">
        <v>100</v>
      </c>
      <c r="Q48" s="142" t="s">
        <v>193</v>
      </c>
      <c r="R48" s="16"/>
      <c r="S48" s="66"/>
      <c r="T48" s="80">
        <f t="shared" si="9"/>
        <v>100</v>
      </c>
      <c r="U48" s="76">
        <f>T48/J48*100</f>
        <v>100</v>
      </c>
      <c r="V48" s="77" t="s">
        <v>43</v>
      </c>
      <c r="W48" s="78">
        <f t="shared" si="10"/>
        <v>0</v>
      </c>
      <c r="X48" s="76">
        <f t="shared" si="11"/>
        <v>0</v>
      </c>
      <c r="Y48" s="77" t="s">
        <v>43</v>
      </c>
      <c r="Z48" s="80">
        <f t="shared" si="0"/>
        <v>200</v>
      </c>
      <c r="AA48" s="105">
        <f t="shared" si="1"/>
        <v>0</v>
      </c>
      <c r="AB48" s="76"/>
      <c r="AC48" s="77" t="s">
        <v>43</v>
      </c>
      <c r="AD48" s="76"/>
      <c r="AE48" s="104"/>
      <c r="AH48" s="109"/>
    </row>
    <row r="49" spans="1:34" ht="180">
      <c r="A49" s="45"/>
      <c r="B49" s="20"/>
      <c r="C49" s="22" t="s">
        <v>114</v>
      </c>
      <c r="D49" s="22" t="s">
        <v>216</v>
      </c>
      <c r="E49" s="31">
        <f>7+6+6</f>
        <v>19</v>
      </c>
      <c r="F49" s="42" t="s">
        <v>217</v>
      </c>
      <c r="G49" s="26">
        <f>66280000*3</f>
        <v>198840000</v>
      </c>
      <c r="H49" s="31">
        <v>3</v>
      </c>
      <c r="I49" s="18">
        <v>0</v>
      </c>
      <c r="J49" s="31">
        <v>7</v>
      </c>
      <c r="K49" s="134">
        <v>66344750</v>
      </c>
      <c r="L49" s="24">
        <v>0</v>
      </c>
      <c r="M49" s="18">
        <v>0</v>
      </c>
      <c r="N49" s="24"/>
      <c r="O49" s="18">
        <v>0</v>
      </c>
      <c r="P49" s="64">
        <v>1</v>
      </c>
      <c r="Q49" s="75">
        <v>0</v>
      </c>
      <c r="R49" s="24"/>
      <c r="S49" s="18"/>
      <c r="T49" s="85">
        <f t="shared" si="9"/>
        <v>1</v>
      </c>
      <c r="U49" s="86">
        <f>T49/J49*100</f>
        <v>14.285714285714285</v>
      </c>
      <c r="V49" s="87" t="s">
        <v>43</v>
      </c>
      <c r="W49" s="88">
        <f t="shared" si="10"/>
        <v>0</v>
      </c>
      <c r="X49" s="86">
        <f t="shared" si="11"/>
        <v>0</v>
      </c>
      <c r="Y49" s="87" t="s">
        <v>43</v>
      </c>
      <c r="Z49" s="86">
        <f t="shared" si="0"/>
        <v>4</v>
      </c>
      <c r="AA49" s="108">
        <f t="shared" si="1"/>
        <v>0</v>
      </c>
      <c r="AB49" s="86"/>
      <c r="AC49" s="87" t="s">
        <v>43</v>
      </c>
      <c r="AD49" s="76"/>
      <c r="AE49" s="104"/>
      <c r="AH49" s="109"/>
    </row>
    <row r="50" spans="1:34" ht="78.75">
      <c r="A50" s="21"/>
      <c r="B50" s="13"/>
      <c r="C50" s="14" t="s">
        <v>117</v>
      </c>
      <c r="D50" s="14" t="s">
        <v>218</v>
      </c>
      <c r="E50" s="38">
        <f>E51/162*100</f>
        <v>79.629629629629633</v>
      </c>
      <c r="F50" s="39" t="s">
        <v>43</v>
      </c>
      <c r="G50" s="46">
        <f>SUM(G51)</f>
        <v>410291200</v>
      </c>
      <c r="H50" s="38">
        <v>78.395061728395106</v>
      </c>
      <c r="I50" s="46">
        <f>SUM(I51)</f>
        <v>125192500</v>
      </c>
      <c r="J50" s="38">
        <f>J51/162*100</f>
        <v>79.629629629629633</v>
      </c>
      <c r="K50" s="46">
        <f>SUM(K51)</f>
        <v>466323300</v>
      </c>
      <c r="L50" s="16">
        <v>0</v>
      </c>
      <c r="M50" s="46">
        <f>SUM(M51)</f>
        <v>0</v>
      </c>
      <c r="N50" s="16"/>
      <c r="O50" s="46">
        <f>O51</f>
        <v>103809400</v>
      </c>
      <c r="P50" s="79"/>
      <c r="Q50" s="93">
        <f>Q51</f>
        <v>19900000</v>
      </c>
      <c r="R50" s="16"/>
      <c r="S50" s="135"/>
      <c r="T50" s="80">
        <f t="shared" si="9"/>
        <v>0</v>
      </c>
      <c r="U50" s="76">
        <f>Z50/J50*100</f>
        <v>98.449612403100829</v>
      </c>
      <c r="V50" s="77" t="s">
        <v>43</v>
      </c>
      <c r="W50" s="78">
        <f t="shared" si="10"/>
        <v>123709400</v>
      </c>
      <c r="X50" s="76">
        <f t="shared" si="11"/>
        <v>26.528676564091906</v>
      </c>
      <c r="Y50" s="77" t="s">
        <v>43</v>
      </c>
      <c r="Z50" s="76">
        <f t="shared" si="0"/>
        <v>78.395061728395106</v>
      </c>
      <c r="AA50" s="105">
        <f t="shared" si="1"/>
        <v>248901900</v>
      </c>
      <c r="AB50" s="76"/>
      <c r="AC50" s="77" t="s">
        <v>43</v>
      </c>
      <c r="AD50" s="76"/>
      <c r="AE50" s="104"/>
      <c r="AH50" s="109"/>
    </row>
    <row r="51" spans="1:34" ht="141.75">
      <c r="A51" s="21"/>
      <c r="B51" s="13"/>
      <c r="C51" s="14" t="s">
        <v>119</v>
      </c>
      <c r="D51" s="14" t="s">
        <v>219</v>
      </c>
      <c r="E51" s="43">
        <f>E52</f>
        <v>129</v>
      </c>
      <c r="F51" s="39" t="s">
        <v>121</v>
      </c>
      <c r="G51" s="47">
        <f>SUM(G52)</f>
        <v>410291200</v>
      </c>
      <c r="H51" s="43">
        <v>220</v>
      </c>
      <c r="I51" s="47">
        <f>SUM(I52)</f>
        <v>125192500</v>
      </c>
      <c r="J51" s="43">
        <f>J52</f>
        <v>129</v>
      </c>
      <c r="K51" s="47">
        <f>SUM(K52)</f>
        <v>466323300</v>
      </c>
      <c r="L51" s="16">
        <f>L52</f>
        <v>31</v>
      </c>
      <c r="M51" s="47">
        <f>SUM(M52)</f>
        <v>0</v>
      </c>
      <c r="N51" s="16"/>
      <c r="O51" s="47">
        <f>O52</f>
        <v>103809400</v>
      </c>
      <c r="P51" s="79">
        <v>129</v>
      </c>
      <c r="Q51" s="95">
        <f>Q52</f>
        <v>19900000</v>
      </c>
      <c r="R51" s="16"/>
      <c r="S51" s="112"/>
      <c r="T51" s="80">
        <f t="shared" si="9"/>
        <v>160</v>
      </c>
      <c r="U51" s="76">
        <f>T51/J51*100</f>
        <v>124.03100775193798</v>
      </c>
      <c r="V51" s="77" t="s">
        <v>43</v>
      </c>
      <c r="W51" s="78">
        <f t="shared" si="10"/>
        <v>123709400</v>
      </c>
      <c r="X51" s="76">
        <f t="shared" si="11"/>
        <v>26.528676564091906</v>
      </c>
      <c r="Y51" s="77" t="s">
        <v>43</v>
      </c>
      <c r="Z51" s="80">
        <f t="shared" si="0"/>
        <v>380</v>
      </c>
      <c r="AA51" s="105">
        <f t="shared" si="1"/>
        <v>248901900</v>
      </c>
      <c r="AB51" s="76"/>
      <c r="AC51" s="77" t="s">
        <v>43</v>
      </c>
      <c r="AD51" s="76"/>
      <c r="AE51" s="104"/>
      <c r="AH51" s="109"/>
    </row>
    <row r="52" spans="1:34" ht="105">
      <c r="A52" s="21"/>
      <c r="B52" s="13"/>
      <c r="C52" s="22" t="s">
        <v>122</v>
      </c>
      <c r="D52" s="22" t="s">
        <v>220</v>
      </c>
      <c r="E52" s="48">
        <v>129</v>
      </c>
      <c r="F52" s="42" t="s">
        <v>121</v>
      </c>
      <c r="G52" s="49">
        <f>175262200+235029000</f>
        <v>410291200</v>
      </c>
      <c r="H52" s="48">
        <v>220</v>
      </c>
      <c r="I52" s="26">
        <v>125192500</v>
      </c>
      <c r="J52" s="48">
        <v>129</v>
      </c>
      <c r="K52" s="49">
        <v>466323300</v>
      </c>
      <c r="L52" s="24">
        <v>31</v>
      </c>
      <c r="M52" s="26">
        <v>0</v>
      </c>
      <c r="N52" s="24"/>
      <c r="O52" s="26">
        <v>103809400</v>
      </c>
      <c r="P52" s="64">
        <v>129</v>
      </c>
      <c r="Q52" s="84">
        <v>19900000</v>
      </c>
      <c r="R52" s="24"/>
      <c r="S52" s="26"/>
      <c r="T52" s="85">
        <f t="shared" si="9"/>
        <v>160</v>
      </c>
      <c r="U52" s="86">
        <f>T52/J52*100</f>
        <v>124.03100775193798</v>
      </c>
      <c r="V52" s="87" t="s">
        <v>43</v>
      </c>
      <c r="W52" s="88">
        <f t="shared" si="10"/>
        <v>123709400</v>
      </c>
      <c r="X52" s="86">
        <f t="shared" si="11"/>
        <v>26.528676564091906</v>
      </c>
      <c r="Y52" s="87" t="s">
        <v>43</v>
      </c>
      <c r="Z52" s="85">
        <f t="shared" si="0"/>
        <v>380</v>
      </c>
      <c r="AA52" s="108">
        <f t="shared" si="1"/>
        <v>248901900</v>
      </c>
      <c r="AB52" s="86"/>
      <c r="AC52" s="87" t="s">
        <v>43</v>
      </c>
      <c r="AD52" s="86"/>
      <c r="AE52" s="104"/>
      <c r="AH52" s="109"/>
    </row>
    <row r="53" spans="1:34" ht="114.75" customHeight="1">
      <c r="A53" s="21"/>
      <c r="B53" s="13"/>
      <c r="C53" s="14" t="s">
        <v>124</v>
      </c>
      <c r="D53" s="14" t="s">
        <v>125</v>
      </c>
      <c r="E53" s="16">
        <f>531/2200*100</f>
        <v>24.136363636363637</v>
      </c>
      <c r="F53" s="17" t="s">
        <v>43</v>
      </c>
      <c r="G53" s="50">
        <f>SUM(G54)</f>
        <v>350000000</v>
      </c>
      <c r="H53" s="38">
        <v>19.4713615459655</v>
      </c>
      <c r="I53" s="50">
        <f>SUM(I54)</f>
        <v>85919000</v>
      </c>
      <c r="J53" s="38">
        <f>431/2090*100</f>
        <v>20.62200956937799</v>
      </c>
      <c r="K53" s="50">
        <f>SUM(K54)</f>
        <v>294505400</v>
      </c>
      <c r="L53" s="16">
        <v>0</v>
      </c>
      <c r="M53" s="50">
        <f>SUM(M54)</f>
        <v>0</v>
      </c>
      <c r="N53" s="16"/>
      <c r="O53" s="50">
        <f>O54</f>
        <v>91041050</v>
      </c>
      <c r="P53" s="79"/>
      <c r="Q53" s="97">
        <f>Q54</f>
        <v>34036450</v>
      </c>
      <c r="R53" s="38"/>
      <c r="S53" s="50"/>
      <c r="T53" s="76">
        <f t="shared" si="9"/>
        <v>0</v>
      </c>
      <c r="U53" s="76">
        <f>Z53/J53*100</f>
        <v>94.420291487396511</v>
      </c>
      <c r="V53" s="77" t="s">
        <v>43</v>
      </c>
      <c r="W53" s="78">
        <f t="shared" si="10"/>
        <v>125077500</v>
      </c>
      <c r="X53" s="76">
        <f t="shared" si="11"/>
        <v>42.4703587778017</v>
      </c>
      <c r="Y53" s="77" t="s">
        <v>43</v>
      </c>
      <c r="Z53" s="76">
        <f t="shared" si="0"/>
        <v>19.4713615459655</v>
      </c>
      <c r="AA53" s="105">
        <f t="shared" si="1"/>
        <v>210996500</v>
      </c>
      <c r="AB53" s="76"/>
      <c r="AC53" s="77" t="s">
        <v>43</v>
      </c>
      <c r="AD53" s="76"/>
      <c r="AE53" s="104"/>
      <c r="AH53" s="109"/>
    </row>
    <row r="54" spans="1:34" ht="126">
      <c r="A54" s="21"/>
      <c r="B54" s="13"/>
      <c r="C54" s="14" t="s">
        <v>126</v>
      </c>
      <c r="D54" s="14" t="s">
        <v>221</v>
      </c>
      <c r="E54" s="16">
        <v>390</v>
      </c>
      <c r="F54" s="39" t="s">
        <v>128</v>
      </c>
      <c r="G54" s="50">
        <f>SUM(G55)</f>
        <v>350000000</v>
      </c>
      <c r="H54" s="43">
        <v>240</v>
      </c>
      <c r="I54" s="50">
        <f>SUM(I55)</f>
        <v>85919000</v>
      </c>
      <c r="J54" s="43">
        <f>H54+60</f>
        <v>300</v>
      </c>
      <c r="K54" s="50">
        <f>SUM(K55)</f>
        <v>294505400</v>
      </c>
      <c r="L54" s="43">
        <f>L55</f>
        <v>0</v>
      </c>
      <c r="M54" s="50">
        <f>SUM(M55)</f>
        <v>0</v>
      </c>
      <c r="N54" s="43"/>
      <c r="O54" s="50">
        <f>O55</f>
        <v>91041050</v>
      </c>
      <c r="P54" s="74">
        <v>90</v>
      </c>
      <c r="Q54" s="97">
        <f>Q55</f>
        <v>34036450</v>
      </c>
      <c r="R54" s="43"/>
      <c r="S54" s="50"/>
      <c r="T54" s="80">
        <f t="shared" si="9"/>
        <v>90</v>
      </c>
      <c r="U54" s="76">
        <f>Z54/J54*100</f>
        <v>110.00000000000001</v>
      </c>
      <c r="V54" s="77" t="s">
        <v>43</v>
      </c>
      <c r="W54" s="78">
        <f t="shared" si="10"/>
        <v>125077500</v>
      </c>
      <c r="X54" s="76">
        <f t="shared" si="11"/>
        <v>42.4703587778017</v>
      </c>
      <c r="Y54" s="77" t="s">
        <v>43</v>
      </c>
      <c r="Z54" s="80">
        <f t="shared" si="0"/>
        <v>330</v>
      </c>
      <c r="AA54" s="105">
        <f t="shared" si="1"/>
        <v>210996500</v>
      </c>
      <c r="AB54" s="76"/>
      <c r="AC54" s="77" t="s">
        <v>43</v>
      </c>
      <c r="AD54" s="76"/>
      <c r="AE54" s="104"/>
      <c r="AH54" s="109"/>
    </row>
    <row r="55" spans="1:34" ht="165">
      <c r="A55" s="21"/>
      <c r="B55" s="13"/>
      <c r="C55" s="22" t="s">
        <v>129</v>
      </c>
      <c r="D55" s="22" t="s">
        <v>127</v>
      </c>
      <c r="E55" s="24">
        <f>30*3</f>
        <v>90</v>
      </c>
      <c r="F55" s="42" t="s">
        <v>131</v>
      </c>
      <c r="G55" s="26">
        <f>100000000+125000000+125000000</f>
        <v>350000000</v>
      </c>
      <c r="H55" s="31">
        <v>90</v>
      </c>
      <c r="I55" s="26">
        <v>85919000</v>
      </c>
      <c r="J55" s="31">
        <v>30</v>
      </c>
      <c r="K55" s="134">
        <v>294505400</v>
      </c>
      <c r="L55" s="24">
        <v>0</v>
      </c>
      <c r="M55" s="26">
        <v>0</v>
      </c>
      <c r="N55" s="24"/>
      <c r="O55" s="26">
        <v>91041050</v>
      </c>
      <c r="P55" s="64">
        <v>90</v>
      </c>
      <c r="Q55" s="84">
        <v>34036450</v>
      </c>
      <c r="R55" s="24"/>
      <c r="S55" s="26"/>
      <c r="T55" s="85">
        <f t="shared" si="9"/>
        <v>90</v>
      </c>
      <c r="U55" s="85">
        <f>T55/J55*100</f>
        <v>300</v>
      </c>
      <c r="V55" s="87" t="s">
        <v>43</v>
      </c>
      <c r="W55" s="88">
        <f t="shared" si="10"/>
        <v>125077500</v>
      </c>
      <c r="X55" s="86">
        <f t="shared" si="11"/>
        <v>42.4703587778017</v>
      </c>
      <c r="Y55" s="87" t="s">
        <v>43</v>
      </c>
      <c r="Z55" s="85">
        <f t="shared" si="0"/>
        <v>180</v>
      </c>
      <c r="AA55" s="108">
        <f t="shared" si="1"/>
        <v>210996500</v>
      </c>
      <c r="AB55" s="86"/>
      <c r="AC55" s="87" t="s">
        <v>43</v>
      </c>
      <c r="AD55" s="86"/>
      <c r="AE55" s="104"/>
      <c r="AH55" s="109"/>
    </row>
    <row r="56" spans="1:34" ht="96" customHeight="1">
      <c r="A56" s="21"/>
      <c r="B56" s="13"/>
      <c r="C56" s="14" t="s">
        <v>132</v>
      </c>
      <c r="D56" s="15" t="s">
        <v>222</v>
      </c>
      <c r="E56" s="38">
        <f>E61</f>
        <v>22.973698336017176</v>
      </c>
      <c r="F56" s="17" t="s">
        <v>43</v>
      </c>
      <c r="G56" s="18">
        <f>SUM(G57)</f>
        <v>3191809056</v>
      </c>
      <c r="H56" s="38">
        <v>20.1242121438809</v>
      </c>
      <c r="I56" s="18">
        <f>SUM(I57)</f>
        <v>574241932</v>
      </c>
      <c r="J56" s="38">
        <f>J61</f>
        <v>19.391853126792885</v>
      </c>
      <c r="K56" s="18">
        <f>SUM(K57)</f>
        <v>1148962120</v>
      </c>
      <c r="L56" s="38">
        <f>L61</f>
        <v>0</v>
      </c>
      <c r="M56" s="18">
        <f>SUM(M57)</f>
        <v>0</v>
      </c>
      <c r="N56" s="38"/>
      <c r="O56" s="18">
        <f>O57</f>
        <v>168647150</v>
      </c>
      <c r="P56" s="91"/>
      <c r="Q56" s="75">
        <f>Q57</f>
        <v>291529728</v>
      </c>
      <c r="R56" s="38"/>
      <c r="S56" s="18"/>
      <c r="T56" s="76">
        <f t="shared" si="9"/>
        <v>0</v>
      </c>
      <c r="U56" s="76">
        <f>Z56/J56*100</f>
        <v>103.77663244610773</v>
      </c>
      <c r="V56" s="77" t="s">
        <v>43</v>
      </c>
      <c r="W56" s="78">
        <f t="shared" si="10"/>
        <v>460176878</v>
      </c>
      <c r="X56" s="76">
        <f t="shared" si="11"/>
        <v>40.051527373243601</v>
      </c>
      <c r="Y56" s="77" t="s">
        <v>43</v>
      </c>
      <c r="Z56" s="76">
        <f t="shared" si="0"/>
        <v>20.1242121438809</v>
      </c>
      <c r="AA56" s="105">
        <f t="shared" si="1"/>
        <v>1034418810</v>
      </c>
      <c r="AB56" s="76"/>
      <c r="AC56" s="77" t="s">
        <v>43</v>
      </c>
      <c r="AD56" s="76"/>
      <c r="AE56" s="104"/>
      <c r="AH56" s="109"/>
    </row>
    <row r="57" spans="1:34" ht="131.25" customHeight="1">
      <c r="A57" s="21"/>
      <c r="B57" s="13"/>
      <c r="C57" s="14" t="s">
        <v>134</v>
      </c>
      <c r="D57" s="14" t="s">
        <v>223</v>
      </c>
      <c r="E57" s="16">
        <f>E58</f>
        <v>280</v>
      </c>
      <c r="F57" s="17" t="s">
        <v>58</v>
      </c>
      <c r="G57" s="18">
        <f>SUM(G58:G60)</f>
        <v>3191809056</v>
      </c>
      <c r="H57" s="43">
        <v>0</v>
      </c>
      <c r="I57" s="18">
        <f>SUM(I58:I60)</f>
        <v>574241932</v>
      </c>
      <c r="J57" s="16">
        <f>J58</f>
        <v>20</v>
      </c>
      <c r="K57" s="18">
        <f>SUM(K58:K60)</f>
        <v>1148962120</v>
      </c>
      <c r="L57" s="16">
        <v>0</v>
      </c>
      <c r="M57" s="18">
        <f>SUM(M58:M60)</f>
        <v>0</v>
      </c>
      <c r="N57" s="16"/>
      <c r="O57" s="18">
        <f>O58+O59+O60</f>
        <v>168647150</v>
      </c>
      <c r="P57" s="79"/>
      <c r="Q57" s="75">
        <f>Q58+Q59+Q60</f>
        <v>291529728</v>
      </c>
      <c r="R57" s="16"/>
      <c r="S57" s="18"/>
      <c r="T57" s="76">
        <f t="shared" si="9"/>
        <v>0</v>
      </c>
      <c r="U57" s="76">
        <f>T57/J57*100</f>
        <v>0</v>
      </c>
      <c r="V57" s="77" t="s">
        <v>43</v>
      </c>
      <c r="W57" s="78">
        <f t="shared" si="10"/>
        <v>460176878</v>
      </c>
      <c r="X57" s="76">
        <f t="shared" si="11"/>
        <v>40.051527373243601</v>
      </c>
      <c r="Y57" s="77" t="s">
        <v>43</v>
      </c>
      <c r="Z57" s="76">
        <f t="shared" si="0"/>
        <v>0</v>
      </c>
      <c r="AA57" s="105">
        <f t="shared" si="1"/>
        <v>1034418810</v>
      </c>
      <c r="AB57" s="76"/>
      <c r="AC57" s="77" t="s">
        <v>43</v>
      </c>
      <c r="AD57" s="76"/>
      <c r="AE57" s="104"/>
      <c r="AH57" s="109"/>
    </row>
    <row r="58" spans="1:34" ht="90">
      <c r="A58" s="21"/>
      <c r="B58" s="13"/>
      <c r="C58" s="22" t="s">
        <v>136</v>
      </c>
      <c r="D58" s="22" t="s">
        <v>224</v>
      </c>
      <c r="E58" s="24">
        <f>20+130+130</f>
        <v>280</v>
      </c>
      <c r="F58" s="42" t="s">
        <v>48</v>
      </c>
      <c r="G58" s="33">
        <f>383333000+276262900+383333000</f>
        <v>1042928900</v>
      </c>
      <c r="H58" s="31">
        <v>0</v>
      </c>
      <c r="I58" s="26">
        <v>188979332</v>
      </c>
      <c r="J58" s="24">
        <v>20</v>
      </c>
      <c r="K58" s="26">
        <v>276262900</v>
      </c>
      <c r="L58" s="24">
        <v>0</v>
      </c>
      <c r="M58" s="26">
        <v>0</v>
      </c>
      <c r="N58" s="24"/>
      <c r="O58" s="26">
        <v>102898900</v>
      </c>
      <c r="P58" s="64">
        <v>30</v>
      </c>
      <c r="Q58" s="84">
        <v>134323328</v>
      </c>
      <c r="R58" s="24"/>
      <c r="S58" s="26"/>
      <c r="T58" s="85">
        <f t="shared" si="9"/>
        <v>30</v>
      </c>
      <c r="U58" s="86">
        <f>T58/J58*100</f>
        <v>150</v>
      </c>
      <c r="V58" s="87" t="s">
        <v>43</v>
      </c>
      <c r="W58" s="88">
        <f t="shared" si="10"/>
        <v>237222228</v>
      </c>
      <c r="X58" s="86">
        <f t="shared" si="11"/>
        <v>85.868289951347066</v>
      </c>
      <c r="Y58" s="87" t="s">
        <v>43</v>
      </c>
      <c r="Z58" s="85">
        <f t="shared" si="0"/>
        <v>30</v>
      </c>
      <c r="AA58" s="108">
        <f t="shared" si="1"/>
        <v>426201560</v>
      </c>
      <c r="AB58" s="86"/>
      <c r="AC58" s="87" t="s">
        <v>43</v>
      </c>
      <c r="AD58" s="86"/>
      <c r="AE58" s="104"/>
      <c r="AH58" s="109"/>
    </row>
    <row r="59" spans="1:34" ht="105">
      <c r="A59" s="21"/>
      <c r="B59" s="13"/>
      <c r="C59" s="22" t="s">
        <v>138</v>
      </c>
      <c r="D59" s="22" t="s">
        <v>225</v>
      </c>
      <c r="E59" s="24"/>
      <c r="F59" s="42" t="s">
        <v>48</v>
      </c>
      <c r="G59" s="33"/>
      <c r="H59" s="31"/>
      <c r="I59" s="26"/>
      <c r="J59" s="24">
        <v>20</v>
      </c>
      <c r="K59" s="26">
        <v>121000000</v>
      </c>
      <c r="L59" s="24">
        <v>0</v>
      </c>
      <c r="M59" s="26">
        <v>0</v>
      </c>
      <c r="N59" s="24"/>
      <c r="O59" s="26">
        <v>12133250</v>
      </c>
      <c r="P59" s="64">
        <v>30</v>
      </c>
      <c r="Q59" s="84">
        <v>0</v>
      </c>
      <c r="R59" s="24"/>
      <c r="S59" s="26"/>
      <c r="T59" s="85">
        <f t="shared" si="9"/>
        <v>30</v>
      </c>
      <c r="U59" s="86">
        <f>T59/J59*100</f>
        <v>150</v>
      </c>
      <c r="V59" s="87" t="s">
        <v>43</v>
      </c>
      <c r="W59" s="88">
        <f t="shared" si="10"/>
        <v>12133250</v>
      </c>
      <c r="X59" s="86">
        <f t="shared" si="11"/>
        <v>10.027479338842975</v>
      </c>
      <c r="Y59" s="87" t="s">
        <v>43</v>
      </c>
      <c r="Z59" s="85">
        <f t="shared" si="0"/>
        <v>30</v>
      </c>
      <c r="AA59" s="108">
        <f t="shared" si="1"/>
        <v>12133250</v>
      </c>
      <c r="AB59" s="86"/>
      <c r="AC59" s="87" t="s">
        <v>43</v>
      </c>
      <c r="AD59" s="86"/>
      <c r="AE59" s="104"/>
      <c r="AH59" s="109"/>
    </row>
    <row r="60" spans="1:34" ht="105">
      <c r="A60" s="21"/>
      <c r="B60" s="13"/>
      <c r="C60" s="22" t="s">
        <v>140</v>
      </c>
      <c r="D60" s="22" t="s">
        <v>226</v>
      </c>
      <c r="E60" s="24">
        <f>5*3</f>
        <v>15</v>
      </c>
      <c r="F60" s="42" t="s">
        <v>227</v>
      </c>
      <c r="G60" s="33">
        <f>645481716+751699220+751699220</f>
        <v>2148880156</v>
      </c>
      <c r="H60" s="31">
        <v>1</v>
      </c>
      <c r="I60" s="26">
        <v>385262600</v>
      </c>
      <c r="J60" s="24">
        <v>5</v>
      </c>
      <c r="K60" s="26">
        <v>751699220</v>
      </c>
      <c r="L60" s="24">
        <v>0</v>
      </c>
      <c r="M60" s="26">
        <v>0</v>
      </c>
      <c r="N60" s="24"/>
      <c r="O60" s="26">
        <v>53615000</v>
      </c>
      <c r="P60" s="64">
        <v>2</v>
      </c>
      <c r="Q60" s="84">
        <v>157206400</v>
      </c>
      <c r="R60" s="24"/>
      <c r="S60" s="26"/>
      <c r="T60" s="85">
        <f t="shared" si="9"/>
        <v>2</v>
      </c>
      <c r="U60" s="86">
        <f>T60/J60*100</f>
        <v>40</v>
      </c>
      <c r="V60" s="87" t="s">
        <v>43</v>
      </c>
      <c r="W60" s="88">
        <f t="shared" si="10"/>
        <v>210821400</v>
      </c>
      <c r="X60" s="86">
        <f t="shared" si="11"/>
        <v>28.045978283707679</v>
      </c>
      <c r="Y60" s="87" t="s">
        <v>43</v>
      </c>
      <c r="Z60" s="85">
        <f t="shared" si="0"/>
        <v>3</v>
      </c>
      <c r="AA60" s="108">
        <f t="shared" si="1"/>
        <v>596084000</v>
      </c>
      <c r="AB60" s="86"/>
      <c r="AC60" s="87" t="s">
        <v>43</v>
      </c>
      <c r="AD60" s="86"/>
      <c r="AE60" s="104"/>
      <c r="AH60" s="109"/>
    </row>
    <row r="61" spans="1:34" ht="94.5">
      <c r="A61" s="21"/>
      <c r="B61" s="13"/>
      <c r="C61" s="14" t="s">
        <v>142</v>
      </c>
      <c r="D61" s="14" t="s">
        <v>133</v>
      </c>
      <c r="E61" s="38">
        <f>856/3726*100</f>
        <v>22.973698336017176</v>
      </c>
      <c r="F61" s="17" t="s">
        <v>43</v>
      </c>
      <c r="G61" s="18">
        <f>SUM(G62)</f>
        <v>271435925</v>
      </c>
      <c r="H61" s="38">
        <v>20.1242121438809</v>
      </c>
      <c r="I61" s="18">
        <f>SUM(I62)</f>
        <v>74992000</v>
      </c>
      <c r="J61" s="38">
        <f>(586+90)/3486*100</f>
        <v>19.391853126792885</v>
      </c>
      <c r="K61" s="18">
        <f>SUM(K62)</f>
        <v>32475925</v>
      </c>
      <c r="L61" s="16">
        <v>0</v>
      </c>
      <c r="M61" s="18">
        <f>SUM(M62)</f>
        <v>0</v>
      </c>
      <c r="N61" s="38"/>
      <c r="O61" s="18">
        <f>SUM(O62)</f>
        <v>0</v>
      </c>
      <c r="P61" s="91"/>
      <c r="Q61" s="75">
        <f>SUM(Q62)</f>
        <v>0</v>
      </c>
      <c r="R61" s="38"/>
      <c r="S61" s="18"/>
      <c r="T61" s="76">
        <f t="shared" si="9"/>
        <v>0</v>
      </c>
      <c r="U61" s="76">
        <f>Z61/J61*100</f>
        <v>103.77663244610773</v>
      </c>
      <c r="V61" s="77" t="s">
        <v>43</v>
      </c>
      <c r="W61" s="78">
        <f t="shared" si="10"/>
        <v>0</v>
      </c>
      <c r="X61" s="76">
        <f t="shared" si="11"/>
        <v>0</v>
      </c>
      <c r="Y61" s="77" t="s">
        <v>43</v>
      </c>
      <c r="Z61" s="76">
        <f t="shared" si="0"/>
        <v>20.1242121438809</v>
      </c>
      <c r="AA61" s="105">
        <f t="shared" si="1"/>
        <v>74992000</v>
      </c>
      <c r="AB61" s="76"/>
      <c r="AC61" s="77" t="s">
        <v>43</v>
      </c>
      <c r="AD61" s="76"/>
      <c r="AE61" s="104"/>
      <c r="AH61" s="109"/>
    </row>
    <row r="62" spans="1:34" ht="231" customHeight="1">
      <c r="A62" s="21"/>
      <c r="B62" s="13"/>
      <c r="C62" s="14" t="s">
        <v>143</v>
      </c>
      <c r="D62" s="51" t="s">
        <v>228</v>
      </c>
      <c r="E62" s="16">
        <f>E63</f>
        <v>270</v>
      </c>
      <c r="F62" s="17" t="s">
        <v>145</v>
      </c>
      <c r="G62" s="18">
        <f>SUM(G63)</f>
        <v>271435925</v>
      </c>
      <c r="H62" s="16">
        <v>150</v>
      </c>
      <c r="I62" s="18">
        <f>SUM(I63)</f>
        <v>74992000</v>
      </c>
      <c r="J62" s="16">
        <f>J63</f>
        <v>90</v>
      </c>
      <c r="K62" s="18">
        <f>SUM(K63)</f>
        <v>32475925</v>
      </c>
      <c r="L62" s="16">
        <f>L63</f>
        <v>0</v>
      </c>
      <c r="M62" s="18">
        <f>SUM(M63)</f>
        <v>0</v>
      </c>
      <c r="N62" s="16"/>
      <c r="O62" s="18">
        <f>SUM(O63)</f>
        <v>0</v>
      </c>
      <c r="P62" s="79"/>
      <c r="Q62" s="75">
        <f>SUM(Q63)</f>
        <v>0</v>
      </c>
      <c r="R62" s="16"/>
      <c r="S62" s="18"/>
      <c r="T62" s="80">
        <f t="shared" si="9"/>
        <v>0</v>
      </c>
      <c r="U62" s="76">
        <f>T62/J62*100</f>
        <v>0</v>
      </c>
      <c r="V62" s="77" t="s">
        <v>43</v>
      </c>
      <c r="W62" s="78">
        <f t="shared" si="10"/>
        <v>0</v>
      </c>
      <c r="X62" s="76">
        <f t="shared" si="11"/>
        <v>0</v>
      </c>
      <c r="Y62" s="77" t="s">
        <v>43</v>
      </c>
      <c r="Z62" s="76">
        <f t="shared" si="0"/>
        <v>150</v>
      </c>
      <c r="AA62" s="105">
        <f t="shared" si="1"/>
        <v>74992000</v>
      </c>
      <c r="AB62" s="76"/>
      <c r="AC62" s="77" t="s">
        <v>43</v>
      </c>
      <c r="AD62" s="76"/>
      <c r="AE62" s="104"/>
      <c r="AH62" s="109"/>
    </row>
    <row r="63" spans="1:34" ht="255">
      <c r="A63" s="21"/>
      <c r="B63" s="13"/>
      <c r="C63" s="22" t="s">
        <v>146</v>
      </c>
      <c r="D63" s="22" t="s">
        <v>229</v>
      </c>
      <c r="E63" s="24">
        <f>90*3</f>
        <v>270</v>
      </c>
      <c r="F63" s="25" t="s">
        <v>48</v>
      </c>
      <c r="G63" s="33">
        <f>119480000+32475925+119480000</f>
        <v>271435925</v>
      </c>
      <c r="H63" s="24">
        <v>150</v>
      </c>
      <c r="I63" s="26">
        <v>74992000</v>
      </c>
      <c r="J63" s="24">
        <v>90</v>
      </c>
      <c r="K63" s="26">
        <v>32475925</v>
      </c>
      <c r="L63" s="24">
        <v>0</v>
      </c>
      <c r="M63" s="26">
        <v>0</v>
      </c>
      <c r="N63" s="24"/>
      <c r="O63" s="26">
        <v>0</v>
      </c>
      <c r="P63" s="64"/>
      <c r="Q63" s="84">
        <v>0</v>
      </c>
      <c r="R63" s="24"/>
      <c r="S63" s="26"/>
      <c r="T63" s="85">
        <f t="shared" si="9"/>
        <v>0</v>
      </c>
      <c r="U63" s="86">
        <f>T63/J63*100</f>
        <v>0</v>
      </c>
      <c r="V63" s="87" t="s">
        <v>43</v>
      </c>
      <c r="W63" s="88">
        <f t="shared" si="10"/>
        <v>0</v>
      </c>
      <c r="X63" s="86">
        <f t="shared" si="11"/>
        <v>0</v>
      </c>
      <c r="Y63" s="87" t="s">
        <v>43</v>
      </c>
      <c r="Z63" s="86">
        <f t="shared" si="0"/>
        <v>150</v>
      </c>
      <c r="AA63" s="108">
        <f t="shared" si="1"/>
        <v>74992000</v>
      </c>
      <c r="AB63" s="86"/>
      <c r="AC63" s="87" t="s">
        <v>43</v>
      </c>
      <c r="AD63" s="76"/>
      <c r="AE63" s="104"/>
      <c r="AH63" s="109"/>
    </row>
    <row r="64" spans="1:34" ht="157.5">
      <c r="A64" s="21"/>
      <c r="B64" s="13"/>
      <c r="C64" s="14" t="s">
        <v>148</v>
      </c>
      <c r="D64" s="14" t="s">
        <v>230</v>
      </c>
      <c r="E64" s="38">
        <f>856/3726*100</f>
        <v>22.973698336017176</v>
      </c>
      <c r="F64" s="17" t="s">
        <v>43</v>
      </c>
      <c r="G64" s="18">
        <f>SUM(G65)</f>
        <v>75000000</v>
      </c>
      <c r="H64" s="38">
        <v>20.1242121438809</v>
      </c>
      <c r="I64" s="18">
        <f>SUM(I65)</f>
        <v>22570000</v>
      </c>
      <c r="J64" s="38">
        <f>(586+90)/3486*100</f>
        <v>19.391853126792885</v>
      </c>
      <c r="K64" s="18">
        <f>SUM(K65)</f>
        <v>74999800</v>
      </c>
      <c r="L64" s="16">
        <v>0</v>
      </c>
      <c r="M64" s="18">
        <f>SUM(M65)</f>
        <v>0</v>
      </c>
      <c r="N64" s="38"/>
      <c r="O64" s="18">
        <f>SUM(O65)</f>
        <v>0</v>
      </c>
      <c r="P64" s="91"/>
      <c r="Q64" s="75">
        <f>SUM(Q65)</f>
        <v>0</v>
      </c>
      <c r="R64" s="38"/>
      <c r="S64" s="18"/>
      <c r="T64" s="76">
        <f t="shared" si="9"/>
        <v>0</v>
      </c>
      <c r="U64" s="76">
        <f>Z64/J64*100</f>
        <v>103.77663244610773</v>
      </c>
      <c r="V64" s="77" t="s">
        <v>43</v>
      </c>
      <c r="W64" s="78">
        <f t="shared" si="10"/>
        <v>0</v>
      </c>
      <c r="X64" s="76">
        <f t="shared" si="11"/>
        <v>0</v>
      </c>
      <c r="Y64" s="77" t="s">
        <v>43</v>
      </c>
      <c r="Z64" s="76">
        <f t="shared" si="0"/>
        <v>20.1242121438809</v>
      </c>
      <c r="AA64" s="105">
        <f t="shared" si="1"/>
        <v>22570000</v>
      </c>
      <c r="AB64" s="76"/>
      <c r="AC64" s="77" t="s">
        <v>43</v>
      </c>
      <c r="AD64" s="76"/>
      <c r="AE64" s="104"/>
      <c r="AH64" s="109"/>
    </row>
    <row r="65" spans="1:34" ht="149.25" customHeight="1">
      <c r="A65" s="21"/>
      <c r="B65" s="13"/>
      <c r="C65" s="14" t="s">
        <v>149</v>
      </c>
      <c r="D65" s="14" t="s">
        <v>150</v>
      </c>
      <c r="E65" s="111">
        <v>3726</v>
      </c>
      <c r="F65" s="17" t="s">
        <v>151</v>
      </c>
      <c r="G65" s="112">
        <f>SUM(G66:G68)</f>
        <v>75000000</v>
      </c>
      <c r="H65" s="43">
        <v>3486</v>
      </c>
      <c r="I65" s="112">
        <f>SUM(I66:I68)</f>
        <v>22570000</v>
      </c>
      <c r="J65" s="111">
        <v>3486</v>
      </c>
      <c r="K65" s="112">
        <f>SUM(K66:K68)</f>
        <v>74999800</v>
      </c>
      <c r="L65" s="16">
        <v>0</v>
      </c>
      <c r="M65" s="119">
        <f>M68</f>
        <v>0</v>
      </c>
      <c r="N65" s="16"/>
      <c r="O65" s="119">
        <f>O68</f>
        <v>0</v>
      </c>
      <c r="P65" s="79"/>
      <c r="Q65" s="121">
        <f>Q68</f>
        <v>0</v>
      </c>
      <c r="R65" s="111"/>
      <c r="S65" s="119"/>
      <c r="T65" s="80">
        <f t="shared" si="9"/>
        <v>0</v>
      </c>
      <c r="U65" s="76">
        <f>T65/J65*100</f>
        <v>0</v>
      </c>
      <c r="V65" s="77" t="s">
        <v>43</v>
      </c>
      <c r="W65" s="78">
        <f t="shared" si="10"/>
        <v>0</v>
      </c>
      <c r="X65" s="76">
        <f t="shared" si="11"/>
        <v>0</v>
      </c>
      <c r="Y65" s="77" t="s">
        <v>43</v>
      </c>
      <c r="Z65" s="76">
        <f t="shared" si="0"/>
        <v>3486</v>
      </c>
      <c r="AA65" s="105">
        <f t="shared" si="1"/>
        <v>22570000</v>
      </c>
      <c r="AB65" s="76"/>
      <c r="AC65" s="77" t="s">
        <v>43</v>
      </c>
      <c r="AD65" s="76"/>
      <c r="AE65" s="104"/>
      <c r="AH65" s="109"/>
    </row>
    <row r="66" spans="1:34" ht="180">
      <c r="A66" s="21"/>
      <c r="B66" s="13"/>
      <c r="C66" s="22" t="s">
        <v>152</v>
      </c>
      <c r="D66" s="22" t="s">
        <v>231</v>
      </c>
      <c r="E66" s="48">
        <f>50*3</f>
        <v>150</v>
      </c>
      <c r="F66" s="42" t="s">
        <v>48</v>
      </c>
      <c r="G66" s="49">
        <f>25000000*3</f>
        <v>75000000</v>
      </c>
      <c r="H66" s="31">
        <v>0</v>
      </c>
      <c r="I66" s="26">
        <v>22570000</v>
      </c>
      <c r="J66" s="48">
        <v>50</v>
      </c>
      <c r="K66" s="49">
        <v>25000000</v>
      </c>
      <c r="L66" s="24">
        <v>0</v>
      </c>
      <c r="M66" s="26">
        <v>0</v>
      </c>
      <c r="N66" s="24"/>
      <c r="O66" s="26">
        <v>0</v>
      </c>
      <c r="P66" s="64"/>
      <c r="Q66" s="84">
        <v>0</v>
      </c>
      <c r="R66" s="24"/>
      <c r="S66" s="26"/>
      <c r="T66" s="85">
        <f t="shared" si="9"/>
        <v>0</v>
      </c>
      <c r="U66" s="86">
        <f>T66/J66*100</f>
        <v>0</v>
      </c>
      <c r="V66" s="87" t="s">
        <v>43</v>
      </c>
      <c r="W66" s="88">
        <f t="shared" si="10"/>
        <v>0</v>
      </c>
      <c r="X66" s="86">
        <f t="shared" si="11"/>
        <v>0</v>
      </c>
      <c r="Y66" s="87" t="s">
        <v>43</v>
      </c>
      <c r="Z66" s="85">
        <f t="shared" si="0"/>
        <v>0</v>
      </c>
      <c r="AA66" s="108">
        <f t="shared" si="1"/>
        <v>22570000</v>
      </c>
      <c r="AB66" s="86"/>
      <c r="AC66" s="87" t="s">
        <v>43</v>
      </c>
      <c r="AD66" s="86"/>
      <c r="AE66" s="104"/>
      <c r="AH66" s="109"/>
    </row>
    <row r="67" spans="1:34" ht="90">
      <c r="A67" s="21"/>
      <c r="B67" s="13"/>
      <c r="C67" s="22" t="s">
        <v>154</v>
      </c>
      <c r="D67" s="22" t="s">
        <v>232</v>
      </c>
      <c r="E67" s="48"/>
      <c r="F67" s="42" t="s">
        <v>48</v>
      </c>
      <c r="G67" s="49"/>
      <c r="H67" s="31"/>
      <c r="I67" s="26"/>
      <c r="J67" s="48">
        <v>50</v>
      </c>
      <c r="K67" s="49">
        <v>24999900</v>
      </c>
      <c r="L67" s="24">
        <v>0</v>
      </c>
      <c r="M67" s="26">
        <v>0</v>
      </c>
      <c r="N67" s="24"/>
      <c r="O67" s="26">
        <v>0</v>
      </c>
      <c r="P67" s="64"/>
      <c r="Q67" s="84">
        <v>0</v>
      </c>
      <c r="R67" s="24"/>
      <c r="S67" s="26"/>
      <c r="T67" s="85">
        <f t="shared" si="9"/>
        <v>0</v>
      </c>
      <c r="U67" s="86">
        <f>T67/J67*100</f>
        <v>0</v>
      </c>
      <c r="V67" s="87" t="s">
        <v>43</v>
      </c>
      <c r="W67" s="88">
        <f t="shared" si="10"/>
        <v>0</v>
      </c>
      <c r="X67" s="86">
        <f t="shared" si="11"/>
        <v>0</v>
      </c>
      <c r="Y67" s="87" t="s">
        <v>43</v>
      </c>
      <c r="Z67" s="85">
        <f t="shared" si="0"/>
        <v>0</v>
      </c>
      <c r="AA67" s="108">
        <f t="shared" si="1"/>
        <v>0</v>
      </c>
      <c r="AB67" s="86"/>
      <c r="AC67" s="87" t="s">
        <v>43</v>
      </c>
      <c r="AD67" s="86"/>
      <c r="AE67" s="104"/>
      <c r="AH67" s="109"/>
    </row>
    <row r="68" spans="1:34" ht="180">
      <c r="A68" s="21"/>
      <c r="B68" s="13"/>
      <c r="C68" s="22" t="s">
        <v>156</v>
      </c>
      <c r="D68" s="22" t="s">
        <v>233</v>
      </c>
      <c r="E68" s="48"/>
      <c r="F68" s="42" t="s">
        <v>48</v>
      </c>
      <c r="G68" s="49"/>
      <c r="H68" s="31"/>
      <c r="I68" s="26"/>
      <c r="J68" s="48">
        <v>50</v>
      </c>
      <c r="K68" s="49">
        <v>24999900</v>
      </c>
      <c r="L68" s="24">
        <v>0</v>
      </c>
      <c r="M68" s="26">
        <v>0</v>
      </c>
      <c r="N68" s="24"/>
      <c r="O68" s="26">
        <v>0</v>
      </c>
      <c r="P68" s="64"/>
      <c r="Q68" s="84">
        <v>0</v>
      </c>
      <c r="R68" s="24"/>
      <c r="S68" s="26"/>
      <c r="T68" s="85">
        <f t="shared" si="9"/>
        <v>0</v>
      </c>
      <c r="U68" s="86">
        <f>T68/J68*100</f>
        <v>0</v>
      </c>
      <c r="V68" s="87" t="s">
        <v>43</v>
      </c>
      <c r="W68" s="88">
        <f t="shared" si="10"/>
        <v>0</v>
      </c>
      <c r="X68" s="86">
        <f t="shared" si="11"/>
        <v>0</v>
      </c>
      <c r="Y68" s="87" t="s">
        <v>43</v>
      </c>
      <c r="Z68" s="85">
        <f t="shared" si="0"/>
        <v>0</v>
      </c>
      <c r="AA68" s="108">
        <f t="shared" si="1"/>
        <v>0</v>
      </c>
      <c r="AB68" s="86"/>
      <c r="AC68" s="87" t="s">
        <v>43</v>
      </c>
      <c r="AD68" s="86"/>
      <c r="AE68" s="104"/>
      <c r="AH68" s="109"/>
    </row>
    <row r="69" spans="1:34" ht="15">
      <c r="A69" s="195" t="s">
        <v>158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22">
        <f>AVERAGE(U16:U68)</f>
        <v>345.30933540187414</v>
      </c>
      <c r="V69" s="123"/>
      <c r="W69" s="124"/>
      <c r="X69" s="122">
        <f>AVERAGE(X16,X56,X44,X40,X61,X50)</f>
        <v>47.938021967308167</v>
      </c>
      <c r="Y69" s="123"/>
      <c r="Z69" s="128"/>
      <c r="AA69" s="128"/>
      <c r="AB69" s="128"/>
      <c r="AC69" s="123"/>
      <c r="AD69" s="129"/>
      <c r="AE69" s="104"/>
    </row>
    <row r="70" spans="1:34" ht="15">
      <c r="A70" s="195" t="s">
        <v>159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25" t="str">
        <f>IF(U69&gt;=91,"Sangat Tinggi",IF(U69&gt;=76,"Tinggi",IF(U69&gt;=66,"Sedang",IF(U69&gt;=51,"Rendah",IF(U69&lt;=50,"Sangat Rendah")))))</f>
        <v>Sangat Tinggi</v>
      </c>
      <c r="V70" s="123"/>
      <c r="W70" s="126"/>
      <c r="X70" s="125" t="str">
        <f>IF(X69&gt;=91,"Sangat Tinggi",IF(X69&gt;=76,"Tinggi",IF(X69&gt;=66,"Sedang",IF(X69&gt;=51,"Rendah",IF(X69&lt;=50,"Sangat Rendah")))))</f>
        <v>Sangat Rendah</v>
      </c>
      <c r="Y70" s="123"/>
      <c r="Z70" s="130"/>
      <c r="AA70" s="131"/>
      <c r="AB70" s="130"/>
      <c r="AC70" s="123"/>
      <c r="AD70" s="132"/>
      <c r="AE70" s="104"/>
    </row>
    <row r="71" spans="1:34" ht="15">
      <c r="A71" s="194" t="s">
        <v>160</v>
      </c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04"/>
    </row>
    <row r="72" spans="1:34" ht="15">
      <c r="A72" s="194" t="s">
        <v>161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04"/>
    </row>
    <row r="73" spans="1:34" ht="15">
      <c r="A73" s="194" t="s">
        <v>162</v>
      </c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04"/>
    </row>
    <row r="74" spans="1:34" ht="15">
      <c r="A74" s="194" t="s">
        <v>163</v>
      </c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33"/>
    </row>
    <row r="75" spans="1:34" ht="1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27"/>
      <c r="W75" s="113"/>
      <c r="X75" s="113"/>
      <c r="Y75" s="127"/>
      <c r="Z75" s="113"/>
      <c r="AA75" s="113"/>
      <c r="AB75" s="113"/>
      <c r="AC75" s="127"/>
      <c r="AD75" s="113"/>
    </row>
    <row r="76" spans="1:34" ht="1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92" t="s">
        <v>164</v>
      </c>
      <c r="U76" s="192"/>
      <c r="V76" s="192"/>
      <c r="W76" s="192"/>
      <c r="X76" s="192"/>
      <c r="Y76" s="127"/>
      <c r="Z76" s="113"/>
      <c r="AA76" s="192"/>
      <c r="AB76" s="192"/>
      <c r="AC76" s="192"/>
      <c r="AD76" s="192"/>
      <c r="AE76" s="192"/>
    </row>
    <row r="77" spans="1:34" ht="15.75">
      <c r="A77" s="114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92" t="s">
        <v>234</v>
      </c>
      <c r="U77" s="192"/>
      <c r="V77" s="192"/>
      <c r="W77" s="192"/>
      <c r="X77" s="192"/>
      <c r="Y77" s="127"/>
      <c r="Z77" s="113"/>
      <c r="AA77" s="192"/>
      <c r="AB77" s="192"/>
      <c r="AC77" s="192"/>
      <c r="AD77" s="192"/>
      <c r="AE77" s="192"/>
    </row>
    <row r="78" spans="1:34" ht="15">
      <c r="T78" s="192" t="s">
        <v>166</v>
      </c>
      <c r="U78" s="192"/>
      <c r="V78" s="192"/>
      <c r="W78" s="192"/>
      <c r="X78" s="192"/>
      <c r="AA78" s="192"/>
      <c r="AB78" s="192"/>
      <c r="AC78" s="192"/>
      <c r="AD78" s="192"/>
      <c r="AE78" s="192"/>
    </row>
    <row r="79" spans="1:34" ht="15">
      <c r="T79" s="192" t="s">
        <v>167</v>
      </c>
      <c r="U79" s="192"/>
      <c r="V79" s="192"/>
      <c r="W79" s="192"/>
      <c r="X79" s="192"/>
      <c r="AA79" s="192"/>
      <c r="AB79" s="192"/>
      <c r="AC79" s="192"/>
      <c r="AD79" s="192"/>
      <c r="AE79" s="192"/>
    </row>
    <row r="80" spans="1:34" ht="25.5">
      <c r="A80" s="115" t="s">
        <v>168</v>
      </c>
      <c r="B80" s="115" t="s">
        <v>169</v>
      </c>
      <c r="C80" s="115" t="s">
        <v>170</v>
      </c>
      <c r="T80" s="113"/>
      <c r="U80" s="113"/>
      <c r="V80" s="127"/>
      <c r="W80" s="113"/>
      <c r="AA80" s="127"/>
      <c r="AB80" s="113"/>
      <c r="AC80" s="127"/>
      <c r="AD80" s="113"/>
    </row>
    <row r="81" spans="1:31" ht="26.25">
      <c r="A81" s="116" t="s">
        <v>171</v>
      </c>
      <c r="B81" s="116" t="s">
        <v>172</v>
      </c>
      <c r="C81" s="116" t="s">
        <v>173</v>
      </c>
      <c r="T81" s="193" t="s">
        <v>174</v>
      </c>
      <c r="U81" s="193"/>
      <c r="V81" s="193"/>
      <c r="W81" s="193"/>
      <c r="X81" s="193"/>
      <c r="AA81" s="193"/>
      <c r="AB81" s="193"/>
      <c r="AC81" s="193"/>
      <c r="AD81" s="193"/>
      <c r="AE81" s="193"/>
    </row>
    <row r="82" spans="1:31" ht="26.25">
      <c r="A82" s="116" t="s">
        <v>175</v>
      </c>
      <c r="B82" s="116" t="s">
        <v>176</v>
      </c>
      <c r="C82" s="116" t="s">
        <v>177</v>
      </c>
      <c r="T82" s="182" t="s">
        <v>178</v>
      </c>
      <c r="U82" s="182"/>
      <c r="V82" s="182"/>
      <c r="W82" s="182"/>
      <c r="X82" s="182"/>
      <c r="AA82" s="182"/>
      <c r="AB82" s="182"/>
      <c r="AC82" s="182"/>
      <c r="AD82" s="182"/>
      <c r="AE82" s="182"/>
    </row>
    <row r="83" spans="1:31" ht="26.25">
      <c r="A83" s="116" t="s">
        <v>179</v>
      </c>
      <c r="B83" s="116" t="s">
        <v>180</v>
      </c>
      <c r="C83" s="116" t="s">
        <v>181</v>
      </c>
    </row>
    <row r="84" spans="1:31" ht="26.25">
      <c r="A84" s="116" t="s">
        <v>182</v>
      </c>
      <c r="B84" s="116" t="s">
        <v>183</v>
      </c>
      <c r="C84" s="116" t="s">
        <v>184</v>
      </c>
    </row>
    <row r="85" spans="1:31" ht="26.25">
      <c r="A85" s="116" t="s">
        <v>185</v>
      </c>
      <c r="B85" s="117" t="s">
        <v>186</v>
      </c>
      <c r="C85" s="116" t="s">
        <v>187</v>
      </c>
    </row>
  </sheetData>
  <mergeCells count="89">
    <mergeCell ref="A1:AD1"/>
    <mergeCell ref="A2:AD2"/>
    <mergeCell ref="A3:AD3"/>
    <mergeCell ref="A4:AD4"/>
    <mergeCell ref="A5:AD5"/>
    <mergeCell ref="A6:AD6"/>
    <mergeCell ref="J9:K9"/>
    <mergeCell ref="L9:M9"/>
    <mergeCell ref="N9:O9"/>
    <mergeCell ref="P9:Q9"/>
    <mergeCell ref="R9:S9"/>
    <mergeCell ref="T9:Y9"/>
    <mergeCell ref="Z9:AA9"/>
    <mergeCell ref="AB9:AD9"/>
    <mergeCell ref="E10:G10"/>
    <mergeCell ref="H10:I10"/>
    <mergeCell ref="J10:K10"/>
    <mergeCell ref="L10:M10"/>
    <mergeCell ref="N10:O10"/>
    <mergeCell ref="P10:Q10"/>
    <mergeCell ref="R10:S10"/>
    <mergeCell ref="T10:Y10"/>
    <mergeCell ref="Z10:AA10"/>
    <mergeCell ref="AB10:AD10"/>
    <mergeCell ref="U11:V11"/>
    <mergeCell ref="X11:Y11"/>
    <mergeCell ref="AB11:AC11"/>
    <mergeCell ref="U12:V12"/>
    <mergeCell ref="X12:Y12"/>
    <mergeCell ref="AB12:AC12"/>
    <mergeCell ref="A69:T69"/>
    <mergeCell ref="A70:T70"/>
    <mergeCell ref="A71:AD71"/>
    <mergeCell ref="A72:AD72"/>
    <mergeCell ref="A73:AD73"/>
    <mergeCell ref="A74:AD74"/>
    <mergeCell ref="T76:X76"/>
    <mergeCell ref="AA76:AE76"/>
    <mergeCell ref="T77:X77"/>
    <mergeCell ref="AA77:AE77"/>
    <mergeCell ref="T78:X78"/>
    <mergeCell ref="AA78:AE78"/>
    <mergeCell ref="T79:X79"/>
    <mergeCell ref="AA79:AE79"/>
    <mergeCell ref="T81:X81"/>
    <mergeCell ref="AA81:AE81"/>
    <mergeCell ref="T82:X82"/>
    <mergeCell ref="AA82:AE82"/>
    <mergeCell ref="A7:A9"/>
    <mergeCell ref="A10:A12"/>
    <mergeCell ref="A13:A15"/>
    <mergeCell ref="B7:B9"/>
    <mergeCell ref="B10:B12"/>
    <mergeCell ref="B13:B15"/>
    <mergeCell ref="C7:C9"/>
    <mergeCell ref="C10:C12"/>
    <mergeCell ref="C13:C15"/>
    <mergeCell ref="D7:D9"/>
    <mergeCell ref="D10:D12"/>
    <mergeCell ref="D13:D15"/>
    <mergeCell ref="G11:G12"/>
    <mergeCell ref="G13:G15"/>
    <mergeCell ref="H11:H12"/>
    <mergeCell ref="H13:H15"/>
    <mergeCell ref="I11:I12"/>
    <mergeCell ref="I13:I15"/>
    <mergeCell ref="J11:J12"/>
    <mergeCell ref="J13:J15"/>
    <mergeCell ref="K11:K12"/>
    <mergeCell ref="K13:K15"/>
    <mergeCell ref="L11:L12"/>
    <mergeCell ref="L13:L15"/>
    <mergeCell ref="M11:M12"/>
    <mergeCell ref="S11:S12"/>
    <mergeCell ref="AE7:AE8"/>
    <mergeCell ref="E13:F15"/>
    <mergeCell ref="E11:F12"/>
    <mergeCell ref="AB7:AD8"/>
    <mergeCell ref="E7:G9"/>
    <mergeCell ref="H7:I9"/>
    <mergeCell ref="J7:K8"/>
    <mergeCell ref="Z7:AA8"/>
    <mergeCell ref="L7:S8"/>
    <mergeCell ref="T7:Y8"/>
    <mergeCell ref="N11:N12"/>
    <mergeCell ref="O11:O12"/>
    <mergeCell ref="P11:P12"/>
    <mergeCell ref="Q11:Q12"/>
    <mergeCell ref="R11:R1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5"/>
  <sheetViews>
    <sheetView tabSelected="1" topLeftCell="A64" zoomScale="62" zoomScaleNormal="62" workbookViewId="0">
      <selection activeCell="A16" sqref="A16:XFD68"/>
    </sheetView>
  </sheetViews>
  <sheetFormatPr defaultColWidth="9.140625" defaultRowHeight="14.25"/>
  <cols>
    <col min="1" max="1" width="6.42578125" style="1" customWidth="1"/>
    <col min="2" max="2" width="18" style="1" customWidth="1"/>
    <col min="3" max="3" width="19.42578125" style="1" customWidth="1"/>
    <col min="4" max="4" width="15" style="1" customWidth="1"/>
    <col min="5" max="6" width="7.7109375" style="1" customWidth="1"/>
    <col min="7" max="7" width="26.85546875" style="1" customWidth="1"/>
    <col min="8" max="8" width="8.28515625" style="1" customWidth="1"/>
    <col min="9" max="9" width="21.42578125" style="1" customWidth="1"/>
    <col min="10" max="10" width="9" style="1" customWidth="1"/>
    <col min="11" max="11" width="23.7109375" style="1" customWidth="1"/>
    <col min="12" max="12" width="7.7109375" style="1" customWidth="1"/>
    <col min="13" max="13" width="18.28515625" style="1" customWidth="1"/>
    <col min="14" max="14" width="7.7109375" style="1" customWidth="1"/>
    <col min="15" max="15" width="18.7109375" style="1" customWidth="1"/>
    <col min="16" max="16" width="7.7109375" style="1" customWidth="1"/>
    <col min="17" max="17" width="18.28515625" style="1" customWidth="1"/>
    <col min="18" max="18" width="9" style="1" customWidth="1"/>
    <col min="19" max="19" width="28.7109375" style="1" customWidth="1"/>
    <col min="20" max="20" width="11.7109375" style="1" customWidth="1"/>
    <col min="21" max="21" width="10.42578125" style="1" customWidth="1"/>
    <col min="22" max="22" width="5.5703125" style="4" customWidth="1"/>
    <col min="23" max="23" width="18.5703125" style="1" customWidth="1"/>
    <col min="24" max="24" width="8" style="1" customWidth="1"/>
    <col min="25" max="25" width="5.5703125" style="4" customWidth="1"/>
    <col min="26" max="26" width="8" style="1" customWidth="1"/>
    <col min="27" max="27" width="18.5703125" style="1" customWidth="1"/>
    <col min="28" max="28" width="8" style="1" customWidth="1"/>
    <col min="29" max="29" width="5.5703125" style="4" customWidth="1"/>
    <col min="30" max="30" width="9.85546875" style="1" customWidth="1"/>
    <col min="31" max="31" width="15" style="1" customWidth="1"/>
    <col min="32" max="32" width="9.140625" style="1"/>
    <col min="33" max="37" width="19.5703125" style="1" customWidth="1"/>
    <col min="38" max="16384" width="9.140625" style="1"/>
  </cols>
  <sheetData>
    <row r="1" spans="1:37" ht="23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98"/>
    </row>
    <row r="2" spans="1:37" ht="23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99"/>
    </row>
    <row r="3" spans="1:37" ht="23.25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99"/>
    </row>
    <row r="4" spans="1:37" ht="23.25">
      <c r="A4" s="212" t="s">
        <v>235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98"/>
    </row>
    <row r="5" spans="1:37" ht="18">
      <c r="A5" s="213" t="s">
        <v>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</row>
    <row r="6" spans="1:37" ht="18">
      <c r="A6" s="205" t="s">
        <v>2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</row>
    <row r="7" spans="1:37" ht="81" customHeight="1">
      <c r="A7" s="183" t="s">
        <v>5</v>
      </c>
      <c r="B7" s="183" t="s">
        <v>6</v>
      </c>
      <c r="C7" s="191" t="s">
        <v>7</v>
      </c>
      <c r="D7" s="191" t="s">
        <v>8</v>
      </c>
      <c r="E7" s="166" t="s">
        <v>9</v>
      </c>
      <c r="F7" s="167"/>
      <c r="G7" s="170"/>
      <c r="H7" s="166" t="s">
        <v>10</v>
      </c>
      <c r="I7" s="170"/>
      <c r="J7" s="166" t="s">
        <v>11</v>
      </c>
      <c r="K7" s="167"/>
      <c r="L7" s="166" t="s">
        <v>12</v>
      </c>
      <c r="M7" s="167"/>
      <c r="N7" s="167"/>
      <c r="O7" s="167"/>
      <c r="P7" s="167"/>
      <c r="Q7" s="167"/>
      <c r="R7" s="167"/>
      <c r="S7" s="170"/>
      <c r="T7" s="166" t="s">
        <v>13</v>
      </c>
      <c r="U7" s="167"/>
      <c r="V7" s="167"/>
      <c r="W7" s="167"/>
      <c r="X7" s="167"/>
      <c r="Y7" s="170"/>
      <c r="Z7" s="166" t="s">
        <v>14</v>
      </c>
      <c r="AA7" s="170"/>
      <c r="AB7" s="166" t="s">
        <v>15</v>
      </c>
      <c r="AC7" s="167"/>
      <c r="AD7" s="167"/>
      <c r="AE7" s="154" t="s">
        <v>16</v>
      </c>
      <c r="AG7" s="4"/>
      <c r="AH7" s="4"/>
      <c r="AI7" s="4"/>
      <c r="AJ7" s="4"/>
      <c r="AK7" s="4"/>
    </row>
    <row r="8" spans="1:37" ht="18" customHeight="1">
      <c r="A8" s="183"/>
      <c r="B8" s="183"/>
      <c r="C8" s="191"/>
      <c r="D8" s="191"/>
      <c r="E8" s="172"/>
      <c r="F8" s="174"/>
      <c r="G8" s="173"/>
      <c r="H8" s="172"/>
      <c r="I8" s="173"/>
      <c r="J8" s="168"/>
      <c r="K8" s="169"/>
      <c r="L8" s="168"/>
      <c r="M8" s="169"/>
      <c r="N8" s="169"/>
      <c r="O8" s="169"/>
      <c r="P8" s="169"/>
      <c r="Q8" s="169"/>
      <c r="R8" s="169"/>
      <c r="S8" s="171"/>
      <c r="T8" s="168"/>
      <c r="U8" s="169"/>
      <c r="V8" s="169"/>
      <c r="W8" s="169"/>
      <c r="X8" s="169"/>
      <c r="Y8" s="171"/>
      <c r="Z8" s="168"/>
      <c r="AA8" s="171"/>
      <c r="AB8" s="168"/>
      <c r="AC8" s="169"/>
      <c r="AD8" s="169"/>
      <c r="AE8" s="155"/>
    </row>
    <row r="9" spans="1:37" ht="15.75" customHeight="1">
      <c r="A9" s="183"/>
      <c r="B9" s="183"/>
      <c r="C9" s="191"/>
      <c r="D9" s="191"/>
      <c r="E9" s="168"/>
      <c r="F9" s="169"/>
      <c r="G9" s="171"/>
      <c r="H9" s="168"/>
      <c r="I9" s="171"/>
      <c r="J9" s="206">
        <v>2022</v>
      </c>
      <c r="K9" s="207"/>
      <c r="L9" s="208" t="s">
        <v>17</v>
      </c>
      <c r="M9" s="209"/>
      <c r="N9" s="208" t="s">
        <v>18</v>
      </c>
      <c r="O9" s="209"/>
      <c r="P9" s="208" t="s">
        <v>19</v>
      </c>
      <c r="Q9" s="209"/>
      <c r="R9" s="208" t="s">
        <v>20</v>
      </c>
      <c r="S9" s="209"/>
      <c r="T9" s="208">
        <v>2022</v>
      </c>
      <c r="U9" s="210"/>
      <c r="V9" s="210"/>
      <c r="W9" s="210"/>
      <c r="X9" s="210"/>
      <c r="Y9" s="209"/>
      <c r="Z9" s="208">
        <v>2022</v>
      </c>
      <c r="AA9" s="209"/>
      <c r="AB9" s="208">
        <v>2022</v>
      </c>
      <c r="AC9" s="210"/>
      <c r="AD9" s="209"/>
      <c r="AE9" s="100"/>
    </row>
    <row r="10" spans="1:37" s="2" customFormat="1" ht="15.75">
      <c r="A10" s="152">
        <v>1</v>
      </c>
      <c r="B10" s="152">
        <v>2</v>
      </c>
      <c r="C10" s="152">
        <v>3</v>
      </c>
      <c r="D10" s="152">
        <v>4</v>
      </c>
      <c r="E10" s="197">
        <v>5</v>
      </c>
      <c r="F10" s="204"/>
      <c r="G10" s="198"/>
      <c r="H10" s="197">
        <v>6</v>
      </c>
      <c r="I10" s="198"/>
      <c r="J10" s="199">
        <v>7</v>
      </c>
      <c r="K10" s="200"/>
      <c r="L10" s="199">
        <v>8</v>
      </c>
      <c r="M10" s="200"/>
      <c r="N10" s="199">
        <v>9</v>
      </c>
      <c r="O10" s="200"/>
      <c r="P10" s="199">
        <v>10</v>
      </c>
      <c r="Q10" s="200"/>
      <c r="R10" s="199">
        <v>11</v>
      </c>
      <c r="S10" s="200"/>
      <c r="T10" s="201">
        <v>12</v>
      </c>
      <c r="U10" s="202"/>
      <c r="V10" s="202"/>
      <c r="W10" s="202"/>
      <c r="X10" s="202"/>
      <c r="Y10" s="203"/>
      <c r="Z10" s="201">
        <v>13</v>
      </c>
      <c r="AA10" s="203"/>
      <c r="AB10" s="201">
        <v>14</v>
      </c>
      <c r="AC10" s="202"/>
      <c r="AD10" s="203"/>
      <c r="AE10" s="101">
        <v>15</v>
      </c>
    </row>
    <row r="11" spans="1:37" s="2" customFormat="1" ht="87" customHeight="1">
      <c r="A11" s="184"/>
      <c r="B11" s="184"/>
      <c r="C11" s="184"/>
      <c r="D11" s="184"/>
      <c r="E11" s="162" t="s">
        <v>21</v>
      </c>
      <c r="F11" s="163"/>
      <c r="G11" s="153" t="s">
        <v>22</v>
      </c>
      <c r="H11" s="162" t="s">
        <v>21</v>
      </c>
      <c r="I11" s="153" t="s">
        <v>22</v>
      </c>
      <c r="J11" s="162" t="s">
        <v>21</v>
      </c>
      <c r="K11" s="152" t="s">
        <v>22</v>
      </c>
      <c r="L11" s="162" t="s">
        <v>21</v>
      </c>
      <c r="M11" s="152" t="s">
        <v>22</v>
      </c>
      <c r="N11" s="162" t="s">
        <v>21</v>
      </c>
      <c r="O11" s="152" t="s">
        <v>22</v>
      </c>
      <c r="P11" s="162" t="s">
        <v>21</v>
      </c>
      <c r="Q11" s="152" t="s">
        <v>22</v>
      </c>
      <c r="R11" s="162" t="s">
        <v>21</v>
      </c>
      <c r="S11" s="152" t="s">
        <v>22</v>
      </c>
      <c r="T11" s="5" t="s">
        <v>23</v>
      </c>
      <c r="U11" s="197" t="s">
        <v>24</v>
      </c>
      <c r="V11" s="198"/>
      <c r="W11" s="72" t="s">
        <v>25</v>
      </c>
      <c r="X11" s="197" t="s">
        <v>26</v>
      </c>
      <c r="Y11" s="198"/>
      <c r="Z11" s="5" t="s">
        <v>27</v>
      </c>
      <c r="AA11" s="72" t="s">
        <v>28</v>
      </c>
      <c r="AB11" s="197" t="s">
        <v>29</v>
      </c>
      <c r="AC11" s="198"/>
      <c r="AD11" s="72" t="s">
        <v>30</v>
      </c>
      <c r="AE11" s="102"/>
    </row>
    <row r="12" spans="1:37" s="2" customFormat="1" ht="15.75">
      <c r="A12" s="153"/>
      <c r="B12" s="153"/>
      <c r="C12" s="153"/>
      <c r="D12" s="153"/>
      <c r="E12" s="164"/>
      <c r="F12" s="165"/>
      <c r="G12" s="181"/>
      <c r="H12" s="164"/>
      <c r="I12" s="181"/>
      <c r="J12" s="164"/>
      <c r="K12" s="153"/>
      <c r="L12" s="164"/>
      <c r="M12" s="153"/>
      <c r="N12" s="164"/>
      <c r="O12" s="153"/>
      <c r="P12" s="164"/>
      <c r="Q12" s="153"/>
      <c r="R12" s="164"/>
      <c r="S12" s="153"/>
      <c r="T12" s="6" t="s">
        <v>21</v>
      </c>
      <c r="U12" s="164" t="s">
        <v>21</v>
      </c>
      <c r="V12" s="165"/>
      <c r="W12" s="7" t="s">
        <v>22</v>
      </c>
      <c r="X12" s="164" t="s">
        <v>22</v>
      </c>
      <c r="Y12" s="165"/>
      <c r="Z12" s="6" t="s">
        <v>21</v>
      </c>
      <c r="AA12" s="7" t="s">
        <v>22</v>
      </c>
      <c r="AB12" s="164" t="s">
        <v>21</v>
      </c>
      <c r="AC12" s="165"/>
      <c r="AD12" s="7" t="s">
        <v>22</v>
      </c>
      <c r="AE12" s="103"/>
    </row>
    <row r="13" spans="1:37" ht="15" hidden="1" customHeight="1">
      <c r="A13" s="185"/>
      <c r="B13" s="188" t="s">
        <v>31</v>
      </c>
      <c r="C13" s="175" t="s">
        <v>32</v>
      </c>
      <c r="D13" s="188" t="s">
        <v>33</v>
      </c>
      <c r="E13" s="156" t="s">
        <v>34</v>
      </c>
      <c r="F13" s="157"/>
      <c r="G13" s="185"/>
      <c r="H13" s="156" t="s">
        <v>35</v>
      </c>
      <c r="I13" s="175" t="s">
        <v>36</v>
      </c>
      <c r="J13" s="178" t="s">
        <v>37</v>
      </c>
      <c r="K13" s="175" t="s">
        <v>38</v>
      </c>
      <c r="L13" s="178" t="s">
        <v>39</v>
      </c>
      <c r="M13" s="52"/>
      <c r="N13" s="52"/>
      <c r="O13" s="52"/>
      <c r="P13" s="52"/>
      <c r="Q13" s="52"/>
      <c r="R13" s="52"/>
      <c r="S13" s="52"/>
      <c r="T13" s="52"/>
      <c r="U13" s="52"/>
      <c r="V13" s="8"/>
      <c r="W13" s="52"/>
      <c r="X13" s="52"/>
      <c r="Y13" s="8"/>
      <c r="Z13" s="52"/>
      <c r="AA13" s="52"/>
      <c r="AB13" s="52"/>
      <c r="AC13" s="8"/>
      <c r="AD13" s="52"/>
      <c r="AE13" s="104"/>
    </row>
    <row r="14" spans="1:37" ht="15" hidden="1" customHeight="1">
      <c r="A14" s="186"/>
      <c r="B14" s="189"/>
      <c r="C14" s="176"/>
      <c r="D14" s="189"/>
      <c r="E14" s="158"/>
      <c r="F14" s="159"/>
      <c r="G14" s="186"/>
      <c r="H14" s="158"/>
      <c r="I14" s="176"/>
      <c r="J14" s="179"/>
      <c r="K14" s="176"/>
      <c r="L14" s="179"/>
      <c r="M14" s="53"/>
      <c r="N14" s="53"/>
      <c r="O14" s="53"/>
      <c r="P14" s="53"/>
      <c r="Q14" s="53"/>
      <c r="R14" s="53"/>
      <c r="S14" s="53"/>
      <c r="T14" s="53"/>
      <c r="U14" s="53"/>
      <c r="V14" s="9"/>
      <c r="W14" s="53"/>
      <c r="X14" s="53"/>
      <c r="Y14" s="9"/>
      <c r="Z14" s="53"/>
      <c r="AA14" s="53"/>
      <c r="AB14" s="53"/>
      <c r="AC14" s="9"/>
      <c r="AD14" s="53"/>
      <c r="AE14" s="104"/>
    </row>
    <row r="15" spans="1:37" ht="15" hidden="1" customHeight="1">
      <c r="A15" s="187"/>
      <c r="B15" s="190"/>
      <c r="C15" s="177"/>
      <c r="D15" s="190"/>
      <c r="E15" s="160"/>
      <c r="F15" s="161"/>
      <c r="G15" s="187"/>
      <c r="H15" s="160"/>
      <c r="I15" s="177"/>
      <c r="J15" s="180"/>
      <c r="K15" s="177"/>
      <c r="L15" s="180"/>
      <c r="M15" s="54"/>
      <c r="N15" s="54"/>
      <c r="O15" s="54"/>
      <c r="P15" s="54"/>
      <c r="Q15" s="54"/>
      <c r="R15" s="54"/>
      <c r="S15" s="54"/>
      <c r="T15" s="54"/>
      <c r="U15" s="54"/>
      <c r="V15" s="11"/>
      <c r="W15" s="54"/>
      <c r="X15" s="54"/>
      <c r="Y15" s="11"/>
      <c r="Z15" s="54"/>
      <c r="AA15" s="54"/>
      <c r="AB15" s="54"/>
      <c r="AC15" s="11"/>
      <c r="AD15" s="54"/>
      <c r="AE15" s="104"/>
    </row>
    <row r="16" spans="1:37" ht="153.75" customHeight="1">
      <c r="A16" s="12">
        <v>1</v>
      </c>
      <c r="B16" s="13" t="s">
        <v>40</v>
      </c>
      <c r="C16" s="14" t="s">
        <v>41</v>
      </c>
      <c r="D16" s="15" t="s">
        <v>42</v>
      </c>
      <c r="E16" s="16">
        <v>100</v>
      </c>
      <c r="F16" s="17" t="s">
        <v>43</v>
      </c>
      <c r="G16" s="18">
        <f t="shared" ref="G16:K16" si="0">SUM(G17,G20,G25,G31,G33,G36)</f>
        <v>0</v>
      </c>
      <c r="H16" s="16">
        <v>200</v>
      </c>
      <c r="I16" s="18">
        <f t="shared" si="0"/>
        <v>3298269593</v>
      </c>
      <c r="J16" s="16">
        <v>100</v>
      </c>
      <c r="K16" s="18">
        <f t="shared" si="0"/>
        <v>3629775096</v>
      </c>
      <c r="L16" s="43">
        <v>100</v>
      </c>
      <c r="M16" s="18">
        <f>SUM(M17,M20,M25,M31,M33,M36)</f>
        <v>0</v>
      </c>
      <c r="N16" s="43">
        <v>100</v>
      </c>
      <c r="O16" s="18">
        <f t="shared" ref="O16:S16" si="1">O17+O20+O25+O31+O33+O36</f>
        <v>1930366623</v>
      </c>
      <c r="P16" s="55">
        <v>100</v>
      </c>
      <c r="Q16" s="73">
        <f t="shared" si="1"/>
        <v>581250662</v>
      </c>
      <c r="R16" s="74">
        <v>100</v>
      </c>
      <c r="S16" s="75">
        <f>S17+S20+S25+S31+S33+S36</f>
        <v>949712906</v>
      </c>
      <c r="T16" s="76">
        <f>AVERAGE(L16,N16,P16,R16)</f>
        <v>100</v>
      </c>
      <c r="U16" s="76">
        <f t="shared" ref="U16:U18" si="2">T16/J16*100</f>
        <v>100</v>
      </c>
      <c r="V16" s="77" t="s">
        <v>43</v>
      </c>
      <c r="W16" s="78">
        <f t="shared" ref="W16:W18" si="3">SUM(M16,O16,Q16,S16)</f>
        <v>3461330191</v>
      </c>
      <c r="X16" s="76">
        <f t="shared" ref="X16:X18" si="4">W16/K16*100</f>
        <v>95.359356969922857</v>
      </c>
      <c r="Y16" s="77" t="s">
        <v>43</v>
      </c>
      <c r="Z16" s="76">
        <f t="shared" ref="Z16:Z68" si="5">SUM(H16,T16)</f>
        <v>300</v>
      </c>
      <c r="AA16" s="105">
        <f t="shared" ref="AA16:AA68" si="6">SUM(I16,W16)</f>
        <v>6759599784</v>
      </c>
      <c r="AB16" s="76"/>
      <c r="AC16" s="77" t="s">
        <v>43</v>
      </c>
      <c r="AD16" s="76"/>
      <c r="AE16" s="106" t="s">
        <v>44</v>
      </c>
      <c r="AH16" s="109">
        <f>M16+O16+Q16+S16</f>
        <v>3461330191</v>
      </c>
    </row>
    <row r="17" spans="1:34" s="3" customFormat="1" ht="120" customHeight="1">
      <c r="A17" s="12">
        <v>2</v>
      </c>
      <c r="B17" s="19" t="s">
        <v>45</v>
      </c>
      <c r="C17" s="20" t="s">
        <v>46</v>
      </c>
      <c r="D17" s="14" t="s">
        <v>47</v>
      </c>
      <c r="E17" s="16">
        <f t="shared" ref="E17:S17" si="7">SUM(E18:E19)</f>
        <v>45</v>
      </c>
      <c r="F17" s="17" t="s">
        <v>48</v>
      </c>
      <c r="G17" s="18">
        <f t="shared" si="7"/>
        <v>0</v>
      </c>
      <c r="H17" s="16">
        <v>30</v>
      </c>
      <c r="I17" s="18">
        <f t="shared" si="7"/>
        <v>5600000</v>
      </c>
      <c r="J17" s="16">
        <f t="shared" si="7"/>
        <v>5</v>
      </c>
      <c r="K17" s="18">
        <f t="shared" si="7"/>
        <v>8900000</v>
      </c>
      <c r="L17" s="16">
        <f t="shared" si="7"/>
        <v>0</v>
      </c>
      <c r="M17" s="18">
        <f t="shared" si="7"/>
        <v>0</v>
      </c>
      <c r="N17" s="16">
        <f t="shared" si="7"/>
        <v>0</v>
      </c>
      <c r="O17" s="18">
        <f t="shared" si="7"/>
        <v>0</v>
      </c>
      <c r="P17" s="56">
        <f t="shared" si="7"/>
        <v>0</v>
      </c>
      <c r="Q17" s="73">
        <f t="shared" si="7"/>
        <v>0</v>
      </c>
      <c r="R17" s="74">
        <v>100</v>
      </c>
      <c r="S17" s="75">
        <f t="shared" si="7"/>
        <v>0</v>
      </c>
      <c r="T17" s="80">
        <f t="shared" ref="T17:T20" si="8">SUM(L17,N17,P17,R17)</f>
        <v>100</v>
      </c>
      <c r="U17" s="77">
        <f t="shared" si="2"/>
        <v>2000</v>
      </c>
      <c r="V17" s="17" t="s">
        <v>43</v>
      </c>
      <c r="W17" s="81">
        <f t="shared" si="3"/>
        <v>0</v>
      </c>
      <c r="X17" s="82">
        <f t="shared" si="4"/>
        <v>0</v>
      </c>
      <c r="Y17" s="17" t="s">
        <v>43</v>
      </c>
      <c r="Z17" s="80">
        <f t="shared" si="5"/>
        <v>130</v>
      </c>
      <c r="AA17" s="105">
        <f t="shared" si="6"/>
        <v>5600000</v>
      </c>
      <c r="AB17" s="76"/>
      <c r="AC17" s="17" t="s">
        <v>43</v>
      </c>
      <c r="AD17" s="76"/>
      <c r="AE17" s="107"/>
      <c r="AH17" s="110"/>
    </row>
    <row r="18" spans="1:34" ht="90">
      <c r="A18" s="21"/>
      <c r="B18" s="13"/>
      <c r="C18" s="22" t="s">
        <v>49</v>
      </c>
      <c r="D18" s="23" t="s">
        <v>189</v>
      </c>
      <c r="E18" s="24">
        <f>5*3</f>
        <v>15</v>
      </c>
      <c r="F18" s="25" t="s">
        <v>48</v>
      </c>
      <c r="G18" s="26"/>
      <c r="H18" s="24">
        <v>10</v>
      </c>
      <c r="I18" s="26">
        <v>4875000</v>
      </c>
      <c r="J18" s="24">
        <v>5</v>
      </c>
      <c r="K18" s="57">
        <v>8900000</v>
      </c>
      <c r="L18" s="24">
        <v>0</v>
      </c>
      <c r="M18" s="26">
        <v>0</v>
      </c>
      <c r="N18" s="24">
        <v>0</v>
      </c>
      <c r="O18" s="26">
        <v>0</v>
      </c>
      <c r="P18" s="58">
        <v>0</v>
      </c>
      <c r="Q18" s="83">
        <v>0</v>
      </c>
      <c r="R18" s="74">
        <v>100</v>
      </c>
      <c r="S18" s="84">
        <v>0</v>
      </c>
      <c r="T18" s="85">
        <f t="shared" si="8"/>
        <v>100</v>
      </c>
      <c r="U18" s="86">
        <f t="shared" si="2"/>
        <v>2000</v>
      </c>
      <c r="V18" s="87" t="s">
        <v>43</v>
      </c>
      <c r="W18" s="88">
        <f t="shared" si="3"/>
        <v>0</v>
      </c>
      <c r="X18" s="86">
        <f t="shared" si="4"/>
        <v>0</v>
      </c>
      <c r="Y18" s="87" t="s">
        <v>43</v>
      </c>
      <c r="Z18" s="85">
        <f t="shared" si="5"/>
        <v>110</v>
      </c>
      <c r="AA18" s="108">
        <f t="shared" si="6"/>
        <v>4875000</v>
      </c>
      <c r="AB18" s="86"/>
      <c r="AC18" s="87" t="s">
        <v>43</v>
      </c>
      <c r="AD18" s="86"/>
      <c r="AE18" s="104"/>
      <c r="AH18" s="109"/>
    </row>
    <row r="19" spans="1:34" ht="75">
      <c r="A19" s="21"/>
      <c r="B19" s="13"/>
      <c r="C19" s="27" t="s">
        <v>51</v>
      </c>
      <c r="D19" s="27" t="s">
        <v>190</v>
      </c>
      <c r="E19" s="24">
        <f>10*3</f>
        <v>30</v>
      </c>
      <c r="F19" s="25" t="s">
        <v>53</v>
      </c>
      <c r="G19" s="26"/>
      <c r="H19" s="24">
        <v>20</v>
      </c>
      <c r="I19" s="26">
        <v>725000</v>
      </c>
      <c r="J19" s="24"/>
      <c r="K19" s="57"/>
      <c r="L19" s="24"/>
      <c r="M19" s="26"/>
      <c r="N19" s="24"/>
      <c r="O19" s="26"/>
      <c r="P19" s="58"/>
      <c r="Q19" s="83"/>
      <c r="R19" s="74">
        <v>100</v>
      </c>
      <c r="S19" s="84"/>
      <c r="T19" s="85"/>
      <c r="U19" s="86"/>
      <c r="V19" s="87"/>
      <c r="W19" s="88"/>
      <c r="X19" s="86"/>
      <c r="Y19" s="87"/>
      <c r="Z19" s="85">
        <f t="shared" si="5"/>
        <v>20</v>
      </c>
      <c r="AA19" s="108">
        <f t="shared" si="6"/>
        <v>725000</v>
      </c>
      <c r="AB19" s="86"/>
      <c r="AC19" s="87" t="s">
        <v>43</v>
      </c>
      <c r="AD19" s="86"/>
      <c r="AE19" s="104"/>
      <c r="AH19" s="109"/>
    </row>
    <row r="20" spans="1:34" ht="114" customHeight="1">
      <c r="A20" s="21"/>
      <c r="B20" s="13"/>
      <c r="C20" s="14" t="s">
        <v>54</v>
      </c>
      <c r="D20" s="14" t="s">
        <v>55</v>
      </c>
      <c r="E20" s="28">
        <f>SUM(E22:E24)</f>
        <v>42</v>
      </c>
      <c r="F20" s="29" t="s">
        <v>48</v>
      </c>
      <c r="G20" s="18">
        <f t="shared" ref="G20:K20" si="9">SUM(G21:G24)</f>
        <v>0</v>
      </c>
      <c r="H20" s="28">
        <v>28</v>
      </c>
      <c r="I20" s="18">
        <f t="shared" si="9"/>
        <v>3022676993</v>
      </c>
      <c r="J20" s="28">
        <f t="shared" ref="J20:N20" si="10">SUM(J22:J24)</f>
        <v>14</v>
      </c>
      <c r="K20" s="59">
        <f t="shared" si="9"/>
        <v>3201578508</v>
      </c>
      <c r="L20" s="28">
        <f t="shared" si="10"/>
        <v>3</v>
      </c>
      <c r="M20" s="18">
        <f>SUM(M21:M24)</f>
        <v>0</v>
      </c>
      <c r="N20" s="28">
        <f t="shared" si="10"/>
        <v>0</v>
      </c>
      <c r="O20" s="18">
        <f t="shared" ref="O20:S20" si="11">O21+O22+O23+O24</f>
        <v>1859088922</v>
      </c>
      <c r="P20" s="60">
        <f>SUM(P22:P24)</f>
        <v>4</v>
      </c>
      <c r="Q20" s="73">
        <f t="shared" si="11"/>
        <v>581250662</v>
      </c>
      <c r="R20" s="74">
        <v>100</v>
      </c>
      <c r="S20" s="75">
        <f t="shared" si="11"/>
        <v>711762182</v>
      </c>
      <c r="T20" s="80">
        <f t="shared" si="8"/>
        <v>107</v>
      </c>
      <c r="U20" s="76">
        <f t="shared" ref="U20:U38" si="12">T20/J20*100</f>
        <v>764.28571428571433</v>
      </c>
      <c r="V20" s="77" t="s">
        <v>43</v>
      </c>
      <c r="W20" s="78">
        <f t="shared" ref="W20:W38" si="13">SUM(M20,O20,Q20,S20)</f>
        <v>3152101766</v>
      </c>
      <c r="X20" s="76">
        <f t="shared" ref="X20:X38" si="14">W20/K20*100</f>
        <v>98.454614126239008</v>
      </c>
      <c r="Y20" s="77" t="s">
        <v>43</v>
      </c>
      <c r="Z20" s="80">
        <f t="shared" si="5"/>
        <v>135</v>
      </c>
      <c r="AA20" s="105">
        <f t="shared" si="6"/>
        <v>6174778759</v>
      </c>
      <c r="AB20" s="76"/>
      <c r="AC20" s="77" t="s">
        <v>43</v>
      </c>
      <c r="AD20" s="76"/>
      <c r="AE20" s="104"/>
      <c r="AH20" s="109"/>
    </row>
    <row r="21" spans="1:34" ht="94.5" customHeight="1">
      <c r="A21" s="21"/>
      <c r="B21" s="13"/>
      <c r="C21" s="22" t="s">
        <v>56</v>
      </c>
      <c r="D21" s="30" t="s">
        <v>191</v>
      </c>
      <c r="E21" s="31">
        <f>12*3</f>
        <v>36</v>
      </c>
      <c r="F21" s="32" t="s">
        <v>58</v>
      </c>
      <c r="G21" s="18"/>
      <c r="H21" s="31">
        <v>24</v>
      </c>
      <c r="I21" s="26">
        <v>3020376993</v>
      </c>
      <c r="J21" s="31">
        <v>26</v>
      </c>
      <c r="K21" s="57">
        <v>3197898508</v>
      </c>
      <c r="L21" s="31">
        <v>26</v>
      </c>
      <c r="M21" s="26">
        <v>0</v>
      </c>
      <c r="N21" s="31">
        <v>26</v>
      </c>
      <c r="O21" s="26">
        <v>1859088922</v>
      </c>
      <c r="P21" s="61">
        <v>26</v>
      </c>
      <c r="Q21" s="83">
        <v>581250662</v>
      </c>
      <c r="R21" s="74">
        <v>100</v>
      </c>
      <c r="S21" s="147">
        <v>711762182</v>
      </c>
      <c r="T21" s="85">
        <f>AVERAGE(L21,N21,P21,R21)</f>
        <v>44.5</v>
      </c>
      <c r="U21" s="86">
        <f t="shared" si="12"/>
        <v>171.15384615384613</v>
      </c>
      <c r="V21" s="87" t="s">
        <v>43</v>
      </c>
      <c r="W21" s="88">
        <f t="shared" si="13"/>
        <v>3152101766</v>
      </c>
      <c r="X21" s="86">
        <f t="shared" si="14"/>
        <v>98.567911336603302</v>
      </c>
      <c r="Y21" s="87" t="s">
        <v>43</v>
      </c>
      <c r="Z21" s="85">
        <f t="shared" si="5"/>
        <v>68.5</v>
      </c>
      <c r="AA21" s="108">
        <f t="shared" si="6"/>
        <v>6172478759</v>
      </c>
      <c r="AB21" s="86"/>
      <c r="AC21" s="87" t="s">
        <v>43</v>
      </c>
      <c r="AD21" s="76"/>
      <c r="AE21" s="104"/>
      <c r="AH21" s="109"/>
    </row>
    <row r="22" spans="1:34" ht="180" customHeight="1">
      <c r="A22" s="21"/>
      <c r="B22" s="13"/>
      <c r="C22" s="22" t="s">
        <v>59</v>
      </c>
      <c r="D22" s="23" t="s">
        <v>192</v>
      </c>
      <c r="E22" s="31">
        <f t="shared" ref="E22:E25" si="15">1*3</f>
        <v>3</v>
      </c>
      <c r="F22" s="32" t="s">
        <v>53</v>
      </c>
      <c r="G22" s="33"/>
      <c r="H22" s="31">
        <v>2</v>
      </c>
      <c r="I22" s="26">
        <v>1050000</v>
      </c>
      <c r="J22" s="31">
        <v>1</v>
      </c>
      <c r="K22" s="57">
        <v>1400000</v>
      </c>
      <c r="L22" s="31">
        <v>0</v>
      </c>
      <c r="M22" s="26">
        <v>0</v>
      </c>
      <c r="N22" s="31"/>
      <c r="O22" s="26">
        <v>0</v>
      </c>
      <c r="P22" s="143" t="s">
        <v>193</v>
      </c>
      <c r="Q22" s="83">
        <v>0</v>
      </c>
      <c r="R22" s="74">
        <v>100</v>
      </c>
      <c r="S22" s="84">
        <v>0</v>
      </c>
      <c r="T22" s="85">
        <f t="shared" ref="T22:T30" si="16">SUM(L22,N22,P22,R22)</f>
        <v>100</v>
      </c>
      <c r="U22" s="86">
        <f t="shared" si="12"/>
        <v>10000</v>
      </c>
      <c r="V22" s="87" t="s">
        <v>43</v>
      </c>
      <c r="W22" s="88">
        <f t="shared" si="13"/>
        <v>0</v>
      </c>
      <c r="X22" s="86">
        <f t="shared" si="14"/>
        <v>0</v>
      </c>
      <c r="Y22" s="87" t="s">
        <v>43</v>
      </c>
      <c r="Z22" s="85">
        <f t="shared" si="5"/>
        <v>102</v>
      </c>
      <c r="AA22" s="108">
        <f t="shared" si="6"/>
        <v>1050000</v>
      </c>
      <c r="AB22" s="86"/>
      <c r="AC22" s="87" t="s">
        <v>43</v>
      </c>
      <c r="AD22" s="86"/>
      <c r="AE22" s="10"/>
      <c r="AH22" s="109">
        <f t="shared" ref="AH22:AH25" si="17">M22+O22+Q22+S22</f>
        <v>0</v>
      </c>
    </row>
    <row r="23" spans="1:34" ht="105">
      <c r="A23" s="21"/>
      <c r="B23" s="13"/>
      <c r="C23" s="22" t="s">
        <v>61</v>
      </c>
      <c r="D23" s="23" t="s">
        <v>194</v>
      </c>
      <c r="E23" s="31">
        <f>12*3</f>
        <v>36</v>
      </c>
      <c r="F23" s="32" t="s">
        <v>53</v>
      </c>
      <c r="G23" s="33"/>
      <c r="H23" s="31">
        <v>24</v>
      </c>
      <c r="I23" s="26">
        <v>300000</v>
      </c>
      <c r="J23" s="31">
        <v>12</v>
      </c>
      <c r="K23" s="57">
        <v>1140000</v>
      </c>
      <c r="L23" s="31">
        <v>3</v>
      </c>
      <c r="M23" s="26">
        <v>0</v>
      </c>
      <c r="N23" s="31"/>
      <c r="O23" s="26">
        <v>0</v>
      </c>
      <c r="P23" s="61">
        <v>3</v>
      </c>
      <c r="Q23" s="83">
        <v>0</v>
      </c>
      <c r="R23" s="74">
        <v>100</v>
      </c>
      <c r="S23" s="84">
        <v>0</v>
      </c>
      <c r="T23" s="85">
        <f t="shared" si="16"/>
        <v>106</v>
      </c>
      <c r="U23" s="86">
        <f t="shared" si="12"/>
        <v>883.33333333333337</v>
      </c>
      <c r="V23" s="87" t="s">
        <v>43</v>
      </c>
      <c r="W23" s="88">
        <f t="shared" si="13"/>
        <v>0</v>
      </c>
      <c r="X23" s="86">
        <f t="shared" si="14"/>
        <v>0</v>
      </c>
      <c r="Y23" s="87" t="s">
        <v>43</v>
      </c>
      <c r="Z23" s="85">
        <f t="shared" si="5"/>
        <v>130</v>
      </c>
      <c r="AA23" s="108">
        <f t="shared" si="6"/>
        <v>300000</v>
      </c>
      <c r="AB23" s="86"/>
      <c r="AC23" s="87" t="s">
        <v>43</v>
      </c>
      <c r="AD23" s="86"/>
      <c r="AE23" s="104"/>
      <c r="AH23" s="109">
        <f t="shared" si="17"/>
        <v>0</v>
      </c>
    </row>
    <row r="24" spans="1:34" ht="90">
      <c r="A24" s="21"/>
      <c r="B24" s="13"/>
      <c r="C24" s="22" t="s">
        <v>63</v>
      </c>
      <c r="D24" s="23" t="s">
        <v>195</v>
      </c>
      <c r="E24" s="31">
        <f t="shared" si="15"/>
        <v>3</v>
      </c>
      <c r="F24" s="32" t="s">
        <v>48</v>
      </c>
      <c r="G24" s="33"/>
      <c r="H24" s="31">
        <v>2</v>
      </c>
      <c r="I24" s="26">
        <v>950000</v>
      </c>
      <c r="J24" s="31">
        <v>1</v>
      </c>
      <c r="K24" s="57">
        <v>1140000</v>
      </c>
      <c r="L24" s="31">
        <v>0</v>
      </c>
      <c r="M24" s="26">
        <v>0</v>
      </c>
      <c r="N24" s="31"/>
      <c r="O24" s="26">
        <v>0</v>
      </c>
      <c r="P24" s="61">
        <v>1</v>
      </c>
      <c r="Q24" s="83">
        <v>0</v>
      </c>
      <c r="R24" s="74">
        <v>100</v>
      </c>
      <c r="S24" s="84">
        <v>0</v>
      </c>
      <c r="T24" s="85">
        <f t="shared" si="16"/>
        <v>101</v>
      </c>
      <c r="U24" s="86">
        <f t="shared" si="12"/>
        <v>10100</v>
      </c>
      <c r="V24" s="87" t="s">
        <v>43</v>
      </c>
      <c r="W24" s="88">
        <f t="shared" si="13"/>
        <v>0</v>
      </c>
      <c r="X24" s="86">
        <f t="shared" si="14"/>
        <v>0</v>
      </c>
      <c r="Y24" s="87" t="s">
        <v>43</v>
      </c>
      <c r="Z24" s="85">
        <f t="shared" si="5"/>
        <v>103</v>
      </c>
      <c r="AA24" s="108">
        <f t="shared" si="6"/>
        <v>950000</v>
      </c>
      <c r="AB24" s="86"/>
      <c r="AC24" s="87" t="s">
        <v>43</v>
      </c>
      <c r="AD24" s="86"/>
      <c r="AE24" s="104"/>
      <c r="AH24" s="109">
        <f t="shared" si="17"/>
        <v>0</v>
      </c>
    </row>
    <row r="25" spans="1:34" ht="111" customHeight="1">
      <c r="A25" s="21"/>
      <c r="B25" s="13"/>
      <c r="C25" s="14" t="s">
        <v>65</v>
      </c>
      <c r="D25" s="14" t="s">
        <v>66</v>
      </c>
      <c r="E25" s="28">
        <f t="shared" si="15"/>
        <v>3</v>
      </c>
      <c r="F25" s="29" t="s">
        <v>48</v>
      </c>
      <c r="G25" s="34">
        <f>SUM(G26:G30)</f>
        <v>0</v>
      </c>
      <c r="H25" s="28">
        <v>1</v>
      </c>
      <c r="I25" s="18">
        <f>I26+I27+I28+I29+I30</f>
        <v>105610321</v>
      </c>
      <c r="J25" s="28">
        <v>1</v>
      </c>
      <c r="K25" s="59">
        <f>K26+K27+K28+K29+K30</f>
        <v>208362400</v>
      </c>
      <c r="L25" s="28">
        <v>0</v>
      </c>
      <c r="M25" s="62">
        <f>SUM(M26:M30)</f>
        <v>0</v>
      </c>
      <c r="N25" s="28">
        <v>0</v>
      </c>
      <c r="O25" s="18">
        <f t="shared" ref="O25:Q25" si="18">O26+O27+O28+O29+O30</f>
        <v>29800000</v>
      </c>
      <c r="P25" s="60">
        <v>100</v>
      </c>
      <c r="Q25" s="73">
        <f t="shared" si="18"/>
        <v>0</v>
      </c>
      <c r="R25" s="74">
        <v>100</v>
      </c>
      <c r="S25" s="75">
        <f>S26+S27+S28+S29+S30</f>
        <v>145838076</v>
      </c>
      <c r="T25" s="80">
        <f t="shared" si="16"/>
        <v>200</v>
      </c>
      <c r="U25" s="76">
        <f t="shared" si="12"/>
        <v>20000</v>
      </c>
      <c r="V25" s="77" t="s">
        <v>43</v>
      </c>
      <c r="W25" s="78">
        <f t="shared" si="13"/>
        <v>175638076</v>
      </c>
      <c r="X25" s="76">
        <f t="shared" si="14"/>
        <v>84.294515709168266</v>
      </c>
      <c r="Y25" s="77" t="s">
        <v>43</v>
      </c>
      <c r="Z25" s="80">
        <f t="shared" si="5"/>
        <v>201</v>
      </c>
      <c r="AA25" s="105">
        <f t="shared" si="6"/>
        <v>281248397</v>
      </c>
      <c r="AB25" s="76"/>
      <c r="AC25" s="77" t="s">
        <v>43</v>
      </c>
      <c r="AD25" s="76"/>
      <c r="AE25" s="104"/>
      <c r="AH25" s="109">
        <f t="shared" si="17"/>
        <v>175638076</v>
      </c>
    </row>
    <row r="26" spans="1:34" ht="79.5" customHeight="1">
      <c r="A26" s="21"/>
      <c r="B26" s="13"/>
      <c r="C26" s="22" t="s">
        <v>67</v>
      </c>
      <c r="D26" s="23" t="s">
        <v>196</v>
      </c>
      <c r="E26" s="31">
        <v>100</v>
      </c>
      <c r="F26" s="25" t="s">
        <v>43</v>
      </c>
      <c r="G26" s="33"/>
      <c r="H26" s="31">
        <v>24</v>
      </c>
      <c r="I26" s="26">
        <v>14950000</v>
      </c>
      <c r="J26" s="31">
        <v>12</v>
      </c>
      <c r="K26" s="57">
        <v>50000000</v>
      </c>
      <c r="L26" s="31">
        <v>3</v>
      </c>
      <c r="M26" s="26">
        <v>0</v>
      </c>
      <c r="N26" s="31">
        <v>3</v>
      </c>
      <c r="O26" s="26">
        <v>29800000</v>
      </c>
      <c r="P26" s="61">
        <v>100</v>
      </c>
      <c r="Q26" s="83">
        <v>0</v>
      </c>
      <c r="R26" s="74">
        <v>100</v>
      </c>
      <c r="S26" s="148">
        <v>17308000</v>
      </c>
      <c r="T26" s="85">
        <f t="shared" si="16"/>
        <v>206</v>
      </c>
      <c r="U26" s="86">
        <f t="shared" si="12"/>
        <v>1716.6666666666667</v>
      </c>
      <c r="V26" s="87" t="s">
        <v>43</v>
      </c>
      <c r="W26" s="88">
        <f t="shared" si="13"/>
        <v>47108000</v>
      </c>
      <c r="X26" s="86">
        <f t="shared" si="14"/>
        <v>94.215999999999994</v>
      </c>
      <c r="Y26" s="87" t="s">
        <v>43</v>
      </c>
      <c r="Z26" s="85">
        <f t="shared" si="5"/>
        <v>230</v>
      </c>
      <c r="AA26" s="108">
        <f t="shared" si="6"/>
        <v>62058000</v>
      </c>
      <c r="AB26" s="86"/>
      <c r="AC26" s="87" t="s">
        <v>43</v>
      </c>
      <c r="AD26" s="86"/>
      <c r="AE26" s="104"/>
      <c r="AH26" s="109"/>
    </row>
    <row r="27" spans="1:34" ht="105">
      <c r="A27" s="21"/>
      <c r="B27" s="13"/>
      <c r="C27" s="22" t="s">
        <v>70</v>
      </c>
      <c r="D27" s="23" t="s">
        <v>197</v>
      </c>
      <c r="E27" s="31">
        <v>100</v>
      </c>
      <c r="F27" s="25" t="s">
        <v>43</v>
      </c>
      <c r="G27" s="33"/>
      <c r="H27" s="31">
        <v>24</v>
      </c>
      <c r="I27" s="26">
        <v>9700000</v>
      </c>
      <c r="J27" s="31">
        <v>12</v>
      </c>
      <c r="K27" s="57">
        <v>49562500</v>
      </c>
      <c r="L27" s="31">
        <v>3</v>
      </c>
      <c r="M27" s="26">
        <v>0</v>
      </c>
      <c r="N27" s="31">
        <v>3</v>
      </c>
      <c r="O27" s="26"/>
      <c r="P27" s="61">
        <v>100</v>
      </c>
      <c r="Q27" s="83"/>
      <c r="R27" s="74">
        <v>100</v>
      </c>
      <c r="S27" s="148">
        <v>31282800</v>
      </c>
      <c r="T27" s="85">
        <f t="shared" si="16"/>
        <v>206</v>
      </c>
      <c r="U27" s="86">
        <f t="shared" si="12"/>
        <v>1716.6666666666667</v>
      </c>
      <c r="V27" s="87" t="s">
        <v>43</v>
      </c>
      <c r="W27" s="88">
        <f t="shared" si="13"/>
        <v>31282800</v>
      </c>
      <c r="X27" s="86">
        <f t="shared" si="14"/>
        <v>63.117881462799495</v>
      </c>
      <c r="Y27" s="87" t="s">
        <v>43</v>
      </c>
      <c r="Z27" s="85">
        <f t="shared" si="5"/>
        <v>230</v>
      </c>
      <c r="AA27" s="108">
        <f t="shared" si="6"/>
        <v>40982800</v>
      </c>
      <c r="AB27" s="86"/>
      <c r="AC27" s="87" t="s">
        <v>43</v>
      </c>
      <c r="AD27" s="86"/>
      <c r="AE27" s="104"/>
      <c r="AH27" s="109"/>
    </row>
    <row r="28" spans="1:34" ht="105">
      <c r="A28" s="21"/>
      <c r="B28" s="13"/>
      <c r="C28" s="22" t="s">
        <v>72</v>
      </c>
      <c r="D28" s="23" t="s">
        <v>198</v>
      </c>
      <c r="E28" s="31">
        <v>100</v>
      </c>
      <c r="F28" s="25" t="s">
        <v>43</v>
      </c>
      <c r="G28" s="33"/>
      <c r="H28" s="31">
        <v>24</v>
      </c>
      <c r="I28" s="26">
        <v>7350000</v>
      </c>
      <c r="J28" s="31">
        <v>12</v>
      </c>
      <c r="K28" s="57">
        <v>13999900</v>
      </c>
      <c r="L28" s="31">
        <v>3</v>
      </c>
      <c r="M28" s="18">
        <v>0</v>
      </c>
      <c r="N28" s="31">
        <v>3</v>
      </c>
      <c r="O28" s="18"/>
      <c r="P28" s="61">
        <v>100</v>
      </c>
      <c r="Q28" s="73">
        <v>0</v>
      </c>
      <c r="R28" s="74">
        <v>100</v>
      </c>
      <c r="S28" s="148">
        <v>10280000</v>
      </c>
      <c r="T28" s="85">
        <f t="shared" si="16"/>
        <v>206</v>
      </c>
      <c r="U28" s="86">
        <f t="shared" si="12"/>
        <v>1716.6666666666667</v>
      </c>
      <c r="V28" s="87" t="s">
        <v>43</v>
      </c>
      <c r="W28" s="88">
        <f t="shared" si="13"/>
        <v>10280000</v>
      </c>
      <c r="X28" s="86">
        <f t="shared" si="14"/>
        <v>73.429095922113731</v>
      </c>
      <c r="Y28" s="87" t="s">
        <v>43</v>
      </c>
      <c r="Z28" s="85">
        <f t="shared" si="5"/>
        <v>230</v>
      </c>
      <c r="AA28" s="108">
        <f t="shared" si="6"/>
        <v>17630000</v>
      </c>
      <c r="AB28" s="86"/>
      <c r="AC28" s="87" t="s">
        <v>43</v>
      </c>
      <c r="AD28" s="76"/>
      <c r="AE28" s="104"/>
      <c r="AH28" s="109"/>
    </row>
    <row r="29" spans="1:34" ht="135">
      <c r="A29" s="21"/>
      <c r="B29" s="13"/>
      <c r="C29" s="22" t="s">
        <v>74</v>
      </c>
      <c r="D29" s="35" t="s">
        <v>199</v>
      </c>
      <c r="E29" s="31">
        <v>100</v>
      </c>
      <c r="F29" s="25" t="s">
        <v>43</v>
      </c>
      <c r="G29" s="33"/>
      <c r="H29" s="31">
        <v>24</v>
      </c>
      <c r="I29" s="26">
        <v>4300000</v>
      </c>
      <c r="J29" s="31">
        <v>12</v>
      </c>
      <c r="K29" s="57">
        <v>4800000</v>
      </c>
      <c r="L29" s="31">
        <v>3</v>
      </c>
      <c r="M29" s="26">
        <v>0</v>
      </c>
      <c r="N29" s="31">
        <v>3</v>
      </c>
      <c r="O29" s="26"/>
      <c r="P29" s="61">
        <v>100</v>
      </c>
      <c r="Q29" s="83"/>
      <c r="R29" s="74">
        <v>100</v>
      </c>
      <c r="S29" s="148">
        <v>4800000</v>
      </c>
      <c r="T29" s="85">
        <f t="shared" si="16"/>
        <v>206</v>
      </c>
      <c r="U29" s="86">
        <f t="shared" si="12"/>
        <v>1716.6666666666667</v>
      </c>
      <c r="V29" s="87" t="s">
        <v>43</v>
      </c>
      <c r="W29" s="88">
        <f t="shared" si="13"/>
        <v>4800000</v>
      </c>
      <c r="X29" s="86">
        <f t="shared" si="14"/>
        <v>100</v>
      </c>
      <c r="Y29" s="87" t="s">
        <v>43</v>
      </c>
      <c r="Z29" s="85">
        <f t="shared" si="5"/>
        <v>230</v>
      </c>
      <c r="AA29" s="108">
        <f t="shared" si="6"/>
        <v>9100000</v>
      </c>
      <c r="AB29" s="86"/>
      <c r="AC29" s="87" t="s">
        <v>43</v>
      </c>
      <c r="AD29" s="86"/>
      <c r="AE29" s="104"/>
      <c r="AH29" s="109"/>
    </row>
    <row r="30" spans="1:34" ht="105">
      <c r="A30" s="21"/>
      <c r="B30" s="13"/>
      <c r="C30" s="22" t="s">
        <v>76</v>
      </c>
      <c r="D30" s="36" t="s">
        <v>200</v>
      </c>
      <c r="E30" s="31">
        <v>100</v>
      </c>
      <c r="F30" s="25" t="s">
        <v>43</v>
      </c>
      <c r="G30" s="33"/>
      <c r="H30" s="31">
        <v>24</v>
      </c>
      <c r="I30" s="26">
        <v>69310321</v>
      </c>
      <c r="J30" s="31">
        <v>12</v>
      </c>
      <c r="K30" s="57">
        <v>90000000</v>
      </c>
      <c r="L30" s="31">
        <v>3</v>
      </c>
      <c r="M30" s="26">
        <v>0</v>
      </c>
      <c r="N30" s="31">
        <v>3</v>
      </c>
      <c r="O30" s="26"/>
      <c r="P30" s="61">
        <v>100</v>
      </c>
      <c r="Q30" s="83"/>
      <c r="R30" s="74">
        <v>100</v>
      </c>
      <c r="S30" s="149" t="s">
        <v>236</v>
      </c>
      <c r="T30" s="85">
        <f t="shared" si="16"/>
        <v>206</v>
      </c>
      <c r="U30" s="86">
        <f t="shared" si="12"/>
        <v>1716.6666666666667</v>
      </c>
      <c r="V30" s="87" t="s">
        <v>43</v>
      </c>
      <c r="W30" s="88">
        <f t="shared" si="13"/>
        <v>0</v>
      </c>
      <c r="X30" s="86">
        <f t="shared" si="14"/>
        <v>0</v>
      </c>
      <c r="Y30" s="87" t="s">
        <v>43</v>
      </c>
      <c r="Z30" s="85">
        <f t="shared" si="5"/>
        <v>230</v>
      </c>
      <c r="AA30" s="108">
        <f t="shared" si="6"/>
        <v>69310321</v>
      </c>
      <c r="AB30" s="86"/>
      <c r="AC30" s="87" t="s">
        <v>43</v>
      </c>
      <c r="AD30" s="86"/>
      <c r="AE30" s="104"/>
      <c r="AH30" s="109"/>
    </row>
    <row r="31" spans="1:34" ht="123.75" customHeight="1">
      <c r="A31" s="21"/>
      <c r="B31" s="13"/>
      <c r="C31" s="14" t="s">
        <v>78</v>
      </c>
      <c r="D31" s="14" t="s">
        <v>79</v>
      </c>
      <c r="E31" s="28">
        <v>100</v>
      </c>
      <c r="F31" s="29" t="s">
        <v>43</v>
      </c>
      <c r="G31" s="18">
        <f t="shared" ref="G31:K31" si="19">SUM(G32)</f>
        <v>0</v>
      </c>
      <c r="H31" s="28">
        <v>200</v>
      </c>
      <c r="I31" s="18">
        <f t="shared" si="19"/>
        <v>26071000</v>
      </c>
      <c r="J31" s="28">
        <v>100</v>
      </c>
      <c r="K31" s="59">
        <f t="shared" si="19"/>
        <v>25388000</v>
      </c>
      <c r="L31" s="16">
        <v>100</v>
      </c>
      <c r="M31" s="18">
        <f t="shared" ref="M31:Q31" si="20">SUM(M32)</f>
        <v>0</v>
      </c>
      <c r="N31" s="16">
        <v>100</v>
      </c>
      <c r="O31" s="18">
        <f t="shared" si="20"/>
        <v>0</v>
      </c>
      <c r="P31" s="56">
        <v>100</v>
      </c>
      <c r="Q31" s="73">
        <f t="shared" si="20"/>
        <v>0</v>
      </c>
      <c r="R31" s="74">
        <v>100</v>
      </c>
      <c r="S31" s="75">
        <f>SUM(S32)</f>
        <v>0</v>
      </c>
      <c r="T31" s="80">
        <f t="shared" ref="T31:T36" si="21">AVERAGE(L31,N31,P31,R31)</f>
        <v>100</v>
      </c>
      <c r="U31" s="76">
        <f t="shared" si="12"/>
        <v>100</v>
      </c>
      <c r="V31" s="77" t="s">
        <v>43</v>
      </c>
      <c r="W31" s="78">
        <f t="shared" si="13"/>
        <v>0</v>
      </c>
      <c r="X31" s="76">
        <f t="shared" si="14"/>
        <v>0</v>
      </c>
      <c r="Y31" s="77" t="s">
        <v>43</v>
      </c>
      <c r="Z31" s="80">
        <f t="shared" si="5"/>
        <v>300</v>
      </c>
      <c r="AA31" s="105">
        <f t="shared" si="6"/>
        <v>26071000</v>
      </c>
      <c r="AB31" s="76"/>
      <c r="AC31" s="77" t="s">
        <v>43</v>
      </c>
      <c r="AD31" s="76"/>
      <c r="AE31" s="104"/>
      <c r="AH31" s="109"/>
    </row>
    <row r="32" spans="1:34" ht="150">
      <c r="A32" s="21"/>
      <c r="B32" s="13"/>
      <c r="C32" s="22" t="s">
        <v>80</v>
      </c>
      <c r="D32" s="23" t="s">
        <v>201</v>
      </c>
      <c r="E32" s="31">
        <v>100</v>
      </c>
      <c r="F32" s="25" t="s">
        <v>43</v>
      </c>
      <c r="G32" s="33"/>
      <c r="H32" s="31">
        <v>24</v>
      </c>
      <c r="I32" s="26">
        <v>26071000</v>
      </c>
      <c r="J32" s="31">
        <v>12</v>
      </c>
      <c r="K32" s="57">
        <v>25388000</v>
      </c>
      <c r="L32" s="31">
        <v>3</v>
      </c>
      <c r="M32" s="26">
        <v>0</v>
      </c>
      <c r="N32" s="31">
        <v>3</v>
      </c>
      <c r="O32" s="26">
        <v>0</v>
      </c>
      <c r="P32" s="61">
        <v>3</v>
      </c>
      <c r="Q32" s="83"/>
      <c r="R32" s="74">
        <v>100</v>
      </c>
      <c r="S32" s="149" t="s">
        <v>237</v>
      </c>
      <c r="T32" s="85">
        <f t="shared" ref="T32:T35" si="22">SUM(L32,N32,P32,R32)</f>
        <v>109</v>
      </c>
      <c r="U32" s="86">
        <f t="shared" si="12"/>
        <v>908.33333333333337</v>
      </c>
      <c r="V32" s="87" t="s">
        <v>43</v>
      </c>
      <c r="W32" s="88">
        <f t="shared" si="13"/>
        <v>0</v>
      </c>
      <c r="X32" s="86">
        <f t="shared" si="14"/>
        <v>0</v>
      </c>
      <c r="Y32" s="87" t="s">
        <v>43</v>
      </c>
      <c r="Z32" s="85">
        <f t="shared" si="5"/>
        <v>133</v>
      </c>
      <c r="AA32" s="108">
        <f t="shared" si="6"/>
        <v>26071000</v>
      </c>
      <c r="AB32" s="86"/>
      <c r="AC32" s="87" t="s">
        <v>43</v>
      </c>
      <c r="AD32" s="86"/>
      <c r="AE32" s="104"/>
      <c r="AH32" s="109"/>
    </row>
    <row r="33" spans="1:34" ht="109.5" customHeight="1">
      <c r="A33" s="21"/>
      <c r="B33" s="13"/>
      <c r="C33" s="14" t="s">
        <v>83</v>
      </c>
      <c r="D33" s="14" t="s">
        <v>79</v>
      </c>
      <c r="E33" s="28">
        <v>100</v>
      </c>
      <c r="F33" s="29" t="s">
        <v>43</v>
      </c>
      <c r="G33" s="18">
        <f t="shared" ref="G33:K33" si="23">SUM(G34:G35)</f>
        <v>0</v>
      </c>
      <c r="H33" s="28">
        <v>200</v>
      </c>
      <c r="I33" s="18">
        <f t="shared" si="23"/>
        <v>76285840</v>
      </c>
      <c r="J33" s="28">
        <v>100</v>
      </c>
      <c r="K33" s="59">
        <f t="shared" si="23"/>
        <v>97796188</v>
      </c>
      <c r="L33" s="16">
        <v>100</v>
      </c>
      <c r="M33" s="18">
        <f>SUM(M34:M35)</f>
        <v>0</v>
      </c>
      <c r="N33" s="16">
        <v>100</v>
      </c>
      <c r="O33" s="18">
        <f t="shared" ref="O33:S33" si="24">O34+O35</f>
        <v>30097701</v>
      </c>
      <c r="P33" s="56">
        <v>100</v>
      </c>
      <c r="Q33" s="73">
        <f t="shared" si="24"/>
        <v>0</v>
      </c>
      <c r="R33" s="74">
        <v>100</v>
      </c>
      <c r="S33" s="75">
        <f t="shared" si="24"/>
        <v>43457064</v>
      </c>
      <c r="T33" s="80">
        <f t="shared" si="21"/>
        <v>100</v>
      </c>
      <c r="U33" s="76">
        <f t="shared" si="12"/>
        <v>100</v>
      </c>
      <c r="V33" s="77" t="s">
        <v>43</v>
      </c>
      <c r="W33" s="78">
        <f t="shared" si="13"/>
        <v>73554765</v>
      </c>
      <c r="X33" s="76">
        <f t="shared" si="14"/>
        <v>75.212302753559271</v>
      </c>
      <c r="Y33" s="77" t="s">
        <v>43</v>
      </c>
      <c r="Z33" s="80">
        <f t="shared" si="5"/>
        <v>300</v>
      </c>
      <c r="AA33" s="105">
        <f t="shared" si="6"/>
        <v>149840605</v>
      </c>
      <c r="AB33" s="76"/>
      <c r="AC33" s="77" t="s">
        <v>43</v>
      </c>
      <c r="AD33" s="76"/>
      <c r="AE33" s="104"/>
      <c r="AH33" s="109"/>
    </row>
    <row r="34" spans="1:34" ht="105">
      <c r="A34" s="21"/>
      <c r="B34" s="13"/>
      <c r="C34" s="22" t="s">
        <v>84</v>
      </c>
      <c r="D34" s="23" t="s">
        <v>202</v>
      </c>
      <c r="E34" s="31">
        <v>100</v>
      </c>
      <c r="F34" s="25" t="s">
        <v>43</v>
      </c>
      <c r="G34" s="33"/>
      <c r="H34" s="31">
        <v>24</v>
      </c>
      <c r="I34" s="26">
        <v>73485840</v>
      </c>
      <c r="J34" s="31">
        <v>12</v>
      </c>
      <c r="K34" s="57">
        <v>40846188</v>
      </c>
      <c r="L34" s="31">
        <v>3</v>
      </c>
      <c r="M34" s="26">
        <v>0</v>
      </c>
      <c r="N34" s="31">
        <v>3</v>
      </c>
      <c r="O34" s="26">
        <v>9097701</v>
      </c>
      <c r="P34" s="61">
        <v>3</v>
      </c>
      <c r="Q34" s="83">
        <v>0</v>
      </c>
      <c r="R34" s="74">
        <v>100</v>
      </c>
      <c r="S34" s="148">
        <v>23412776</v>
      </c>
      <c r="T34" s="85">
        <f t="shared" si="22"/>
        <v>109</v>
      </c>
      <c r="U34" s="86">
        <f t="shared" si="12"/>
        <v>908.33333333333337</v>
      </c>
      <c r="V34" s="87" t="s">
        <v>43</v>
      </c>
      <c r="W34" s="88">
        <f t="shared" si="13"/>
        <v>32510477</v>
      </c>
      <c r="X34" s="86">
        <f t="shared" si="14"/>
        <v>79.592438344552491</v>
      </c>
      <c r="Y34" s="87" t="s">
        <v>43</v>
      </c>
      <c r="Z34" s="85">
        <f t="shared" si="5"/>
        <v>133</v>
      </c>
      <c r="AA34" s="108">
        <f t="shared" si="6"/>
        <v>105996317</v>
      </c>
      <c r="AB34" s="86"/>
      <c r="AC34" s="87" t="s">
        <v>43</v>
      </c>
      <c r="AD34" s="86"/>
      <c r="AE34" s="104"/>
      <c r="AH34" s="109"/>
    </row>
    <row r="35" spans="1:34" ht="75">
      <c r="A35" s="21"/>
      <c r="B35" s="13"/>
      <c r="C35" s="22" t="s">
        <v>86</v>
      </c>
      <c r="D35" s="23" t="s">
        <v>203</v>
      </c>
      <c r="E35" s="31">
        <v>100</v>
      </c>
      <c r="F35" s="25" t="s">
        <v>43</v>
      </c>
      <c r="G35" s="18"/>
      <c r="H35" s="31">
        <v>24</v>
      </c>
      <c r="I35" s="26">
        <v>2800000</v>
      </c>
      <c r="J35" s="31">
        <v>12</v>
      </c>
      <c r="K35" s="57">
        <v>56950000</v>
      </c>
      <c r="L35" s="31">
        <v>3</v>
      </c>
      <c r="M35" s="18">
        <v>0</v>
      </c>
      <c r="N35" s="31">
        <v>3</v>
      </c>
      <c r="O35" s="26">
        <v>21000000</v>
      </c>
      <c r="P35" s="61">
        <v>3</v>
      </c>
      <c r="Q35" s="83"/>
      <c r="R35" s="74">
        <v>100</v>
      </c>
      <c r="S35" s="148">
        <v>20044288</v>
      </c>
      <c r="T35" s="85">
        <f t="shared" si="22"/>
        <v>109</v>
      </c>
      <c r="U35" s="86">
        <f t="shared" si="12"/>
        <v>908.33333333333337</v>
      </c>
      <c r="V35" s="87" t="s">
        <v>43</v>
      </c>
      <c r="W35" s="88">
        <f t="shared" si="13"/>
        <v>41044288</v>
      </c>
      <c r="X35" s="86">
        <f t="shared" si="14"/>
        <v>72.070742756804222</v>
      </c>
      <c r="Y35" s="87" t="s">
        <v>43</v>
      </c>
      <c r="Z35" s="85">
        <f t="shared" si="5"/>
        <v>133</v>
      </c>
      <c r="AA35" s="108">
        <f t="shared" si="6"/>
        <v>43844288</v>
      </c>
      <c r="AB35" s="86"/>
      <c r="AC35" s="87" t="s">
        <v>43</v>
      </c>
      <c r="AD35" s="86"/>
      <c r="AE35" s="104"/>
      <c r="AH35" s="109"/>
    </row>
    <row r="36" spans="1:34" ht="125.25" customHeight="1">
      <c r="A36" s="21"/>
      <c r="B36" s="13"/>
      <c r="C36" s="14" t="s">
        <v>88</v>
      </c>
      <c r="D36" s="14" t="s">
        <v>79</v>
      </c>
      <c r="E36" s="28">
        <v>100</v>
      </c>
      <c r="F36" s="29" t="s">
        <v>43</v>
      </c>
      <c r="G36" s="18">
        <f t="shared" ref="G36:K36" si="25">SUM(G37:G39)</f>
        <v>0</v>
      </c>
      <c r="H36" s="28">
        <v>200</v>
      </c>
      <c r="I36" s="18">
        <f t="shared" si="25"/>
        <v>62025439</v>
      </c>
      <c r="J36" s="28">
        <v>100</v>
      </c>
      <c r="K36" s="59">
        <f t="shared" si="25"/>
        <v>87750000</v>
      </c>
      <c r="L36" s="16">
        <v>100</v>
      </c>
      <c r="M36" s="18">
        <f t="shared" ref="M36:Q36" si="26">SUM(M37:M39)</f>
        <v>0</v>
      </c>
      <c r="N36" s="16">
        <v>100</v>
      </c>
      <c r="O36" s="18">
        <f t="shared" si="26"/>
        <v>11380000</v>
      </c>
      <c r="P36" s="56">
        <v>100</v>
      </c>
      <c r="Q36" s="73">
        <f t="shared" si="26"/>
        <v>0</v>
      </c>
      <c r="R36" s="74">
        <v>100</v>
      </c>
      <c r="S36" s="75">
        <f>SUM(S37:S39)</f>
        <v>48655584</v>
      </c>
      <c r="T36" s="80">
        <f t="shared" si="21"/>
        <v>100</v>
      </c>
      <c r="U36" s="76">
        <f t="shared" si="12"/>
        <v>100</v>
      </c>
      <c r="V36" s="77" t="s">
        <v>43</v>
      </c>
      <c r="W36" s="78">
        <f t="shared" si="13"/>
        <v>60035584</v>
      </c>
      <c r="X36" s="76">
        <f t="shared" si="14"/>
        <v>68.416619943019938</v>
      </c>
      <c r="Y36" s="77" t="s">
        <v>43</v>
      </c>
      <c r="Z36" s="80">
        <f t="shared" si="5"/>
        <v>300</v>
      </c>
      <c r="AA36" s="105">
        <f t="shared" si="6"/>
        <v>122061023</v>
      </c>
      <c r="AB36" s="76"/>
      <c r="AC36" s="77" t="s">
        <v>43</v>
      </c>
      <c r="AD36" s="76"/>
      <c r="AE36" s="104"/>
      <c r="AH36" s="109"/>
    </row>
    <row r="37" spans="1:34" ht="169.5" customHeight="1">
      <c r="A37" s="21"/>
      <c r="B37" s="13"/>
      <c r="C37" s="22" t="s">
        <v>89</v>
      </c>
      <c r="D37" s="23" t="s">
        <v>204</v>
      </c>
      <c r="E37" s="31">
        <v>100</v>
      </c>
      <c r="F37" s="25" t="s">
        <v>43</v>
      </c>
      <c r="G37" s="18"/>
      <c r="H37" s="31">
        <v>24</v>
      </c>
      <c r="I37" s="26">
        <v>44423060</v>
      </c>
      <c r="J37" s="31">
        <v>12</v>
      </c>
      <c r="K37" s="57">
        <v>68000000</v>
      </c>
      <c r="L37" s="31">
        <v>3</v>
      </c>
      <c r="M37" s="26">
        <v>0</v>
      </c>
      <c r="N37" s="31"/>
      <c r="O37" s="26">
        <v>11380000</v>
      </c>
      <c r="P37" s="61"/>
      <c r="Q37" s="83"/>
      <c r="R37" s="74">
        <v>100</v>
      </c>
      <c r="S37" s="148">
        <v>41575584</v>
      </c>
      <c r="T37" s="86">
        <f t="shared" ref="T37:T68" si="27">SUM(L37,N37,P37,R37)</f>
        <v>103</v>
      </c>
      <c r="U37" s="86">
        <f t="shared" si="12"/>
        <v>858.33333333333337</v>
      </c>
      <c r="V37" s="87" t="s">
        <v>43</v>
      </c>
      <c r="W37" s="88">
        <f t="shared" si="13"/>
        <v>52955584</v>
      </c>
      <c r="X37" s="86">
        <f t="shared" si="14"/>
        <v>77.875858823529413</v>
      </c>
      <c r="Y37" s="87" t="s">
        <v>43</v>
      </c>
      <c r="Z37" s="86">
        <f t="shared" si="5"/>
        <v>127</v>
      </c>
      <c r="AA37" s="108">
        <f t="shared" si="6"/>
        <v>97378644</v>
      </c>
      <c r="AB37" s="86"/>
      <c r="AC37" s="87" t="s">
        <v>43</v>
      </c>
      <c r="AD37" s="76"/>
      <c r="AE37" s="104"/>
      <c r="AH37" s="109"/>
    </row>
    <row r="38" spans="1:34" ht="75">
      <c r="A38" s="21"/>
      <c r="B38" s="13"/>
      <c r="C38" s="22" t="s">
        <v>91</v>
      </c>
      <c r="D38" s="23" t="s">
        <v>205</v>
      </c>
      <c r="E38" s="31">
        <v>100</v>
      </c>
      <c r="F38" s="25" t="s">
        <v>43</v>
      </c>
      <c r="G38" s="33"/>
      <c r="H38" s="31"/>
      <c r="I38" s="26"/>
      <c r="J38" s="31">
        <v>12</v>
      </c>
      <c r="K38" s="57">
        <v>19750000</v>
      </c>
      <c r="L38" s="31">
        <v>3</v>
      </c>
      <c r="M38" s="26">
        <v>0</v>
      </c>
      <c r="N38" s="31"/>
      <c r="O38" s="26">
        <v>0</v>
      </c>
      <c r="P38" s="61"/>
      <c r="Q38" s="83"/>
      <c r="R38" s="74">
        <v>100</v>
      </c>
      <c r="S38" s="148">
        <v>7080000</v>
      </c>
      <c r="T38" s="85">
        <f t="shared" si="27"/>
        <v>103</v>
      </c>
      <c r="U38" s="86">
        <f t="shared" si="12"/>
        <v>858.33333333333337</v>
      </c>
      <c r="V38" s="87" t="s">
        <v>43</v>
      </c>
      <c r="W38" s="88">
        <f t="shared" si="13"/>
        <v>7080000</v>
      </c>
      <c r="X38" s="86">
        <f t="shared" si="14"/>
        <v>35.848101265822784</v>
      </c>
      <c r="Y38" s="87" t="s">
        <v>43</v>
      </c>
      <c r="Z38" s="85">
        <f t="shared" si="5"/>
        <v>103</v>
      </c>
      <c r="AA38" s="108">
        <f t="shared" si="6"/>
        <v>7080000</v>
      </c>
      <c r="AB38" s="86"/>
      <c r="AC38" s="87" t="s">
        <v>43</v>
      </c>
      <c r="AD38" s="86"/>
      <c r="AE38" s="104"/>
      <c r="AH38" s="109"/>
    </row>
    <row r="39" spans="1:34" ht="135">
      <c r="A39" s="21"/>
      <c r="B39" s="13"/>
      <c r="C39" s="27" t="s">
        <v>93</v>
      </c>
      <c r="D39" s="27" t="s">
        <v>94</v>
      </c>
      <c r="E39" s="31">
        <v>100</v>
      </c>
      <c r="F39" s="25" t="s">
        <v>43</v>
      </c>
      <c r="G39" s="33"/>
      <c r="H39" s="31">
        <v>24</v>
      </c>
      <c r="I39" s="26">
        <v>17602379</v>
      </c>
      <c r="J39" s="31"/>
      <c r="K39" s="57"/>
      <c r="L39" s="31"/>
      <c r="M39" s="26"/>
      <c r="N39" s="31"/>
      <c r="O39" s="26"/>
      <c r="P39" s="61"/>
      <c r="Q39" s="83"/>
      <c r="R39" s="74">
        <v>100</v>
      </c>
      <c r="S39" s="84">
        <v>0</v>
      </c>
      <c r="T39" s="85"/>
      <c r="U39" s="86"/>
      <c r="V39" s="87"/>
      <c r="W39" s="88"/>
      <c r="X39" s="86"/>
      <c r="Y39" s="87"/>
      <c r="Z39" s="85">
        <f t="shared" si="5"/>
        <v>24</v>
      </c>
      <c r="AA39" s="108">
        <f t="shared" si="6"/>
        <v>17602379</v>
      </c>
      <c r="AB39" s="86"/>
      <c r="AC39" s="87" t="s">
        <v>43</v>
      </c>
      <c r="AD39" s="86"/>
      <c r="AE39" s="104"/>
      <c r="AH39" s="109"/>
    </row>
    <row r="40" spans="1:34" ht="78.75">
      <c r="A40" s="21"/>
      <c r="B40" s="13"/>
      <c r="C40" s="14" t="s">
        <v>95</v>
      </c>
      <c r="D40" s="37" t="s">
        <v>206</v>
      </c>
      <c r="E40" s="38">
        <f>E41</f>
        <v>41.428571428571431</v>
      </c>
      <c r="F40" s="39" t="s">
        <v>43</v>
      </c>
      <c r="G40" s="18">
        <f>SUM(G41)</f>
        <v>1065711650</v>
      </c>
      <c r="H40" s="38">
        <v>32.396839332748002</v>
      </c>
      <c r="I40" s="18">
        <v>316555200</v>
      </c>
      <c r="J40" s="38">
        <f t="shared" ref="J40:O40" si="28">J41</f>
        <v>37.401229148375769</v>
      </c>
      <c r="K40" s="59">
        <f>SUM(K41)</f>
        <v>262019700</v>
      </c>
      <c r="L40" s="38">
        <f t="shared" si="28"/>
        <v>0</v>
      </c>
      <c r="M40" s="18">
        <f t="shared" ref="M40:M45" si="29">SUM(M41)</f>
        <v>0</v>
      </c>
      <c r="N40" s="38"/>
      <c r="O40" s="18">
        <f t="shared" si="28"/>
        <v>138060100</v>
      </c>
      <c r="P40" s="63"/>
      <c r="Q40" s="73">
        <f t="shared" ref="Q40:Q45" si="30">Q41</f>
        <v>0</v>
      </c>
      <c r="R40" s="74">
        <v>100</v>
      </c>
      <c r="S40" s="75">
        <f t="shared" ref="S40:S45" si="31">S41</f>
        <v>108422960</v>
      </c>
      <c r="T40" s="76">
        <f t="shared" si="27"/>
        <v>100</v>
      </c>
      <c r="U40" s="76">
        <f t="shared" ref="U40:U44" si="32">Z40/J40*100</f>
        <v>353.99061032863847</v>
      </c>
      <c r="V40" s="77" t="s">
        <v>43</v>
      </c>
      <c r="W40" s="78">
        <f t="shared" ref="W40:W68" si="33">SUM(M40,O40,Q40,S40)</f>
        <v>246483060</v>
      </c>
      <c r="X40" s="76">
        <f t="shared" ref="X40:X68" si="34">W40/K40*100</f>
        <v>94.070430582127983</v>
      </c>
      <c r="Y40" s="77" t="s">
        <v>43</v>
      </c>
      <c r="Z40" s="76">
        <f t="shared" si="5"/>
        <v>132.39683933274802</v>
      </c>
      <c r="AA40" s="105">
        <f t="shared" si="6"/>
        <v>563038260</v>
      </c>
      <c r="AB40" s="76"/>
      <c r="AC40" s="77" t="s">
        <v>43</v>
      </c>
      <c r="AD40" s="76"/>
      <c r="AE40" s="104"/>
      <c r="AH40" s="109"/>
    </row>
    <row r="41" spans="1:34" ht="135.75" customHeight="1">
      <c r="A41" s="21"/>
      <c r="B41" s="13"/>
      <c r="C41" s="14" t="s">
        <v>97</v>
      </c>
      <c r="D41" s="40" t="s">
        <v>207</v>
      </c>
      <c r="E41" s="38">
        <f>(350+85)/1050*100</f>
        <v>41.428571428571431</v>
      </c>
      <c r="F41" s="39" t="s">
        <v>43</v>
      </c>
      <c r="G41" s="18">
        <f>SUM(G42:G43)</f>
        <v>1065711650</v>
      </c>
      <c r="H41" s="38">
        <v>32.396839332748002</v>
      </c>
      <c r="I41" s="18">
        <v>316555200</v>
      </c>
      <c r="J41" s="38">
        <f>(350+76)/1139*100</f>
        <v>37.401229148375769</v>
      </c>
      <c r="K41" s="59">
        <f>SUM(K42:K43)</f>
        <v>262019700</v>
      </c>
      <c r="L41" s="38">
        <v>0</v>
      </c>
      <c r="M41" s="18">
        <f>SUM(M42:M43)</f>
        <v>0</v>
      </c>
      <c r="N41" s="38"/>
      <c r="O41" s="18">
        <f t="shared" ref="O41:S41" si="35">O42+O43</f>
        <v>138060100</v>
      </c>
      <c r="P41" s="63"/>
      <c r="Q41" s="73">
        <f t="shared" si="35"/>
        <v>0</v>
      </c>
      <c r="R41" s="74">
        <v>100</v>
      </c>
      <c r="S41" s="75">
        <f t="shared" si="35"/>
        <v>108422960</v>
      </c>
      <c r="T41" s="76">
        <f t="shared" si="27"/>
        <v>100</v>
      </c>
      <c r="U41" s="76">
        <f t="shared" si="32"/>
        <v>353.99061032863847</v>
      </c>
      <c r="V41" s="77" t="s">
        <v>43</v>
      </c>
      <c r="W41" s="78">
        <f t="shared" si="33"/>
        <v>246483060</v>
      </c>
      <c r="X41" s="76">
        <f t="shared" si="34"/>
        <v>94.070430582127983</v>
      </c>
      <c r="Y41" s="77" t="s">
        <v>43</v>
      </c>
      <c r="Z41" s="76">
        <f t="shared" si="5"/>
        <v>132.39683933274802</v>
      </c>
      <c r="AA41" s="105">
        <f t="shared" si="6"/>
        <v>563038260</v>
      </c>
      <c r="AB41" s="76"/>
      <c r="AC41" s="77" t="s">
        <v>43</v>
      </c>
      <c r="AD41" s="76"/>
      <c r="AE41" s="104"/>
      <c r="AH41" s="109"/>
    </row>
    <row r="42" spans="1:34" ht="156.75" customHeight="1">
      <c r="A42" s="21"/>
      <c r="B42" s="13"/>
      <c r="C42" s="22" t="s">
        <v>99</v>
      </c>
      <c r="D42" s="41" t="s">
        <v>208</v>
      </c>
      <c r="E42" s="24">
        <f>66+56+40</f>
        <v>162</v>
      </c>
      <c r="F42" s="42" t="s">
        <v>58</v>
      </c>
      <c r="G42" s="26">
        <f>308480350*3</f>
        <v>925441050</v>
      </c>
      <c r="H42" s="31">
        <v>20</v>
      </c>
      <c r="I42" s="26">
        <v>280624600</v>
      </c>
      <c r="J42" s="24">
        <v>66</v>
      </c>
      <c r="K42" s="57">
        <v>210089850</v>
      </c>
      <c r="L42" s="24">
        <v>0</v>
      </c>
      <c r="M42" s="26">
        <v>0</v>
      </c>
      <c r="N42" s="24"/>
      <c r="O42" s="26">
        <v>90604000</v>
      </c>
      <c r="P42" s="58">
        <v>16</v>
      </c>
      <c r="Q42" s="83"/>
      <c r="R42" s="74">
        <v>100</v>
      </c>
      <c r="S42" s="148">
        <v>104692329</v>
      </c>
      <c r="T42" s="85">
        <f t="shared" si="27"/>
        <v>116</v>
      </c>
      <c r="U42" s="86">
        <f t="shared" ref="U42:U49" si="36">T42/J42*100</f>
        <v>175.75757575757575</v>
      </c>
      <c r="V42" s="87" t="s">
        <v>43</v>
      </c>
      <c r="W42" s="88">
        <f t="shared" si="33"/>
        <v>195296329</v>
      </c>
      <c r="X42" s="86">
        <f t="shared" si="34"/>
        <v>92.958478955551641</v>
      </c>
      <c r="Y42" s="87" t="s">
        <v>43</v>
      </c>
      <c r="Z42" s="85">
        <f t="shared" si="5"/>
        <v>136</v>
      </c>
      <c r="AA42" s="108">
        <f t="shared" si="6"/>
        <v>475920929</v>
      </c>
      <c r="AB42" s="86"/>
      <c r="AC42" s="87" t="s">
        <v>43</v>
      </c>
      <c r="AD42" s="86"/>
      <c r="AE42" s="104"/>
      <c r="AH42" s="109"/>
    </row>
    <row r="43" spans="1:34" ht="165">
      <c r="A43" s="21"/>
      <c r="B43" s="13"/>
      <c r="C43" s="22" t="s">
        <v>101</v>
      </c>
      <c r="D43" s="41" t="s">
        <v>209</v>
      </c>
      <c r="E43" s="24">
        <v>40</v>
      </c>
      <c r="F43" s="42" t="s">
        <v>210</v>
      </c>
      <c r="G43" s="26">
        <f>36410600+51930000+51930000</f>
        <v>140270600</v>
      </c>
      <c r="H43" s="31">
        <v>0</v>
      </c>
      <c r="I43" s="26">
        <v>35930600</v>
      </c>
      <c r="J43" s="24">
        <v>20</v>
      </c>
      <c r="K43" s="57">
        <v>51929850</v>
      </c>
      <c r="L43" s="24">
        <v>0</v>
      </c>
      <c r="M43" s="26">
        <v>0</v>
      </c>
      <c r="N43" s="24"/>
      <c r="O43" s="26">
        <v>47456100</v>
      </c>
      <c r="P43" s="58">
        <v>20</v>
      </c>
      <c r="Q43" s="83"/>
      <c r="R43" s="74">
        <v>100</v>
      </c>
      <c r="S43" s="148">
        <v>3730631</v>
      </c>
      <c r="T43" s="85">
        <f t="shared" si="27"/>
        <v>120</v>
      </c>
      <c r="U43" s="86">
        <f t="shared" si="36"/>
        <v>600</v>
      </c>
      <c r="V43" s="87" t="s">
        <v>43</v>
      </c>
      <c r="W43" s="88">
        <f t="shared" si="33"/>
        <v>51186731</v>
      </c>
      <c r="X43" s="86">
        <f t="shared" si="34"/>
        <v>98.568994518566882</v>
      </c>
      <c r="Y43" s="87" t="s">
        <v>43</v>
      </c>
      <c r="Z43" s="85">
        <f t="shared" si="5"/>
        <v>120</v>
      </c>
      <c r="AA43" s="108">
        <f t="shared" si="6"/>
        <v>87117331</v>
      </c>
      <c r="AB43" s="86"/>
      <c r="AC43" s="87" t="s">
        <v>43</v>
      </c>
      <c r="AD43" s="86"/>
      <c r="AE43" s="104"/>
      <c r="AH43" s="109"/>
    </row>
    <row r="44" spans="1:34" ht="110.25">
      <c r="A44" s="12">
        <v>14</v>
      </c>
      <c r="B44" s="19" t="s">
        <v>104</v>
      </c>
      <c r="C44" s="14" t="s">
        <v>105</v>
      </c>
      <c r="D44" s="15" t="s">
        <v>211</v>
      </c>
      <c r="E44" s="38">
        <f>9.73</f>
        <v>9.73</v>
      </c>
      <c r="F44" s="39" t="s">
        <v>43</v>
      </c>
      <c r="G44" s="18">
        <f t="shared" ref="G44:K44" si="37">SUM(G45)</f>
        <v>106684780</v>
      </c>
      <c r="H44" s="38">
        <v>1.9</v>
      </c>
      <c r="I44" s="18">
        <f t="shared" si="37"/>
        <v>27886500</v>
      </c>
      <c r="J44" s="38">
        <f>J40</f>
        <v>37.401229148375769</v>
      </c>
      <c r="K44" s="59">
        <f t="shared" si="37"/>
        <v>30235100</v>
      </c>
      <c r="L44" s="38">
        <f>L40</f>
        <v>0</v>
      </c>
      <c r="M44" s="18">
        <f t="shared" si="29"/>
        <v>0</v>
      </c>
      <c r="N44" s="38"/>
      <c r="O44" s="18">
        <f>O45</f>
        <v>19874850</v>
      </c>
      <c r="P44" s="144" t="s">
        <v>212</v>
      </c>
      <c r="Q44" s="73">
        <f t="shared" si="30"/>
        <v>0</v>
      </c>
      <c r="R44" s="74">
        <v>100</v>
      </c>
      <c r="S44" s="75">
        <f t="shared" si="31"/>
        <v>9210000</v>
      </c>
      <c r="T44" s="76">
        <f t="shared" si="27"/>
        <v>100</v>
      </c>
      <c r="U44" s="76">
        <f t="shared" si="32"/>
        <v>272.45093896713615</v>
      </c>
      <c r="V44" s="77" t="s">
        <v>43</v>
      </c>
      <c r="W44" s="78">
        <f t="shared" si="33"/>
        <v>29084850</v>
      </c>
      <c r="X44" s="76">
        <f t="shared" si="34"/>
        <v>96.19564678138984</v>
      </c>
      <c r="Y44" s="77" t="s">
        <v>43</v>
      </c>
      <c r="Z44" s="76">
        <f t="shared" si="5"/>
        <v>101.9</v>
      </c>
      <c r="AA44" s="105">
        <f t="shared" si="6"/>
        <v>56971350</v>
      </c>
      <c r="AB44" s="76"/>
      <c r="AC44" s="77" t="s">
        <v>43</v>
      </c>
      <c r="AD44" s="76"/>
      <c r="AE44" s="104"/>
      <c r="AH44" s="109"/>
    </row>
    <row r="45" spans="1:34" ht="78.75">
      <c r="A45" s="21"/>
      <c r="B45" s="13"/>
      <c r="C45" s="14" t="s">
        <v>106</v>
      </c>
      <c r="D45" s="15" t="s">
        <v>213</v>
      </c>
      <c r="E45" s="43">
        <f>E46</f>
        <v>60</v>
      </c>
      <c r="F45" s="39" t="s">
        <v>58</v>
      </c>
      <c r="G45" s="18">
        <f t="shared" ref="G45:K45" si="38">SUM(G46)</f>
        <v>106684780</v>
      </c>
      <c r="H45" s="43">
        <v>0</v>
      </c>
      <c r="I45" s="18">
        <f t="shared" si="38"/>
        <v>27886500</v>
      </c>
      <c r="J45" s="43">
        <f>J46</f>
        <v>20</v>
      </c>
      <c r="K45" s="59">
        <f t="shared" si="38"/>
        <v>30235100</v>
      </c>
      <c r="L45" s="16">
        <v>0</v>
      </c>
      <c r="M45" s="18">
        <f t="shared" si="29"/>
        <v>0</v>
      </c>
      <c r="N45" s="16"/>
      <c r="O45" s="18">
        <f>O46</f>
        <v>19874850</v>
      </c>
      <c r="P45" s="56">
        <v>20</v>
      </c>
      <c r="Q45" s="73">
        <f t="shared" si="30"/>
        <v>0</v>
      </c>
      <c r="R45" s="74">
        <v>100</v>
      </c>
      <c r="S45" s="75">
        <f t="shared" si="31"/>
        <v>9210000</v>
      </c>
      <c r="T45" s="80">
        <f t="shared" si="27"/>
        <v>120</v>
      </c>
      <c r="U45" s="76">
        <f t="shared" si="36"/>
        <v>600</v>
      </c>
      <c r="V45" s="77" t="s">
        <v>43</v>
      </c>
      <c r="W45" s="78">
        <f t="shared" si="33"/>
        <v>29084850</v>
      </c>
      <c r="X45" s="76">
        <f t="shared" si="34"/>
        <v>96.19564678138984</v>
      </c>
      <c r="Y45" s="77" t="s">
        <v>43</v>
      </c>
      <c r="Z45" s="80">
        <f t="shared" si="5"/>
        <v>120</v>
      </c>
      <c r="AA45" s="105">
        <f t="shared" si="6"/>
        <v>56971350</v>
      </c>
      <c r="AB45" s="76"/>
      <c r="AC45" s="77" t="s">
        <v>43</v>
      </c>
      <c r="AD45" s="76"/>
      <c r="AE45" s="104"/>
      <c r="AH45" s="109"/>
    </row>
    <row r="46" spans="1:34" ht="60">
      <c r="A46" s="21"/>
      <c r="B46" s="13"/>
      <c r="C46" s="22" t="s">
        <v>108</v>
      </c>
      <c r="D46" s="22" t="s">
        <v>214</v>
      </c>
      <c r="E46" s="24">
        <f>20*3</f>
        <v>60</v>
      </c>
      <c r="F46" s="25" t="s">
        <v>58</v>
      </c>
      <c r="G46" s="26">
        <f>29530500+38577140+38577140</f>
        <v>106684780</v>
      </c>
      <c r="H46" s="31">
        <v>0</v>
      </c>
      <c r="I46" s="26">
        <v>27886500</v>
      </c>
      <c r="J46" s="24">
        <v>20</v>
      </c>
      <c r="K46" s="57">
        <v>30235100</v>
      </c>
      <c r="L46" s="24">
        <v>0</v>
      </c>
      <c r="M46" s="26">
        <v>0</v>
      </c>
      <c r="N46" s="24"/>
      <c r="O46" s="26">
        <v>19874850</v>
      </c>
      <c r="P46" s="64">
        <v>20</v>
      </c>
      <c r="Q46" s="83"/>
      <c r="R46" s="74">
        <v>100</v>
      </c>
      <c r="S46" s="148">
        <v>9210000</v>
      </c>
      <c r="T46" s="85">
        <f t="shared" si="27"/>
        <v>120</v>
      </c>
      <c r="U46" s="86">
        <f t="shared" si="36"/>
        <v>600</v>
      </c>
      <c r="V46" s="87" t="s">
        <v>43</v>
      </c>
      <c r="W46" s="88">
        <f t="shared" si="33"/>
        <v>29084850</v>
      </c>
      <c r="X46" s="86">
        <f t="shared" si="34"/>
        <v>96.19564678138984</v>
      </c>
      <c r="Y46" s="87" t="s">
        <v>43</v>
      </c>
      <c r="Z46" s="85">
        <f t="shared" si="5"/>
        <v>120</v>
      </c>
      <c r="AA46" s="108">
        <f t="shared" si="6"/>
        <v>56971350</v>
      </c>
      <c r="AB46" s="86"/>
      <c r="AC46" s="87" t="s">
        <v>43</v>
      </c>
      <c r="AD46" s="86"/>
      <c r="AE46" s="104"/>
      <c r="AH46" s="109"/>
    </row>
    <row r="47" spans="1:34" ht="110.25">
      <c r="A47" s="21"/>
      <c r="B47" s="13"/>
      <c r="C47" s="14" t="s">
        <v>110</v>
      </c>
      <c r="D47" s="14" t="s">
        <v>215</v>
      </c>
      <c r="E47" s="16">
        <f>E48</f>
        <v>100</v>
      </c>
      <c r="F47" s="39" t="s">
        <v>43</v>
      </c>
      <c r="G47" s="44">
        <f t="shared" ref="G47:K47" si="39">SUM(G48)</f>
        <v>198840000</v>
      </c>
      <c r="H47" s="16">
        <v>100</v>
      </c>
      <c r="I47" s="50">
        <f t="shared" si="39"/>
        <v>0</v>
      </c>
      <c r="J47" s="16">
        <f>J48</f>
        <v>100</v>
      </c>
      <c r="K47" s="65">
        <f t="shared" si="39"/>
        <v>34319750</v>
      </c>
      <c r="L47" s="16">
        <v>0</v>
      </c>
      <c r="M47" s="66">
        <f t="shared" ref="M47:M51" si="40">SUM(M48)</f>
        <v>0</v>
      </c>
      <c r="N47" s="16"/>
      <c r="O47" s="141" t="s">
        <v>193</v>
      </c>
      <c r="P47" s="56">
        <v>100</v>
      </c>
      <c r="Q47" s="145" t="s">
        <v>193</v>
      </c>
      <c r="R47" s="74">
        <v>100</v>
      </c>
      <c r="S47" s="142" t="s">
        <v>193</v>
      </c>
      <c r="T47" s="80">
        <f t="shared" si="27"/>
        <v>200</v>
      </c>
      <c r="U47" s="76">
        <f t="shared" si="36"/>
        <v>200</v>
      </c>
      <c r="V47" s="77" t="s">
        <v>43</v>
      </c>
      <c r="W47" s="78">
        <f t="shared" si="33"/>
        <v>0</v>
      </c>
      <c r="X47" s="76">
        <f t="shared" si="34"/>
        <v>0</v>
      </c>
      <c r="Y47" s="77" t="s">
        <v>43</v>
      </c>
      <c r="Z47" s="80">
        <f t="shared" si="5"/>
        <v>300</v>
      </c>
      <c r="AA47" s="105">
        <f t="shared" si="6"/>
        <v>0</v>
      </c>
      <c r="AB47" s="76"/>
      <c r="AC47" s="77" t="s">
        <v>43</v>
      </c>
      <c r="AD47" s="76"/>
      <c r="AE47" s="104"/>
      <c r="AH47" s="109"/>
    </row>
    <row r="48" spans="1:34" ht="189">
      <c r="A48" s="21"/>
      <c r="B48" s="13"/>
      <c r="C48" s="14" t="s">
        <v>112</v>
      </c>
      <c r="D48" s="14" t="s">
        <v>113</v>
      </c>
      <c r="E48" s="43">
        <f>6/6*100</f>
        <v>100</v>
      </c>
      <c r="F48" s="39" t="s">
        <v>43</v>
      </c>
      <c r="G48" s="44">
        <f t="shared" ref="G48:K48" si="41">SUM(G49)</f>
        <v>198840000</v>
      </c>
      <c r="H48" s="43">
        <v>100</v>
      </c>
      <c r="I48" s="50">
        <f t="shared" si="41"/>
        <v>0</v>
      </c>
      <c r="J48" s="16">
        <f>J49/J49*100</f>
        <v>100</v>
      </c>
      <c r="K48" s="65">
        <f t="shared" si="41"/>
        <v>34319750</v>
      </c>
      <c r="L48" s="16">
        <v>0</v>
      </c>
      <c r="M48" s="66">
        <f t="shared" si="40"/>
        <v>0</v>
      </c>
      <c r="N48" s="16"/>
      <c r="O48" s="141" t="s">
        <v>193</v>
      </c>
      <c r="P48" s="56">
        <v>100</v>
      </c>
      <c r="Q48" s="145" t="s">
        <v>193</v>
      </c>
      <c r="R48" s="74">
        <v>100</v>
      </c>
      <c r="S48" s="142" t="s">
        <v>193</v>
      </c>
      <c r="T48" s="80">
        <f t="shared" si="27"/>
        <v>200</v>
      </c>
      <c r="U48" s="76">
        <f t="shared" si="36"/>
        <v>200</v>
      </c>
      <c r="V48" s="77" t="s">
        <v>43</v>
      </c>
      <c r="W48" s="78">
        <f t="shared" si="33"/>
        <v>0</v>
      </c>
      <c r="X48" s="76">
        <f t="shared" si="34"/>
        <v>0</v>
      </c>
      <c r="Y48" s="77" t="s">
        <v>43</v>
      </c>
      <c r="Z48" s="80">
        <f t="shared" si="5"/>
        <v>300</v>
      </c>
      <c r="AA48" s="105">
        <f t="shared" si="6"/>
        <v>0</v>
      </c>
      <c r="AB48" s="76"/>
      <c r="AC48" s="77" t="s">
        <v>43</v>
      </c>
      <c r="AD48" s="76"/>
      <c r="AE48" s="104"/>
      <c r="AH48" s="109"/>
    </row>
    <row r="49" spans="1:34" ht="180">
      <c r="A49" s="45"/>
      <c r="B49" s="20"/>
      <c r="C49" s="22" t="s">
        <v>114</v>
      </c>
      <c r="D49" s="22" t="s">
        <v>216</v>
      </c>
      <c r="E49" s="31">
        <f>7+6+6</f>
        <v>19</v>
      </c>
      <c r="F49" s="42" t="s">
        <v>217</v>
      </c>
      <c r="G49" s="26">
        <f>66280000*3</f>
        <v>198840000</v>
      </c>
      <c r="H49" s="31">
        <v>3</v>
      </c>
      <c r="I49" s="18">
        <v>0</v>
      </c>
      <c r="J49" s="31">
        <v>7</v>
      </c>
      <c r="K49" s="67">
        <v>34319750</v>
      </c>
      <c r="L49" s="24">
        <v>0</v>
      </c>
      <c r="M49" s="18">
        <v>0</v>
      </c>
      <c r="N49" s="24"/>
      <c r="O49" s="18">
        <v>0</v>
      </c>
      <c r="P49" s="58">
        <v>1</v>
      </c>
      <c r="Q49" s="73">
        <v>0</v>
      </c>
      <c r="R49" s="74">
        <v>100</v>
      </c>
      <c r="S49" s="151">
        <v>22033000</v>
      </c>
      <c r="T49" s="85">
        <f t="shared" si="27"/>
        <v>101</v>
      </c>
      <c r="U49" s="86">
        <f t="shared" si="36"/>
        <v>1442.8571428571429</v>
      </c>
      <c r="V49" s="87" t="s">
        <v>43</v>
      </c>
      <c r="W49" s="88">
        <f t="shared" si="33"/>
        <v>22033000</v>
      </c>
      <c r="X49" s="86">
        <f t="shared" si="34"/>
        <v>64.199185600128203</v>
      </c>
      <c r="Y49" s="87" t="s">
        <v>43</v>
      </c>
      <c r="Z49" s="86">
        <f t="shared" si="5"/>
        <v>104</v>
      </c>
      <c r="AA49" s="108">
        <f t="shared" si="6"/>
        <v>22033000</v>
      </c>
      <c r="AB49" s="86"/>
      <c r="AC49" s="87" t="s">
        <v>43</v>
      </c>
      <c r="AD49" s="76"/>
      <c r="AE49" s="104"/>
      <c r="AH49" s="109"/>
    </row>
    <row r="50" spans="1:34" ht="78.75">
      <c r="A50" s="21"/>
      <c r="B50" s="13"/>
      <c r="C50" s="14" t="s">
        <v>117</v>
      </c>
      <c r="D50" s="14" t="s">
        <v>218</v>
      </c>
      <c r="E50" s="38">
        <f>E51/162*100</f>
        <v>79.629629629629633</v>
      </c>
      <c r="F50" s="39" t="s">
        <v>43</v>
      </c>
      <c r="G50" s="46">
        <f t="shared" ref="G50:K50" si="42">SUM(G51)</f>
        <v>410291200</v>
      </c>
      <c r="H50" s="38">
        <v>78.395061728395106</v>
      </c>
      <c r="I50" s="46">
        <f t="shared" si="42"/>
        <v>125192500</v>
      </c>
      <c r="J50" s="38">
        <f>J51/162*100</f>
        <v>79.629629629629633</v>
      </c>
      <c r="K50" s="68">
        <f t="shared" si="42"/>
        <v>456682200</v>
      </c>
      <c r="L50" s="16">
        <v>0</v>
      </c>
      <c r="M50" s="46">
        <f t="shared" si="40"/>
        <v>0</v>
      </c>
      <c r="N50" s="16"/>
      <c r="O50" s="46">
        <f t="shared" ref="O50:O54" si="43">O51</f>
        <v>103809400</v>
      </c>
      <c r="P50" s="56"/>
      <c r="Q50" s="92">
        <f t="shared" ref="Q50:Q54" si="44">Q51</f>
        <v>0</v>
      </c>
      <c r="R50" s="74">
        <v>100</v>
      </c>
      <c r="S50" s="93">
        <f t="shared" ref="S50:S54" si="45">S51</f>
        <v>332931800</v>
      </c>
      <c r="T50" s="80">
        <f t="shared" si="27"/>
        <v>100</v>
      </c>
      <c r="U50" s="76">
        <f t="shared" ref="U50:U54" si="46">Z50/J50*100</f>
        <v>224.03100775193803</v>
      </c>
      <c r="V50" s="77" t="s">
        <v>43</v>
      </c>
      <c r="W50" s="78">
        <f t="shared" si="33"/>
        <v>436741200</v>
      </c>
      <c r="X50" s="76">
        <f t="shared" si="34"/>
        <v>95.633506188767598</v>
      </c>
      <c r="Y50" s="77" t="s">
        <v>43</v>
      </c>
      <c r="Z50" s="76">
        <f t="shared" si="5"/>
        <v>178.39506172839509</v>
      </c>
      <c r="AA50" s="105">
        <f t="shared" si="6"/>
        <v>561933700</v>
      </c>
      <c r="AB50" s="76"/>
      <c r="AC50" s="77" t="s">
        <v>43</v>
      </c>
      <c r="AD50" s="76"/>
      <c r="AE50" s="104"/>
      <c r="AH50" s="109"/>
    </row>
    <row r="51" spans="1:34" ht="141.75">
      <c r="A51" s="21"/>
      <c r="B51" s="13"/>
      <c r="C51" s="14" t="s">
        <v>119</v>
      </c>
      <c r="D51" s="14" t="s">
        <v>219</v>
      </c>
      <c r="E51" s="43">
        <f>E52</f>
        <v>129</v>
      </c>
      <c r="F51" s="39" t="s">
        <v>121</v>
      </c>
      <c r="G51" s="47">
        <f t="shared" ref="G51:K51" si="47">SUM(G52)</f>
        <v>410291200</v>
      </c>
      <c r="H51" s="43">
        <v>220</v>
      </c>
      <c r="I51" s="47">
        <f t="shared" si="47"/>
        <v>125192500</v>
      </c>
      <c r="J51" s="43">
        <f t="shared" ref="J51:O51" si="48">J52</f>
        <v>129</v>
      </c>
      <c r="K51" s="69">
        <f t="shared" si="47"/>
        <v>456682200</v>
      </c>
      <c r="L51" s="16">
        <f t="shared" si="48"/>
        <v>31</v>
      </c>
      <c r="M51" s="47">
        <f t="shared" si="40"/>
        <v>0</v>
      </c>
      <c r="N51" s="16"/>
      <c r="O51" s="47">
        <f t="shared" si="48"/>
        <v>103809400</v>
      </c>
      <c r="P51" s="56">
        <v>129</v>
      </c>
      <c r="Q51" s="94">
        <f t="shared" si="44"/>
        <v>0</v>
      </c>
      <c r="R51" s="74">
        <v>100</v>
      </c>
      <c r="S51" s="95">
        <f t="shared" si="45"/>
        <v>332931800</v>
      </c>
      <c r="T51" s="80">
        <f t="shared" si="27"/>
        <v>260</v>
      </c>
      <c r="U51" s="76">
        <f t="shared" ref="U51:U55" si="49">T51/J51*100</f>
        <v>201.55038759689921</v>
      </c>
      <c r="V51" s="77" t="s">
        <v>43</v>
      </c>
      <c r="W51" s="78">
        <f t="shared" si="33"/>
        <v>436741200</v>
      </c>
      <c r="X51" s="76">
        <f t="shared" si="34"/>
        <v>95.633506188767598</v>
      </c>
      <c r="Y51" s="77" t="s">
        <v>43</v>
      </c>
      <c r="Z51" s="80">
        <f t="shared" si="5"/>
        <v>480</v>
      </c>
      <c r="AA51" s="105">
        <f t="shared" si="6"/>
        <v>561933700</v>
      </c>
      <c r="AB51" s="76"/>
      <c r="AC51" s="77" t="s">
        <v>43</v>
      </c>
      <c r="AD51" s="76"/>
      <c r="AE51" s="104"/>
      <c r="AH51" s="109"/>
    </row>
    <row r="52" spans="1:34" ht="105">
      <c r="A52" s="21"/>
      <c r="B52" s="13"/>
      <c r="C52" s="22" t="s">
        <v>122</v>
      </c>
      <c r="D52" s="22" t="s">
        <v>220</v>
      </c>
      <c r="E52" s="48">
        <v>129</v>
      </c>
      <c r="F52" s="42" t="s">
        <v>121</v>
      </c>
      <c r="G52" s="49">
        <f>175262200+235029000</f>
        <v>410291200</v>
      </c>
      <c r="H52" s="48">
        <v>220</v>
      </c>
      <c r="I52" s="26">
        <v>125192500</v>
      </c>
      <c r="J52" s="48">
        <v>129</v>
      </c>
      <c r="K52" s="70">
        <v>456682200</v>
      </c>
      <c r="L52" s="24">
        <v>31</v>
      </c>
      <c r="M52" s="26">
        <v>0</v>
      </c>
      <c r="N52" s="24"/>
      <c r="O52" s="26">
        <v>103809400</v>
      </c>
      <c r="P52" s="58">
        <v>129</v>
      </c>
      <c r="Q52" s="83"/>
      <c r="R52" s="74">
        <v>100</v>
      </c>
      <c r="S52" s="148">
        <v>332931800</v>
      </c>
      <c r="T52" s="85">
        <f t="shared" si="27"/>
        <v>260</v>
      </c>
      <c r="U52" s="86">
        <f t="shared" si="49"/>
        <v>201.55038759689921</v>
      </c>
      <c r="V52" s="87" t="s">
        <v>43</v>
      </c>
      <c r="W52" s="88">
        <f t="shared" si="33"/>
        <v>436741200</v>
      </c>
      <c r="X52" s="86">
        <f t="shared" si="34"/>
        <v>95.633506188767598</v>
      </c>
      <c r="Y52" s="87" t="s">
        <v>43</v>
      </c>
      <c r="Z52" s="85">
        <f t="shared" si="5"/>
        <v>480</v>
      </c>
      <c r="AA52" s="108">
        <f t="shared" si="6"/>
        <v>561933700</v>
      </c>
      <c r="AB52" s="86"/>
      <c r="AC52" s="87" t="s">
        <v>43</v>
      </c>
      <c r="AD52" s="86"/>
      <c r="AE52" s="104"/>
      <c r="AH52" s="109"/>
    </row>
    <row r="53" spans="1:34" ht="114.75" customHeight="1">
      <c r="A53" s="21"/>
      <c r="B53" s="13"/>
      <c r="C53" s="14" t="s">
        <v>124</v>
      </c>
      <c r="D53" s="14" t="s">
        <v>125</v>
      </c>
      <c r="E53" s="16">
        <f>531/2200*100</f>
        <v>24.136363636363637</v>
      </c>
      <c r="F53" s="17" t="s">
        <v>43</v>
      </c>
      <c r="G53" s="50">
        <f t="shared" ref="G53:K53" si="50">SUM(G54)</f>
        <v>350000000</v>
      </c>
      <c r="H53" s="38">
        <v>19.4713615459655</v>
      </c>
      <c r="I53" s="50">
        <f t="shared" si="50"/>
        <v>85919000</v>
      </c>
      <c r="J53" s="38">
        <f>431/2090*100</f>
        <v>20.62200956937799</v>
      </c>
      <c r="K53" s="71">
        <f t="shared" si="50"/>
        <v>411505400</v>
      </c>
      <c r="L53" s="16">
        <v>0</v>
      </c>
      <c r="M53" s="50">
        <f t="shared" ref="M53:M56" si="51">SUM(M54)</f>
        <v>0</v>
      </c>
      <c r="N53" s="16"/>
      <c r="O53" s="50">
        <f t="shared" si="43"/>
        <v>91041050</v>
      </c>
      <c r="P53" s="56"/>
      <c r="Q53" s="96">
        <f t="shared" si="44"/>
        <v>0</v>
      </c>
      <c r="R53" s="74">
        <v>100</v>
      </c>
      <c r="S53" s="97">
        <f t="shared" si="45"/>
        <v>286994996</v>
      </c>
      <c r="T53" s="76">
        <f t="shared" si="27"/>
        <v>100</v>
      </c>
      <c r="U53" s="76">
        <f t="shared" si="46"/>
        <v>579.33908499087681</v>
      </c>
      <c r="V53" s="77" t="s">
        <v>43</v>
      </c>
      <c r="W53" s="78">
        <f t="shared" si="33"/>
        <v>378036046</v>
      </c>
      <c r="X53" s="76">
        <f t="shared" si="34"/>
        <v>91.866606367741468</v>
      </c>
      <c r="Y53" s="77" t="s">
        <v>43</v>
      </c>
      <c r="Z53" s="76">
        <f t="shared" si="5"/>
        <v>119.47136154596549</v>
      </c>
      <c r="AA53" s="105">
        <f t="shared" si="6"/>
        <v>463955046</v>
      </c>
      <c r="AB53" s="76"/>
      <c r="AC53" s="77" t="s">
        <v>43</v>
      </c>
      <c r="AD53" s="76"/>
      <c r="AE53" s="104"/>
      <c r="AH53" s="109"/>
    </row>
    <row r="54" spans="1:34" ht="126">
      <c r="A54" s="21"/>
      <c r="B54" s="13"/>
      <c r="C54" s="14" t="s">
        <v>126</v>
      </c>
      <c r="D54" s="14" t="s">
        <v>221</v>
      </c>
      <c r="E54" s="16">
        <v>390</v>
      </c>
      <c r="F54" s="39" t="s">
        <v>128</v>
      </c>
      <c r="G54" s="50">
        <f t="shared" ref="G54:K54" si="52">SUM(G55)</f>
        <v>350000000</v>
      </c>
      <c r="H54" s="43">
        <v>240</v>
      </c>
      <c r="I54" s="50">
        <f t="shared" si="52"/>
        <v>85919000</v>
      </c>
      <c r="J54" s="43">
        <f>H54+60</f>
        <v>300</v>
      </c>
      <c r="K54" s="71">
        <f t="shared" si="52"/>
        <v>411505400</v>
      </c>
      <c r="L54" s="43">
        <f>L55</f>
        <v>0</v>
      </c>
      <c r="M54" s="50">
        <f t="shared" si="51"/>
        <v>0</v>
      </c>
      <c r="N54" s="43"/>
      <c r="O54" s="50">
        <f t="shared" si="43"/>
        <v>91041050</v>
      </c>
      <c r="P54" s="55">
        <v>90</v>
      </c>
      <c r="Q54" s="96">
        <f t="shared" si="44"/>
        <v>0</v>
      </c>
      <c r="R54" s="74">
        <v>100</v>
      </c>
      <c r="S54" s="97">
        <f t="shared" si="45"/>
        <v>286994996</v>
      </c>
      <c r="T54" s="80">
        <f t="shared" si="27"/>
        <v>190</v>
      </c>
      <c r="U54" s="76">
        <f t="shared" si="46"/>
        <v>143.33333333333334</v>
      </c>
      <c r="V54" s="77" t="s">
        <v>43</v>
      </c>
      <c r="W54" s="78">
        <f t="shared" si="33"/>
        <v>378036046</v>
      </c>
      <c r="X54" s="76">
        <f t="shared" si="34"/>
        <v>91.866606367741468</v>
      </c>
      <c r="Y54" s="77" t="s">
        <v>43</v>
      </c>
      <c r="Z54" s="80">
        <f t="shared" si="5"/>
        <v>430</v>
      </c>
      <c r="AA54" s="105">
        <f t="shared" si="6"/>
        <v>463955046</v>
      </c>
      <c r="AB54" s="76"/>
      <c r="AC54" s="77" t="s">
        <v>43</v>
      </c>
      <c r="AD54" s="76"/>
      <c r="AE54" s="104"/>
      <c r="AH54" s="109"/>
    </row>
    <row r="55" spans="1:34" ht="165">
      <c r="A55" s="21"/>
      <c r="B55" s="13"/>
      <c r="C55" s="22" t="s">
        <v>129</v>
      </c>
      <c r="D55" s="22" t="s">
        <v>127</v>
      </c>
      <c r="E55" s="24">
        <f>30*3</f>
        <v>90</v>
      </c>
      <c r="F55" s="42" t="s">
        <v>131</v>
      </c>
      <c r="G55" s="26">
        <f>100000000+125000000+125000000</f>
        <v>350000000</v>
      </c>
      <c r="H55" s="31">
        <v>90</v>
      </c>
      <c r="I55" s="26">
        <v>85919000</v>
      </c>
      <c r="J55" s="31">
        <v>30</v>
      </c>
      <c r="K55" s="67">
        <v>411505400</v>
      </c>
      <c r="L55" s="24">
        <v>0</v>
      </c>
      <c r="M55" s="26">
        <v>0</v>
      </c>
      <c r="N55" s="24"/>
      <c r="O55" s="26">
        <v>91041050</v>
      </c>
      <c r="P55" s="58">
        <v>90</v>
      </c>
      <c r="Q55" s="83"/>
      <c r="R55" s="74">
        <v>100</v>
      </c>
      <c r="S55" s="148">
        <v>286994996</v>
      </c>
      <c r="T55" s="85">
        <f t="shared" si="27"/>
        <v>190</v>
      </c>
      <c r="U55" s="85">
        <f t="shared" si="49"/>
        <v>633.33333333333326</v>
      </c>
      <c r="V55" s="87" t="s">
        <v>43</v>
      </c>
      <c r="W55" s="88">
        <f t="shared" si="33"/>
        <v>378036046</v>
      </c>
      <c r="X55" s="86">
        <f t="shared" si="34"/>
        <v>91.866606367741468</v>
      </c>
      <c r="Y55" s="87" t="s">
        <v>43</v>
      </c>
      <c r="Z55" s="85">
        <f t="shared" si="5"/>
        <v>280</v>
      </c>
      <c r="AA55" s="108">
        <f t="shared" si="6"/>
        <v>463955046</v>
      </c>
      <c r="AB55" s="86"/>
      <c r="AC55" s="87" t="s">
        <v>43</v>
      </c>
      <c r="AD55" s="86"/>
      <c r="AE55" s="104"/>
      <c r="AH55" s="109"/>
    </row>
    <row r="56" spans="1:34" ht="96" customHeight="1">
      <c r="A56" s="21"/>
      <c r="B56" s="13"/>
      <c r="C56" s="14" t="s">
        <v>132</v>
      </c>
      <c r="D56" s="15" t="s">
        <v>222</v>
      </c>
      <c r="E56" s="38">
        <f>E61</f>
        <v>22.973698336017176</v>
      </c>
      <c r="F56" s="17" t="s">
        <v>43</v>
      </c>
      <c r="G56" s="18">
        <f t="shared" ref="G56:K56" si="53">SUM(G57)</f>
        <v>3191809056</v>
      </c>
      <c r="H56" s="38">
        <v>20.1242121438809</v>
      </c>
      <c r="I56" s="18">
        <f t="shared" si="53"/>
        <v>574241932</v>
      </c>
      <c r="J56" s="38">
        <f>J61</f>
        <v>19.391853126792885</v>
      </c>
      <c r="K56" s="59">
        <f t="shared" si="53"/>
        <v>1690212120</v>
      </c>
      <c r="L56" s="38">
        <f>L61</f>
        <v>0</v>
      </c>
      <c r="M56" s="18">
        <f t="shared" si="51"/>
        <v>0</v>
      </c>
      <c r="N56" s="38"/>
      <c r="O56" s="18">
        <f t="shared" ref="O56:S56" si="54">O57</f>
        <v>168647150</v>
      </c>
      <c r="P56" s="63"/>
      <c r="Q56" s="73">
        <f t="shared" si="54"/>
        <v>0</v>
      </c>
      <c r="R56" s="74">
        <v>100</v>
      </c>
      <c r="S56" s="75">
        <f t="shared" si="54"/>
        <v>1173405987</v>
      </c>
      <c r="T56" s="76">
        <f t="shared" si="27"/>
        <v>100</v>
      </c>
      <c r="U56" s="76">
        <f>Z56/J56*100</f>
        <v>619.45710581888886</v>
      </c>
      <c r="V56" s="77" t="s">
        <v>43</v>
      </c>
      <c r="W56" s="78">
        <f t="shared" si="33"/>
        <v>1342053137</v>
      </c>
      <c r="X56" s="76">
        <f t="shared" si="34"/>
        <v>79.401462166772291</v>
      </c>
      <c r="Y56" s="77" t="s">
        <v>43</v>
      </c>
      <c r="Z56" s="76">
        <f t="shared" si="5"/>
        <v>120.1242121438809</v>
      </c>
      <c r="AA56" s="105">
        <f t="shared" si="6"/>
        <v>1916295069</v>
      </c>
      <c r="AB56" s="76"/>
      <c r="AC56" s="77" t="s">
        <v>43</v>
      </c>
      <c r="AD56" s="76"/>
      <c r="AE56" s="104"/>
      <c r="AH56" s="109"/>
    </row>
    <row r="57" spans="1:34" ht="131.25" customHeight="1">
      <c r="A57" s="21"/>
      <c r="B57" s="13"/>
      <c r="C57" s="14" t="s">
        <v>134</v>
      </c>
      <c r="D57" s="14" t="s">
        <v>223</v>
      </c>
      <c r="E57" s="16">
        <f>E58</f>
        <v>280</v>
      </c>
      <c r="F57" s="17" t="s">
        <v>58</v>
      </c>
      <c r="G57" s="18">
        <f t="shared" ref="G57:K57" si="55">SUM(G58:G60)</f>
        <v>3191809056</v>
      </c>
      <c r="H57" s="43">
        <v>0</v>
      </c>
      <c r="I57" s="18">
        <f t="shared" si="55"/>
        <v>574241932</v>
      </c>
      <c r="J57" s="16">
        <f>J58</f>
        <v>20</v>
      </c>
      <c r="K57" s="59">
        <f t="shared" si="55"/>
        <v>1690212120</v>
      </c>
      <c r="L57" s="16">
        <v>0</v>
      </c>
      <c r="M57" s="18">
        <f>SUM(M58:M60)</f>
        <v>0</v>
      </c>
      <c r="N57" s="16"/>
      <c r="O57" s="18">
        <f t="shared" ref="O57:S57" si="56">O58+O59+O60</f>
        <v>168647150</v>
      </c>
      <c r="P57" s="56"/>
      <c r="Q57" s="73">
        <f t="shared" si="56"/>
        <v>0</v>
      </c>
      <c r="R57" s="74">
        <v>100</v>
      </c>
      <c r="S57" s="75">
        <f t="shared" si="56"/>
        <v>1173405987</v>
      </c>
      <c r="T57" s="76">
        <f t="shared" si="27"/>
        <v>100</v>
      </c>
      <c r="U57" s="76">
        <f t="shared" ref="U57:U60" si="57">T57/J57*100</f>
        <v>500</v>
      </c>
      <c r="V57" s="77" t="s">
        <v>43</v>
      </c>
      <c r="W57" s="78">
        <f t="shared" si="33"/>
        <v>1342053137</v>
      </c>
      <c r="X57" s="76">
        <f t="shared" si="34"/>
        <v>79.401462166772291</v>
      </c>
      <c r="Y57" s="77" t="s">
        <v>43</v>
      </c>
      <c r="Z57" s="76">
        <f t="shared" si="5"/>
        <v>100</v>
      </c>
      <c r="AA57" s="105">
        <f t="shared" si="6"/>
        <v>1916295069</v>
      </c>
      <c r="AB57" s="76"/>
      <c r="AC57" s="77" t="s">
        <v>43</v>
      </c>
      <c r="AD57" s="76"/>
      <c r="AE57" s="104"/>
      <c r="AH57" s="109"/>
    </row>
    <row r="58" spans="1:34" ht="90">
      <c r="A58" s="21"/>
      <c r="B58" s="13"/>
      <c r="C58" s="22" t="s">
        <v>136</v>
      </c>
      <c r="D58" s="22" t="s">
        <v>224</v>
      </c>
      <c r="E58" s="24">
        <f>20+130+130</f>
        <v>280</v>
      </c>
      <c r="F58" s="42" t="s">
        <v>48</v>
      </c>
      <c r="G58" s="33">
        <f>383333000+276262900+383333000</f>
        <v>1042928900</v>
      </c>
      <c r="H58" s="31">
        <v>0</v>
      </c>
      <c r="I58" s="26">
        <v>188979332</v>
      </c>
      <c r="J58" s="24">
        <v>20</v>
      </c>
      <c r="K58" s="57">
        <v>351762900</v>
      </c>
      <c r="L58" s="24">
        <v>0</v>
      </c>
      <c r="M58" s="26">
        <v>0</v>
      </c>
      <c r="N58" s="24"/>
      <c r="O58" s="26">
        <v>102898900</v>
      </c>
      <c r="P58" s="58">
        <v>30</v>
      </c>
      <c r="Q58" s="83"/>
      <c r="R58" s="74">
        <v>100</v>
      </c>
      <c r="S58" s="148">
        <v>149323328</v>
      </c>
      <c r="T58" s="85">
        <f t="shared" si="27"/>
        <v>130</v>
      </c>
      <c r="U58" s="86">
        <f t="shared" si="57"/>
        <v>650</v>
      </c>
      <c r="V58" s="87" t="s">
        <v>43</v>
      </c>
      <c r="W58" s="88">
        <f t="shared" si="33"/>
        <v>252222228</v>
      </c>
      <c r="X58" s="86">
        <f t="shared" si="34"/>
        <v>71.702339274551136</v>
      </c>
      <c r="Y58" s="87" t="s">
        <v>43</v>
      </c>
      <c r="Z58" s="85">
        <f t="shared" si="5"/>
        <v>130</v>
      </c>
      <c r="AA58" s="108">
        <f t="shared" si="6"/>
        <v>441201560</v>
      </c>
      <c r="AB58" s="86"/>
      <c r="AC58" s="87" t="s">
        <v>43</v>
      </c>
      <c r="AD58" s="86"/>
      <c r="AE58" s="104"/>
      <c r="AH58" s="109"/>
    </row>
    <row r="59" spans="1:34" ht="107.1" customHeight="1">
      <c r="A59" s="21"/>
      <c r="B59" s="13"/>
      <c r="C59" s="22" t="s">
        <v>138</v>
      </c>
      <c r="D59" s="22" t="s">
        <v>225</v>
      </c>
      <c r="E59" s="24"/>
      <c r="F59" s="42" t="s">
        <v>48</v>
      </c>
      <c r="G59" s="33"/>
      <c r="H59" s="31"/>
      <c r="I59" s="26"/>
      <c r="J59" s="24">
        <v>20</v>
      </c>
      <c r="K59" s="57">
        <v>121000000</v>
      </c>
      <c r="L59" s="24">
        <v>0</v>
      </c>
      <c r="M59" s="26">
        <v>0</v>
      </c>
      <c r="N59" s="24"/>
      <c r="O59" s="26">
        <v>12133250</v>
      </c>
      <c r="P59" s="58">
        <v>30</v>
      </c>
      <c r="Q59" s="83">
        <v>0</v>
      </c>
      <c r="R59" s="74">
        <v>100</v>
      </c>
      <c r="S59" s="148">
        <v>93559675</v>
      </c>
      <c r="T59" s="85">
        <f t="shared" si="27"/>
        <v>130</v>
      </c>
      <c r="U59" s="86">
        <f t="shared" si="57"/>
        <v>650</v>
      </c>
      <c r="V59" s="87" t="s">
        <v>43</v>
      </c>
      <c r="W59" s="88">
        <f t="shared" si="33"/>
        <v>105692925</v>
      </c>
      <c r="X59" s="86">
        <f t="shared" si="34"/>
        <v>87.34952479338844</v>
      </c>
      <c r="Y59" s="87" t="s">
        <v>43</v>
      </c>
      <c r="Z59" s="85">
        <f t="shared" si="5"/>
        <v>130</v>
      </c>
      <c r="AA59" s="108">
        <f t="shared" si="6"/>
        <v>105692925</v>
      </c>
      <c r="AB59" s="86"/>
      <c r="AC59" s="87" t="s">
        <v>43</v>
      </c>
      <c r="AD59" s="86"/>
      <c r="AE59" s="104"/>
      <c r="AH59" s="109"/>
    </row>
    <row r="60" spans="1:34" ht="107.1" customHeight="1">
      <c r="A60" s="21"/>
      <c r="B60" s="13"/>
      <c r="C60" s="22" t="s">
        <v>140</v>
      </c>
      <c r="D60" s="22" t="s">
        <v>226</v>
      </c>
      <c r="E60" s="24">
        <f>5*3</f>
        <v>15</v>
      </c>
      <c r="F60" s="42" t="s">
        <v>227</v>
      </c>
      <c r="G60" s="33">
        <f>645481716+751699220+751699220</f>
        <v>2148880156</v>
      </c>
      <c r="H60" s="31">
        <v>1</v>
      </c>
      <c r="I60" s="26">
        <v>385262600</v>
      </c>
      <c r="J60" s="24">
        <v>5</v>
      </c>
      <c r="K60" s="57">
        <v>1217449220</v>
      </c>
      <c r="L60" s="24">
        <v>0</v>
      </c>
      <c r="M60" s="26">
        <v>0</v>
      </c>
      <c r="N60" s="24"/>
      <c r="O60" s="26">
        <v>53615000</v>
      </c>
      <c r="P60" s="58">
        <v>2</v>
      </c>
      <c r="Q60" s="83"/>
      <c r="R60" s="74">
        <v>100</v>
      </c>
      <c r="S60" s="148">
        <v>930522984</v>
      </c>
      <c r="T60" s="85">
        <f t="shared" si="27"/>
        <v>102</v>
      </c>
      <c r="U60" s="86">
        <f t="shared" si="57"/>
        <v>2039.9999999999998</v>
      </c>
      <c r="V60" s="87" t="s">
        <v>43</v>
      </c>
      <c r="W60" s="88">
        <f t="shared" si="33"/>
        <v>984137984</v>
      </c>
      <c r="X60" s="86">
        <f t="shared" si="34"/>
        <v>80.836060168488999</v>
      </c>
      <c r="Y60" s="87" t="s">
        <v>43</v>
      </c>
      <c r="Z60" s="85">
        <f t="shared" si="5"/>
        <v>103</v>
      </c>
      <c r="AA60" s="108">
        <f t="shared" si="6"/>
        <v>1369400584</v>
      </c>
      <c r="AB60" s="86"/>
      <c r="AC60" s="87" t="s">
        <v>43</v>
      </c>
      <c r="AD60" s="86"/>
      <c r="AE60" s="104"/>
      <c r="AH60" s="109"/>
    </row>
    <row r="61" spans="1:34" ht="94.5">
      <c r="A61" s="21"/>
      <c r="B61" s="13"/>
      <c r="C61" s="14" t="s">
        <v>142</v>
      </c>
      <c r="D61" s="14" t="s">
        <v>133</v>
      </c>
      <c r="E61" s="38">
        <f>856/3726*100</f>
        <v>22.973698336017176</v>
      </c>
      <c r="F61" s="17" t="s">
        <v>43</v>
      </c>
      <c r="G61" s="18">
        <f t="shared" ref="G61:K61" si="58">SUM(G62)</f>
        <v>271435925</v>
      </c>
      <c r="H61" s="38">
        <v>20.1242121438809</v>
      </c>
      <c r="I61" s="18">
        <f t="shared" si="58"/>
        <v>74992000</v>
      </c>
      <c r="J61" s="38">
        <f>(586+90)/3486*100</f>
        <v>19.391853126792885</v>
      </c>
      <c r="K61" s="59">
        <f t="shared" si="58"/>
        <v>32475925</v>
      </c>
      <c r="L61" s="16">
        <v>0</v>
      </c>
      <c r="M61" s="18">
        <f t="shared" ref="M61:Q61" si="59">SUM(M62)</f>
        <v>0</v>
      </c>
      <c r="N61" s="38"/>
      <c r="O61" s="18">
        <f t="shared" si="59"/>
        <v>0</v>
      </c>
      <c r="P61" s="63"/>
      <c r="Q61" s="73">
        <f t="shared" si="59"/>
        <v>0</v>
      </c>
      <c r="R61" s="74">
        <v>100</v>
      </c>
      <c r="S61" s="75">
        <f t="shared" ref="S61:S64" si="60">SUM(S62)</f>
        <v>10600000</v>
      </c>
      <c r="T61" s="76">
        <f t="shared" si="27"/>
        <v>100</v>
      </c>
      <c r="U61" s="76">
        <f>Z61/J61*100</f>
        <v>619.45710581888886</v>
      </c>
      <c r="V61" s="77" t="s">
        <v>43</v>
      </c>
      <c r="W61" s="78">
        <f t="shared" si="33"/>
        <v>10600000</v>
      </c>
      <c r="X61" s="76">
        <f t="shared" si="34"/>
        <v>32.639562999360294</v>
      </c>
      <c r="Y61" s="77" t="s">
        <v>43</v>
      </c>
      <c r="Z61" s="76">
        <f t="shared" si="5"/>
        <v>120.1242121438809</v>
      </c>
      <c r="AA61" s="105">
        <f t="shared" si="6"/>
        <v>85592000</v>
      </c>
      <c r="AB61" s="76"/>
      <c r="AC61" s="77" t="s">
        <v>43</v>
      </c>
      <c r="AD61" s="76"/>
      <c r="AE61" s="104"/>
      <c r="AH61" s="109"/>
    </row>
    <row r="62" spans="1:34" ht="231" customHeight="1">
      <c r="A62" s="21"/>
      <c r="B62" s="13"/>
      <c r="C62" s="14" t="s">
        <v>143</v>
      </c>
      <c r="D62" s="51" t="s">
        <v>228</v>
      </c>
      <c r="E62" s="16">
        <f>E63</f>
        <v>270</v>
      </c>
      <c r="F62" s="17" t="s">
        <v>145</v>
      </c>
      <c r="G62" s="18">
        <f t="shared" ref="G62:K62" si="61">SUM(G63)</f>
        <v>271435925</v>
      </c>
      <c r="H62" s="16">
        <v>150</v>
      </c>
      <c r="I62" s="18">
        <f t="shared" si="61"/>
        <v>74992000</v>
      </c>
      <c r="J62" s="16">
        <f>J63</f>
        <v>90</v>
      </c>
      <c r="K62" s="59">
        <f t="shared" si="61"/>
        <v>32475925</v>
      </c>
      <c r="L62" s="16">
        <f>L63</f>
        <v>0</v>
      </c>
      <c r="M62" s="18">
        <f t="shared" ref="M62:Q62" si="62">SUM(M63)</f>
        <v>0</v>
      </c>
      <c r="N62" s="16"/>
      <c r="O62" s="18">
        <f t="shared" si="62"/>
        <v>0</v>
      </c>
      <c r="P62" s="56"/>
      <c r="Q62" s="73">
        <f t="shared" si="62"/>
        <v>0</v>
      </c>
      <c r="R62" s="74">
        <v>100</v>
      </c>
      <c r="S62" s="75">
        <f t="shared" si="60"/>
        <v>10600000</v>
      </c>
      <c r="T62" s="80">
        <f t="shared" si="27"/>
        <v>100</v>
      </c>
      <c r="U62" s="76">
        <f t="shared" ref="U62:U68" si="63">T62/J62*100</f>
        <v>111.11111111111111</v>
      </c>
      <c r="V62" s="77" t="s">
        <v>43</v>
      </c>
      <c r="W62" s="78">
        <f t="shared" si="33"/>
        <v>10600000</v>
      </c>
      <c r="X62" s="76">
        <f t="shared" si="34"/>
        <v>32.639562999360294</v>
      </c>
      <c r="Y62" s="77" t="s">
        <v>43</v>
      </c>
      <c r="Z62" s="76">
        <f t="shared" si="5"/>
        <v>250</v>
      </c>
      <c r="AA62" s="105">
        <f t="shared" si="6"/>
        <v>85592000</v>
      </c>
      <c r="AB62" s="76"/>
      <c r="AC62" s="77" t="s">
        <v>43</v>
      </c>
      <c r="AD62" s="76"/>
      <c r="AE62" s="104"/>
      <c r="AH62" s="109"/>
    </row>
    <row r="63" spans="1:34" ht="255">
      <c r="A63" s="21"/>
      <c r="B63" s="13"/>
      <c r="C63" s="22" t="s">
        <v>146</v>
      </c>
      <c r="D63" s="22" t="s">
        <v>229</v>
      </c>
      <c r="E63" s="24">
        <f>90*3</f>
        <v>270</v>
      </c>
      <c r="F63" s="25" t="s">
        <v>48</v>
      </c>
      <c r="G63" s="33">
        <f>119480000+32475925+119480000</f>
        <v>271435925</v>
      </c>
      <c r="H63" s="24">
        <v>150</v>
      </c>
      <c r="I63" s="26">
        <v>74992000</v>
      </c>
      <c r="J63" s="24">
        <v>90</v>
      </c>
      <c r="K63" s="57">
        <v>32475925</v>
      </c>
      <c r="L63" s="24">
        <v>0</v>
      </c>
      <c r="M63" s="26">
        <v>0</v>
      </c>
      <c r="N63" s="24"/>
      <c r="O63" s="26">
        <v>0</v>
      </c>
      <c r="P63" s="58"/>
      <c r="Q63" s="83">
        <v>0</v>
      </c>
      <c r="R63" s="74">
        <v>100</v>
      </c>
      <c r="S63" s="148">
        <v>10600000</v>
      </c>
      <c r="T63" s="85">
        <f t="shared" si="27"/>
        <v>100</v>
      </c>
      <c r="U63" s="86">
        <f t="shared" si="63"/>
        <v>111.11111111111111</v>
      </c>
      <c r="V63" s="87" t="s">
        <v>43</v>
      </c>
      <c r="W63" s="88">
        <f t="shared" si="33"/>
        <v>10600000</v>
      </c>
      <c r="X63" s="86">
        <f t="shared" si="34"/>
        <v>32.639562999360294</v>
      </c>
      <c r="Y63" s="87" t="s">
        <v>43</v>
      </c>
      <c r="Z63" s="86">
        <f t="shared" si="5"/>
        <v>250</v>
      </c>
      <c r="AA63" s="108">
        <f t="shared" si="6"/>
        <v>85592000</v>
      </c>
      <c r="AB63" s="86"/>
      <c r="AC63" s="87" t="s">
        <v>43</v>
      </c>
      <c r="AD63" s="76"/>
      <c r="AE63" s="104"/>
      <c r="AH63" s="109"/>
    </row>
    <row r="64" spans="1:34" ht="157.5">
      <c r="A64" s="21"/>
      <c r="B64" s="13"/>
      <c r="C64" s="14" t="s">
        <v>148</v>
      </c>
      <c r="D64" s="14" t="s">
        <v>230</v>
      </c>
      <c r="E64" s="38">
        <f>856/3726*100</f>
        <v>22.973698336017176</v>
      </c>
      <c r="F64" s="17" t="s">
        <v>43</v>
      </c>
      <c r="G64" s="18">
        <f t="shared" ref="G64:K64" si="64">SUM(G65)</f>
        <v>75000000</v>
      </c>
      <c r="H64" s="38">
        <v>20.1242121438809</v>
      </c>
      <c r="I64" s="18">
        <f t="shared" si="64"/>
        <v>22570000</v>
      </c>
      <c r="J64" s="38">
        <f>(586+90)/3486*100</f>
        <v>19.391853126792885</v>
      </c>
      <c r="K64" s="59">
        <f t="shared" si="64"/>
        <v>50239800</v>
      </c>
      <c r="L64" s="16">
        <v>0</v>
      </c>
      <c r="M64" s="18">
        <f t="shared" ref="M64:Q64" si="65">SUM(M65)</f>
        <v>0</v>
      </c>
      <c r="N64" s="38"/>
      <c r="O64" s="18">
        <f t="shared" si="65"/>
        <v>0</v>
      </c>
      <c r="P64" s="63"/>
      <c r="Q64" s="73">
        <f t="shared" si="65"/>
        <v>0</v>
      </c>
      <c r="R64" s="91"/>
      <c r="S64" s="75">
        <f t="shared" si="60"/>
        <v>0</v>
      </c>
      <c r="T64" s="76">
        <f t="shared" si="27"/>
        <v>0</v>
      </c>
      <c r="U64" s="76">
        <f>Z64/J64*100</f>
        <v>103.77663244610773</v>
      </c>
      <c r="V64" s="77" t="s">
        <v>43</v>
      </c>
      <c r="W64" s="78">
        <f t="shared" si="33"/>
        <v>0</v>
      </c>
      <c r="X64" s="76">
        <f t="shared" si="34"/>
        <v>0</v>
      </c>
      <c r="Y64" s="77" t="s">
        <v>43</v>
      </c>
      <c r="Z64" s="76">
        <f t="shared" si="5"/>
        <v>20.1242121438809</v>
      </c>
      <c r="AA64" s="105">
        <f t="shared" si="6"/>
        <v>22570000</v>
      </c>
      <c r="AB64" s="76"/>
      <c r="AC64" s="77" t="s">
        <v>43</v>
      </c>
      <c r="AD64" s="76"/>
      <c r="AE64" s="104"/>
      <c r="AH64" s="109"/>
    </row>
    <row r="65" spans="1:34" ht="149.25" customHeight="1">
      <c r="A65" s="21"/>
      <c r="B65" s="13"/>
      <c r="C65" s="14" t="s">
        <v>149</v>
      </c>
      <c r="D65" s="14" t="s">
        <v>150</v>
      </c>
      <c r="E65" s="111">
        <v>3726</v>
      </c>
      <c r="F65" s="17" t="s">
        <v>151</v>
      </c>
      <c r="G65" s="112">
        <f t="shared" ref="G65:K65" si="66">SUM(G66:G68)</f>
        <v>75000000</v>
      </c>
      <c r="H65" s="43">
        <v>3486</v>
      </c>
      <c r="I65" s="112">
        <f t="shared" si="66"/>
        <v>22570000</v>
      </c>
      <c r="J65" s="111">
        <v>3486</v>
      </c>
      <c r="K65" s="118">
        <f t="shared" si="66"/>
        <v>50239800</v>
      </c>
      <c r="L65" s="16">
        <v>0</v>
      </c>
      <c r="M65" s="119">
        <f t="shared" ref="M65:Q65" si="67">M68</f>
        <v>0</v>
      </c>
      <c r="N65" s="16"/>
      <c r="O65" s="119">
        <f t="shared" si="67"/>
        <v>0</v>
      </c>
      <c r="P65" s="56"/>
      <c r="Q65" s="120">
        <f t="shared" si="67"/>
        <v>0</v>
      </c>
      <c r="R65" s="79"/>
      <c r="S65" s="121">
        <f>S68</f>
        <v>0</v>
      </c>
      <c r="T65" s="80">
        <f t="shared" si="27"/>
        <v>0</v>
      </c>
      <c r="U65" s="76">
        <f t="shared" si="63"/>
        <v>0</v>
      </c>
      <c r="V65" s="77" t="s">
        <v>43</v>
      </c>
      <c r="W65" s="78">
        <f t="shared" si="33"/>
        <v>0</v>
      </c>
      <c r="X65" s="76">
        <f t="shared" si="34"/>
        <v>0</v>
      </c>
      <c r="Y65" s="77" t="s">
        <v>43</v>
      </c>
      <c r="Z65" s="76">
        <f t="shared" si="5"/>
        <v>3486</v>
      </c>
      <c r="AA65" s="105">
        <f t="shared" si="6"/>
        <v>22570000</v>
      </c>
      <c r="AB65" s="76"/>
      <c r="AC65" s="77" t="s">
        <v>43</v>
      </c>
      <c r="AD65" s="76"/>
      <c r="AE65" s="104"/>
      <c r="AH65" s="109"/>
    </row>
    <row r="66" spans="1:34" ht="180">
      <c r="A66" s="21"/>
      <c r="B66" s="13"/>
      <c r="C66" s="22" t="s">
        <v>152</v>
      </c>
      <c r="D66" s="22" t="s">
        <v>231</v>
      </c>
      <c r="E66" s="48">
        <f>50*3</f>
        <v>150</v>
      </c>
      <c r="F66" s="42" t="s">
        <v>48</v>
      </c>
      <c r="G66" s="49">
        <f>25000000*3</f>
        <v>75000000</v>
      </c>
      <c r="H66" s="31">
        <v>0</v>
      </c>
      <c r="I66" s="26">
        <v>22570000</v>
      </c>
      <c r="J66" s="48">
        <v>50</v>
      </c>
      <c r="K66" s="70">
        <v>240000</v>
      </c>
      <c r="L66" s="24">
        <v>0</v>
      </c>
      <c r="M66" s="26">
        <v>0</v>
      </c>
      <c r="N66" s="24"/>
      <c r="O66" s="26">
        <v>0</v>
      </c>
      <c r="P66" s="58"/>
      <c r="Q66" s="83">
        <v>0</v>
      </c>
      <c r="R66" s="64"/>
      <c r="S66" s="84">
        <v>0</v>
      </c>
      <c r="T66" s="85">
        <f t="shared" si="27"/>
        <v>0</v>
      </c>
      <c r="U66" s="86">
        <f t="shared" si="63"/>
        <v>0</v>
      </c>
      <c r="V66" s="87" t="s">
        <v>43</v>
      </c>
      <c r="W66" s="88">
        <f t="shared" si="33"/>
        <v>0</v>
      </c>
      <c r="X66" s="86">
        <f t="shared" si="34"/>
        <v>0</v>
      </c>
      <c r="Y66" s="87" t="s">
        <v>43</v>
      </c>
      <c r="Z66" s="85">
        <f t="shared" si="5"/>
        <v>0</v>
      </c>
      <c r="AA66" s="108">
        <f t="shared" si="6"/>
        <v>22570000</v>
      </c>
      <c r="AB66" s="86"/>
      <c r="AC66" s="87" t="s">
        <v>43</v>
      </c>
      <c r="AD66" s="86"/>
      <c r="AE66" s="104"/>
      <c r="AH66" s="109"/>
    </row>
    <row r="67" spans="1:34" ht="90">
      <c r="A67" s="21"/>
      <c r="B67" s="13"/>
      <c r="C67" s="22" t="s">
        <v>154</v>
      </c>
      <c r="D67" s="22" t="s">
        <v>232</v>
      </c>
      <c r="E67" s="48"/>
      <c r="F67" s="42" t="s">
        <v>48</v>
      </c>
      <c r="G67" s="49"/>
      <c r="H67" s="31"/>
      <c r="I67" s="26"/>
      <c r="J67" s="48">
        <v>50</v>
      </c>
      <c r="K67" s="70">
        <v>24999900</v>
      </c>
      <c r="L67" s="24">
        <v>0</v>
      </c>
      <c r="M67" s="26">
        <v>0</v>
      </c>
      <c r="N67" s="24"/>
      <c r="O67" s="26">
        <v>0</v>
      </c>
      <c r="P67" s="58"/>
      <c r="Q67" s="83">
        <v>0</v>
      </c>
      <c r="R67" s="64"/>
      <c r="S67" s="84">
        <v>0</v>
      </c>
      <c r="T67" s="85">
        <f t="shared" si="27"/>
        <v>0</v>
      </c>
      <c r="U67" s="86">
        <f t="shared" si="63"/>
        <v>0</v>
      </c>
      <c r="V67" s="87" t="s">
        <v>43</v>
      </c>
      <c r="W67" s="88">
        <f t="shared" si="33"/>
        <v>0</v>
      </c>
      <c r="X67" s="86">
        <f t="shared" si="34"/>
        <v>0</v>
      </c>
      <c r="Y67" s="87" t="s">
        <v>43</v>
      </c>
      <c r="Z67" s="85">
        <f t="shared" si="5"/>
        <v>0</v>
      </c>
      <c r="AA67" s="108">
        <f t="shared" si="6"/>
        <v>0</v>
      </c>
      <c r="AB67" s="86"/>
      <c r="AC67" s="87" t="s">
        <v>43</v>
      </c>
      <c r="AD67" s="86"/>
      <c r="AE67" s="104"/>
      <c r="AH67" s="109"/>
    </row>
    <row r="68" spans="1:34" ht="180">
      <c r="A68" s="21"/>
      <c r="B68" s="13"/>
      <c r="C68" s="22" t="s">
        <v>156</v>
      </c>
      <c r="D68" s="22" t="s">
        <v>233</v>
      </c>
      <c r="E68" s="48"/>
      <c r="F68" s="42" t="s">
        <v>48</v>
      </c>
      <c r="G68" s="49"/>
      <c r="H68" s="31"/>
      <c r="I68" s="26"/>
      <c r="J68" s="48">
        <v>50</v>
      </c>
      <c r="K68" s="70">
        <v>24999900</v>
      </c>
      <c r="L68" s="24">
        <v>0</v>
      </c>
      <c r="M68" s="26">
        <v>0</v>
      </c>
      <c r="N68" s="24"/>
      <c r="O68" s="26">
        <v>0</v>
      </c>
      <c r="P68" s="58"/>
      <c r="Q68" s="83">
        <v>0</v>
      </c>
      <c r="R68" s="64"/>
      <c r="S68" s="148">
        <v>0</v>
      </c>
      <c r="T68" s="85">
        <f t="shared" si="27"/>
        <v>0</v>
      </c>
      <c r="U68" s="86">
        <f t="shared" si="63"/>
        <v>0</v>
      </c>
      <c r="V68" s="87" t="s">
        <v>43</v>
      </c>
      <c r="W68" s="88">
        <f t="shared" si="33"/>
        <v>0</v>
      </c>
      <c r="X68" s="86">
        <f t="shared" si="34"/>
        <v>0</v>
      </c>
      <c r="Y68" s="87" t="s">
        <v>43</v>
      </c>
      <c r="Z68" s="85">
        <f t="shared" si="5"/>
        <v>0</v>
      </c>
      <c r="AA68" s="108">
        <f t="shared" si="6"/>
        <v>0</v>
      </c>
      <c r="AB68" s="86"/>
      <c r="AC68" s="87" t="s">
        <v>43</v>
      </c>
      <c r="AD68" s="86"/>
      <c r="AE68" s="104"/>
      <c r="AH68" s="109"/>
    </row>
    <row r="69" spans="1:34" ht="15">
      <c r="A69" s="195" t="s">
        <v>158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22">
        <f>AVERAGE(U16:U68)</f>
        <v>1402.5660857435576</v>
      </c>
      <c r="V69" s="123"/>
      <c r="W69" s="124"/>
      <c r="X69" s="122">
        <f>AVERAGE(X16,X56,X44,X40,X61,X50)</f>
        <v>82.216660948056813</v>
      </c>
      <c r="Y69" s="123"/>
      <c r="Z69" s="128"/>
      <c r="AA69" s="128"/>
      <c r="AB69" s="128"/>
      <c r="AC69" s="123"/>
      <c r="AD69" s="129"/>
      <c r="AE69" s="104"/>
    </row>
    <row r="70" spans="1:34" ht="15">
      <c r="A70" s="195" t="s">
        <v>159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25" t="str">
        <f>IF(U69&gt;=91,"Sangat Tinggi",IF(U69&gt;=76,"Tinggi",IF(U69&gt;=66,"Sedang",IF(U69&gt;=51,"Rendah",IF(U69&lt;=50,"Sangat Rendah")))))</f>
        <v>Sangat Tinggi</v>
      </c>
      <c r="V70" s="123"/>
      <c r="W70" s="126"/>
      <c r="X70" s="125" t="str">
        <f>IF(X69&gt;=91,"Sangat Tinggi",IF(X69&gt;=76,"Tinggi",IF(X69&gt;=66,"Sedang",IF(X69&gt;=51,"Rendah",IF(X69&lt;=50,"Sangat Rendah")))))</f>
        <v>Tinggi</v>
      </c>
      <c r="Y70" s="123"/>
      <c r="Z70" s="130"/>
      <c r="AA70" s="131"/>
      <c r="AB70" s="130"/>
      <c r="AC70" s="123"/>
      <c r="AD70" s="132"/>
      <c r="AE70" s="104"/>
    </row>
    <row r="71" spans="1:34" ht="15">
      <c r="A71" s="194" t="s">
        <v>160</v>
      </c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04"/>
    </row>
    <row r="72" spans="1:34" ht="15">
      <c r="A72" s="194" t="s">
        <v>161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04"/>
    </row>
    <row r="73" spans="1:34" ht="15">
      <c r="A73" s="194" t="s">
        <v>162</v>
      </c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04"/>
    </row>
    <row r="74" spans="1:34" ht="15">
      <c r="A74" s="194" t="s">
        <v>163</v>
      </c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33"/>
    </row>
    <row r="75" spans="1:34" ht="1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27"/>
      <c r="W75" s="113"/>
      <c r="X75" s="113"/>
      <c r="Y75" s="127"/>
      <c r="Z75" s="113"/>
      <c r="AA75" s="113"/>
      <c r="AB75" s="113"/>
      <c r="AC75" s="127"/>
      <c r="AD75" s="113"/>
    </row>
    <row r="76" spans="1:34" ht="1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92" t="s">
        <v>164</v>
      </c>
      <c r="U76" s="192"/>
      <c r="V76" s="192"/>
      <c r="W76" s="192"/>
      <c r="X76" s="192"/>
      <c r="Y76" s="127"/>
      <c r="Z76" s="113"/>
      <c r="AA76" s="192"/>
      <c r="AB76" s="192"/>
      <c r="AC76" s="192"/>
      <c r="AD76" s="192"/>
      <c r="AE76" s="192"/>
    </row>
    <row r="77" spans="1:34" ht="15.75">
      <c r="A77" s="114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92" t="s">
        <v>234</v>
      </c>
      <c r="U77" s="192"/>
      <c r="V77" s="192"/>
      <c r="W77" s="192"/>
      <c r="X77" s="192"/>
      <c r="Y77" s="127"/>
      <c r="Z77" s="113"/>
      <c r="AA77" s="192"/>
      <c r="AB77" s="192"/>
      <c r="AC77" s="192"/>
      <c r="AD77" s="192"/>
      <c r="AE77" s="192"/>
    </row>
    <row r="78" spans="1:34" ht="15">
      <c r="T78" s="192" t="s">
        <v>166</v>
      </c>
      <c r="U78" s="192"/>
      <c r="V78" s="192"/>
      <c r="W78" s="192"/>
      <c r="X78" s="192"/>
      <c r="AA78" s="192"/>
      <c r="AB78" s="192"/>
      <c r="AC78" s="192"/>
      <c r="AD78" s="192"/>
      <c r="AE78" s="192"/>
    </row>
    <row r="79" spans="1:34" ht="15">
      <c r="T79" s="192" t="s">
        <v>167</v>
      </c>
      <c r="U79" s="192"/>
      <c r="V79" s="192"/>
      <c r="W79" s="192"/>
      <c r="X79" s="192"/>
      <c r="AA79" s="192"/>
      <c r="AB79" s="192"/>
      <c r="AC79" s="192"/>
      <c r="AD79" s="192"/>
      <c r="AE79" s="192"/>
    </row>
    <row r="80" spans="1:34" ht="25.5">
      <c r="A80" s="115" t="s">
        <v>168</v>
      </c>
      <c r="B80" s="115" t="s">
        <v>169</v>
      </c>
      <c r="C80" s="115" t="s">
        <v>170</v>
      </c>
      <c r="T80" s="113"/>
      <c r="U80" s="113"/>
      <c r="V80" s="127"/>
      <c r="W80" s="113"/>
      <c r="AA80" s="127"/>
      <c r="AB80" s="113"/>
      <c r="AC80" s="127"/>
      <c r="AD80" s="113"/>
    </row>
    <row r="81" spans="1:31" ht="26.25">
      <c r="A81" s="116" t="s">
        <v>171</v>
      </c>
      <c r="B81" s="116" t="s">
        <v>172</v>
      </c>
      <c r="C81" s="116" t="s">
        <v>173</v>
      </c>
      <c r="T81" s="193" t="s">
        <v>174</v>
      </c>
      <c r="U81" s="193"/>
      <c r="V81" s="193"/>
      <c r="W81" s="193"/>
      <c r="X81" s="193"/>
      <c r="AA81" s="193"/>
      <c r="AB81" s="193"/>
      <c r="AC81" s="193"/>
      <c r="AD81" s="193"/>
      <c r="AE81" s="193"/>
    </row>
    <row r="82" spans="1:31" ht="26.25">
      <c r="A82" s="116" t="s">
        <v>175</v>
      </c>
      <c r="B82" s="116" t="s">
        <v>176</v>
      </c>
      <c r="C82" s="116" t="s">
        <v>177</v>
      </c>
      <c r="T82" s="182" t="s">
        <v>178</v>
      </c>
      <c r="U82" s="182"/>
      <c r="V82" s="182"/>
      <c r="W82" s="182"/>
      <c r="X82" s="182"/>
      <c r="AA82" s="182"/>
      <c r="AB82" s="182"/>
      <c r="AC82" s="182"/>
      <c r="AD82" s="182"/>
      <c r="AE82" s="182"/>
    </row>
    <row r="83" spans="1:31" ht="26.25">
      <c r="A83" s="116" t="s">
        <v>179</v>
      </c>
      <c r="B83" s="116" t="s">
        <v>180</v>
      </c>
      <c r="C83" s="116" t="s">
        <v>181</v>
      </c>
    </row>
    <row r="84" spans="1:31" ht="26.25">
      <c r="A84" s="116" t="s">
        <v>182</v>
      </c>
      <c r="B84" s="116" t="s">
        <v>183</v>
      </c>
      <c r="C84" s="116" t="s">
        <v>184</v>
      </c>
    </row>
    <row r="85" spans="1:31" ht="26.25">
      <c r="A85" s="116" t="s">
        <v>185</v>
      </c>
      <c r="B85" s="117" t="s">
        <v>186</v>
      </c>
      <c r="C85" s="116" t="s">
        <v>187</v>
      </c>
    </row>
  </sheetData>
  <mergeCells count="89">
    <mergeCell ref="A1:AD1"/>
    <mergeCell ref="A2:AD2"/>
    <mergeCell ref="A3:AD3"/>
    <mergeCell ref="A4:AD4"/>
    <mergeCell ref="A5:AD5"/>
    <mergeCell ref="A6:AD6"/>
    <mergeCell ref="J9:K9"/>
    <mergeCell ref="L9:M9"/>
    <mergeCell ref="N9:O9"/>
    <mergeCell ref="P9:Q9"/>
    <mergeCell ref="R9:S9"/>
    <mergeCell ref="T9:Y9"/>
    <mergeCell ref="Z9:AA9"/>
    <mergeCell ref="AB9:AD9"/>
    <mergeCell ref="E10:G10"/>
    <mergeCell ref="H10:I10"/>
    <mergeCell ref="J10:K10"/>
    <mergeCell ref="L10:M10"/>
    <mergeCell ref="N10:O10"/>
    <mergeCell ref="P10:Q10"/>
    <mergeCell ref="R10:S10"/>
    <mergeCell ref="T10:Y10"/>
    <mergeCell ref="Z10:AA10"/>
    <mergeCell ref="AB10:AD10"/>
    <mergeCell ref="U11:V11"/>
    <mergeCell ref="X11:Y11"/>
    <mergeCell ref="AB11:AC11"/>
    <mergeCell ref="U12:V12"/>
    <mergeCell ref="X12:Y12"/>
    <mergeCell ref="AB12:AC12"/>
    <mergeCell ref="A69:T69"/>
    <mergeCell ref="A70:T70"/>
    <mergeCell ref="A71:AD71"/>
    <mergeCell ref="A72:AD72"/>
    <mergeCell ref="A73:AD73"/>
    <mergeCell ref="A74:AD74"/>
    <mergeCell ref="T76:X76"/>
    <mergeCell ref="AA76:AE76"/>
    <mergeCell ref="T77:X77"/>
    <mergeCell ref="AA77:AE77"/>
    <mergeCell ref="T78:X78"/>
    <mergeCell ref="AA78:AE78"/>
    <mergeCell ref="T79:X79"/>
    <mergeCell ref="AA79:AE79"/>
    <mergeCell ref="T81:X81"/>
    <mergeCell ref="AA81:AE81"/>
    <mergeCell ref="T82:X82"/>
    <mergeCell ref="AA82:AE82"/>
    <mergeCell ref="A7:A9"/>
    <mergeCell ref="A10:A12"/>
    <mergeCell ref="A13:A15"/>
    <mergeCell ref="B7:B9"/>
    <mergeCell ref="B10:B12"/>
    <mergeCell ref="B13:B15"/>
    <mergeCell ref="C7:C9"/>
    <mergeCell ref="C10:C12"/>
    <mergeCell ref="C13:C15"/>
    <mergeCell ref="D7:D9"/>
    <mergeCell ref="D10:D12"/>
    <mergeCell ref="D13:D15"/>
    <mergeCell ref="G11:G12"/>
    <mergeCell ref="G13:G15"/>
    <mergeCell ref="H11:H12"/>
    <mergeCell ref="H13:H15"/>
    <mergeCell ref="I11:I12"/>
    <mergeCell ref="I13:I15"/>
    <mergeCell ref="J11:J12"/>
    <mergeCell ref="J13:J15"/>
    <mergeCell ref="K11:K12"/>
    <mergeCell ref="K13:K15"/>
    <mergeCell ref="L11:L12"/>
    <mergeCell ref="L13:L15"/>
    <mergeCell ref="M11:M12"/>
    <mergeCell ref="E13:F15"/>
    <mergeCell ref="S11:S12"/>
    <mergeCell ref="AE7:AE8"/>
    <mergeCell ref="E7:G9"/>
    <mergeCell ref="H7:I9"/>
    <mergeCell ref="J7:K8"/>
    <mergeCell ref="Z7:AA8"/>
    <mergeCell ref="L7:S8"/>
    <mergeCell ref="T7:Y8"/>
    <mergeCell ref="AB7:AD8"/>
    <mergeCell ref="E11:F12"/>
    <mergeCell ref="N11:N12"/>
    <mergeCell ref="O11:O12"/>
    <mergeCell ref="P11:P12"/>
    <mergeCell ref="Q11:Q12"/>
    <mergeCell ref="R11:R12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E91"/>
  <sheetViews>
    <sheetView workbookViewId="0">
      <selection activeCell="L14" sqref="L14"/>
    </sheetView>
  </sheetViews>
  <sheetFormatPr defaultRowHeight="15"/>
  <cols>
    <col min="3" max="3" width="18" customWidth="1"/>
    <col min="4" max="4" width="15.42578125" customWidth="1"/>
    <col min="5" max="5" width="16.85546875" bestFit="1" customWidth="1"/>
  </cols>
  <sheetData>
    <row r="5" spans="3:5">
      <c r="C5" s="146"/>
      <c r="D5" s="146"/>
      <c r="E5" s="146"/>
    </row>
    <row r="6" spans="3:5">
      <c r="C6" s="146"/>
      <c r="D6" s="146"/>
      <c r="E6" s="146"/>
    </row>
    <row r="7" spans="3:5">
      <c r="C7" s="146"/>
      <c r="D7" s="146"/>
      <c r="E7" s="146"/>
    </row>
    <row r="8" spans="3:5">
      <c r="C8" s="146"/>
      <c r="D8" s="146"/>
      <c r="E8" s="146"/>
    </row>
    <row r="9" spans="3:5">
      <c r="C9" s="146"/>
      <c r="D9" s="146"/>
      <c r="E9" s="146"/>
    </row>
    <row r="10" spans="3:5">
      <c r="C10" s="146"/>
      <c r="D10" s="146"/>
      <c r="E10" s="146"/>
    </row>
    <row r="11" spans="3:5">
      <c r="C11" s="146"/>
      <c r="D11" s="146"/>
      <c r="E11" s="146"/>
    </row>
    <row r="12" spans="3:5">
      <c r="C12" s="146"/>
      <c r="D12" s="146"/>
      <c r="E12" s="146"/>
    </row>
    <row r="13" spans="3:5">
      <c r="C13" s="146"/>
      <c r="D13" s="146"/>
      <c r="E13" s="146"/>
    </row>
    <row r="14" spans="3:5">
      <c r="C14" s="146"/>
      <c r="D14" s="146"/>
      <c r="E14" s="146"/>
    </row>
    <row r="15" spans="3:5">
      <c r="C15" s="146"/>
      <c r="E15" s="146"/>
    </row>
    <row r="16" spans="3:5">
      <c r="C16" s="146"/>
      <c r="D16" s="146"/>
      <c r="E16" s="146"/>
    </row>
    <row r="17" spans="3:5">
      <c r="C17" s="146"/>
      <c r="D17" s="146"/>
      <c r="E17" s="146"/>
    </row>
    <row r="18" spans="3:5">
      <c r="C18" s="146"/>
      <c r="D18" s="146"/>
      <c r="E18" s="146"/>
    </row>
    <row r="19" spans="3:5">
      <c r="C19" s="146"/>
      <c r="D19" s="146"/>
      <c r="E19" s="146"/>
    </row>
    <row r="20" spans="3:5">
      <c r="C20" s="146"/>
      <c r="D20" s="146"/>
      <c r="E20" s="146"/>
    </row>
    <row r="21" spans="3:5">
      <c r="C21" s="146"/>
      <c r="D21" s="146"/>
      <c r="E21" s="146"/>
    </row>
    <row r="22" spans="3:5">
      <c r="C22" s="146"/>
      <c r="D22" s="146"/>
      <c r="E22" s="146"/>
    </row>
    <row r="23" spans="3:5">
      <c r="C23" s="146"/>
      <c r="D23" s="146"/>
      <c r="E23" s="146"/>
    </row>
    <row r="24" spans="3:5">
      <c r="C24" s="146"/>
      <c r="D24" s="146"/>
      <c r="E24" s="146"/>
    </row>
    <row r="25" spans="3:5">
      <c r="C25" s="146"/>
      <c r="D25" s="146"/>
      <c r="E25" s="146"/>
    </row>
    <row r="26" spans="3:5">
      <c r="C26" s="146"/>
      <c r="D26" s="146"/>
      <c r="E26" s="146"/>
    </row>
    <row r="27" spans="3:5">
      <c r="C27" s="146"/>
      <c r="D27" s="146"/>
      <c r="E27" s="150"/>
    </row>
    <row r="28" spans="3:5">
      <c r="C28" s="146"/>
      <c r="D28" s="146"/>
    </row>
    <row r="30" spans="3:5">
      <c r="C30" s="146"/>
      <c r="D30" s="146"/>
      <c r="E30" s="146"/>
    </row>
    <row r="31" spans="3:5">
      <c r="C31" s="146"/>
      <c r="D31" s="146"/>
      <c r="E31" s="146"/>
    </row>
    <row r="32" spans="3:5">
      <c r="C32" s="146"/>
      <c r="D32" s="146"/>
      <c r="E32" s="146"/>
    </row>
    <row r="33" spans="3:5">
      <c r="C33" s="146"/>
      <c r="D33" s="146"/>
      <c r="E33" s="146"/>
    </row>
    <row r="34" spans="3:5">
      <c r="C34" s="146"/>
      <c r="D34" s="146"/>
      <c r="E34" s="146"/>
    </row>
    <row r="35" spans="3:5">
      <c r="C35" s="146"/>
      <c r="D35" s="146"/>
      <c r="E35" s="146"/>
    </row>
    <row r="36" spans="3:5">
      <c r="C36" s="146"/>
      <c r="D36" s="146"/>
      <c r="E36" s="146"/>
    </row>
    <row r="37" spans="3:5">
      <c r="C37" s="146"/>
      <c r="D37" s="146"/>
      <c r="E37" s="146"/>
    </row>
    <row r="38" spans="3:5">
      <c r="C38" s="146"/>
      <c r="D38" s="146"/>
      <c r="E38" s="146"/>
    </row>
    <row r="39" spans="3:5">
      <c r="C39" s="146"/>
      <c r="D39" s="146"/>
      <c r="E39" s="146"/>
    </row>
    <row r="40" spans="3:5">
      <c r="C40" s="146"/>
      <c r="D40" s="146"/>
      <c r="E40" s="146"/>
    </row>
    <row r="41" spans="3:5">
      <c r="C41" s="146"/>
      <c r="D41" s="146"/>
      <c r="E41" s="146"/>
    </row>
    <row r="42" spans="3:5">
      <c r="C42" s="146"/>
      <c r="D42" s="146"/>
      <c r="E42" s="146"/>
    </row>
    <row r="43" spans="3:5">
      <c r="C43" s="146"/>
      <c r="D43" s="146"/>
      <c r="E43" s="146"/>
    </row>
    <row r="44" spans="3:5">
      <c r="C44" s="146"/>
      <c r="D44" s="146"/>
      <c r="E44" s="146"/>
    </row>
    <row r="45" spans="3:5">
      <c r="C45" s="146"/>
      <c r="D45" s="146"/>
      <c r="E45" s="146"/>
    </row>
    <row r="46" spans="3:5">
      <c r="C46" s="146"/>
      <c r="D46" s="146"/>
      <c r="E46" s="146"/>
    </row>
    <row r="47" spans="3:5">
      <c r="C47" s="146"/>
      <c r="D47" s="146"/>
      <c r="E47" s="146"/>
    </row>
    <row r="48" spans="3:5">
      <c r="C48" s="146"/>
      <c r="D48" s="146"/>
      <c r="E48" s="146"/>
    </row>
    <row r="49" spans="3:5">
      <c r="C49" s="146"/>
      <c r="D49" s="146"/>
      <c r="E49" s="146"/>
    </row>
    <row r="50" spans="3:5">
      <c r="C50" s="146"/>
      <c r="D50" s="146"/>
      <c r="E50" s="146"/>
    </row>
    <row r="51" spans="3:5">
      <c r="C51" s="146"/>
      <c r="D51" s="146"/>
      <c r="E51" s="146"/>
    </row>
    <row r="52" spans="3:5">
      <c r="C52" s="146"/>
      <c r="D52" s="146"/>
      <c r="E52" s="146"/>
    </row>
    <row r="53" spans="3:5">
      <c r="C53" s="146"/>
      <c r="D53" s="146"/>
      <c r="E53" s="146"/>
    </row>
    <row r="54" spans="3:5">
      <c r="C54" s="146"/>
      <c r="D54" s="146"/>
      <c r="E54" s="146"/>
    </row>
    <row r="55" spans="3:5">
      <c r="C55" s="146"/>
      <c r="D55" s="146"/>
      <c r="E55" s="146"/>
    </row>
    <row r="56" spans="3:5">
      <c r="C56" s="146"/>
      <c r="D56" s="146"/>
      <c r="E56" s="146"/>
    </row>
    <row r="57" spans="3:5">
      <c r="C57" s="146"/>
      <c r="D57" s="146"/>
      <c r="E57" s="146"/>
    </row>
    <row r="58" spans="3:5">
      <c r="C58" s="146"/>
      <c r="D58" s="146"/>
      <c r="E58" s="146"/>
    </row>
    <row r="59" spans="3:5">
      <c r="C59" s="146"/>
      <c r="D59" s="146"/>
      <c r="E59" s="146"/>
    </row>
    <row r="60" spans="3:5">
      <c r="C60" s="146"/>
      <c r="D60" s="146"/>
      <c r="E60" s="146"/>
    </row>
    <row r="61" spans="3:5">
      <c r="C61" s="146"/>
      <c r="D61" s="146"/>
      <c r="E61" s="146"/>
    </row>
    <row r="62" spans="3:5">
      <c r="C62" s="146"/>
      <c r="D62" s="146"/>
      <c r="E62" s="146"/>
    </row>
    <row r="63" spans="3:5">
      <c r="C63" s="146"/>
      <c r="D63" s="146"/>
      <c r="E63" s="146"/>
    </row>
    <row r="64" spans="3:5">
      <c r="C64" s="146"/>
      <c r="D64" s="146"/>
      <c r="E64" s="146"/>
    </row>
    <row r="65" spans="3:5">
      <c r="C65" s="146"/>
      <c r="D65" s="146"/>
      <c r="E65" s="146"/>
    </row>
    <row r="66" spans="3:5">
      <c r="C66" s="146"/>
      <c r="D66" s="146"/>
      <c r="E66" s="146"/>
    </row>
    <row r="67" spans="3:5">
      <c r="C67" s="146"/>
      <c r="D67" s="146"/>
      <c r="E67" s="146"/>
    </row>
    <row r="68" spans="3:5">
      <c r="C68" s="146"/>
      <c r="D68" s="146"/>
      <c r="E68" s="146"/>
    </row>
    <row r="69" spans="3:5">
      <c r="C69" s="146"/>
      <c r="D69" s="146"/>
      <c r="E69" s="146"/>
    </row>
    <row r="70" spans="3:5">
      <c r="C70" s="146"/>
      <c r="D70" s="146"/>
      <c r="E70" s="146"/>
    </row>
    <row r="71" spans="3:5">
      <c r="C71" s="146"/>
      <c r="D71" s="146"/>
      <c r="E71" s="146"/>
    </row>
    <row r="72" spans="3:5">
      <c r="C72" s="146"/>
      <c r="D72" s="146"/>
      <c r="E72" s="146"/>
    </row>
    <row r="73" spans="3:5">
      <c r="C73" s="146"/>
      <c r="D73" s="146"/>
      <c r="E73" s="146"/>
    </row>
    <row r="74" spans="3:5">
      <c r="C74" s="146"/>
      <c r="D74" s="146"/>
      <c r="E74" s="146"/>
    </row>
    <row r="75" spans="3:5">
      <c r="C75" s="146"/>
      <c r="D75" s="146"/>
      <c r="E75" s="146"/>
    </row>
    <row r="76" spans="3:5">
      <c r="C76" s="146"/>
      <c r="D76" s="146"/>
      <c r="E76" s="146"/>
    </row>
    <row r="77" spans="3:5">
      <c r="C77" s="146"/>
      <c r="D77" s="146"/>
      <c r="E77" s="146"/>
    </row>
    <row r="78" spans="3:5">
      <c r="C78" s="146"/>
      <c r="D78" s="146"/>
      <c r="E78" s="146"/>
    </row>
    <row r="79" spans="3:5">
      <c r="C79" s="146"/>
      <c r="D79" s="146"/>
      <c r="E79" s="146"/>
    </row>
    <row r="80" spans="3:5">
      <c r="C80" s="146"/>
      <c r="D80" s="146"/>
      <c r="E80" s="146"/>
    </row>
    <row r="81" spans="3:5">
      <c r="C81" s="146"/>
      <c r="D81" s="146"/>
      <c r="E81" s="146"/>
    </row>
    <row r="82" spans="3:5">
      <c r="C82" s="146"/>
      <c r="D82" s="146"/>
      <c r="E82" s="146"/>
    </row>
    <row r="83" spans="3:5">
      <c r="C83" s="146"/>
      <c r="D83" s="146"/>
      <c r="E83" s="146"/>
    </row>
    <row r="84" spans="3:5">
      <c r="C84" s="146"/>
      <c r="D84" s="146"/>
      <c r="E84" s="146"/>
    </row>
    <row r="85" spans="3:5">
      <c r="C85" s="146"/>
      <c r="D85" s="146"/>
      <c r="E85" s="146"/>
    </row>
    <row r="86" spans="3:5">
      <c r="C86" s="146"/>
      <c r="D86" s="146"/>
      <c r="E86" s="146"/>
    </row>
    <row r="87" spans="3:5">
      <c r="C87" s="146"/>
      <c r="D87" s="146"/>
      <c r="E87" s="146"/>
    </row>
    <row r="88" spans="3:5">
      <c r="C88" s="146"/>
      <c r="D88" s="146"/>
      <c r="E88" s="146"/>
    </row>
    <row r="89" spans="3:5">
      <c r="C89" s="146"/>
      <c r="D89" s="146"/>
      <c r="E89" s="146"/>
    </row>
    <row r="90" spans="3:5">
      <c r="C90" s="146"/>
      <c r="D90" s="146"/>
      <c r="E90" s="146"/>
    </row>
    <row r="91" spans="3:5">
      <c r="C91" s="146"/>
      <c r="D91" s="146"/>
      <c r="E91" s="1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E42" rgbClr="9CC92C"/>
    <comment s:ref="J42" rgbClr="9CC92C"/>
    <comment s:ref="N42" rgbClr="9CC92C"/>
    <comment s:ref="P42" rgbClr="9CC92C"/>
    <comment s:ref="R42" rgbClr="9CC92C"/>
    <comment s:ref="J43" rgbClr="9CC92C"/>
    <comment s:ref="J44" rgbClr="9CC92C"/>
    <comment s:ref="J46" rgbClr="9CC92C"/>
    <comment s:ref="H60" rgbClr="9CC92C"/>
    <comment s:ref="N63" rgbClr="9CC92C"/>
    <comment s:ref="P63" rgbClr="9CC92C"/>
    <comment s:ref="R63" rgbClr="9CC92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Disnakerkop,UKP</vt:lpstr>
      <vt:lpstr>TW 3</vt:lpstr>
      <vt:lpstr>TW 4</vt:lpstr>
      <vt:lpstr>Sheet1</vt:lpstr>
      <vt:lpstr>'Disnakerkop,UKP'!Print_Area</vt:lpstr>
      <vt:lpstr>'Disnakerkop,UKP'!Print_Titles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PE</cp:lastModifiedBy>
  <cp:lastPrinted>2020-10-14T02:26:00Z</cp:lastPrinted>
  <dcterms:created xsi:type="dcterms:W3CDTF">2020-03-18T05:59:00Z</dcterms:created>
  <dcterms:modified xsi:type="dcterms:W3CDTF">2023-01-12T07:52:57Z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8AA7A855E6CA41C7BB3359E57155BA36</vt:lpwstr>
  </property>
</Properties>
</file>