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E\Downloads\Evalusi Renja TW IV 2022 Ori\"/>
    </mc:Choice>
  </mc:AlternateContent>
  <xr:revisionPtr revIDLastSave="0" documentId="13_ncr:1_{31DBFD21-10E7-4A12-B19A-19BA4A518B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nas Kesehatan" sheetId="1" r:id="rId1"/>
  </sheets>
  <calcPr calcId="191029"/>
</workbook>
</file>

<file path=xl/calcChain.xml><?xml version="1.0" encoding="utf-8"?>
<calcChain xmlns="http://schemas.openxmlformats.org/spreadsheetml/2006/main">
  <c r="T486" i="1" l="1"/>
  <c r="U486" i="1" s="1"/>
  <c r="T484" i="1"/>
  <c r="U494" i="1"/>
  <c r="S511" i="1"/>
  <c r="S508" i="1"/>
  <c r="S506" i="1"/>
  <c r="S504" i="1"/>
  <c r="S497" i="1" l="1"/>
  <c r="S496" i="1" s="1"/>
  <c r="T479" i="1"/>
  <c r="Q471" i="1"/>
  <c r="S471" i="1" s="1"/>
  <c r="S470" i="1"/>
  <c r="S468" i="1"/>
  <c r="T467" i="1"/>
  <c r="Q466" i="1"/>
  <c r="S439" i="1"/>
  <c r="S295" i="1"/>
  <c r="T295" i="1"/>
  <c r="S276" i="1" l="1"/>
  <c r="S255" i="1"/>
  <c r="S240" i="1"/>
  <c r="S237" i="1"/>
  <c r="S212" i="1"/>
  <c r="S168" i="1"/>
  <c r="S146" i="1"/>
  <c r="S115" i="1"/>
  <c r="R65" i="1"/>
  <c r="N88" i="1"/>
  <c r="P88" i="1" s="1"/>
  <c r="R84" i="1"/>
  <c r="N83" i="1"/>
  <c r="T79" i="1"/>
  <c r="U79" i="1" s="1"/>
  <c r="W79" i="1"/>
  <c r="X79" i="1" s="1"/>
  <c r="S77" i="1"/>
  <c r="S76" i="1"/>
  <c r="S75" i="1"/>
  <c r="R75" i="1"/>
  <c r="S72" i="1"/>
  <c r="R88" i="1" l="1"/>
  <c r="P83" i="1"/>
  <c r="R83" i="1" s="1"/>
  <c r="T45" i="1" l="1"/>
  <c r="T46" i="1"/>
  <c r="W534" i="1"/>
  <c r="AA534" i="1" s="1"/>
  <c r="AD534" i="1" s="1"/>
  <c r="T534" i="1"/>
  <c r="Z534" i="1" s="1"/>
  <c r="AB534" i="1" s="1"/>
  <c r="W533" i="1"/>
  <c r="X533" i="1" s="1"/>
  <c r="T533" i="1"/>
  <c r="W532" i="1"/>
  <c r="AA532" i="1" s="1"/>
  <c r="AD532" i="1" s="1"/>
  <c r="T532" i="1"/>
  <c r="Z532" i="1" s="1"/>
  <c r="AB532" i="1" s="1"/>
  <c r="W531" i="1"/>
  <c r="X531" i="1" s="1"/>
  <c r="T531" i="1"/>
  <c r="W530" i="1"/>
  <c r="AA530" i="1" s="1"/>
  <c r="AD530" i="1" s="1"/>
  <c r="T530" i="1"/>
  <c r="Z530" i="1" s="1"/>
  <c r="AB530" i="1" s="1"/>
  <c r="W529" i="1"/>
  <c r="X529" i="1" s="1"/>
  <c r="T529" i="1"/>
  <c r="W528" i="1"/>
  <c r="T528" i="1"/>
  <c r="Z528" i="1" s="1"/>
  <c r="AB528" i="1" s="1"/>
  <c r="W527" i="1"/>
  <c r="T527" i="1"/>
  <c r="W526" i="1"/>
  <c r="AA526" i="1" s="1"/>
  <c r="AD526" i="1" s="1"/>
  <c r="T526" i="1"/>
  <c r="Z526" i="1" s="1"/>
  <c r="AB526" i="1" s="1"/>
  <c r="W525" i="1"/>
  <c r="X525" i="1" s="1"/>
  <c r="T525" i="1"/>
  <c r="W524" i="1"/>
  <c r="AA524" i="1" s="1"/>
  <c r="AD524" i="1" s="1"/>
  <c r="T524" i="1"/>
  <c r="Z524" i="1" s="1"/>
  <c r="AB524" i="1" s="1"/>
  <c r="W523" i="1"/>
  <c r="X523" i="1" s="1"/>
  <c r="T523" i="1"/>
  <c r="W522" i="1"/>
  <c r="AA522" i="1" s="1"/>
  <c r="AD522" i="1" s="1"/>
  <c r="T522" i="1"/>
  <c r="Z522" i="1" s="1"/>
  <c r="AB522" i="1" s="1"/>
  <c r="W521" i="1"/>
  <c r="X521" i="1" s="1"/>
  <c r="T521" i="1"/>
  <c r="W520" i="1"/>
  <c r="T520" i="1"/>
  <c r="Z520" i="1" s="1"/>
  <c r="AB520" i="1" s="1"/>
  <c r="W519" i="1"/>
  <c r="T519" i="1"/>
  <c r="W518" i="1"/>
  <c r="X518" i="1" s="1"/>
  <c r="T518" i="1"/>
  <c r="Z518" i="1" s="1"/>
  <c r="AB518" i="1" s="1"/>
  <c r="W517" i="1"/>
  <c r="AA517" i="1" s="1"/>
  <c r="AD517" i="1" s="1"/>
  <c r="T517" i="1"/>
  <c r="Z517" i="1" s="1"/>
  <c r="AB517" i="1" s="1"/>
  <c r="W516" i="1"/>
  <c r="AA516" i="1" s="1"/>
  <c r="AD516" i="1" s="1"/>
  <c r="T516" i="1"/>
  <c r="T515" i="1"/>
  <c r="Z515" i="1" s="1"/>
  <c r="AB515" i="1" s="1"/>
  <c r="Q515" i="1"/>
  <c r="S515" i="1" s="1"/>
  <c r="S514" i="1" s="1"/>
  <c r="S509" i="1" s="1"/>
  <c r="T514" i="1"/>
  <c r="U514" i="1" s="1"/>
  <c r="O514" i="1"/>
  <c r="M514" i="1"/>
  <c r="K514" i="1"/>
  <c r="I514" i="1"/>
  <c r="G514" i="1"/>
  <c r="T513" i="1"/>
  <c r="Q513" i="1"/>
  <c r="G513" i="1"/>
  <c r="G512" i="1" s="1"/>
  <c r="T512" i="1"/>
  <c r="U512" i="1" s="1"/>
  <c r="O512" i="1"/>
  <c r="M512" i="1"/>
  <c r="K512" i="1"/>
  <c r="I512" i="1"/>
  <c r="W511" i="1"/>
  <c r="T511" i="1"/>
  <c r="T510" i="1"/>
  <c r="U510" i="1" s="1"/>
  <c r="Q510" i="1"/>
  <c r="O510" i="1"/>
  <c r="M510" i="1"/>
  <c r="K510" i="1"/>
  <c r="I510" i="1"/>
  <c r="G510" i="1"/>
  <c r="T509" i="1"/>
  <c r="U509" i="1" s="1"/>
  <c r="W508" i="1"/>
  <c r="T508" i="1"/>
  <c r="U508" i="1" s="1"/>
  <c r="S507" i="1"/>
  <c r="Q507" i="1"/>
  <c r="O507" i="1"/>
  <c r="N507" i="1"/>
  <c r="M507" i="1"/>
  <c r="K507" i="1"/>
  <c r="W506" i="1"/>
  <c r="X506" i="1" s="1"/>
  <c r="T506" i="1"/>
  <c r="E506" i="1"/>
  <c r="S505" i="1"/>
  <c r="Q505" i="1"/>
  <c r="O505" i="1"/>
  <c r="M505" i="1"/>
  <c r="K505" i="1"/>
  <c r="E505" i="1"/>
  <c r="W504" i="1"/>
  <c r="T504" i="1"/>
  <c r="U504" i="1" s="1"/>
  <c r="S503" i="1"/>
  <c r="T503" i="1"/>
  <c r="U503" i="1" s="1"/>
  <c r="Q503" i="1"/>
  <c r="O503" i="1"/>
  <c r="M503" i="1"/>
  <c r="K503" i="1"/>
  <c r="I503" i="1"/>
  <c r="G503" i="1"/>
  <c r="T502" i="1"/>
  <c r="U502" i="1" s="1"/>
  <c r="Q502" i="1"/>
  <c r="E502" i="1"/>
  <c r="O501" i="1"/>
  <c r="N501" i="1"/>
  <c r="M501" i="1"/>
  <c r="K501" i="1"/>
  <c r="I501" i="1"/>
  <c r="G501" i="1"/>
  <c r="W500" i="1"/>
  <c r="T500" i="1"/>
  <c r="Z500" i="1" s="1"/>
  <c r="AB500" i="1" s="1"/>
  <c r="S499" i="1"/>
  <c r="Q499" i="1"/>
  <c r="P499" i="1"/>
  <c r="O499" i="1"/>
  <c r="N499" i="1"/>
  <c r="M499" i="1"/>
  <c r="K499" i="1"/>
  <c r="I499" i="1"/>
  <c r="G499" i="1"/>
  <c r="W497" i="1"/>
  <c r="X497" i="1" s="1"/>
  <c r="T497" i="1"/>
  <c r="Z497" i="1" s="1"/>
  <c r="E497" i="1"/>
  <c r="T496" i="1"/>
  <c r="Q496" i="1"/>
  <c r="O496" i="1"/>
  <c r="M496" i="1"/>
  <c r="K496" i="1"/>
  <c r="I496" i="1"/>
  <c r="G496" i="1"/>
  <c r="W495" i="1"/>
  <c r="T495" i="1"/>
  <c r="W494" i="1"/>
  <c r="T494" i="1"/>
  <c r="W493" i="1"/>
  <c r="T493" i="1"/>
  <c r="Z492" i="1"/>
  <c r="AB492" i="1" s="1"/>
  <c r="W492" i="1"/>
  <c r="U492" i="1"/>
  <c r="W491" i="1"/>
  <c r="AA491" i="1" s="1"/>
  <c r="AD491" i="1" s="1"/>
  <c r="T491" i="1"/>
  <c r="Z491" i="1" s="1"/>
  <c r="AB491" i="1" s="1"/>
  <c r="W490" i="1"/>
  <c r="AA490" i="1" s="1"/>
  <c r="AD490" i="1" s="1"/>
  <c r="T490" i="1"/>
  <c r="W489" i="1"/>
  <c r="T489" i="1"/>
  <c r="Z489" i="1" s="1"/>
  <c r="AB489" i="1" s="1"/>
  <c r="W488" i="1"/>
  <c r="T488" i="1"/>
  <c r="W487" i="1"/>
  <c r="T487" i="1"/>
  <c r="Z487" i="1" s="1"/>
  <c r="AB487" i="1" s="1"/>
  <c r="W486" i="1"/>
  <c r="AA486" i="1" s="1"/>
  <c r="AD486" i="1" s="1"/>
  <c r="W485" i="1"/>
  <c r="T485" i="1"/>
  <c r="Z485" i="1" s="1"/>
  <c r="AB485" i="1" s="1"/>
  <c r="W484" i="1"/>
  <c r="Z484" i="1"/>
  <c r="AB484" i="1" s="1"/>
  <c r="W483" i="1"/>
  <c r="AA483" i="1" s="1"/>
  <c r="AD483" i="1" s="1"/>
  <c r="T483" i="1"/>
  <c r="Z483" i="1" s="1"/>
  <c r="AB483" i="1" s="1"/>
  <c r="W482" i="1"/>
  <c r="AA482" i="1" s="1"/>
  <c r="AD482" i="1" s="1"/>
  <c r="T482" i="1"/>
  <c r="W481" i="1"/>
  <c r="X481" i="1" s="1"/>
  <c r="T481" i="1"/>
  <c r="W480" i="1"/>
  <c r="T480" i="1"/>
  <c r="W479" i="1"/>
  <c r="AA479" i="1" s="1"/>
  <c r="AD479" i="1" s="1"/>
  <c r="U479" i="1"/>
  <c r="W478" i="1"/>
  <c r="AA478" i="1" s="1"/>
  <c r="AD478" i="1" s="1"/>
  <c r="T478" i="1"/>
  <c r="W477" i="1"/>
  <c r="AA477" i="1" s="1"/>
  <c r="AD477" i="1" s="1"/>
  <c r="T477" i="1"/>
  <c r="W476" i="1"/>
  <c r="X476" i="1" s="1"/>
  <c r="T476" i="1"/>
  <c r="Z476" i="1" s="1"/>
  <c r="AB476" i="1" s="1"/>
  <c r="W475" i="1"/>
  <c r="X475" i="1" s="1"/>
  <c r="T475" i="1"/>
  <c r="T474" i="1"/>
  <c r="Z474" i="1" s="1"/>
  <c r="AB474" i="1" s="1"/>
  <c r="M474" i="1"/>
  <c r="T473" i="1"/>
  <c r="Z473" i="1" s="1"/>
  <c r="AB473" i="1" s="1"/>
  <c r="K473" i="1"/>
  <c r="I473" i="1"/>
  <c r="G473" i="1"/>
  <c r="W471" i="1"/>
  <c r="X471" i="1" s="1"/>
  <c r="T471" i="1"/>
  <c r="Z471" i="1" s="1"/>
  <c r="AB471" i="1" s="1"/>
  <c r="W470" i="1"/>
  <c r="T470" i="1"/>
  <c r="T469" i="1"/>
  <c r="Q469" i="1"/>
  <c r="O469" i="1"/>
  <c r="M469" i="1"/>
  <c r="K469" i="1"/>
  <c r="I469" i="1"/>
  <c r="G469" i="1"/>
  <c r="W468" i="1"/>
  <c r="T468" i="1"/>
  <c r="G468" i="1"/>
  <c r="G466" i="1" s="1"/>
  <c r="W467" i="1"/>
  <c r="AA467" i="1" s="1"/>
  <c r="AD467" i="1" s="1"/>
  <c r="U467" i="1"/>
  <c r="E467" i="1"/>
  <c r="T466" i="1"/>
  <c r="O466" i="1"/>
  <c r="M466" i="1"/>
  <c r="K466" i="1"/>
  <c r="I466" i="1"/>
  <c r="AA465" i="1"/>
  <c r="AD465" i="1" s="1"/>
  <c r="Z465" i="1"/>
  <c r="AB465" i="1" s="1"/>
  <c r="W464" i="1"/>
  <c r="AA464" i="1" s="1"/>
  <c r="AD464" i="1" s="1"/>
  <c r="T464" i="1"/>
  <c r="T463" i="1"/>
  <c r="U463" i="1" s="1"/>
  <c r="Q463" i="1"/>
  <c r="W462" i="1"/>
  <c r="X462" i="1" s="1"/>
  <c r="T462" i="1"/>
  <c r="Z462" i="1" s="1"/>
  <c r="AB462" i="1" s="1"/>
  <c r="W461" i="1"/>
  <c r="T461" i="1"/>
  <c r="W460" i="1"/>
  <c r="AA460" i="1" s="1"/>
  <c r="AD460" i="1" s="1"/>
  <c r="T460" i="1"/>
  <c r="U460" i="1" s="1"/>
  <c r="W459" i="1"/>
  <c r="AA459" i="1" s="1"/>
  <c r="AD459" i="1" s="1"/>
  <c r="T459" i="1"/>
  <c r="U459" i="1" s="1"/>
  <c r="W458" i="1"/>
  <c r="AA458" i="1" s="1"/>
  <c r="AD458" i="1" s="1"/>
  <c r="T458" i="1"/>
  <c r="W457" i="1"/>
  <c r="T457" i="1"/>
  <c r="W456" i="1"/>
  <c r="T456" i="1"/>
  <c r="W455" i="1"/>
  <c r="T455" i="1"/>
  <c r="U455" i="1" s="1"/>
  <c r="W454" i="1"/>
  <c r="T454" i="1"/>
  <c r="W453" i="1"/>
  <c r="X453" i="1" s="1"/>
  <c r="T453" i="1"/>
  <c r="Z453" i="1" s="1"/>
  <c r="AB453" i="1" s="1"/>
  <c r="W452" i="1"/>
  <c r="T452" i="1"/>
  <c r="U452" i="1" s="1"/>
  <c r="W451" i="1"/>
  <c r="AA451" i="1" s="1"/>
  <c r="AD451" i="1" s="1"/>
  <c r="T451" i="1"/>
  <c r="U451" i="1" s="1"/>
  <c r="W450" i="1"/>
  <c r="T450" i="1"/>
  <c r="Z450" i="1" s="1"/>
  <c r="AB450" i="1" s="1"/>
  <c r="W449" i="1"/>
  <c r="X449" i="1" s="1"/>
  <c r="T449" i="1"/>
  <c r="W448" i="1"/>
  <c r="X448" i="1" s="1"/>
  <c r="T448" i="1"/>
  <c r="W447" i="1"/>
  <c r="T447" i="1"/>
  <c r="U447" i="1" s="1"/>
  <c r="W446" i="1"/>
  <c r="T446" i="1"/>
  <c r="W445" i="1"/>
  <c r="X445" i="1" s="1"/>
  <c r="T445" i="1"/>
  <c r="W444" i="1"/>
  <c r="T444" i="1"/>
  <c r="U444" i="1" s="1"/>
  <c r="AD443" i="1"/>
  <c r="W443" i="1"/>
  <c r="T443" i="1"/>
  <c r="Z443" i="1" s="1"/>
  <c r="AB443" i="1" s="1"/>
  <c r="W442" i="1"/>
  <c r="T442" i="1"/>
  <c r="Z442" i="1" s="1"/>
  <c r="AB442" i="1" s="1"/>
  <c r="T441" i="1"/>
  <c r="O441" i="1"/>
  <c r="E441" i="1"/>
  <c r="W440" i="1"/>
  <c r="T440" i="1"/>
  <c r="Z440" i="1" s="1"/>
  <c r="AB440" i="1" s="1"/>
  <c r="G440" i="1"/>
  <c r="T439" i="1"/>
  <c r="W438" i="1"/>
  <c r="T438" i="1"/>
  <c r="Z438" i="1" s="1"/>
  <c r="AB438" i="1" s="1"/>
  <c r="W437" i="1"/>
  <c r="AA437" i="1" s="1"/>
  <c r="AD437" i="1" s="1"/>
  <c r="T437" i="1"/>
  <c r="U437" i="1" s="1"/>
  <c r="W436" i="1"/>
  <c r="T436" i="1"/>
  <c r="U436" i="1" s="1"/>
  <c r="W435" i="1"/>
  <c r="AA435" i="1" s="1"/>
  <c r="AD435" i="1" s="1"/>
  <c r="T435" i="1"/>
  <c r="Z435" i="1" s="1"/>
  <c r="AB435" i="1" s="1"/>
  <c r="W434" i="1"/>
  <c r="X434" i="1" s="1"/>
  <c r="T434" i="1"/>
  <c r="U434" i="1" s="1"/>
  <c r="W433" i="1"/>
  <c r="X433" i="1" s="1"/>
  <c r="T433" i="1"/>
  <c r="W432" i="1"/>
  <c r="T432" i="1"/>
  <c r="U432" i="1" s="1"/>
  <c r="W431" i="1"/>
  <c r="T431" i="1"/>
  <c r="U431" i="1" s="1"/>
  <c r="W430" i="1"/>
  <c r="T430" i="1"/>
  <c r="U430" i="1" s="1"/>
  <c r="W429" i="1"/>
  <c r="AA429" i="1" s="1"/>
  <c r="AD429" i="1" s="1"/>
  <c r="T429" i="1"/>
  <c r="U429" i="1" s="1"/>
  <c r="W428" i="1"/>
  <c r="AA428" i="1" s="1"/>
  <c r="AD428" i="1" s="1"/>
  <c r="T428" i="1"/>
  <c r="U428" i="1" s="1"/>
  <c r="W427" i="1"/>
  <c r="AA427" i="1" s="1"/>
  <c r="AD427" i="1" s="1"/>
  <c r="T427" i="1"/>
  <c r="U427" i="1" s="1"/>
  <c r="W426" i="1"/>
  <c r="T426" i="1"/>
  <c r="U426" i="1" s="1"/>
  <c r="W425" i="1"/>
  <c r="T425" i="1"/>
  <c r="U425" i="1" s="1"/>
  <c r="W424" i="1"/>
  <c r="AA424" i="1" s="1"/>
  <c r="AD424" i="1" s="1"/>
  <c r="T424" i="1"/>
  <c r="U424" i="1" s="1"/>
  <c r="W423" i="1"/>
  <c r="AA423" i="1" s="1"/>
  <c r="AD423" i="1" s="1"/>
  <c r="T423" i="1"/>
  <c r="U423" i="1" s="1"/>
  <c r="W422" i="1"/>
  <c r="T422" i="1"/>
  <c r="U422" i="1" s="1"/>
  <c r="W421" i="1"/>
  <c r="AA421" i="1" s="1"/>
  <c r="AD421" i="1" s="1"/>
  <c r="T421" i="1"/>
  <c r="U421" i="1" s="1"/>
  <c r="W420" i="1"/>
  <c r="AA420" i="1" s="1"/>
  <c r="AD420" i="1" s="1"/>
  <c r="T420" i="1"/>
  <c r="U420" i="1" s="1"/>
  <c r="W419" i="1"/>
  <c r="AA419" i="1" s="1"/>
  <c r="AD419" i="1" s="1"/>
  <c r="T419" i="1"/>
  <c r="U419" i="1" s="1"/>
  <c r="W418" i="1"/>
  <c r="T418" i="1"/>
  <c r="U418" i="1" s="1"/>
  <c r="T417" i="1"/>
  <c r="U417" i="1" s="1"/>
  <c r="Q417" i="1"/>
  <c r="S417" i="1" s="1"/>
  <c r="E417" i="1"/>
  <c r="W416" i="1"/>
  <c r="T416" i="1"/>
  <c r="W415" i="1"/>
  <c r="T415" i="1"/>
  <c r="Z415" i="1" s="1"/>
  <c r="AB415" i="1" s="1"/>
  <c r="W414" i="1"/>
  <c r="T414" i="1"/>
  <c r="Z414" i="1" s="1"/>
  <c r="AB414" i="1" s="1"/>
  <c r="W413" i="1"/>
  <c r="X413" i="1" s="1"/>
  <c r="T413" i="1"/>
  <c r="Z413" i="1" s="1"/>
  <c r="AB413" i="1" s="1"/>
  <c r="W412" i="1"/>
  <c r="T412" i="1"/>
  <c r="Z412" i="1" s="1"/>
  <c r="AB412" i="1" s="1"/>
  <c r="W411" i="1"/>
  <c r="X411" i="1" s="1"/>
  <c r="T411" i="1"/>
  <c r="Z411" i="1" s="1"/>
  <c r="AB411" i="1" s="1"/>
  <c r="W410" i="1"/>
  <c r="X410" i="1" s="1"/>
  <c r="T410" i="1"/>
  <c r="Z410" i="1" s="1"/>
  <c r="AB410" i="1" s="1"/>
  <c r="W409" i="1"/>
  <c r="X409" i="1" s="1"/>
  <c r="T409" i="1"/>
  <c r="W408" i="1"/>
  <c r="T408" i="1"/>
  <c r="Z408" i="1" s="1"/>
  <c r="AB408" i="1" s="1"/>
  <c r="W407" i="1"/>
  <c r="X407" i="1" s="1"/>
  <c r="T407" i="1"/>
  <c r="Z407" i="1" s="1"/>
  <c r="AB407" i="1" s="1"/>
  <c r="W406" i="1"/>
  <c r="T406" i="1"/>
  <c r="Z406" i="1" s="1"/>
  <c r="AB406" i="1" s="1"/>
  <c r="W405" i="1"/>
  <c r="X405" i="1" s="1"/>
  <c r="T405" i="1"/>
  <c r="Z405" i="1" s="1"/>
  <c r="AB405" i="1" s="1"/>
  <c r="W404" i="1"/>
  <c r="T404" i="1"/>
  <c r="W403" i="1"/>
  <c r="X403" i="1" s="1"/>
  <c r="T403" i="1"/>
  <c r="T402" i="1"/>
  <c r="Z402" i="1" s="1"/>
  <c r="AB402" i="1" s="1"/>
  <c r="O402" i="1"/>
  <c r="G402" i="1"/>
  <c r="W401" i="1"/>
  <c r="X401" i="1" s="1"/>
  <c r="T401" i="1"/>
  <c r="Z401" i="1" s="1"/>
  <c r="AB401" i="1" s="1"/>
  <c r="W400" i="1"/>
  <c r="T400" i="1"/>
  <c r="Z400" i="1" s="1"/>
  <c r="AB400" i="1" s="1"/>
  <c r="W399" i="1"/>
  <c r="T399" i="1"/>
  <c r="Z399" i="1" s="1"/>
  <c r="AB399" i="1" s="1"/>
  <c r="W398" i="1"/>
  <c r="X398" i="1" s="1"/>
  <c r="T398" i="1"/>
  <c r="W397" i="1"/>
  <c r="X397" i="1" s="1"/>
  <c r="T397" i="1"/>
  <c r="W396" i="1"/>
  <c r="X396" i="1" s="1"/>
  <c r="T396" i="1"/>
  <c r="W395" i="1"/>
  <c r="T395" i="1"/>
  <c r="Z395" i="1" s="1"/>
  <c r="AB395" i="1" s="1"/>
  <c r="W394" i="1"/>
  <c r="T394" i="1"/>
  <c r="W393" i="1"/>
  <c r="T393" i="1"/>
  <c r="Z393" i="1" s="1"/>
  <c r="AB393" i="1" s="1"/>
  <c r="W392" i="1"/>
  <c r="T392" i="1"/>
  <c r="Z392" i="1" s="1"/>
  <c r="AB392" i="1" s="1"/>
  <c r="W391" i="1"/>
  <c r="T391" i="1"/>
  <c r="Z391" i="1" s="1"/>
  <c r="AB391" i="1" s="1"/>
  <c r="W390" i="1"/>
  <c r="X390" i="1" s="1"/>
  <c r="T390" i="1"/>
  <c r="W389" i="1"/>
  <c r="X389" i="1" s="1"/>
  <c r="T389" i="1"/>
  <c r="W388" i="1"/>
  <c r="T388" i="1"/>
  <c r="W387" i="1"/>
  <c r="T387" i="1"/>
  <c r="W386" i="1"/>
  <c r="X386" i="1" s="1"/>
  <c r="T386" i="1"/>
  <c r="Z386" i="1" s="1"/>
  <c r="AB386" i="1" s="1"/>
  <c r="W385" i="1"/>
  <c r="T385" i="1"/>
  <c r="Z385" i="1" s="1"/>
  <c r="AB385" i="1" s="1"/>
  <c r="W384" i="1"/>
  <c r="X384" i="1" s="1"/>
  <c r="T384" i="1"/>
  <c r="Z384" i="1" s="1"/>
  <c r="AB384" i="1" s="1"/>
  <c r="W383" i="1"/>
  <c r="T383" i="1"/>
  <c r="Z383" i="1" s="1"/>
  <c r="AB383" i="1" s="1"/>
  <c r="W382" i="1"/>
  <c r="X382" i="1" s="1"/>
  <c r="T382" i="1"/>
  <c r="Z382" i="1" s="1"/>
  <c r="AB382" i="1" s="1"/>
  <c r="W381" i="1"/>
  <c r="X381" i="1" s="1"/>
  <c r="T381" i="1"/>
  <c r="Z381" i="1" s="1"/>
  <c r="AB381" i="1" s="1"/>
  <c r="W380" i="1"/>
  <c r="X380" i="1" s="1"/>
  <c r="T380" i="1"/>
  <c r="Z380" i="1" s="1"/>
  <c r="AB380" i="1" s="1"/>
  <c r="T379" i="1"/>
  <c r="U379" i="1" s="1"/>
  <c r="O379" i="1"/>
  <c r="S379" i="1" s="1"/>
  <c r="G379" i="1"/>
  <c r="W378" i="1"/>
  <c r="T378" i="1"/>
  <c r="W377" i="1"/>
  <c r="T377" i="1"/>
  <c r="Z377" i="1" s="1"/>
  <c r="AB377" i="1" s="1"/>
  <c r="W376" i="1"/>
  <c r="T376" i="1"/>
  <c r="W375" i="1"/>
  <c r="T375" i="1"/>
  <c r="Z375" i="1" s="1"/>
  <c r="AB375" i="1" s="1"/>
  <c r="W374" i="1"/>
  <c r="T374" i="1"/>
  <c r="W373" i="1"/>
  <c r="T373" i="1"/>
  <c r="Z373" i="1" s="1"/>
  <c r="AB373" i="1" s="1"/>
  <c r="W372" i="1"/>
  <c r="T372" i="1"/>
  <c r="W371" i="1"/>
  <c r="T371" i="1"/>
  <c r="Z371" i="1" s="1"/>
  <c r="AB371" i="1" s="1"/>
  <c r="W370" i="1"/>
  <c r="T370" i="1"/>
  <c r="W369" i="1"/>
  <c r="T369" i="1"/>
  <c r="W368" i="1"/>
  <c r="T368" i="1"/>
  <c r="W367" i="1"/>
  <c r="T367" i="1"/>
  <c r="Z367" i="1" s="1"/>
  <c r="AB367" i="1" s="1"/>
  <c r="W366" i="1"/>
  <c r="T366" i="1"/>
  <c r="W365" i="1"/>
  <c r="T365" i="1"/>
  <c r="Z365" i="1" s="1"/>
  <c r="AB365" i="1" s="1"/>
  <c r="W364" i="1"/>
  <c r="T364" i="1"/>
  <c r="W363" i="1"/>
  <c r="T363" i="1"/>
  <c r="Z363" i="1" s="1"/>
  <c r="AB363" i="1" s="1"/>
  <c r="W362" i="1"/>
  <c r="T362" i="1"/>
  <c r="W361" i="1"/>
  <c r="T361" i="1"/>
  <c r="Z361" i="1" s="1"/>
  <c r="AB361" i="1" s="1"/>
  <c r="W360" i="1"/>
  <c r="AA360" i="1" s="1"/>
  <c r="AD360" i="1" s="1"/>
  <c r="T360" i="1"/>
  <c r="U360" i="1" s="1"/>
  <c r="W359" i="1"/>
  <c r="AA359" i="1" s="1"/>
  <c r="AD359" i="1" s="1"/>
  <c r="T359" i="1"/>
  <c r="Z359" i="1" s="1"/>
  <c r="AB359" i="1" s="1"/>
  <c r="W358" i="1"/>
  <c r="X358" i="1" s="1"/>
  <c r="T358" i="1"/>
  <c r="T357" i="1"/>
  <c r="Q357" i="1"/>
  <c r="W356" i="1"/>
  <c r="T356" i="1"/>
  <c r="Z356" i="1" s="1"/>
  <c r="AB356" i="1" s="1"/>
  <c r="W355" i="1"/>
  <c r="X355" i="1" s="1"/>
  <c r="T355" i="1"/>
  <c r="Z355" i="1" s="1"/>
  <c r="AB355" i="1" s="1"/>
  <c r="W354" i="1"/>
  <c r="X354" i="1" s="1"/>
  <c r="T354" i="1"/>
  <c r="W353" i="1"/>
  <c r="X353" i="1" s="1"/>
  <c r="T353" i="1"/>
  <c r="Z353" i="1" s="1"/>
  <c r="AB353" i="1" s="1"/>
  <c r="W352" i="1"/>
  <c r="T352" i="1"/>
  <c r="W351" i="1"/>
  <c r="X351" i="1" s="1"/>
  <c r="T351" i="1"/>
  <c r="Z351" i="1" s="1"/>
  <c r="AB351" i="1" s="1"/>
  <c r="W350" i="1"/>
  <c r="T350" i="1"/>
  <c r="Z350" i="1" s="1"/>
  <c r="AB350" i="1" s="1"/>
  <c r="W349" i="1"/>
  <c r="X349" i="1" s="1"/>
  <c r="T349" i="1"/>
  <c r="Z349" i="1" s="1"/>
  <c r="AB349" i="1" s="1"/>
  <c r="W348" i="1"/>
  <c r="T348" i="1"/>
  <c r="Z348" i="1" s="1"/>
  <c r="AB348" i="1" s="1"/>
  <c r="W347" i="1"/>
  <c r="X347" i="1" s="1"/>
  <c r="T347" i="1"/>
  <c r="Z347" i="1" s="1"/>
  <c r="AB347" i="1" s="1"/>
  <c r="W346" i="1"/>
  <c r="X346" i="1" s="1"/>
  <c r="T346" i="1"/>
  <c r="Z346" i="1" s="1"/>
  <c r="AB346" i="1" s="1"/>
  <c r="W345" i="1"/>
  <c r="X345" i="1" s="1"/>
  <c r="T345" i="1"/>
  <c r="Z345" i="1" s="1"/>
  <c r="AB345" i="1" s="1"/>
  <c r="W344" i="1"/>
  <c r="T344" i="1"/>
  <c r="W343" i="1"/>
  <c r="X343" i="1" s="1"/>
  <c r="T343" i="1"/>
  <c r="Z343" i="1" s="1"/>
  <c r="AB343" i="1" s="1"/>
  <c r="W342" i="1"/>
  <c r="X342" i="1" s="1"/>
  <c r="T342" i="1"/>
  <c r="Z342" i="1" s="1"/>
  <c r="AB342" i="1" s="1"/>
  <c r="W341" i="1"/>
  <c r="X341" i="1" s="1"/>
  <c r="T341" i="1"/>
  <c r="Z341" i="1" s="1"/>
  <c r="AB341" i="1" s="1"/>
  <c r="W340" i="1"/>
  <c r="T340" i="1"/>
  <c r="Z340" i="1" s="1"/>
  <c r="AB340" i="1" s="1"/>
  <c r="W339" i="1"/>
  <c r="X339" i="1" s="1"/>
  <c r="T339" i="1"/>
  <c r="Z339" i="1" s="1"/>
  <c r="AB339" i="1" s="1"/>
  <c r="W338" i="1"/>
  <c r="X338" i="1" s="1"/>
  <c r="T338" i="1"/>
  <c r="W337" i="1"/>
  <c r="X337" i="1" s="1"/>
  <c r="T337" i="1"/>
  <c r="Z337" i="1" s="1"/>
  <c r="AB337" i="1" s="1"/>
  <c r="W336" i="1"/>
  <c r="T336" i="1"/>
  <c r="Z336" i="1" s="1"/>
  <c r="AB336" i="1" s="1"/>
  <c r="W335" i="1"/>
  <c r="T335" i="1"/>
  <c r="W334" i="1"/>
  <c r="AA334" i="1" s="1"/>
  <c r="AD334" i="1" s="1"/>
  <c r="T334" i="1"/>
  <c r="Z334" i="1" s="1"/>
  <c r="AB334" i="1" s="1"/>
  <c r="W333" i="1"/>
  <c r="X333" i="1" s="1"/>
  <c r="T333" i="1"/>
  <c r="W332" i="1"/>
  <c r="X332" i="1" s="1"/>
  <c r="T332" i="1"/>
  <c r="W331" i="1"/>
  <c r="AA331" i="1" s="1"/>
  <c r="AD331" i="1" s="1"/>
  <c r="T331" i="1"/>
  <c r="U331" i="1" s="1"/>
  <c r="W330" i="1"/>
  <c r="AA330" i="1" s="1"/>
  <c r="AD330" i="1" s="1"/>
  <c r="T330" i="1"/>
  <c r="Z330" i="1" s="1"/>
  <c r="AB330" i="1" s="1"/>
  <c r="W329" i="1"/>
  <c r="T329" i="1"/>
  <c r="U329" i="1" s="1"/>
  <c r="W328" i="1"/>
  <c r="T328" i="1"/>
  <c r="Z328" i="1" s="1"/>
  <c r="AB328" i="1" s="1"/>
  <c r="W327" i="1"/>
  <c r="AA327" i="1" s="1"/>
  <c r="AD327" i="1" s="1"/>
  <c r="T327" i="1"/>
  <c r="W326" i="1"/>
  <c r="AA326" i="1" s="1"/>
  <c r="AD326" i="1" s="1"/>
  <c r="T326" i="1"/>
  <c r="Z326" i="1" s="1"/>
  <c r="AB326" i="1" s="1"/>
  <c r="W325" i="1"/>
  <c r="X325" i="1" s="1"/>
  <c r="T325" i="1"/>
  <c r="U325" i="1" s="1"/>
  <c r="W324" i="1"/>
  <c r="T324" i="1"/>
  <c r="Z324" i="1" s="1"/>
  <c r="AB324" i="1" s="1"/>
  <c r="W323" i="1"/>
  <c r="AA323" i="1" s="1"/>
  <c r="AD323" i="1" s="1"/>
  <c r="T323" i="1"/>
  <c r="W322" i="1"/>
  <c r="AA322" i="1" s="1"/>
  <c r="AD322" i="1" s="1"/>
  <c r="T322" i="1"/>
  <c r="Z322" i="1" s="1"/>
  <c r="AB322" i="1" s="1"/>
  <c r="W321" i="1"/>
  <c r="X321" i="1" s="1"/>
  <c r="T321" i="1"/>
  <c r="U321" i="1" s="1"/>
  <c r="W320" i="1"/>
  <c r="T320" i="1"/>
  <c r="Z320" i="1" s="1"/>
  <c r="AB320" i="1" s="1"/>
  <c r="W319" i="1"/>
  <c r="T319" i="1"/>
  <c r="W318" i="1"/>
  <c r="AA318" i="1" s="1"/>
  <c r="AD318" i="1" s="1"/>
  <c r="T318" i="1"/>
  <c r="Z318" i="1" s="1"/>
  <c r="AB318" i="1" s="1"/>
  <c r="W317" i="1"/>
  <c r="X317" i="1" s="1"/>
  <c r="T317" i="1"/>
  <c r="T316" i="1"/>
  <c r="Q316" i="1"/>
  <c r="W315" i="1"/>
  <c r="T315" i="1"/>
  <c r="Z315" i="1" s="1"/>
  <c r="AB315" i="1" s="1"/>
  <c r="W314" i="1"/>
  <c r="X314" i="1" s="1"/>
  <c r="T314" i="1"/>
  <c r="Z314" i="1" s="1"/>
  <c r="AB314" i="1" s="1"/>
  <c r="W313" i="1"/>
  <c r="X313" i="1" s="1"/>
  <c r="T313" i="1"/>
  <c r="Z313" i="1" s="1"/>
  <c r="AB313" i="1" s="1"/>
  <c r="W312" i="1"/>
  <c r="X312" i="1" s="1"/>
  <c r="T312" i="1"/>
  <c r="W311" i="1"/>
  <c r="T311" i="1"/>
  <c r="Z311" i="1" s="1"/>
  <c r="AB311" i="1" s="1"/>
  <c r="W310" i="1"/>
  <c r="X310" i="1" s="1"/>
  <c r="T310" i="1"/>
  <c r="Z310" i="1" s="1"/>
  <c r="AB310" i="1" s="1"/>
  <c r="W309" i="1"/>
  <c r="X309" i="1" s="1"/>
  <c r="T309" i="1"/>
  <c r="Z309" i="1" s="1"/>
  <c r="AB309" i="1" s="1"/>
  <c r="W308" i="1"/>
  <c r="X308" i="1" s="1"/>
  <c r="T308" i="1"/>
  <c r="Z308" i="1" s="1"/>
  <c r="AB308" i="1" s="1"/>
  <c r="W307" i="1"/>
  <c r="T307" i="1"/>
  <c r="Z307" i="1" s="1"/>
  <c r="AB307" i="1" s="1"/>
  <c r="W306" i="1"/>
  <c r="X306" i="1" s="1"/>
  <c r="T306" i="1"/>
  <c r="Z306" i="1" s="1"/>
  <c r="AB306" i="1" s="1"/>
  <c r="W305" i="1"/>
  <c r="X305" i="1" s="1"/>
  <c r="T305" i="1"/>
  <c r="Z305" i="1" s="1"/>
  <c r="AB305" i="1" s="1"/>
  <c r="W304" i="1"/>
  <c r="X304" i="1" s="1"/>
  <c r="T304" i="1"/>
  <c r="W303" i="1"/>
  <c r="T303" i="1"/>
  <c r="Z303" i="1" s="1"/>
  <c r="AB303" i="1" s="1"/>
  <c r="W302" i="1"/>
  <c r="X302" i="1" s="1"/>
  <c r="T302" i="1"/>
  <c r="Z302" i="1" s="1"/>
  <c r="AB302" i="1" s="1"/>
  <c r="W301" i="1"/>
  <c r="X301" i="1" s="1"/>
  <c r="T301" i="1"/>
  <c r="Z301" i="1" s="1"/>
  <c r="AB301" i="1" s="1"/>
  <c r="W300" i="1"/>
  <c r="X300" i="1" s="1"/>
  <c r="T300" i="1"/>
  <c r="Z300" i="1" s="1"/>
  <c r="AB300" i="1" s="1"/>
  <c r="W299" i="1"/>
  <c r="T299" i="1"/>
  <c r="Z299" i="1" s="1"/>
  <c r="AB299" i="1" s="1"/>
  <c r="W298" i="1"/>
  <c r="X298" i="1" s="1"/>
  <c r="T298" i="1"/>
  <c r="Z298" i="1" s="1"/>
  <c r="AB298" i="1" s="1"/>
  <c r="W297" i="1"/>
  <c r="X297" i="1" s="1"/>
  <c r="T297" i="1"/>
  <c r="Z297" i="1" s="1"/>
  <c r="AB297" i="1" s="1"/>
  <c r="W296" i="1"/>
  <c r="X296" i="1" s="1"/>
  <c r="T296" i="1"/>
  <c r="Z295" i="1"/>
  <c r="W295" i="1"/>
  <c r="E295" i="1"/>
  <c r="W294" i="1"/>
  <c r="AA294" i="1" s="1"/>
  <c r="AD294" i="1" s="1"/>
  <c r="T294" i="1"/>
  <c r="W293" i="1"/>
  <c r="AA293" i="1" s="1"/>
  <c r="AD293" i="1" s="1"/>
  <c r="T293" i="1"/>
  <c r="U293" i="1" s="1"/>
  <c r="W292" i="1"/>
  <c r="T292" i="1"/>
  <c r="W291" i="1"/>
  <c r="T291" i="1"/>
  <c r="W290" i="1"/>
  <c r="AA290" i="1" s="1"/>
  <c r="AD290" i="1" s="1"/>
  <c r="T290" i="1"/>
  <c r="W289" i="1"/>
  <c r="AA289" i="1" s="1"/>
  <c r="AD289" i="1" s="1"/>
  <c r="T289" i="1"/>
  <c r="U289" i="1" s="1"/>
  <c r="W288" i="1"/>
  <c r="T288" i="1"/>
  <c r="W287" i="1"/>
  <c r="AA287" i="1" s="1"/>
  <c r="AD287" i="1" s="1"/>
  <c r="T287" i="1"/>
  <c r="U287" i="1" s="1"/>
  <c r="W286" i="1"/>
  <c r="AA286" i="1" s="1"/>
  <c r="AD286" i="1" s="1"/>
  <c r="T286" i="1"/>
  <c r="W285" i="1"/>
  <c r="AA285" i="1" s="1"/>
  <c r="AD285" i="1" s="1"/>
  <c r="T285" i="1"/>
  <c r="U285" i="1" s="1"/>
  <c r="W284" i="1"/>
  <c r="AA284" i="1" s="1"/>
  <c r="AD284" i="1" s="1"/>
  <c r="T284" i="1"/>
  <c r="U284" i="1" s="1"/>
  <c r="W283" i="1"/>
  <c r="T283" i="1"/>
  <c r="W282" i="1"/>
  <c r="T282" i="1"/>
  <c r="W281" i="1"/>
  <c r="T281" i="1"/>
  <c r="W280" i="1"/>
  <c r="AA280" i="1" s="1"/>
  <c r="AD280" i="1" s="1"/>
  <c r="T280" i="1"/>
  <c r="W279" i="1"/>
  <c r="T279" i="1"/>
  <c r="W278" i="1"/>
  <c r="AA278" i="1" s="1"/>
  <c r="AD278" i="1" s="1"/>
  <c r="T278" i="1"/>
  <c r="W277" i="1"/>
  <c r="AA277" i="1" s="1"/>
  <c r="AD277" i="1" s="1"/>
  <c r="T277" i="1"/>
  <c r="U277" i="1" s="1"/>
  <c r="W276" i="1"/>
  <c r="AA276" i="1" s="1"/>
  <c r="T276" i="1"/>
  <c r="G276" i="1"/>
  <c r="E276" i="1"/>
  <c r="W275" i="1"/>
  <c r="T275" i="1"/>
  <c r="Z275" i="1" s="1"/>
  <c r="AB275" i="1" s="1"/>
  <c r="W274" i="1"/>
  <c r="X274" i="1" s="1"/>
  <c r="T274" i="1"/>
  <c r="W273" i="1"/>
  <c r="T273" i="1"/>
  <c r="Z273" i="1" s="1"/>
  <c r="AB273" i="1" s="1"/>
  <c r="W272" i="1"/>
  <c r="X272" i="1" s="1"/>
  <c r="T272" i="1"/>
  <c r="Z272" i="1" s="1"/>
  <c r="AB272" i="1" s="1"/>
  <c r="W271" i="1"/>
  <c r="T271" i="1"/>
  <c r="Z271" i="1" s="1"/>
  <c r="AB271" i="1" s="1"/>
  <c r="W270" i="1"/>
  <c r="X270" i="1" s="1"/>
  <c r="T270" i="1"/>
  <c r="W269" i="1"/>
  <c r="X269" i="1" s="1"/>
  <c r="T269" i="1"/>
  <c r="W268" i="1"/>
  <c r="X268" i="1" s="1"/>
  <c r="T268" i="1"/>
  <c r="W267" i="1"/>
  <c r="T267" i="1"/>
  <c r="Z267" i="1" s="1"/>
  <c r="AB267" i="1" s="1"/>
  <c r="W266" i="1"/>
  <c r="X266" i="1" s="1"/>
  <c r="T266" i="1"/>
  <c r="Z266" i="1" s="1"/>
  <c r="AB266" i="1" s="1"/>
  <c r="W265" i="1"/>
  <c r="T265" i="1"/>
  <c r="Z265" i="1" s="1"/>
  <c r="AB265" i="1" s="1"/>
  <c r="W264" i="1"/>
  <c r="X264" i="1" s="1"/>
  <c r="T264" i="1"/>
  <c r="Z264" i="1" s="1"/>
  <c r="AB264" i="1" s="1"/>
  <c r="W263" i="1"/>
  <c r="T263" i="1"/>
  <c r="W262" i="1"/>
  <c r="X262" i="1" s="1"/>
  <c r="T262" i="1"/>
  <c r="W261" i="1"/>
  <c r="T261" i="1"/>
  <c r="W260" i="1"/>
  <c r="X260" i="1" s="1"/>
  <c r="T260" i="1"/>
  <c r="W259" i="1"/>
  <c r="T259" i="1"/>
  <c r="Z259" i="1" s="1"/>
  <c r="AB259" i="1" s="1"/>
  <c r="W258" i="1"/>
  <c r="X258" i="1" s="1"/>
  <c r="T258" i="1"/>
  <c r="W257" i="1"/>
  <c r="T257" i="1"/>
  <c r="Z257" i="1" s="1"/>
  <c r="AB257" i="1" s="1"/>
  <c r="W256" i="1"/>
  <c r="T256" i="1"/>
  <c r="Z256" i="1" s="1"/>
  <c r="AB256" i="1" s="1"/>
  <c r="W255" i="1"/>
  <c r="T255" i="1"/>
  <c r="Z255" i="1" s="1"/>
  <c r="G255" i="1"/>
  <c r="E255" i="1"/>
  <c r="W254" i="1"/>
  <c r="AA254" i="1" s="1"/>
  <c r="AD254" i="1" s="1"/>
  <c r="T254" i="1"/>
  <c r="W253" i="1"/>
  <c r="AA253" i="1" s="1"/>
  <c r="AD253" i="1" s="1"/>
  <c r="T253" i="1"/>
  <c r="U253" i="1" s="1"/>
  <c r="W252" i="1"/>
  <c r="AA252" i="1" s="1"/>
  <c r="AD252" i="1" s="1"/>
  <c r="T252" i="1"/>
  <c r="U252" i="1" s="1"/>
  <c r="W251" i="1"/>
  <c r="T251" i="1"/>
  <c r="W250" i="1"/>
  <c r="T250" i="1"/>
  <c r="W249" i="1"/>
  <c r="T249" i="1"/>
  <c r="W248" i="1"/>
  <c r="T248" i="1"/>
  <c r="U248" i="1" s="1"/>
  <c r="W247" i="1"/>
  <c r="T247" i="1"/>
  <c r="W246" i="1"/>
  <c r="T246" i="1"/>
  <c r="W245" i="1"/>
  <c r="AA245" i="1" s="1"/>
  <c r="AD245" i="1" s="1"/>
  <c r="T245" i="1"/>
  <c r="U245" i="1" s="1"/>
  <c r="W244" i="1"/>
  <c r="T244" i="1"/>
  <c r="W243" i="1"/>
  <c r="T243" i="1"/>
  <c r="U243" i="1" s="1"/>
  <c r="W242" i="1"/>
  <c r="AA242" i="1" s="1"/>
  <c r="AD242" i="1" s="1"/>
  <c r="T242" i="1"/>
  <c r="W241" i="1"/>
  <c r="AA241" i="1" s="1"/>
  <c r="AD241" i="1" s="1"/>
  <c r="T241" i="1"/>
  <c r="U241" i="1" s="1"/>
  <c r="T240" i="1"/>
  <c r="W240" i="1"/>
  <c r="AA240" i="1" s="1"/>
  <c r="G240" i="1"/>
  <c r="E240" i="1"/>
  <c r="W239" i="1"/>
  <c r="AA239" i="1" s="1"/>
  <c r="AD239" i="1" s="1"/>
  <c r="T239" i="1"/>
  <c r="Z239" i="1" s="1"/>
  <c r="AB239" i="1" s="1"/>
  <c r="W238" i="1"/>
  <c r="T238" i="1"/>
  <c r="Z238" i="1" s="1"/>
  <c r="AB238" i="1" s="1"/>
  <c r="W237" i="1"/>
  <c r="AA237" i="1" s="1"/>
  <c r="T237" i="1"/>
  <c r="Z237" i="1" s="1"/>
  <c r="G237" i="1"/>
  <c r="E237" i="1"/>
  <c r="W236" i="1"/>
  <c r="X236" i="1" s="1"/>
  <c r="T236" i="1"/>
  <c r="U236" i="1" s="1"/>
  <c r="W235" i="1"/>
  <c r="X235" i="1" s="1"/>
  <c r="T235" i="1"/>
  <c r="U235" i="1" s="1"/>
  <c r="W234" i="1"/>
  <c r="X234" i="1" s="1"/>
  <c r="T234" i="1"/>
  <c r="U234" i="1" s="1"/>
  <c r="G234" i="1"/>
  <c r="E234" i="1"/>
  <c r="W233" i="1"/>
  <c r="AA233" i="1" s="1"/>
  <c r="AD233" i="1" s="1"/>
  <c r="T233" i="1"/>
  <c r="Z233" i="1" s="1"/>
  <c r="AB233" i="1" s="1"/>
  <c r="W232" i="1"/>
  <c r="T232" i="1"/>
  <c r="Z232" i="1" s="1"/>
  <c r="AB232" i="1" s="1"/>
  <c r="W231" i="1"/>
  <c r="AA231" i="1" s="1"/>
  <c r="AD231" i="1" s="1"/>
  <c r="T231" i="1"/>
  <c r="W230" i="1"/>
  <c r="T230" i="1"/>
  <c r="W229" i="1"/>
  <c r="AA229" i="1" s="1"/>
  <c r="AD229" i="1" s="1"/>
  <c r="T229" i="1"/>
  <c r="Z229" i="1" s="1"/>
  <c r="AB229" i="1" s="1"/>
  <c r="W228" i="1"/>
  <c r="T228" i="1"/>
  <c r="Z228" i="1" s="1"/>
  <c r="AB228" i="1" s="1"/>
  <c r="W227" i="1"/>
  <c r="AA227" i="1" s="1"/>
  <c r="AD227" i="1" s="1"/>
  <c r="T227" i="1"/>
  <c r="Z227" i="1" s="1"/>
  <c r="AB227" i="1" s="1"/>
  <c r="W226" i="1"/>
  <c r="AA226" i="1" s="1"/>
  <c r="AD226" i="1" s="1"/>
  <c r="T226" i="1"/>
  <c r="W225" i="1"/>
  <c r="X225" i="1" s="1"/>
  <c r="T225" i="1"/>
  <c r="Z225" i="1" s="1"/>
  <c r="AB225" i="1" s="1"/>
  <c r="W224" i="1"/>
  <c r="T224" i="1"/>
  <c r="Z224" i="1" s="1"/>
  <c r="AB224" i="1" s="1"/>
  <c r="W223" i="1"/>
  <c r="T223" i="1"/>
  <c r="Z223" i="1" s="1"/>
  <c r="AB223" i="1" s="1"/>
  <c r="W222" i="1"/>
  <c r="AA222" i="1" s="1"/>
  <c r="AD222" i="1" s="1"/>
  <c r="T222" i="1"/>
  <c r="W221" i="1"/>
  <c r="X221" i="1" s="1"/>
  <c r="T221" i="1"/>
  <c r="Z221" i="1" s="1"/>
  <c r="AB221" i="1" s="1"/>
  <c r="W220" i="1"/>
  <c r="T220" i="1"/>
  <c r="Z220" i="1" s="1"/>
  <c r="AB220" i="1" s="1"/>
  <c r="W219" i="1"/>
  <c r="T219" i="1"/>
  <c r="Z219" i="1" s="1"/>
  <c r="AB219" i="1" s="1"/>
  <c r="W218" i="1"/>
  <c r="AA218" i="1" s="1"/>
  <c r="AD218" i="1" s="1"/>
  <c r="T218" i="1"/>
  <c r="W217" i="1"/>
  <c r="X217" i="1" s="1"/>
  <c r="T217" i="1"/>
  <c r="Z217" i="1" s="1"/>
  <c r="AB217" i="1" s="1"/>
  <c r="W216" i="1"/>
  <c r="T216" i="1"/>
  <c r="Z216" i="1" s="1"/>
  <c r="AB216" i="1" s="1"/>
  <c r="W215" i="1"/>
  <c r="T215" i="1"/>
  <c r="Z215" i="1" s="1"/>
  <c r="AB215" i="1" s="1"/>
  <c r="W214" i="1"/>
  <c r="AA214" i="1" s="1"/>
  <c r="AD214" i="1" s="1"/>
  <c r="T214" i="1"/>
  <c r="W213" i="1"/>
  <c r="X213" i="1" s="1"/>
  <c r="T213" i="1"/>
  <c r="Z213" i="1" s="1"/>
  <c r="AB213" i="1" s="1"/>
  <c r="W212" i="1"/>
  <c r="X212" i="1" s="1"/>
  <c r="T212" i="1"/>
  <c r="G212" i="1"/>
  <c r="E212" i="1"/>
  <c r="W211" i="1"/>
  <c r="AA211" i="1" s="1"/>
  <c r="AD211" i="1" s="1"/>
  <c r="T211" i="1"/>
  <c r="U211" i="1" s="1"/>
  <c r="W210" i="1"/>
  <c r="AA210" i="1" s="1"/>
  <c r="AD210" i="1" s="1"/>
  <c r="T210" i="1"/>
  <c r="U210" i="1" s="1"/>
  <c r="W209" i="1"/>
  <c r="AA209" i="1" s="1"/>
  <c r="AD209" i="1" s="1"/>
  <c r="T209" i="1"/>
  <c r="U209" i="1" s="1"/>
  <c r="W208" i="1"/>
  <c r="AA208" i="1" s="1"/>
  <c r="AD208" i="1" s="1"/>
  <c r="T208" i="1"/>
  <c r="U208" i="1" s="1"/>
  <c r="W207" i="1"/>
  <c r="AA207" i="1" s="1"/>
  <c r="AD207" i="1" s="1"/>
  <c r="T207" i="1"/>
  <c r="U207" i="1" s="1"/>
  <c r="W206" i="1"/>
  <c r="AA206" i="1" s="1"/>
  <c r="AD206" i="1" s="1"/>
  <c r="T206" i="1"/>
  <c r="U206" i="1" s="1"/>
  <c r="W205" i="1"/>
  <c r="T205" i="1"/>
  <c r="W204" i="1"/>
  <c r="AA204" i="1" s="1"/>
  <c r="AD204" i="1" s="1"/>
  <c r="T204" i="1"/>
  <c r="U204" i="1" s="1"/>
  <c r="W203" i="1"/>
  <c r="AA203" i="1" s="1"/>
  <c r="AD203" i="1" s="1"/>
  <c r="T203" i="1"/>
  <c r="U203" i="1" s="1"/>
  <c r="W202" i="1"/>
  <c r="AA202" i="1" s="1"/>
  <c r="AD202" i="1" s="1"/>
  <c r="T202" i="1"/>
  <c r="U202" i="1" s="1"/>
  <c r="W201" i="1"/>
  <c r="AA201" i="1" s="1"/>
  <c r="AD201" i="1" s="1"/>
  <c r="T201" i="1"/>
  <c r="U201" i="1" s="1"/>
  <c r="W200" i="1"/>
  <c r="AA200" i="1" s="1"/>
  <c r="AD200" i="1" s="1"/>
  <c r="T200" i="1"/>
  <c r="U200" i="1" s="1"/>
  <c r="W199" i="1"/>
  <c r="AA199" i="1" s="1"/>
  <c r="AD199" i="1" s="1"/>
  <c r="T199" i="1"/>
  <c r="U199" i="1" s="1"/>
  <c r="W198" i="1"/>
  <c r="AA198" i="1" s="1"/>
  <c r="AD198" i="1" s="1"/>
  <c r="T198" i="1"/>
  <c r="U198" i="1" s="1"/>
  <c r="W197" i="1"/>
  <c r="AA197" i="1" s="1"/>
  <c r="AD197" i="1" s="1"/>
  <c r="T197" i="1"/>
  <c r="U197" i="1" s="1"/>
  <c r="W196" i="1"/>
  <c r="AA196" i="1" s="1"/>
  <c r="AD196" i="1" s="1"/>
  <c r="T196" i="1"/>
  <c r="U196" i="1" s="1"/>
  <c r="W195" i="1"/>
  <c r="AA195" i="1" s="1"/>
  <c r="AD195" i="1" s="1"/>
  <c r="T195" i="1"/>
  <c r="W194" i="1"/>
  <c r="AA194" i="1" s="1"/>
  <c r="AD194" i="1" s="1"/>
  <c r="T194" i="1"/>
  <c r="U194" i="1" s="1"/>
  <c r="W193" i="1"/>
  <c r="AA193" i="1" s="1"/>
  <c r="AD193" i="1" s="1"/>
  <c r="T193" i="1"/>
  <c r="W192" i="1"/>
  <c r="AA192" i="1" s="1"/>
  <c r="AD192" i="1" s="1"/>
  <c r="T192" i="1"/>
  <c r="U192" i="1" s="1"/>
  <c r="W191" i="1"/>
  <c r="AA191" i="1" s="1"/>
  <c r="AD191" i="1" s="1"/>
  <c r="T191" i="1"/>
  <c r="U191" i="1" s="1"/>
  <c r="W190" i="1"/>
  <c r="AA190" i="1" s="1"/>
  <c r="T190" i="1"/>
  <c r="U190" i="1" s="1"/>
  <c r="G190" i="1"/>
  <c r="E190" i="1"/>
  <c r="W189" i="1"/>
  <c r="T189" i="1"/>
  <c r="Z189" i="1" s="1"/>
  <c r="AB189" i="1" s="1"/>
  <c r="W188" i="1"/>
  <c r="X188" i="1" s="1"/>
  <c r="T188" i="1"/>
  <c r="W187" i="1"/>
  <c r="X187" i="1" s="1"/>
  <c r="T187" i="1"/>
  <c r="W186" i="1"/>
  <c r="X186" i="1" s="1"/>
  <c r="T186" i="1"/>
  <c r="W185" i="1"/>
  <c r="X185" i="1" s="1"/>
  <c r="T185" i="1"/>
  <c r="Z185" i="1" s="1"/>
  <c r="AB185" i="1" s="1"/>
  <c r="W184" i="1"/>
  <c r="X184" i="1" s="1"/>
  <c r="T184" i="1"/>
  <c r="W183" i="1"/>
  <c r="X183" i="1" s="1"/>
  <c r="T183" i="1"/>
  <c r="Z183" i="1" s="1"/>
  <c r="AB183" i="1" s="1"/>
  <c r="W182" i="1"/>
  <c r="X182" i="1" s="1"/>
  <c r="T182" i="1"/>
  <c r="U182" i="1" s="1"/>
  <c r="W181" i="1"/>
  <c r="T181" i="1"/>
  <c r="Z181" i="1" s="1"/>
  <c r="AB181" i="1" s="1"/>
  <c r="W180" i="1"/>
  <c r="X180" i="1" s="1"/>
  <c r="T180" i="1"/>
  <c r="W179" i="1"/>
  <c r="X179" i="1" s="1"/>
  <c r="T179" i="1"/>
  <c r="Z179" i="1" s="1"/>
  <c r="AB179" i="1" s="1"/>
  <c r="W178" i="1"/>
  <c r="X178" i="1" s="1"/>
  <c r="T178" i="1"/>
  <c r="W177" i="1"/>
  <c r="X177" i="1" s="1"/>
  <c r="T177" i="1"/>
  <c r="Z177" i="1" s="1"/>
  <c r="AB177" i="1" s="1"/>
  <c r="W176" i="1"/>
  <c r="X176" i="1" s="1"/>
  <c r="T176" i="1"/>
  <c r="W175" i="1"/>
  <c r="X175" i="1" s="1"/>
  <c r="T175" i="1"/>
  <c r="Z175" i="1" s="1"/>
  <c r="AB175" i="1" s="1"/>
  <c r="W174" i="1"/>
  <c r="X174" i="1" s="1"/>
  <c r="T174" i="1"/>
  <c r="W173" i="1"/>
  <c r="X173" i="1" s="1"/>
  <c r="T173" i="1"/>
  <c r="Z173" i="1" s="1"/>
  <c r="AB173" i="1" s="1"/>
  <c r="W172" i="1"/>
  <c r="X172" i="1" s="1"/>
  <c r="T172" i="1"/>
  <c r="W171" i="1"/>
  <c r="T171" i="1"/>
  <c r="Z171" i="1" s="1"/>
  <c r="AB171" i="1" s="1"/>
  <c r="W170" i="1"/>
  <c r="X170" i="1" s="1"/>
  <c r="T170" i="1"/>
  <c r="W169" i="1"/>
  <c r="X169" i="1" s="1"/>
  <c r="T169" i="1"/>
  <c r="Z169" i="1" s="1"/>
  <c r="AB169" i="1" s="1"/>
  <c r="T168" i="1"/>
  <c r="W168" i="1"/>
  <c r="X168" i="1" s="1"/>
  <c r="E168" i="1"/>
  <c r="W167" i="1"/>
  <c r="AA167" i="1" s="1"/>
  <c r="AD167" i="1" s="1"/>
  <c r="T167" i="1"/>
  <c r="U167" i="1" s="1"/>
  <c r="W166" i="1"/>
  <c r="AA166" i="1" s="1"/>
  <c r="AD166" i="1" s="1"/>
  <c r="T166" i="1"/>
  <c r="U166" i="1" s="1"/>
  <c r="W165" i="1"/>
  <c r="T165" i="1"/>
  <c r="W164" i="1"/>
  <c r="AA164" i="1" s="1"/>
  <c r="AD164" i="1" s="1"/>
  <c r="T164" i="1"/>
  <c r="U164" i="1" s="1"/>
  <c r="W163" i="1"/>
  <c r="AA163" i="1" s="1"/>
  <c r="AD163" i="1" s="1"/>
  <c r="T163" i="1"/>
  <c r="U163" i="1" s="1"/>
  <c r="W162" i="1"/>
  <c r="AA162" i="1" s="1"/>
  <c r="AD162" i="1" s="1"/>
  <c r="T162" i="1"/>
  <c r="U162" i="1" s="1"/>
  <c r="W161" i="1"/>
  <c r="T161" i="1"/>
  <c r="W160" i="1"/>
  <c r="AA160" i="1" s="1"/>
  <c r="AD160" i="1" s="1"/>
  <c r="T160" i="1"/>
  <c r="U160" i="1" s="1"/>
  <c r="W159" i="1"/>
  <c r="AA159" i="1" s="1"/>
  <c r="AD159" i="1" s="1"/>
  <c r="T159" i="1"/>
  <c r="U159" i="1" s="1"/>
  <c r="W158" i="1"/>
  <c r="AA158" i="1" s="1"/>
  <c r="AD158" i="1" s="1"/>
  <c r="T158" i="1"/>
  <c r="U158" i="1" s="1"/>
  <c r="W157" i="1"/>
  <c r="T157" i="1"/>
  <c r="W156" i="1"/>
  <c r="AA156" i="1" s="1"/>
  <c r="AD156" i="1" s="1"/>
  <c r="T156" i="1"/>
  <c r="U156" i="1" s="1"/>
  <c r="W155" i="1"/>
  <c r="AA155" i="1" s="1"/>
  <c r="AD155" i="1" s="1"/>
  <c r="T155" i="1"/>
  <c r="U155" i="1" s="1"/>
  <c r="W154" i="1"/>
  <c r="AA154" i="1" s="1"/>
  <c r="AD154" i="1" s="1"/>
  <c r="T154" i="1"/>
  <c r="U154" i="1" s="1"/>
  <c r="W153" i="1"/>
  <c r="T153" i="1"/>
  <c r="W152" i="1"/>
  <c r="AA152" i="1" s="1"/>
  <c r="AD152" i="1" s="1"/>
  <c r="T152" i="1"/>
  <c r="U152" i="1" s="1"/>
  <c r="W151" i="1"/>
  <c r="AA151" i="1" s="1"/>
  <c r="AD151" i="1" s="1"/>
  <c r="T151" i="1"/>
  <c r="U151" i="1" s="1"/>
  <c r="W150" i="1"/>
  <c r="AA150" i="1" s="1"/>
  <c r="AD150" i="1" s="1"/>
  <c r="T150" i="1"/>
  <c r="U150" i="1" s="1"/>
  <c r="W149" i="1"/>
  <c r="T149" i="1"/>
  <c r="W148" i="1"/>
  <c r="AA148" i="1" s="1"/>
  <c r="AD148" i="1" s="1"/>
  <c r="T148" i="1"/>
  <c r="U148" i="1" s="1"/>
  <c r="W147" i="1"/>
  <c r="AA147" i="1" s="1"/>
  <c r="AD147" i="1" s="1"/>
  <c r="T147" i="1"/>
  <c r="U147" i="1" s="1"/>
  <c r="T146" i="1"/>
  <c r="U146" i="1" s="1"/>
  <c r="W146" i="1"/>
  <c r="AA146" i="1" s="1"/>
  <c r="AD146" i="1" s="1"/>
  <c r="E146" i="1"/>
  <c r="W145" i="1"/>
  <c r="X145" i="1" s="1"/>
  <c r="T145" i="1"/>
  <c r="Z145" i="1" s="1"/>
  <c r="AB145" i="1" s="1"/>
  <c r="W144" i="1"/>
  <c r="X144" i="1" s="1"/>
  <c r="T144" i="1"/>
  <c r="W143" i="1"/>
  <c r="X143" i="1" s="1"/>
  <c r="T143" i="1"/>
  <c r="Z143" i="1" s="1"/>
  <c r="AB143" i="1" s="1"/>
  <c r="W142" i="1"/>
  <c r="X142" i="1" s="1"/>
  <c r="T142" i="1"/>
  <c r="U142" i="1" s="1"/>
  <c r="W141" i="1"/>
  <c r="X141" i="1" s="1"/>
  <c r="T141" i="1"/>
  <c r="Z141" i="1" s="1"/>
  <c r="AB141" i="1" s="1"/>
  <c r="W140" i="1"/>
  <c r="X140" i="1" s="1"/>
  <c r="T140" i="1"/>
  <c r="W139" i="1"/>
  <c r="X139" i="1" s="1"/>
  <c r="T139" i="1"/>
  <c r="Z139" i="1" s="1"/>
  <c r="AB139" i="1" s="1"/>
  <c r="W138" i="1"/>
  <c r="X138" i="1" s="1"/>
  <c r="T138" i="1"/>
  <c r="W137" i="1"/>
  <c r="X137" i="1" s="1"/>
  <c r="T137" i="1"/>
  <c r="Z137" i="1" s="1"/>
  <c r="AB137" i="1" s="1"/>
  <c r="W136" i="1"/>
  <c r="X136" i="1" s="1"/>
  <c r="T136" i="1"/>
  <c r="W135" i="1"/>
  <c r="X135" i="1" s="1"/>
  <c r="T135" i="1"/>
  <c r="Z135" i="1" s="1"/>
  <c r="AB135" i="1" s="1"/>
  <c r="W134" i="1"/>
  <c r="X134" i="1" s="1"/>
  <c r="T134" i="1"/>
  <c r="U134" i="1" s="1"/>
  <c r="W133" i="1"/>
  <c r="X133" i="1" s="1"/>
  <c r="T133" i="1"/>
  <c r="Z133" i="1" s="1"/>
  <c r="AB133" i="1" s="1"/>
  <c r="W132" i="1"/>
  <c r="X132" i="1" s="1"/>
  <c r="T132" i="1"/>
  <c r="W131" i="1"/>
  <c r="X131" i="1" s="1"/>
  <c r="T131" i="1"/>
  <c r="Z131" i="1" s="1"/>
  <c r="AB131" i="1" s="1"/>
  <c r="W130" i="1"/>
  <c r="X130" i="1" s="1"/>
  <c r="T130" i="1"/>
  <c r="U130" i="1" s="1"/>
  <c r="W129" i="1"/>
  <c r="T129" i="1"/>
  <c r="Z129" i="1" s="1"/>
  <c r="AB129" i="1" s="1"/>
  <c r="W128" i="1"/>
  <c r="X128" i="1" s="1"/>
  <c r="T128" i="1"/>
  <c r="W127" i="1"/>
  <c r="X127" i="1" s="1"/>
  <c r="T127" i="1"/>
  <c r="Z127" i="1" s="1"/>
  <c r="AB127" i="1" s="1"/>
  <c r="W126" i="1"/>
  <c r="X126" i="1" s="1"/>
  <c r="T126" i="1"/>
  <c r="W125" i="1"/>
  <c r="X125" i="1" s="1"/>
  <c r="T125" i="1"/>
  <c r="Z125" i="1" s="1"/>
  <c r="AB125" i="1" s="1"/>
  <c r="W124" i="1"/>
  <c r="X124" i="1" s="1"/>
  <c r="T124" i="1"/>
  <c r="W123" i="1"/>
  <c r="X123" i="1" s="1"/>
  <c r="T123" i="1"/>
  <c r="Z123" i="1" s="1"/>
  <c r="AB123" i="1" s="1"/>
  <c r="W122" i="1"/>
  <c r="X122" i="1" s="1"/>
  <c r="T122" i="1"/>
  <c r="U122" i="1" s="1"/>
  <c r="W121" i="1"/>
  <c r="X121" i="1" s="1"/>
  <c r="T121" i="1"/>
  <c r="Z121" i="1" s="1"/>
  <c r="AB121" i="1" s="1"/>
  <c r="W120" i="1"/>
  <c r="X120" i="1" s="1"/>
  <c r="T120" i="1"/>
  <c r="W119" i="1"/>
  <c r="X119" i="1" s="1"/>
  <c r="T119" i="1"/>
  <c r="Z119" i="1" s="1"/>
  <c r="AB119" i="1" s="1"/>
  <c r="W118" i="1"/>
  <c r="X118" i="1" s="1"/>
  <c r="T118" i="1"/>
  <c r="W117" i="1"/>
  <c r="X117" i="1" s="1"/>
  <c r="T117" i="1"/>
  <c r="Z117" i="1" s="1"/>
  <c r="AB117" i="1" s="1"/>
  <c r="W116" i="1"/>
  <c r="X116" i="1" s="1"/>
  <c r="T116" i="1"/>
  <c r="W115" i="1"/>
  <c r="T115" i="1"/>
  <c r="Z115" i="1" s="1"/>
  <c r="AB115" i="1" s="1"/>
  <c r="W114" i="1"/>
  <c r="X114" i="1" s="1"/>
  <c r="T114" i="1"/>
  <c r="W113" i="1"/>
  <c r="X113" i="1" s="1"/>
  <c r="T113" i="1"/>
  <c r="Z113" i="1" s="1"/>
  <c r="AB113" i="1" s="1"/>
  <c r="W112" i="1"/>
  <c r="X112" i="1" s="1"/>
  <c r="T112" i="1"/>
  <c r="W111" i="1"/>
  <c r="X111" i="1" s="1"/>
  <c r="T111" i="1"/>
  <c r="Z111" i="1" s="1"/>
  <c r="AB111" i="1" s="1"/>
  <c r="W110" i="1"/>
  <c r="X110" i="1" s="1"/>
  <c r="T110" i="1"/>
  <c r="U110" i="1" s="1"/>
  <c r="W109" i="1"/>
  <c r="X109" i="1" s="1"/>
  <c r="T109" i="1"/>
  <c r="Z109" i="1" s="1"/>
  <c r="AB109" i="1" s="1"/>
  <c r="W108" i="1"/>
  <c r="X108" i="1" s="1"/>
  <c r="T108" i="1"/>
  <c r="W107" i="1"/>
  <c r="X107" i="1" s="1"/>
  <c r="T107" i="1"/>
  <c r="Z107" i="1" s="1"/>
  <c r="AB107" i="1" s="1"/>
  <c r="W106" i="1"/>
  <c r="X106" i="1" s="1"/>
  <c r="T106" i="1"/>
  <c r="W105" i="1"/>
  <c r="X105" i="1" s="1"/>
  <c r="T105" i="1"/>
  <c r="Z105" i="1" s="1"/>
  <c r="AB105" i="1" s="1"/>
  <c r="W104" i="1"/>
  <c r="X104" i="1" s="1"/>
  <c r="T104" i="1"/>
  <c r="W103" i="1"/>
  <c r="X103" i="1" s="1"/>
  <c r="T103" i="1"/>
  <c r="Z103" i="1" s="1"/>
  <c r="AB103" i="1" s="1"/>
  <c r="W102" i="1"/>
  <c r="X102" i="1" s="1"/>
  <c r="T102" i="1"/>
  <c r="U102" i="1" s="1"/>
  <c r="W101" i="1"/>
  <c r="X101" i="1" s="1"/>
  <c r="T101" i="1"/>
  <c r="Z101" i="1" s="1"/>
  <c r="AB101" i="1" s="1"/>
  <c r="W100" i="1"/>
  <c r="X100" i="1" s="1"/>
  <c r="T100" i="1"/>
  <c r="W99" i="1"/>
  <c r="X99" i="1" s="1"/>
  <c r="T99" i="1"/>
  <c r="Z99" i="1" s="1"/>
  <c r="AB99" i="1" s="1"/>
  <c r="W98" i="1"/>
  <c r="X98" i="1" s="1"/>
  <c r="T98" i="1"/>
  <c r="U98" i="1" s="1"/>
  <c r="W97" i="1"/>
  <c r="T97" i="1"/>
  <c r="Z97" i="1" s="1"/>
  <c r="AB97" i="1" s="1"/>
  <c r="W96" i="1"/>
  <c r="T96" i="1"/>
  <c r="Z96" i="1" s="1"/>
  <c r="AB96" i="1" s="1"/>
  <c r="W95" i="1"/>
  <c r="T95" i="1"/>
  <c r="Z95" i="1" s="1"/>
  <c r="AB95" i="1" s="1"/>
  <c r="W94" i="1"/>
  <c r="X94" i="1" s="1"/>
  <c r="T94" i="1"/>
  <c r="Z94" i="1" s="1"/>
  <c r="AB94" i="1" s="1"/>
  <c r="T93" i="1"/>
  <c r="U93" i="1" s="1"/>
  <c r="Q93" i="1"/>
  <c r="S93" i="1" s="1"/>
  <c r="H93" i="1"/>
  <c r="T92" i="1"/>
  <c r="T91" i="1"/>
  <c r="Z91" i="1" s="1"/>
  <c r="T90" i="1"/>
  <c r="Z90" i="1" s="1"/>
  <c r="T89" i="1"/>
  <c r="T88" i="1"/>
  <c r="T87" i="1"/>
  <c r="Z87" i="1" s="1"/>
  <c r="T86" i="1"/>
  <c r="Z86" i="1" s="1"/>
  <c r="T85" i="1"/>
  <c r="U85" i="1" s="1"/>
  <c r="T84" i="1"/>
  <c r="Z84" i="1" s="1"/>
  <c r="T83" i="1"/>
  <c r="U83" i="1" s="1"/>
  <c r="T82" i="1"/>
  <c r="Z82" i="1" s="1"/>
  <c r="AB82" i="1" s="1"/>
  <c r="T81" i="1"/>
  <c r="U81" i="1" s="1"/>
  <c r="K81" i="1"/>
  <c r="I81" i="1"/>
  <c r="AA80" i="1"/>
  <c r="AD80" i="1" s="1"/>
  <c r="Z80" i="1"/>
  <c r="AB80" i="1" s="1"/>
  <c r="AA79" i="1"/>
  <c r="AD79" i="1" s="1"/>
  <c r="Z79" i="1"/>
  <c r="AB79" i="1" s="1"/>
  <c r="T78" i="1"/>
  <c r="U78" i="1" s="1"/>
  <c r="Q78" i="1"/>
  <c r="W77" i="1"/>
  <c r="X77" i="1" s="1"/>
  <c r="T77" i="1"/>
  <c r="Z77" i="1" s="1"/>
  <c r="AB77" i="1" s="1"/>
  <c r="W76" i="1"/>
  <c r="AA76" i="1" s="1"/>
  <c r="AD76" i="1" s="1"/>
  <c r="T76" i="1"/>
  <c r="Z76" i="1" s="1"/>
  <c r="AB76" i="1" s="1"/>
  <c r="W75" i="1"/>
  <c r="T75" i="1"/>
  <c r="Z75" i="1" s="1"/>
  <c r="AB75" i="1" s="1"/>
  <c r="W74" i="1"/>
  <c r="AA74" i="1" s="1"/>
  <c r="AD74" i="1" s="1"/>
  <c r="T74" i="1"/>
  <c r="Z74" i="1" s="1"/>
  <c r="AB74" i="1" s="1"/>
  <c r="W73" i="1"/>
  <c r="X73" i="1" s="1"/>
  <c r="T73" i="1"/>
  <c r="Z73" i="1" s="1"/>
  <c r="AB73" i="1" s="1"/>
  <c r="W72" i="1"/>
  <c r="X72" i="1" s="1"/>
  <c r="T72" i="1"/>
  <c r="T71" i="1"/>
  <c r="Z71" i="1" s="1"/>
  <c r="AB71" i="1" s="1"/>
  <c r="Q71" i="1"/>
  <c r="S71" i="1" s="1"/>
  <c r="W70" i="1"/>
  <c r="X70" i="1" s="1"/>
  <c r="T70" i="1"/>
  <c r="Z70" i="1" s="1"/>
  <c r="AB70" i="1" s="1"/>
  <c r="R69" i="1"/>
  <c r="O69" i="1"/>
  <c r="M69" i="1"/>
  <c r="L69" i="1"/>
  <c r="K69" i="1"/>
  <c r="I69" i="1"/>
  <c r="G69" i="1"/>
  <c r="P68" i="1"/>
  <c r="R68" i="1" s="1"/>
  <c r="T68" i="1" s="1"/>
  <c r="T67" i="1"/>
  <c r="N66" i="1"/>
  <c r="T66" i="1" s="1"/>
  <c r="T65" i="1"/>
  <c r="Z65" i="1" s="1"/>
  <c r="AB65" i="1" s="1"/>
  <c r="T64" i="1"/>
  <c r="Z64" i="1" s="1"/>
  <c r="AB64" i="1" s="1"/>
  <c r="T63" i="1"/>
  <c r="Z63" i="1" s="1"/>
  <c r="AB63" i="1" s="1"/>
  <c r="T62" i="1"/>
  <c r="Z62" i="1" s="1"/>
  <c r="AB62" i="1" s="1"/>
  <c r="T61" i="1"/>
  <c r="Z61" i="1" s="1"/>
  <c r="AB61" i="1" s="1"/>
  <c r="W59" i="1"/>
  <c r="AA59" i="1" s="1"/>
  <c r="AD59" i="1" s="1"/>
  <c r="T59" i="1"/>
  <c r="U59" i="1" s="1"/>
  <c r="W58" i="1"/>
  <c r="X58" i="1" s="1"/>
  <c r="T58" i="1"/>
  <c r="U58" i="1" s="1"/>
  <c r="Q57" i="1"/>
  <c r="O57" i="1"/>
  <c r="M57" i="1"/>
  <c r="K57" i="1"/>
  <c r="I57" i="1"/>
  <c r="G57" i="1"/>
  <c r="T56" i="1"/>
  <c r="U56" i="1" s="1"/>
  <c r="Q56" i="1"/>
  <c r="W56" i="1" s="1"/>
  <c r="E56" i="1"/>
  <c r="T55" i="1"/>
  <c r="O55" i="1"/>
  <c r="T54" i="1"/>
  <c r="Z54" i="1" s="1"/>
  <c r="AB54" i="1" s="1"/>
  <c r="O54" i="1"/>
  <c r="S51" i="1" s="1"/>
  <c r="T53" i="1"/>
  <c r="T52" i="1"/>
  <c r="Z52" i="1" s="1"/>
  <c r="AB52" i="1" s="1"/>
  <c r="T51" i="1"/>
  <c r="Z51" i="1" s="1"/>
  <c r="AB51" i="1" s="1"/>
  <c r="M51" i="1"/>
  <c r="K51" i="1"/>
  <c r="I51" i="1"/>
  <c r="G51" i="1"/>
  <c r="T50" i="1"/>
  <c r="O50" i="1"/>
  <c r="E50" i="1"/>
  <c r="T49" i="1"/>
  <c r="O49" i="1"/>
  <c r="E49" i="1"/>
  <c r="W48" i="1"/>
  <c r="AA48" i="1" s="1"/>
  <c r="AD48" i="1" s="1"/>
  <c r="T48" i="1"/>
  <c r="Z48" i="1" s="1"/>
  <c r="E48" i="1"/>
  <c r="T47" i="1"/>
  <c r="M45" i="1"/>
  <c r="K45" i="1"/>
  <c r="I45" i="1"/>
  <c r="G45" i="1"/>
  <c r="T44" i="1"/>
  <c r="Z44" i="1" s="1"/>
  <c r="O44" i="1"/>
  <c r="Q44" i="1" s="1"/>
  <c r="E44" i="1"/>
  <c r="T43" i="1"/>
  <c r="Z43" i="1" s="1"/>
  <c r="Q43" i="1"/>
  <c r="E43" i="1"/>
  <c r="T42" i="1"/>
  <c r="U42" i="1" s="1"/>
  <c r="Q42" i="1"/>
  <c r="E42" i="1"/>
  <c r="T41" i="1"/>
  <c r="U41" i="1" s="1"/>
  <c r="O41" i="1"/>
  <c r="E41" i="1"/>
  <c r="W40" i="1"/>
  <c r="X40" i="1" s="1"/>
  <c r="T40" i="1"/>
  <c r="Z40" i="1" s="1"/>
  <c r="E40" i="1"/>
  <c r="T39" i="1"/>
  <c r="T38" i="1"/>
  <c r="U38" i="1" s="1"/>
  <c r="T37" i="1"/>
  <c r="T36" i="1"/>
  <c r="U36" i="1" s="1"/>
  <c r="R35" i="1"/>
  <c r="T35" i="1" s="1"/>
  <c r="M35" i="1"/>
  <c r="K35" i="1"/>
  <c r="I35" i="1"/>
  <c r="G35" i="1"/>
  <c r="AH34" i="1"/>
  <c r="W34" i="1"/>
  <c r="X34" i="1" s="1"/>
  <c r="T34" i="1"/>
  <c r="G34" i="1"/>
  <c r="G32" i="1" s="1"/>
  <c r="E34" i="1"/>
  <c r="T33" i="1"/>
  <c r="Z33" i="1" s="1"/>
  <c r="AB33" i="1" s="1"/>
  <c r="T32" i="1"/>
  <c r="U32" i="1" s="1"/>
  <c r="Q32" i="1"/>
  <c r="O32" i="1"/>
  <c r="M32" i="1"/>
  <c r="K32" i="1"/>
  <c r="I32" i="1"/>
  <c r="T31" i="1"/>
  <c r="Z31" i="1" s="1"/>
  <c r="AB31" i="1" s="1"/>
  <c r="O31" i="1"/>
  <c r="O26" i="1" s="1"/>
  <c r="T30" i="1"/>
  <c r="T29" i="1"/>
  <c r="U29" i="1" s="1"/>
  <c r="T28" i="1"/>
  <c r="E28" i="1"/>
  <c r="T27" i="1"/>
  <c r="Z27" i="1" s="1"/>
  <c r="AB27" i="1" s="1"/>
  <c r="T26" i="1"/>
  <c r="U26" i="1" s="1"/>
  <c r="M26" i="1"/>
  <c r="K26" i="1"/>
  <c r="I26" i="1"/>
  <c r="G26" i="1"/>
  <c r="E26" i="1"/>
  <c r="AA25" i="1"/>
  <c r="Z25" i="1"/>
  <c r="AB25" i="1" s="1"/>
  <c r="T24" i="1"/>
  <c r="U24" i="1" s="1"/>
  <c r="S24" i="1"/>
  <c r="W24" i="1" s="1"/>
  <c r="T23" i="1"/>
  <c r="U23" i="1" s="1"/>
  <c r="Q23" i="1"/>
  <c r="S23" i="1" s="1"/>
  <c r="T22" i="1"/>
  <c r="Z22" i="1" s="1"/>
  <c r="AB22" i="1" s="1"/>
  <c r="R21" i="1"/>
  <c r="P21" i="1"/>
  <c r="O21" i="1"/>
  <c r="N21" i="1"/>
  <c r="M21" i="1"/>
  <c r="L21" i="1"/>
  <c r="K21" i="1"/>
  <c r="J21" i="1"/>
  <c r="I21" i="1"/>
  <c r="H21" i="1"/>
  <c r="G21" i="1"/>
  <c r="E21" i="1"/>
  <c r="T20" i="1"/>
  <c r="Z20" i="1" s="1"/>
  <c r="AB20" i="1" s="1"/>
  <c r="T19" i="1"/>
  <c r="Z19" i="1" s="1"/>
  <c r="AB19" i="1" s="1"/>
  <c r="T18" i="1"/>
  <c r="Z18" i="1" s="1"/>
  <c r="AB18" i="1" s="1"/>
  <c r="T17" i="1"/>
  <c r="Z17" i="1" s="1"/>
  <c r="AB17" i="1" s="1"/>
  <c r="T16" i="1"/>
  <c r="U16" i="1" s="1"/>
  <c r="S513" i="1" l="1"/>
  <c r="W513" i="1" s="1"/>
  <c r="S502" i="1"/>
  <c r="S501" i="1" s="1"/>
  <c r="S498" i="1" s="1"/>
  <c r="O474" i="1"/>
  <c r="O473" i="1" s="1"/>
  <c r="O472" i="1" s="1"/>
  <c r="S463" i="1"/>
  <c r="W463" i="1" s="1"/>
  <c r="Q402" i="1"/>
  <c r="S402" i="1" s="1"/>
  <c r="W402" i="1" s="1"/>
  <c r="S357" i="1"/>
  <c r="W357" i="1" s="1"/>
  <c r="Q501" i="1"/>
  <c r="Q498" i="1" s="1"/>
  <c r="S316" i="1"/>
  <c r="W316" i="1" s="1"/>
  <c r="Z92" i="1"/>
  <c r="U92" i="1"/>
  <c r="S78" i="1"/>
  <c r="W78" i="1" s="1"/>
  <c r="S69" i="1"/>
  <c r="U70" i="1"/>
  <c r="S44" i="1"/>
  <c r="W44" i="1" s="1"/>
  <c r="AA44" i="1" s="1"/>
  <c r="S43" i="1"/>
  <c r="W43" i="1" s="1"/>
  <c r="S42" i="1"/>
  <c r="W42" i="1" s="1"/>
  <c r="T472" i="1"/>
  <c r="U472" i="1" s="1"/>
  <c r="U484" i="1"/>
  <c r="T507" i="1"/>
  <c r="U507" i="1" s="1"/>
  <c r="Z284" i="1"/>
  <c r="AB284" i="1" s="1"/>
  <c r="U227" i="1"/>
  <c r="X286" i="1"/>
  <c r="U371" i="1"/>
  <c r="X167" i="1"/>
  <c r="Z191" i="1"/>
  <c r="AB191" i="1" s="1"/>
  <c r="U224" i="1"/>
  <c r="AD237" i="1"/>
  <c r="AA523" i="1"/>
  <c r="AD523" i="1" s="1"/>
  <c r="G472" i="1"/>
  <c r="S21" i="1"/>
  <c r="AA131" i="1"/>
  <c r="AD131" i="1" s="1"/>
  <c r="AA317" i="1"/>
  <c r="AD317" i="1" s="1"/>
  <c r="AA434" i="1"/>
  <c r="AD434" i="1" s="1"/>
  <c r="Z122" i="1"/>
  <c r="AB122" i="1" s="1"/>
  <c r="X245" i="1"/>
  <c r="U348" i="1"/>
  <c r="Q512" i="1"/>
  <c r="W512" i="1" s="1"/>
  <c r="X512" i="1" s="1"/>
  <c r="X530" i="1"/>
  <c r="AA113" i="1"/>
  <c r="AD113" i="1" s="1"/>
  <c r="X254" i="1"/>
  <c r="AA269" i="1"/>
  <c r="AD269" i="1" s="1"/>
  <c r="U339" i="1"/>
  <c r="U392" i="1"/>
  <c r="U438" i="1"/>
  <c r="AA475" i="1"/>
  <c r="AD475" i="1" s="1"/>
  <c r="W32" i="1"/>
  <c r="X32" i="1" s="1"/>
  <c r="T69" i="1"/>
  <c r="Z69" i="1" s="1"/>
  <c r="AB69" i="1" s="1"/>
  <c r="U97" i="1"/>
  <c r="Z98" i="1"/>
  <c r="AB98" i="1" s="1"/>
  <c r="Z151" i="1"/>
  <c r="AB151" i="1" s="1"/>
  <c r="AA187" i="1"/>
  <c r="AD187" i="1" s="1"/>
  <c r="X209" i="1"/>
  <c r="U216" i="1"/>
  <c r="X253" i="1"/>
  <c r="Z277" i="1"/>
  <c r="AB277" i="1" s="1"/>
  <c r="U308" i="1"/>
  <c r="AA309" i="1"/>
  <c r="AD309" i="1" s="1"/>
  <c r="U313" i="1"/>
  <c r="AA332" i="1"/>
  <c r="AD332" i="1" s="1"/>
  <c r="AA358" i="1"/>
  <c r="AD358" i="1" s="1"/>
  <c r="U443" i="1"/>
  <c r="AA40" i="1"/>
  <c r="AA173" i="1"/>
  <c r="AD173" i="1" s="1"/>
  <c r="U255" i="1"/>
  <c r="U266" i="1"/>
  <c r="U271" i="1"/>
  <c r="X285" i="1"/>
  <c r="AA384" i="1"/>
  <c r="AD384" i="1" s="1"/>
  <c r="U401" i="1"/>
  <c r="AA453" i="1"/>
  <c r="AD453" i="1" s="1"/>
  <c r="AA127" i="1"/>
  <c r="AD127" i="1" s="1"/>
  <c r="U220" i="1"/>
  <c r="AA235" i="1"/>
  <c r="AD235" i="1" s="1"/>
  <c r="Z252" i="1"/>
  <c r="AB252" i="1" s="1"/>
  <c r="X322" i="1"/>
  <c r="U328" i="1"/>
  <c r="Z331" i="1"/>
  <c r="AB331" i="1" s="1"/>
  <c r="X334" i="1"/>
  <c r="AA396" i="1"/>
  <c r="AD396" i="1" s="1"/>
  <c r="Z437" i="1"/>
  <c r="AB437" i="1" s="1"/>
  <c r="M473" i="1"/>
  <c r="M472" i="1" s="1"/>
  <c r="W505" i="1"/>
  <c r="AA505" i="1" s="1"/>
  <c r="AD505" i="1" s="1"/>
  <c r="Q21" i="1"/>
  <c r="Z36" i="1"/>
  <c r="AB36" i="1" s="1"/>
  <c r="AB44" i="1"/>
  <c r="AA70" i="1"/>
  <c r="AD70" i="1" s="1"/>
  <c r="U96" i="1"/>
  <c r="Z134" i="1"/>
  <c r="AB134" i="1" s="1"/>
  <c r="AA145" i="1"/>
  <c r="AD145" i="1" s="1"/>
  <c r="Z155" i="1"/>
  <c r="AB155" i="1" s="1"/>
  <c r="X191" i="1"/>
  <c r="Z209" i="1"/>
  <c r="AB209" i="1" s="1"/>
  <c r="U217" i="1"/>
  <c r="U225" i="1"/>
  <c r="AA234" i="1"/>
  <c r="AD234" i="1" s="1"/>
  <c r="X239" i="1"/>
  <c r="Z253" i="1"/>
  <c r="AB253" i="1" s="1"/>
  <c r="Z285" i="1"/>
  <c r="AB285" i="1" s="1"/>
  <c r="AA333" i="1"/>
  <c r="AD333" i="1" s="1"/>
  <c r="U340" i="1"/>
  <c r="U345" i="1"/>
  <c r="U356" i="1"/>
  <c r="X360" i="1"/>
  <c r="U377" i="1"/>
  <c r="AA407" i="1"/>
  <c r="AD407" i="1" s="1"/>
  <c r="U442" i="1"/>
  <c r="AA462" i="1"/>
  <c r="AD462" i="1" s="1"/>
  <c r="Z463" i="1"/>
  <c r="AB463" i="1" s="1"/>
  <c r="X478" i="1"/>
  <c r="X479" i="1"/>
  <c r="X482" i="1"/>
  <c r="U485" i="1"/>
  <c r="X490" i="1"/>
  <c r="AB497" i="1"/>
  <c r="X516" i="1"/>
  <c r="X517" i="1"/>
  <c r="U51" i="1"/>
  <c r="Z142" i="1"/>
  <c r="AB142" i="1" s="1"/>
  <c r="Z329" i="1"/>
  <c r="AB329" i="1" s="1"/>
  <c r="W469" i="1"/>
  <c r="AA469" i="1" s="1"/>
  <c r="AD469" i="1" s="1"/>
  <c r="I509" i="1"/>
  <c r="Z102" i="1"/>
  <c r="AB102" i="1" s="1"/>
  <c r="AA99" i="1"/>
  <c r="AD99" i="1" s="1"/>
  <c r="Z110" i="1"/>
  <c r="AB110" i="1" s="1"/>
  <c r="Z130" i="1"/>
  <c r="AB130" i="1" s="1"/>
  <c r="Z182" i="1"/>
  <c r="AB182" i="1" s="1"/>
  <c r="Z197" i="1"/>
  <c r="AB197" i="1" s="1"/>
  <c r="U213" i="1"/>
  <c r="U221" i="1"/>
  <c r="AA236" i="1"/>
  <c r="AD236" i="1" s="1"/>
  <c r="U237" i="1"/>
  <c r="X252" i="1"/>
  <c r="Z289" i="1"/>
  <c r="AB289" i="1" s="1"/>
  <c r="U298" i="1"/>
  <c r="AA321" i="1"/>
  <c r="AD321" i="1" s="1"/>
  <c r="U361" i="1"/>
  <c r="U412" i="1"/>
  <c r="X437" i="1"/>
  <c r="AA449" i="1"/>
  <c r="AD449" i="1" s="1"/>
  <c r="X458" i="1"/>
  <c r="U462" i="1"/>
  <c r="AA476" i="1"/>
  <c r="AD476" i="1" s="1"/>
  <c r="K472" i="1"/>
  <c r="AA506" i="1"/>
  <c r="AD506" i="1" s="1"/>
  <c r="Z510" i="1"/>
  <c r="AB510" i="1" s="1"/>
  <c r="U520" i="1"/>
  <c r="AA521" i="1"/>
  <c r="AD521" i="1" s="1"/>
  <c r="X524" i="1"/>
  <c r="AA531" i="1"/>
  <c r="AD531" i="1" s="1"/>
  <c r="X532" i="1"/>
  <c r="U67" i="1"/>
  <c r="Z67" i="1"/>
  <c r="AB67" i="1" s="1"/>
  <c r="U126" i="1"/>
  <c r="Z126" i="1"/>
  <c r="AB126" i="1" s="1"/>
  <c r="X129" i="1"/>
  <c r="AA129" i="1"/>
  <c r="AD129" i="1" s="1"/>
  <c r="U186" i="1"/>
  <c r="Z186" i="1"/>
  <c r="AB186" i="1" s="1"/>
  <c r="AA246" i="1"/>
  <c r="AD246" i="1" s="1"/>
  <c r="X246" i="1"/>
  <c r="X261" i="1"/>
  <c r="AA261" i="1"/>
  <c r="AD261" i="1" s="1"/>
  <c r="U279" i="1"/>
  <c r="Z279" i="1"/>
  <c r="AB279" i="1" s="1"/>
  <c r="U291" i="1"/>
  <c r="Z291" i="1"/>
  <c r="AB291" i="1" s="1"/>
  <c r="U323" i="1"/>
  <c r="Z323" i="1"/>
  <c r="AB323" i="1" s="1"/>
  <c r="X385" i="1"/>
  <c r="AA385" i="1"/>
  <c r="AD385" i="1" s="1"/>
  <c r="Z394" i="1"/>
  <c r="AB394" i="1" s="1"/>
  <c r="U394" i="1"/>
  <c r="AA442" i="1"/>
  <c r="AD442" i="1" s="1"/>
  <c r="X442" i="1"/>
  <c r="AA447" i="1"/>
  <c r="AD447" i="1" s="1"/>
  <c r="X447" i="1"/>
  <c r="X457" i="1"/>
  <c r="AA457" i="1"/>
  <c r="AD457" i="1" s="1"/>
  <c r="W54" i="1"/>
  <c r="AA54" i="1" s="1"/>
  <c r="AD54" i="1" s="1"/>
  <c r="U88" i="1"/>
  <c r="Z88" i="1"/>
  <c r="U138" i="1"/>
  <c r="Z138" i="1"/>
  <c r="AB138" i="1" s="1"/>
  <c r="X171" i="1"/>
  <c r="AA171" i="1"/>
  <c r="AD171" i="1" s="1"/>
  <c r="U223" i="1"/>
  <c r="Z226" i="1"/>
  <c r="AB226" i="1" s="1"/>
  <c r="U226" i="1"/>
  <c r="AA243" i="1"/>
  <c r="AD243" i="1" s="1"/>
  <c r="X243" i="1"/>
  <c r="Z258" i="1"/>
  <c r="AB258" i="1" s="1"/>
  <c r="U258" i="1"/>
  <c r="U265" i="1"/>
  <c r="U276" i="1"/>
  <c r="Z276" i="1"/>
  <c r="AB276" i="1" s="1"/>
  <c r="AA279" i="1"/>
  <c r="AD279" i="1" s="1"/>
  <c r="X279" i="1"/>
  <c r="X320" i="1"/>
  <c r="AA320" i="1"/>
  <c r="AD320" i="1" s="1"/>
  <c r="U327" i="1"/>
  <c r="Z327" i="1"/>
  <c r="AB327" i="1" s="1"/>
  <c r="U333" i="1"/>
  <c r="Z333" i="1"/>
  <c r="AB333" i="1" s="1"/>
  <c r="Z338" i="1"/>
  <c r="AB338" i="1" s="1"/>
  <c r="U338" i="1"/>
  <c r="AA389" i="1"/>
  <c r="AD389" i="1" s="1"/>
  <c r="U474" i="1"/>
  <c r="U477" i="1"/>
  <c r="Z477" i="1"/>
  <c r="AB477" i="1" s="1"/>
  <c r="Z29" i="1"/>
  <c r="AB29" i="1" s="1"/>
  <c r="AA34" i="1"/>
  <c r="Z38" i="1"/>
  <c r="AB38" i="1" s="1"/>
  <c r="X48" i="1"/>
  <c r="U52" i="1"/>
  <c r="AA58" i="1"/>
  <c r="AD58" i="1" s="1"/>
  <c r="AA73" i="1"/>
  <c r="AD73" i="1" s="1"/>
  <c r="X76" i="1"/>
  <c r="AA77" i="1"/>
  <c r="AD77" i="1" s="1"/>
  <c r="X97" i="1"/>
  <c r="AA97" i="1"/>
  <c r="AD97" i="1" s="1"/>
  <c r="U114" i="1"/>
  <c r="Z114" i="1"/>
  <c r="AB114" i="1" s="1"/>
  <c r="U118" i="1"/>
  <c r="Z118" i="1"/>
  <c r="AB118" i="1" s="1"/>
  <c r="AA119" i="1"/>
  <c r="AD119" i="1" s="1"/>
  <c r="Z147" i="1"/>
  <c r="AB147" i="1" s="1"/>
  <c r="X159" i="1"/>
  <c r="U170" i="1"/>
  <c r="Z170" i="1"/>
  <c r="AB170" i="1" s="1"/>
  <c r="X181" i="1"/>
  <c r="AA181" i="1"/>
  <c r="AD181" i="1" s="1"/>
  <c r="X203" i="1"/>
  <c r="AA205" i="1"/>
  <c r="AD205" i="1" s="1"/>
  <c r="X205" i="1"/>
  <c r="U219" i="1"/>
  <c r="Z222" i="1"/>
  <c r="AB222" i="1" s="1"/>
  <c r="U222" i="1"/>
  <c r="U264" i="1"/>
  <c r="U307" i="1"/>
  <c r="U319" i="1"/>
  <c r="Z319" i="1"/>
  <c r="AB319" i="1" s="1"/>
  <c r="AA325" i="1"/>
  <c r="AD325" i="1" s="1"/>
  <c r="Z332" i="1"/>
  <c r="AB332" i="1" s="1"/>
  <c r="U332" i="1"/>
  <c r="X336" i="1"/>
  <c r="AA336" i="1"/>
  <c r="AD336" i="1" s="1"/>
  <c r="Z354" i="1"/>
  <c r="AB354" i="1" s="1"/>
  <c r="U354" i="1"/>
  <c r="X388" i="1"/>
  <c r="AA388" i="1"/>
  <c r="AD388" i="1" s="1"/>
  <c r="U400" i="1"/>
  <c r="X420" i="1"/>
  <c r="AA446" i="1"/>
  <c r="AD446" i="1" s="1"/>
  <c r="X446" i="1"/>
  <c r="X451" i="1"/>
  <c r="U453" i="1"/>
  <c r="AA454" i="1"/>
  <c r="AD454" i="1" s="1"/>
  <c r="X454" i="1"/>
  <c r="X459" i="1"/>
  <c r="X467" i="1"/>
  <c r="X486" i="1"/>
  <c r="M509" i="1"/>
  <c r="U515" i="1"/>
  <c r="X522" i="1"/>
  <c r="AA528" i="1"/>
  <c r="AD528" i="1" s="1"/>
  <c r="X528" i="1"/>
  <c r="X95" i="1"/>
  <c r="AA95" i="1"/>
  <c r="AD95" i="1" s="1"/>
  <c r="Z214" i="1"/>
  <c r="AB214" i="1" s="1"/>
  <c r="U214" i="1"/>
  <c r="U288" i="1"/>
  <c r="Z288" i="1"/>
  <c r="AB288" i="1" s="1"/>
  <c r="AA335" i="1"/>
  <c r="AD335" i="1" s="1"/>
  <c r="X335" i="1"/>
  <c r="Z480" i="1"/>
  <c r="AB480" i="1" s="1"/>
  <c r="U480" i="1"/>
  <c r="X489" i="1"/>
  <c r="AA489" i="1"/>
  <c r="AD489" i="1" s="1"/>
  <c r="X527" i="1"/>
  <c r="AA527" i="1"/>
  <c r="AD527" i="1" s="1"/>
  <c r="AB40" i="1"/>
  <c r="U43" i="1"/>
  <c r="AA72" i="1"/>
  <c r="AD72" i="1" s="1"/>
  <c r="X74" i="1"/>
  <c r="AA101" i="1"/>
  <c r="AD101" i="1" s="1"/>
  <c r="X115" i="1"/>
  <c r="AA115" i="1"/>
  <c r="AD115" i="1" s="1"/>
  <c r="AA139" i="1"/>
  <c r="AD139" i="1" s="1"/>
  <c r="U205" i="1"/>
  <c r="Z205" i="1"/>
  <c r="AB205" i="1" s="1"/>
  <c r="AA288" i="1"/>
  <c r="AD288" i="1" s="1"/>
  <c r="X288" i="1"/>
  <c r="AA291" i="1"/>
  <c r="AD291" i="1" s="1"/>
  <c r="X291" i="1"/>
  <c r="U317" i="1"/>
  <c r="Z317" i="1"/>
  <c r="AB317" i="1" s="1"/>
  <c r="X328" i="1"/>
  <c r="AA328" i="1"/>
  <c r="AD328" i="1" s="1"/>
  <c r="U355" i="1"/>
  <c r="U358" i="1"/>
  <c r="Z358" i="1"/>
  <c r="AB358" i="1" s="1"/>
  <c r="U391" i="1"/>
  <c r="X406" i="1"/>
  <c r="AA406" i="1"/>
  <c r="AD406" i="1" s="1"/>
  <c r="Z441" i="1"/>
  <c r="AB441" i="1" s="1"/>
  <c r="U441" i="1"/>
  <c r="U461" i="1"/>
  <c r="Z461" i="1"/>
  <c r="AB461" i="1" s="1"/>
  <c r="U470" i="1"/>
  <c r="Z470" i="1"/>
  <c r="AB470" i="1" s="1"/>
  <c r="Z488" i="1"/>
  <c r="AB488" i="1" s="1"/>
  <c r="U488" i="1"/>
  <c r="U493" i="1"/>
  <c r="Z493" i="1"/>
  <c r="AB493" i="1" s="1"/>
  <c r="AA497" i="1"/>
  <c r="AD497" i="1" s="1"/>
  <c r="AA500" i="1"/>
  <c r="AD500" i="1" s="1"/>
  <c r="X500" i="1"/>
  <c r="AA519" i="1"/>
  <c r="AD519" i="1" s="1"/>
  <c r="X519" i="1"/>
  <c r="AA529" i="1"/>
  <c r="AD529" i="1" s="1"/>
  <c r="T21" i="1"/>
  <c r="U21" i="1" s="1"/>
  <c r="X96" i="1"/>
  <c r="AA96" i="1"/>
  <c r="AD96" i="1" s="1"/>
  <c r="U106" i="1"/>
  <c r="Z106" i="1"/>
  <c r="AB106" i="1" s="1"/>
  <c r="AA107" i="1"/>
  <c r="AD107" i="1" s="1"/>
  <c r="AA133" i="1"/>
  <c r="AD133" i="1" s="1"/>
  <c r="X151" i="1"/>
  <c r="Z163" i="1"/>
  <c r="AB163" i="1" s="1"/>
  <c r="U174" i="1"/>
  <c r="Z174" i="1"/>
  <c r="AB174" i="1" s="1"/>
  <c r="U178" i="1"/>
  <c r="Z178" i="1"/>
  <c r="AB178" i="1" s="1"/>
  <c r="U193" i="1"/>
  <c r="Z193" i="1"/>
  <c r="AB193" i="1" s="1"/>
  <c r="U195" i="1"/>
  <c r="Z195" i="1"/>
  <c r="AB195" i="1" s="1"/>
  <c r="U215" i="1"/>
  <c r="Z218" i="1"/>
  <c r="AB218" i="1" s="1"/>
  <c r="U218" i="1"/>
  <c r="Z263" i="1"/>
  <c r="AB263" i="1" s="1"/>
  <c r="U263" i="1"/>
  <c r="Z274" i="1"/>
  <c r="AB274" i="1" s="1"/>
  <c r="U274" i="1"/>
  <c r="U280" i="1"/>
  <c r="Z280" i="1"/>
  <c r="AB280" i="1" s="1"/>
  <c r="U297" i="1"/>
  <c r="U300" i="1"/>
  <c r="AA319" i="1"/>
  <c r="AD319" i="1" s="1"/>
  <c r="X319" i="1"/>
  <c r="X324" i="1"/>
  <c r="AA324" i="1"/>
  <c r="AD324" i="1" s="1"/>
  <c r="X329" i="1"/>
  <c r="AA329" i="1"/>
  <c r="AD329" i="1" s="1"/>
  <c r="U335" i="1"/>
  <c r="Z335" i="1"/>
  <c r="AB335" i="1" s="1"/>
  <c r="X350" i="1"/>
  <c r="AA350" i="1"/>
  <c r="AD350" i="1" s="1"/>
  <c r="U363" i="1"/>
  <c r="Z369" i="1"/>
  <c r="AB369" i="1" s="1"/>
  <c r="U369" i="1"/>
  <c r="Z387" i="1"/>
  <c r="AB387" i="1" s="1"/>
  <c r="U387" i="1"/>
  <c r="X419" i="1"/>
  <c r="X485" i="1"/>
  <c r="AA485" i="1"/>
  <c r="AD485" i="1" s="1"/>
  <c r="U511" i="1"/>
  <c r="Z511" i="1"/>
  <c r="AB511" i="1" s="1"/>
  <c r="Z159" i="1"/>
  <c r="AB159" i="1" s="1"/>
  <c r="Z167" i="1"/>
  <c r="AB167" i="1" s="1"/>
  <c r="AD240" i="1"/>
  <c r="Z360" i="1"/>
  <c r="AB360" i="1" s="1"/>
  <c r="AA103" i="1"/>
  <c r="AD103" i="1" s="1"/>
  <c r="AA111" i="1"/>
  <c r="AD111" i="1" s="1"/>
  <c r="AA117" i="1"/>
  <c r="AD117" i="1" s="1"/>
  <c r="AA123" i="1"/>
  <c r="AD123" i="1" s="1"/>
  <c r="AA135" i="1"/>
  <c r="AD135" i="1" s="1"/>
  <c r="AA143" i="1"/>
  <c r="AD143" i="1" s="1"/>
  <c r="X147" i="1"/>
  <c r="X155" i="1"/>
  <c r="X163" i="1"/>
  <c r="AB237" i="1"/>
  <c r="U238" i="1"/>
  <c r="U256" i="1"/>
  <c r="U257" i="1"/>
  <c r="U272" i="1"/>
  <c r="U273" i="1"/>
  <c r="X289" i="1"/>
  <c r="X290" i="1"/>
  <c r="AA302" i="1"/>
  <c r="AD302" i="1" s="1"/>
  <c r="U314" i="1"/>
  <c r="X318" i="1"/>
  <c r="X331" i="1"/>
  <c r="Z379" i="1"/>
  <c r="AB379" i="1" s="1"/>
  <c r="U383" i="1"/>
  <c r="U393" i="1"/>
  <c r="AA397" i="1"/>
  <c r="AD397" i="1" s="1"/>
  <c r="AA405" i="1"/>
  <c r="AD405" i="1" s="1"/>
  <c r="U410" i="1"/>
  <c r="AA445" i="1"/>
  <c r="AD445" i="1" s="1"/>
  <c r="T505" i="1"/>
  <c r="Z505" i="1" s="1"/>
  <c r="U505" i="1" s="1"/>
  <c r="AA518" i="1"/>
  <c r="AD518" i="1" s="1"/>
  <c r="AA525" i="1"/>
  <c r="AD525" i="1" s="1"/>
  <c r="X526" i="1"/>
  <c r="AA533" i="1"/>
  <c r="AD533" i="1" s="1"/>
  <c r="X534" i="1"/>
  <c r="U112" i="1"/>
  <c r="Z112" i="1"/>
  <c r="AB112" i="1" s="1"/>
  <c r="AA165" i="1"/>
  <c r="AD165" i="1" s="1"/>
  <c r="X165" i="1"/>
  <c r="U172" i="1"/>
  <c r="Z172" i="1"/>
  <c r="AB172" i="1" s="1"/>
  <c r="X189" i="1"/>
  <c r="AA189" i="1"/>
  <c r="AD189" i="1" s="1"/>
  <c r="U212" i="1"/>
  <c r="Z212" i="1"/>
  <c r="AB212" i="1" s="1"/>
  <c r="AA249" i="1"/>
  <c r="AD249" i="1" s="1"/>
  <c r="X249" i="1"/>
  <c r="X265" i="1"/>
  <c r="AA265" i="1"/>
  <c r="AD265" i="1" s="1"/>
  <c r="Z270" i="1"/>
  <c r="AB270" i="1" s="1"/>
  <c r="U270" i="1"/>
  <c r="AA281" i="1"/>
  <c r="AD281" i="1" s="1"/>
  <c r="X281" i="1"/>
  <c r="X366" i="1"/>
  <c r="AA366" i="1"/>
  <c r="AD366" i="1" s="1"/>
  <c r="U376" i="1"/>
  <c r="Z376" i="1"/>
  <c r="AB376" i="1" s="1"/>
  <c r="Z390" i="1"/>
  <c r="AB390" i="1" s="1"/>
  <c r="U390" i="1"/>
  <c r="Z396" i="1"/>
  <c r="AB396" i="1" s="1"/>
  <c r="U396" i="1"/>
  <c r="Z403" i="1"/>
  <c r="AB403" i="1" s="1"/>
  <c r="U403" i="1"/>
  <c r="X414" i="1"/>
  <c r="AA414" i="1"/>
  <c r="AD414" i="1" s="1"/>
  <c r="AA436" i="1"/>
  <c r="AD436" i="1" s="1"/>
  <c r="X436" i="1"/>
  <c r="AA455" i="1"/>
  <c r="AD455" i="1" s="1"/>
  <c r="X455" i="1"/>
  <c r="AA487" i="1"/>
  <c r="AD487" i="1" s="1"/>
  <c r="X487" i="1"/>
  <c r="U513" i="1"/>
  <c r="Z513" i="1"/>
  <c r="AB513" i="1" s="1"/>
  <c r="Z527" i="1"/>
  <c r="AB527" i="1" s="1"/>
  <c r="U527" i="1"/>
  <c r="U22" i="1"/>
  <c r="U49" i="1"/>
  <c r="Z49" i="1"/>
  <c r="AB49" i="1" s="1"/>
  <c r="AA109" i="1"/>
  <c r="AD109" i="1" s="1"/>
  <c r="U153" i="1"/>
  <c r="Z153" i="1"/>
  <c r="AB153" i="1" s="1"/>
  <c r="X199" i="1"/>
  <c r="X211" i="1"/>
  <c r="AA216" i="1"/>
  <c r="AD216" i="1" s="1"/>
  <c r="X216" i="1"/>
  <c r="AA224" i="1"/>
  <c r="AD224" i="1" s="1"/>
  <c r="X224" i="1"/>
  <c r="U233" i="1"/>
  <c r="X242" i="1"/>
  <c r="Z269" i="1"/>
  <c r="AB269" i="1" s="1"/>
  <c r="U269" i="1"/>
  <c r="X277" i="1"/>
  <c r="X278" i="1"/>
  <c r="X280" i="1"/>
  <c r="Z312" i="1"/>
  <c r="AB312" i="1" s="1"/>
  <c r="U312" i="1"/>
  <c r="U324" i="1"/>
  <c r="X327" i="1"/>
  <c r="X330" i="1"/>
  <c r="AA342" i="1"/>
  <c r="AD342" i="1" s="1"/>
  <c r="U347" i="1"/>
  <c r="U353" i="1"/>
  <c r="X359" i="1"/>
  <c r="U362" i="1"/>
  <c r="Z362" i="1"/>
  <c r="AB362" i="1" s="1"/>
  <c r="U365" i="1"/>
  <c r="X368" i="1"/>
  <c r="AA368" i="1"/>
  <c r="AD368" i="1" s="1"/>
  <c r="U370" i="1"/>
  <c r="Z370" i="1"/>
  <c r="AB370" i="1" s="1"/>
  <c r="U373" i="1"/>
  <c r="X376" i="1"/>
  <c r="AA376" i="1"/>
  <c r="AD376" i="1" s="1"/>
  <c r="U378" i="1"/>
  <c r="Z378" i="1"/>
  <c r="AB378" i="1" s="1"/>
  <c r="U382" i="1"/>
  <c r="Z389" i="1"/>
  <c r="AB389" i="1" s="1"/>
  <c r="U389" i="1"/>
  <c r="U399" i="1"/>
  <c r="X400" i="1"/>
  <c r="AA400" i="1"/>
  <c r="AD400" i="1" s="1"/>
  <c r="AA450" i="1"/>
  <c r="AD450" i="1" s="1"/>
  <c r="X450" i="1"/>
  <c r="AA461" i="1"/>
  <c r="AD461" i="1" s="1"/>
  <c r="X461" i="1"/>
  <c r="U495" i="1"/>
  <c r="Z495" i="1"/>
  <c r="AB495" i="1" s="1"/>
  <c r="Z496" i="1"/>
  <c r="AB496" i="1" s="1"/>
  <c r="Z525" i="1"/>
  <c r="AB525" i="1" s="1"/>
  <c r="U525" i="1"/>
  <c r="Z533" i="1"/>
  <c r="AB533" i="1" s="1"/>
  <c r="U533" i="1"/>
  <c r="I16" i="1"/>
  <c r="U30" i="1"/>
  <c r="Z30" i="1"/>
  <c r="AB30" i="1" s="1"/>
  <c r="U40" i="1"/>
  <c r="Q41" i="1"/>
  <c r="Q35" i="1" s="1"/>
  <c r="O35" i="1"/>
  <c r="AA56" i="1"/>
  <c r="AD56" i="1" s="1"/>
  <c r="X56" i="1"/>
  <c r="X59" i="1"/>
  <c r="U104" i="1"/>
  <c r="Z104" i="1"/>
  <c r="AB104" i="1" s="1"/>
  <c r="AA105" i="1"/>
  <c r="AD105" i="1" s="1"/>
  <c r="U120" i="1"/>
  <c r="Z120" i="1"/>
  <c r="AB120" i="1" s="1"/>
  <c r="AA121" i="1"/>
  <c r="AD121" i="1" s="1"/>
  <c r="U136" i="1"/>
  <c r="Z136" i="1"/>
  <c r="AB136" i="1" s="1"/>
  <c r="AA137" i="1"/>
  <c r="AD137" i="1" s="1"/>
  <c r="AA153" i="1"/>
  <c r="AD153" i="1" s="1"/>
  <c r="X153" i="1"/>
  <c r="AA161" i="1"/>
  <c r="AD161" i="1" s="1"/>
  <c r="X161" i="1"/>
  <c r="U176" i="1"/>
  <c r="Z176" i="1"/>
  <c r="AB176" i="1" s="1"/>
  <c r="AA177" i="1"/>
  <c r="AD177" i="1" s="1"/>
  <c r="U184" i="1"/>
  <c r="Z184" i="1"/>
  <c r="AB184" i="1" s="1"/>
  <c r="AA185" i="1"/>
  <c r="AD185" i="1" s="1"/>
  <c r="Z187" i="1"/>
  <c r="AB187" i="1" s="1"/>
  <c r="U187" i="1"/>
  <c r="G81" i="1"/>
  <c r="G60" i="1" s="1"/>
  <c r="X195" i="1"/>
  <c r="Z201" i="1"/>
  <c r="AB201" i="1" s="1"/>
  <c r="X207" i="1"/>
  <c r="X215" i="1"/>
  <c r="AA215" i="1"/>
  <c r="AD215" i="1" s="1"/>
  <c r="X219" i="1"/>
  <c r="AA219" i="1"/>
  <c r="AD219" i="1" s="1"/>
  <c r="X223" i="1"/>
  <c r="AA223" i="1"/>
  <c r="AD223" i="1" s="1"/>
  <c r="U232" i="1"/>
  <c r="X241" i="1"/>
  <c r="AA244" i="1"/>
  <c r="AD244" i="1" s="1"/>
  <c r="X244" i="1"/>
  <c r="AA248" i="1"/>
  <c r="AD248" i="1" s="1"/>
  <c r="X248" i="1"/>
  <c r="AA250" i="1"/>
  <c r="AD250" i="1" s="1"/>
  <c r="X250" i="1"/>
  <c r="X255" i="1"/>
  <c r="AA255" i="1"/>
  <c r="AD255" i="1" s="1"/>
  <c r="Z261" i="1"/>
  <c r="AB261" i="1" s="1"/>
  <c r="U261" i="1"/>
  <c r="Z268" i="1"/>
  <c r="AB268" i="1" s="1"/>
  <c r="U268" i="1"/>
  <c r="AA282" i="1"/>
  <c r="AD282" i="1" s="1"/>
  <c r="X282" i="1"/>
  <c r="AA292" i="1"/>
  <c r="AD292" i="1" s="1"/>
  <c r="X292" i="1"/>
  <c r="Z293" i="1"/>
  <c r="AB293" i="1" s="1"/>
  <c r="U299" i="1"/>
  <c r="U305" i="1"/>
  <c r="AA310" i="1"/>
  <c r="AD310" i="1" s="1"/>
  <c r="U315" i="1"/>
  <c r="U320" i="1"/>
  <c r="X323" i="1"/>
  <c r="Z325" i="1"/>
  <c r="AB325" i="1" s="1"/>
  <c r="X326" i="1"/>
  <c r="U336" i="1"/>
  <c r="U346" i="1"/>
  <c r="Z352" i="1"/>
  <c r="AB352" i="1" s="1"/>
  <c r="U352" i="1"/>
  <c r="X362" i="1"/>
  <c r="AA362" i="1"/>
  <c r="AD362" i="1" s="1"/>
  <c r="U364" i="1"/>
  <c r="Z364" i="1"/>
  <c r="AB364" i="1" s="1"/>
  <c r="U367" i="1"/>
  <c r="X370" i="1"/>
  <c r="AA370" i="1"/>
  <c r="AD370" i="1" s="1"/>
  <c r="U372" i="1"/>
  <c r="Z372" i="1"/>
  <c r="AB372" i="1" s="1"/>
  <c r="U375" i="1"/>
  <c r="X378" i="1"/>
  <c r="AA378" i="1"/>
  <c r="AD378" i="1" s="1"/>
  <c r="U381" i="1"/>
  <c r="AA386" i="1"/>
  <c r="AD386" i="1" s="1"/>
  <c r="Z388" i="1"/>
  <c r="AB388" i="1" s="1"/>
  <c r="U388" i="1"/>
  <c r="X393" i="1"/>
  <c r="AA393" i="1"/>
  <c r="AD393" i="1" s="1"/>
  <c r="Z398" i="1"/>
  <c r="AB398" i="1" s="1"/>
  <c r="U398" i="1"/>
  <c r="U448" i="1"/>
  <c r="Z448" i="1"/>
  <c r="AB448" i="1" s="1"/>
  <c r="Z458" i="1"/>
  <c r="AB458" i="1" s="1"/>
  <c r="U458" i="1"/>
  <c r="AA480" i="1"/>
  <c r="AD480" i="1" s="1"/>
  <c r="X480" i="1"/>
  <c r="Z506" i="1"/>
  <c r="AB506" i="1" s="1"/>
  <c r="U506" i="1"/>
  <c r="Z523" i="1"/>
  <c r="AB523" i="1" s="1"/>
  <c r="U523" i="1"/>
  <c r="Z531" i="1"/>
  <c r="AB531" i="1" s="1"/>
  <c r="U531" i="1"/>
  <c r="AH32" i="1"/>
  <c r="Z34" i="1"/>
  <c r="AB34" i="1" s="1"/>
  <c r="U34" i="1"/>
  <c r="Z35" i="1"/>
  <c r="AB35" i="1" s="1"/>
  <c r="U35" i="1"/>
  <c r="U37" i="1"/>
  <c r="Z37" i="1"/>
  <c r="AB37" i="1" s="1"/>
  <c r="Q49" i="1"/>
  <c r="O45" i="1"/>
  <c r="Z50" i="1"/>
  <c r="AB50" i="1" s="1"/>
  <c r="U50" i="1"/>
  <c r="Z55" i="1"/>
  <c r="AB55" i="1" s="1"/>
  <c r="U55" i="1"/>
  <c r="T60" i="1"/>
  <c r="U60" i="1" s="1"/>
  <c r="R57" i="1"/>
  <c r="T57" i="1" s="1"/>
  <c r="U57" i="1" s="1"/>
  <c r="U128" i="1"/>
  <c r="Z128" i="1"/>
  <c r="AB128" i="1" s="1"/>
  <c r="U144" i="1"/>
  <c r="Z144" i="1"/>
  <c r="AB144" i="1" s="1"/>
  <c r="AA149" i="1"/>
  <c r="AD149" i="1" s="1"/>
  <c r="X149" i="1"/>
  <c r="AA157" i="1"/>
  <c r="AD157" i="1" s="1"/>
  <c r="X157" i="1"/>
  <c r="U180" i="1"/>
  <c r="Z180" i="1"/>
  <c r="AB180" i="1" s="1"/>
  <c r="Z230" i="1"/>
  <c r="AB230" i="1" s="1"/>
  <c r="U230" i="1"/>
  <c r="AA247" i="1"/>
  <c r="AD247" i="1" s="1"/>
  <c r="X247" i="1"/>
  <c r="AA251" i="1"/>
  <c r="AD251" i="1" s="1"/>
  <c r="X251" i="1"/>
  <c r="AA283" i="1"/>
  <c r="AD283" i="1" s="1"/>
  <c r="X283" i="1"/>
  <c r="Z344" i="1"/>
  <c r="AB344" i="1" s="1"/>
  <c r="U344" i="1"/>
  <c r="U368" i="1"/>
  <c r="Z368" i="1"/>
  <c r="AB368" i="1" s="1"/>
  <c r="X374" i="1"/>
  <c r="AA374" i="1"/>
  <c r="AD374" i="1" s="1"/>
  <c r="U72" i="1"/>
  <c r="Z72" i="1"/>
  <c r="AB72" i="1" s="1"/>
  <c r="AA75" i="1"/>
  <c r="AD75" i="1" s="1"/>
  <c r="X75" i="1"/>
  <c r="AA94" i="1"/>
  <c r="AD94" i="1" s="1"/>
  <c r="U108" i="1"/>
  <c r="Z108" i="1"/>
  <c r="AB108" i="1" s="1"/>
  <c r="U124" i="1"/>
  <c r="Z124" i="1"/>
  <c r="AB124" i="1" s="1"/>
  <c r="AA125" i="1"/>
  <c r="AD125" i="1" s="1"/>
  <c r="U140" i="1"/>
  <c r="Z140" i="1"/>
  <c r="AB140" i="1" s="1"/>
  <c r="AA141" i="1"/>
  <c r="AD141" i="1" s="1"/>
  <c r="U161" i="1"/>
  <c r="Z161" i="1"/>
  <c r="AB161" i="1" s="1"/>
  <c r="U168" i="1"/>
  <c r="Z168" i="1"/>
  <c r="AB168" i="1" s="1"/>
  <c r="AA169" i="1"/>
  <c r="AD169" i="1" s="1"/>
  <c r="U188" i="1"/>
  <c r="U535" i="1" s="1"/>
  <c r="Z188" i="1"/>
  <c r="AB188" i="1" s="1"/>
  <c r="AA220" i="1"/>
  <c r="AD220" i="1" s="1"/>
  <c r="X220" i="1"/>
  <c r="U244" i="1"/>
  <c r="Z244" i="1"/>
  <c r="AB244" i="1" s="1"/>
  <c r="X257" i="1"/>
  <c r="AA257" i="1"/>
  <c r="AD257" i="1" s="1"/>
  <c r="Z262" i="1"/>
  <c r="AB262" i="1" s="1"/>
  <c r="U262" i="1"/>
  <c r="X276" i="1"/>
  <c r="U292" i="1"/>
  <c r="Z292" i="1"/>
  <c r="AB292" i="1" s="1"/>
  <c r="Z296" i="1"/>
  <c r="AB296" i="1" s="1"/>
  <c r="U296" i="1"/>
  <c r="AA301" i="1"/>
  <c r="AD301" i="1" s="1"/>
  <c r="U306" i="1"/>
  <c r="U28" i="1"/>
  <c r="Z28" i="1"/>
  <c r="AB28" i="1" s="1"/>
  <c r="U39" i="1"/>
  <c r="Z39" i="1"/>
  <c r="AB39" i="1" s="1"/>
  <c r="U45" i="1"/>
  <c r="Z45" i="1"/>
  <c r="AB45" i="1" s="1"/>
  <c r="Z53" i="1"/>
  <c r="AB53" i="1" s="1"/>
  <c r="U53" i="1"/>
  <c r="O51" i="1"/>
  <c r="U89" i="1"/>
  <c r="Z89" i="1"/>
  <c r="U100" i="1"/>
  <c r="Z100" i="1"/>
  <c r="AB100" i="1" s="1"/>
  <c r="U116" i="1"/>
  <c r="Z116" i="1"/>
  <c r="AB116" i="1" s="1"/>
  <c r="U132" i="1"/>
  <c r="Z132" i="1"/>
  <c r="AB132" i="1" s="1"/>
  <c r="U149" i="1"/>
  <c r="Z149" i="1"/>
  <c r="AB149" i="1" s="1"/>
  <c r="U157" i="1"/>
  <c r="Z157" i="1"/>
  <c r="AB157" i="1" s="1"/>
  <c r="U165" i="1"/>
  <c r="Z165" i="1"/>
  <c r="AB165" i="1" s="1"/>
  <c r="Z231" i="1"/>
  <c r="AB231" i="1" s="1"/>
  <c r="U231" i="1"/>
  <c r="Z234" i="1"/>
  <c r="AB234" i="1" s="1"/>
  <c r="U240" i="1"/>
  <c r="Z240" i="1"/>
  <c r="AB240" i="1" s="1"/>
  <c r="Z245" i="1"/>
  <c r="AB245" i="1" s="1"/>
  <c r="U247" i="1"/>
  <c r="Z247" i="1"/>
  <c r="AB247" i="1" s="1"/>
  <c r="U249" i="1"/>
  <c r="Z249" i="1"/>
  <c r="AB249" i="1" s="1"/>
  <c r="U251" i="1"/>
  <c r="Z251" i="1"/>
  <c r="AB251" i="1" s="1"/>
  <c r="Z260" i="1"/>
  <c r="AB260" i="1" s="1"/>
  <c r="U260" i="1"/>
  <c r="X273" i="1"/>
  <c r="AA273" i="1"/>
  <c r="AD273" i="1" s="1"/>
  <c r="U281" i="1"/>
  <c r="Z281" i="1"/>
  <c r="AB281" i="1" s="1"/>
  <c r="U283" i="1"/>
  <c r="Z283" i="1"/>
  <c r="AB283" i="1" s="1"/>
  <c r="Z287" i="1"/>
  <c r="AB287" i="1" s="1"/>
  <c r="Z304" i="1"/>
  <c r="AB304" i="1" s="1"/>
  <c r="U304" i="1"/>
  <c r="Z321" i="1"/>
  <c r="AB321" i="1" s="1"/>
  <c r="X364" i="1"/>
  <c r="AA364" i="1"/>
  <c r="AD364" i="1" s="1"/>
  <c r="U366" i="1"/>
  <c r="Z366" i="1"/>
  <c r="AB366" i="1" s="1"/>
  <c r="X372" i="1"/>
  <c r="AA372" i="1"/>
  <c r="AD372" i="1" s="1"/>
  <c r="U374" i="1"/>
  <c r="Z374" i="1"/>
  <c r="AB374" i="1" s="1"/>
  <c r="X392" i="1"/>
  <c r="AA392" i="1"/>
  <c r="AD392" i="1" s="1"/>
  <c r="Z397" i="1"/>
  <c r="AB397" i="1" s="1"/>
  <c r="U397" i="1"/>
  <c r="Z409" i="1"/>
  <c r="AB409" i="1" s="1"/>
  <c r="U409" i="1"/>
  <c r="Z416" i="1"/>
  <c r="AB416" i="1" s="1"/>
  <c r="U416" i="1"/>
  <c r="AA425" i="1"/>
  <c r="AD425" i="1" s="1"/>
  <c r="X425" i="1"/>
  <c r="U433" i="1"/>
  <c r="Z433" i="1"/>
  <c r="AB433" i="1" s="1"/>
  <c r="Z457" i="1"/>
  <c r="AB457" i="1" s="1"/>
  <c r="U457" i="1"/>
  <c r="AA488" i="1"/>
  <c r="AD488" i="1" s="1"/>
  <c r="X488" i="1"/>
  <c r="Z521" i="1"/>
  <c r="AB521" i="1" s="1"/>
  <c r="U521" i="1"/>
  <c r="Z529" i="1"/>
  <c r="AB529" i="1" s="1"/>
  <c r="U529" i="1"/>
  <c r="AA431" i="1"/>
  <c r="AD431" i="1" s="1"/>
  <c r="X431" i="1"/>
  <c r="AA438" i="1"/>
  <c r="AD438" i="1" s="1"/>
  <c r="X438" i="1"/>
  <c r="Q441" i="1"/>
  <c r="S441" i="1" s="1"/>
  <c r="Z446" i="1"/>
  <c r="AB446" i="1" s="1"/>
  <c r="U446" i="1"/>
  <c r="U464" i="1"/>
  <c r="Z464" i="1"/>
  <c r="AB464" i="1" s="1"/>
  <c r="U481" i="1"/>
  <c r="Z481" i="1"/>
  <c r="AB481" i="1" s="1"/>
  <c r="Z519" i="1"/>
  <c r="AB519" i="1" s="1"/>
  <c r="U519" i="1"/>
  <c r="AB43" i="1"/>
  <c r="G16" i="1"/>
  <c r="AB48" i="1"/>
  <c r="Z93" i="1"/>
  <c r="AB93" i="1" s="1"/>
  <c r="AD190" i="1"/>
  <c r="Z199" i="1"/>
  <c r="AB199" i="1" s="1"/>
  <c r="Z203" i="1"/>
  <c r="AB203" i="1" s="1"/>
  <c r="Z207" i="1"/>
  <c r="AB207" i="1" s="1"/>
  <c r="Z211" i="1"/>
  <c r="AB211" i="1" s="1"/>
  <c r="Z241" i="1"/>
  <c r="AB241" i="1" s="1"/>
  <c r="Z243" i="1"/>
  <c r="AB243" i="1" s="1"/>
  <c r="AD276" i="1"/>
  <c r="AB295" i="1"/>
  <c r="AA401" i="1"/>
  <c r="AD401" i="1" s="1"/>
  <c r="U405" i="1"/>
  <c r="U406" i="1"/>
  <c r="U407" i="1"/>
  <c r="U408" i="1"/>
  <c r="AA413" i="1"/>
  <c r="AD413" i="1" s="1"/>
  <c r="AA433" i="1"/>
  <c r="AD433" i="1" s="1"/>
  <c r="X435" i="1"/>
  <c r="U440" i="1"/>
  <c r="U445" i="1"/>
  <c r="Z445" i="1"/>
  <c r="AB445" i="1" s="1"/>
  <c r="AA448" i="1"/>
  <c r="AD448" i="1" s="1"/>
  <c r="AA452" i="1"/>
  <c r="AD452" i="1" s="1"/>
  <c r="X452" i="1"/>
  <c r="X460" i="1"/>
  <c r="Z475" i="1"/>
  <c r="AB475" i="1" s="1"/>
  <c r="U475" i="1"/>
  <c r="Z478" i="1"/>
  <c r="AB478" i="1" s="1"/>
  <c r="U478" i="1"/>
  <c r="AA484" i="1"/>
  <c r="AD484" i="1" s="1"/>
  <c r="X484" i="1"/>
  <c r="U489" i="1"/>
  <c r="Z494" i="1"/>
  <c r="AB494" i="1" s="1"/>
  <c r="G498" i="1"/>
  <c r="W503" i="1"/>
  <c r="X503" i="1" s="1"/>
  <c r="Z516" i="1"/>
  <c r="AB516" i="1" s="1"/>
  <c r="U516" i="1"/>
  <c r="U518" i="1"/>
  <c r="AA444" i="1"/>
  <c r="AD444" i="1" s="1"/>
  <c r="X444" i="1"/>
  <c r="Z490" i="1"/>
  <c r="AB490" i="1" s="1"/>
  <c r="U490" i="1"/>
  <c r="K16" i="1"/>
  <c r="K60" i="1"/>
  <c r="Z85" i="1"/>
  <c r="U94" i="1"/>
  <c r="U95" i="1"/>
  <c r="AA175" i="1"/>
  <c r="AD175" i="1" s="1"/>
  <c r="AA179" i="1"/>
  <c r="AD179" i="1" s="1"/>
  <c r="AA183" i="1"/>
  <c r="AD183" i="1" s="1"/>
  <c r="X193" i="1"/>
  <c r="X197" i="1"/>
  <c r="X201" i="1"/>
  <c r="U228" i="1"/>
  <c r="U229" i="1"/>
  <c r="U239" i="1"/>
  <c r="AB255" i="1"/>
  <c r="U259" i="1"/>
  <c r="U267" i="1"/>
  <c r="U275" i="1"/>
  <c r="X284" i="1"/>
  <c r="X287" i="1"/>
  <c r="X293" i="1"/>
  <c r="X294" i="1"/>
  <c r="U295" i="1"/>
  <c r="AA297" i="1"/>
  <c r="AD297" i="1" s="1"/>
  <c r="AA298" i="1"/>
  <c r="AD298" i="1" s="1"/>
  <c r="U301" i="1"/>
  <c r="U302" i="1"/>
  <c r="U303" i="1"/>
  <c r="AA305" i="1"/>
  <c r="AD305" i="1" s="1"/>
  <c r="AA306" i="1"/>
  <c r="AD306" i="1" s="1"/>
  <c r="U309" i="1"/>
  <c r="U310" i="1"/>
  <c r="U311" i="1"/>
  <c r="AA313" i="1"/>
  <c r="AD313" i="1" s="1"/>
  <c r="AA314" i="1"/>
  <c r="AD314" i="1" s="1"/>
  <c r="U318" i="1"/>
  <c r="U322" i="1"/>
  <c r="U326" i="1"/>
  <c r="U330" i="1"/>
  <c r="U334" i="1"/>
  <c r="AA338" i="1"/>
  <c r="AD338" i="1" s="1"/>
  <c r="U341" i="1"/>
  <c r="U342" i="1"/>
  <c r="U343" i="1"/>
  <c r="AA346" i="1"/>
  <c r="AD346" i="1" s="1"/>
  <c r="U349" i="1"/>
  <c r="U350" i="1"/>
  <c r="U351" i="1"/>
  <c r="AA354" i="1"/>
  <c r="AD354" i="1" s="1"/>
  <c r="U359" i="1"/>
  <c r="AA380" i="1"/>
  <c r="AD380" i="1" s="1"/>
  <c r="AA381" i="1"/>
  <c r="AD381" i="1" s="1"/>
  <c r="U384" i="1"/>
  <c r="U385" i="1"/>
  <c r="U386" i="1"/>
  <c r="U395" i="1"/>
  <c r="U402" i="1"/>
  <c r="Z404" i="1"/>
  <c r="AB404" i="1" s="1"/>
  <c r="U404" i="1"/>
  <c r="U411" i="1"/>
  <c r="W417" i="1"/>
  <c r="AA432" i="1"/>
  <c r="AD432" i="1" s="1"/>
  <c r="X432" i="1"/>
  <c r="Z449" i="1"/>
  <c r="AB449" i="1" s="1"/>
  <c r="U449" i="1"/>
  <c r="Z454" i="1"/>
  <c r="AB454" i="1" s="1"/>
  <c r="U454" i="1"/>
  <c r="AA456" i="1"/>
  <c r="AD456" i="1" s="1"/>
  <c r="X456" i="1"/>
  <c r="X477" i="1"/>
  <c r="AA481" i="1"/>
  <c r="AD481" i="1" s="1"/>
  <c r="X483" i="1"/>
  <c r="Z486" i="1"/>
  <c r="AB486" i="1" s="1"/>
  <c r="X491" i="1"/>
  <c r="U497" i="1"/>
  <c r="AA520" i="1"/>
  <c r="AD520" i="1" s="1"/>
  <c r="X520" i="1"/>
  <c r="W466" i="1"/>
  <c r="AA466" i="1" s="1"/>
  <c r="AD466" i="1" s="1"/>
  <c r="W499" i="1"/>
  <c r="X499" i="1" s="1"/>
  <c r="W510" i="1"/>
  <c r="AA510" i="1" s="1"/>
  <c r="AD510" i="1" s="1"/>
  <c r="K509" i="1"/>
  <c r="AA409" i="1"/>
  <c r="AD409" i="1" s="1"/>
  <c r="AA410" i="1"/>
  <c r="AD410" i="1" s="1"/>
  <c r="U413" i="1"/>
  <c r="U414" i="1"/>
  <c r="U415" i="1"/>
  <c r="X423" i="1"/>
  <c r="X424" i="1"/>
  <c r="X427" i="1"/>
  <c r="X428" i="1"/>
  <c r="U435" i="1"/>
  <c r="U450" i="1"/>
  <c r="AA471" i="1"/>
  <c r="AD471" i="1" s="1"/>
  <c r="U476" i="1"/>
  <c r="U483" i="1"/>
  <c r="U487" i="1"/>
  <c r="U491" i="1"/>
  <c r="W496" i="1"/>
  <c r="AA496" i="1" s="1"/>
  <c r="AD496" i="1" s="1"/>
  <c r="T499" i="1"/>
  <c r="U500" i="1"/>
  <c r="T498" i="1"/>
  <c r="Z498" i="1" s="1"/>
  <c r="AB498" i="1" s="1"/>
  <c r="K498" i="1"/>
  <c r="W507" i="1"/>
  <c r="AA507" i="1" s="1"/>
  <c r="AD507" i="1" s="1"/>
  <c r="G509" i="1"/>
  <c r="U517" i="1"/>
  <c r="U522" i="1"/>
  <c r="U524" i="1"/>
  <c r="U526" i="1"/>
  <c r="U528" i="1"/>
  <c r="U530" i="1"/>
  <c r="U532" i="1"/>
  <c r="U534" i="1"/>
  <c r="M16" i="1"/>
  <c r="U46" i="1"/>
  <c r="Z46" i="1"/>
  <c r="AB46" i="1" s="1"/>
  <c r="AA24" i="1"/>
  <c r="AD24" i="1" s="1"/>
  <c r="X24" i="1"/>
  <c r="U47" i="1"/>
  <c r="Z47" i="1"/>
  <c r="AB47" i="1" s="1"/>
  <c r="U66" i="1"/>
  <c r="Z66" i="1"/>
  <c r="AB66" i="1" s="1"/>
  <c r="Z32" i="1"/>
  <c r="AB32" i="1" s="1"/>
  <c r="Z26" i="1"/>
  <c r="AB26" i="1" s="1"/>
  <c r="Z16" i="1"/>
  <c r="AB16" i="1" s="1"/>
  <c r="W23" i="1"/>
  <c r="U68" i="1"/>
  <c r="Z68" i="1"/>
  <c r="AB68" i="1" s="1"/>
  <c r="Z81" i="1"/>
  <c r="AB81" i="1" s="1"/>
  <c r="X259" i="1"/>
  <c r="AA259" i="1"/>
  <c r="AD259" i="1" s="1"/>
  <c r="X275" i="1"/>
  <c r="AA275" i="1"/>
  <c r="AD275" i="1" s="1"/>
  <c r="X394" i="1"/>
  <c r="AA394" i="1"/>
  <c r="AD394" i="1" s="1"/>
  <c r="U466" i="1"/>
  <c r="Z466" i="1"/>
  <c r="AB466" i="1" s="1"/>
  <c r="Z41" i="1"/>
  <c r="AB41" i="1" s="1"/>
  <c r="Z56" i="1"/>
  <c r="AB56" i="1" s="1"/>
  <c r="Z58" i="1"/>
  <c r="AB58" i="1" s="1"/>
  <c r="Z59" i="1"/>
  <c r="AB59" i="1" s="1"/>
  <c r="U82" i="1"/>
  <c r="U87" i="1"/>
  <c r="U113" i="1"/>
  <c r="U115" i="1"/>
  <c r="U117" i="1"/>
  <c r="U119" i="1"/>
  <c r="U121" i="1"/>
  <c r="U123" i="1"/>
  <c r="U125" i="1"/>
  <c r="U127" i="1"/>
  <c r="U129" i="1"/>
  <c r="U131" i="1"/>
  <c r="U133" i="1"/>
  <c r="U135" i="1"/>
  <c r="U137" i="1"/>
  <c r="U139" i="1"/>
  <c r="U141" i="1"/>
  <c r="U145" i="1"/>
  <c r="X218" i="1"/>
  <c r="X226" i="1"/>
  <c r="AA230" i="1"/>
  <c r="AD230" i="1" s="1"/>
  <c r="X230" i="1"/>
  <c r="U242" i="1"/>
  <c r="Z242" i="1"/>
  <c r="AB242" i="1" s="1"/>
  <c r="AA262" i="1"/>
  <c r="AD262" i="1" s="1"/>
  <c r="AA266" i="1"/>
  <c r="AD266" i="1" s="1"/>
  <c r="AA274" i="1"/>
  <c r="AD274" i="1" s="1"/>
  <c r="U282" i="1"/>
  <c r="Z282" i="1"/>
  <c r="AB282" i="1" s="1"/>
  <c r="U290" i="1"/>
  <c r="Z290" i="1"/>
  <c r="AB290" i="1" s="1"/>
  <c r="X340" i="1"/>
  <c r="AA340" i="1"/>
  <c r="AD340" i="1" s="1"/>
  <c r="X344" i="1"/>
  <c r="AA344" i="1"/>
  <c r="AD344" i="1" s="1"/>
  <c r="X352" i="1"/>
  <c r="AA352" i="1"/>
  <c r="AD352" i="1" s="1"/>
  <c r="AA390" i="1"/>
  <c r="AD390" i="1" s="1"/>
  <c r="X416" i="1"/>
  <c r="AA416" i="1"/>
  <c r="AD416" i="1" s="1"/>
  <c r="U17" i="1"/>
  <c r="U20" i="1"/>
  <c r="Z24" i="1"/>
  <c r="AB24" i="1" s="1"/>
  <c r="U27" i="1"/>
  <c r="U31" i="1"/>
  <c r="U33" i="1"/>
  <c r="Z42" i="1"/>
  <c r="AB42" i="1" s="1"/>
  <c r="U44" i="1"/>
  <c r="U48" i="1"/>
  <c r="Q50" i="1"/>
  <c r="S50" i="1" s="1"/>
  <c r="U54" i="1"/>
  <c r="Q55" i="1"/>
  <c r="Q51" i="1" s="1"/>
  <c r="I60" i="1"/>
  <c r="U61" i="1"/>
  <c r="U62" i="1"/>
  <c r="U63" i="1"/>
  <c r="U64" i="1"/>
  <c r="U65" i="1"/>
  <c r="Q69" i="1"/>
  <c r="U71" i="1"/>
  <c r="U73" i="1"/>
  <c r="U74" i="1"/>
  <c r="U75" i="1"/>
  <c r="U76" i="1"/>
  <c r="U77" i="1"/>
  <c r="Z78" i="1"/>
  <c r="AB78" i="1" s="1"/>
  <c r="Z83" i="1"/>
  <c r="AB83" i="1" s="1"/>
  <c r="U86" i="1"/>
  <c r="U90" i="1"/>
  <c r="AA98" i="1"/>
  <c r="AD98" i="1" s="1"/>
  <c r="AA100" i="1"/>
  <c r="AD100" i="1" s="1"/>
  <c r="AA102" i="1"/>
  <c r="AD102" i="1" s="1"/>
  <c r="AA104" i="1"/>
  <c r="AD104" i="1" s="1"/>
  <c r="AA106" i="1"/>
  <c r="AD106" i="1" s="1"/>
  <c r="AA108" i="1"/>
  <c r="AD108" i="1" s="1"/>
  <c r="AA110" i="1"/>
  <c r="AD110" i="1" s="1"/>
  <c r="AA112" i="1"/>
  <c r="AD112" i="1" s="1"/>
  <c r="AA114" i="1"/>
  <c r="AD114" i="1" s="1"/>
  <c r="AA116" i="1"/>
  <c r="AD116" i="1" s="1"/>
  <c r="AA118" i="1"/>
  <c r="AD118" i="1" s="1"/>
  <c r="AA120" i="1"/>
  <c r="AD120" i="1" s="1"/>
  <c r="AA122" i="1"/>
  <c r="AD122" i="1" s="1"/>
  <c r="AA124" i="1"/>
  <c r="AD124" i="1" s="1"/>
  <c r="AA126" i="1"/>
  <c r="AD126" i="1" s="1"/>
  <c r="AA128" i="1"/>
  <c r="AD128" i="1" s="1"/>
  <c r="AA130" i="1"/>
  <c r="AD130" i="1" s="1"/>
  <c r="AA132" i="1"/>
  <c r="AD132" i="1" s="1"/>
  <c r="AA134" i="1"/>
  <c r="AD134" i="1" s="1"/>
  <c r="AA136" i="1"/>
  <c r="AD136" i="1" s="1"/>
  <c r="AA138" i="1"/>
  <c r="AD138" i="1" s="1"/>
  <c r="AA140" i="1"/>
  <c r="AD140" i="1" s="1"/>
  <c r="AA142" i="1"/>
  <c r="AD142" i="1" s="1"/>
  <c r="AA144" i="1"/>
  <c r="AD144" i="1" s="1"/>
  <c r="X146" i="1"/>
  <c r="X148" i="1"/>
  <c r="X150" i="1"/>
  <c r="X152" i="1"/>
  <c r="X154" i="1"/>
  <c r="X156" i="1"/>
  <c r="X158" i="1"/>
  <c r="X160" i="1"/>
  <c r="X162" i="1"/>
  <c r="X164" i="1"/>
  <c r="X166" i="1"/>
  <c r="AA168" i="1"/>
  <c r="AD168" i="1" s="1"/>
  <c r="AA170" i="1"/>
  <c r="AD170" i="1" s="1"/>
  <c r="AA172" i="1"/>
  <c r="AD172" i="1" s="1"/>
  <c r="AA174" i="1"/>
  <c r="AD174" i="1" s="1"/>
  <c r="AA176" i="1"/>
  <c r="AD176" i="1" s="1"/>
  <c r="AA178" i="1"/>
  <c r="AD178" i="1" s="1"/>
  <c r="AA180" i="1"/>
  <c r="AD180" i="1" s="1"/>
  <c r="AA182" i="1"/>
  <c r="AD182" i="1" s="1"/>
  <c r="AA184" i="1"/>
  <c r="AD184" i="1" s="1"/>
  <c r="AA186" i="1"/>
  <c r="AD186" i="1" s="1"/>
  <c r="AA188" i="1"/>
  <c r="AD188" i="1" s="1"/>
  <c r="X190" i="1"/>
  <c r="X192" i="1"/>
  <c r="X194" i="1"/>
  <c r="X196" i="1"/>
  <c r="X198" i="1"/>
  <c r="X200" i="1"/>
  <c r="X202" i="1"/>
  <c r="X204" i="1"/>
  <c r="X206" i="1"/>
  <c r="X208" i="1"/>
  <c r="X210" i="1"/>
  <c r="AA212" i="1"/>
  <c r="AD212" i="1" s="1"/>
  <c r="Z235" i="1"/>
  <c r="AB235" i="1" s="1"/>
  <c r="X237" i="1"/>
  <c r="AA238" i="1"/>
  <c r="AD238" i="1" s="1"/>
  <c r="X238" i="1"/>
  <c r="X240" i="1"/>
  <c r="AA339" i="1"/>
  <c r="AD339" i="1" s="1"/>
  <c r="AA343" i="1"/>
  <c r="AD343" i="1" s="1"/>
  <c r="AA347" i="1"/>
  <c r="AD347" i="1" s="1"/>
  <c r="AA351" i="1"/>
  <c r="AD351" i="1" s="1"/>
  <c r="AA355" i="1"/>
  <c r="AD355" i="1" s="1"/>
  <c r="X361" i="1"/>
  <c r="AA361" i="1"/>
  <c r="AD361" i="1" s="1"/>
  <c r="X363" i="1"/>
  <c r="AA363" i="1"/>
  <c r="AD363" i="1" s="1"/>
  <c r="X365" i="1"/>
  <c r="AA365" i="1"/>
  <c r="AD365" i="1" s="1"/>
  <c r="X367" i="1"/>
  <c r="AA367" i="1"/>
  <c r="AD367" i="1" s="1"/>
  <c r="X369" i="1"/>
  <c r="AA369" i="1"/>
  <c r="AD369" i="1" s="1"/>
  <c r="X371" i="1"/>
  <c r="AA371" i="1"/>
  <c r="AD371" i="1" s="1"/>
  <c r="X373" i="1"/>
  <c r="AA373" i="1"/>
  <c r="AD373" i="1" s="1"/>
  <c r="X375" i="1"/>
  <c r="AA375" i="1"/>
  <c r="AD375" i="1" s="1"/>
  <c r="X377" i="1"/>
  <c r="AA377" i="1"/>
  <c r="AD377" i="1" s="1"/>
  <c r="Q379" i="1"/>
  <c r="W379" i="1" s="1"/>
  <c r="X412" i="1"/>
  <c r="AA412" i="1"/>
  <c r="AD412" i="1" s="1"/>
  <c r="X415" i="1"/>
  <c r="AA415" i="1"/>
  <c r="AD415" i="1" s="1"/>
  <c r="Z467" i="1"/>
  <c r="AB467" i="1" s="1"/>
  <c r="AA468" i="1"/>
  <c r="AD468" i="1" s="1"/>
  <c r="X468" i="1"/>
  <c r="Z469" i="1"/>
  <c r="AB469" i="1" s="1"/>
  <c r="U469" i="1"/>
  <c r="X263" i="1"/>
  <c r="AA263" i="1"/>
  <c r="AD263" i="1" s="1"/>
  <c r="X267" i="1"/>
  <c r="AA267" i="1"/>
  <c r="AD267" i="1" s="1"/>
  <c r="X271" i="1"/>
  <c r="AA271" i="1"/>
  <c r="AD271" i="1" s="1"/>
  <c r="X391" i="1"/>
  <c r="AA391" i="1"/>
  <c r="AD391" i="1" s="1"/>
  <c r="AA430" i="1"/>
  <c r="AD430" i="1" s="1"/>
  <c r="X430" i="1"/>
  <c r="Z23" i="1"/>
  <c r="AB23" i="1" s="1"/>
  <c r="U99" i="1"/>
  <c r="U101" i="1"/>
  <c r="U103" i="1"/>
  <c r="U105" i="1"/>
  <c r="U107" i="1"/>
  <c r="U109" i="1"/>
  <c r="U111" i="1"/>
  <c r="U143" i="1"/>
  <c r="U169" i="1"/>
  <c r="U171" i="1"/>
  <c r="U173" i="1"/>
  <c r="U175" i="1"/>
  <c r="U177" i="1"/>
  <c r="U179" i="1"/>
  <c r="U181" i="1"/>
  <c r="U183" i="1"/>
  <c r="U185" i="1"/>
  <c r="U189" i="1"/>
  <c r="X214" i="1"/>
  <c r="X222" i="1"/>
  <c r="X229" i="1"/>
  <c r="X233" i="1"/>
  <c r="U250" i="1"/>
  <c r="Z250" i="1"/>
  <c r="AB250" i="1" s="1"/>
  <c r="AA258" i="1"/>
  <c r="AD258" i="1" s="1"/>
  <c r="AA270" i="1"/>
  <c r="AD270" i="1" s="1"/>
  <c r="Z316" i="1"/>
  <c r="AB316" i="1" s="1"/>
  <c r="U316" i="1"/>
  <c r="X348" i="1"/>
  <c r="AA348" i="1"/>
  <c r="AD348" i="1" s="1"/>
  <c r="X356" i="1"/>
  <c r="AA356" i="1"/>
  <c r="AD356" i="1" s="1"/>
  <c r="U18" i="1"/>
  <c r="U19" i="1"/>
  <c r="Q31" i="1"/>
  <c r="Z146" i="1"/>
  <c r="AB146" i="1" s="1"/>
  <c r="Z148" i="1"/>
  <c r="AB148" i="1" s="1"/>
  <c r="Z150" i="1"/>
  <c r="AB150" i="1" s="1"/>
  <c r="Z152" i="1"/>
  <c r="AB152" i="1" s="1"/>
  <c r="Z154" i="1"/>
  <c r="AB154" i="1" s="1"/>
  <c r="Z156" i="1"/>
  <c r="AB156" i="1" s="1"/>
  <c r="Z158" i="1"/>
  <c r="AB158" i="1" s="1"/>
  <c r="Z160" i="1"/>
  <c r="AB160" i="1" s="1"/>
  <c r="Z162" i="1"/>
  <c r="AB162" i="1" s="1"/>
  <c r="Z164" i="1"/>
  <c r="AB164" i="1" s="1"/>
  <c r="Z166" i="1"/>
  <c r="AB166" i="1" s="1"/>
  <c r="Z190" i="1"/>
  <c r="AB190" i="1" s="1"/>
  <c r="Z192" i="1"/>
  <c r="AB192" i="1" s="1"/>
  <c r="Z194" i="1"/>
  <c r="AB194" i="1" s="1"/>
  <c r="Z196" i="1"/>
  <c r="AB196" i="1" s="1"/>
  <c r="Z198" i="1"/>
  <c r="AB198" i="1" s="1"/>
  <c r="Z200" i="1"/>
  <c r="AB200" i="1" s="1"/>
  <c r="Z202" i="1"/>
  <c r="AB202" i="1" s="1"/>
  <c r="Z204" i="1"/>
  <c r="AB204" i="1" s="1"/>
  <c r="Z206" i="1"/>
  <c r="AB206" i="1" s="1"/>
  <c r="Z208" i="1"/>
  <c r="AB208" i="1" s="1"/>
  <c r="Z210" i="1"/>
  <c r="AB210" i="1" s="1"/>
  <c r="AA213" i="1"/>
  <c r="AD213" i="1" s="1"/>
  <c r="AA217" i="1"/>
  <c r="AD217" i="1" s="1"/>
  <c r="AA221" i="1"/>
  <c r="AD221" i="1" s="1"/>
  <c r="AA225" i="1"/>
  <c r="AD225" i="1" s="1"/>
  <c r="X227" i="1"/>
  <c r="AA228" i="1"/>
  <c r="AD228" i="1" s="1"/>
  <c r="X228" i="1"/>
  <c r="X231" i="1"/>
  <c r="AA232" i="1"/>
  <c r="AD232" i="1" s="1"/>
  <c r="X232" i="1"/>
  <c r="Z236" i="1"/>
  <c r="AB236" i="1" s="1"/>
  <c r="U246" i="1"/>
  <c r="Z246" i="1"/>
  <c r="AB246" i="1" s="1"/>
  <c r="Z248" i="1"/>
  <c r="AB248" i="1" s="1"/>
  <c r="Z254" i="1"/>
  <c r="AB254" i="1" s="1"/>
  <c r="X256" i="1"/>
  <c r="AA256" i="1"/>
  <c r="AD256" i="1" s="1"/>
  <c r="U278" i="1"/>
  <c r="Z278" i="1"/>
  <c r="AB278" i="1" s="1"/>
  <c r="U286" i="1"/>
  <c r="Z286" i="1"/>
  <c r="AB286" i="1" s="1"/>
  <c r="U294" i="1"/>
  <c r="Z294" i="1"/>
  <c r="AB294" i="1" s="1"/>
  <c r="X295" i="1"/>
  <c r="AA295" i="1"/>
  <c r="AD295" i="1" s="1"/>
  <c r="X299" i="1"/>
  <c r="AA299" i="1"/>
  <c r="AD299" i="1" s="1"/>
  <c r="X303" i="1"/>
  <c r="AA303" i="1"/>
  <c r="AD303" i="1" s="1"/>
  <c r="X307" i="1"/>
  <c r="AA307" i="1"/>
  <c r="AD307" i="1" s="1"/>
  <c r="X311" i="1"/>
  <c r="AA311" i="1"/>
  <c r="AD311" i="1" s="1"/>
  <c r="X315" i="1"/>
  <c r="AA315" i="1"/>
  <c r="AD315" i="1" s="1"/>
  <c r="Z357" i="1"/>
  <c r="AB357" i="1" s="1"/>
  <c r="U357" i="1"/>
  <c r="X395" i="1"/>
  <c r="AA395" i="1"/>
  <c r="AD395" i="1" s="1"/>
  <c r="AA411" i="1"/>
  <c r="AD411" i="1" s="1"/>
  <c r="AA418" i="1"/>
  <c r="AD418" i="1" s="1"/>
  <c r="X418" i="1"/>
  <c r="X421" i="1"/>
  <c r="U456" i="1"/>
  <c r="Z456" i="1"/>
  <c r="AB456" i="1" s="1"/>
  <c r="X383" i="1"/>
  <c r="AA383" i="1"/>
  <c r="AD383" i="1" s="1"/>
  <c r="X399" i="1"/>
  <c r="AA399" i="1"/>
  <c r="AD399" i="1" s="1"/>
  <c r="X404" i="1"/>
  <c r="AA404" i="1"/>
  <c r="AD404" i="1" s="1"/>
  <c r="AA426" i="1"/>
  <c r="AD426" i="1" s="1"/>
  <c r="X426" i="1"/>
  <c r="Z434" i="1"/>
  <c r="AB434" i="1" s="1"/>
  <c r="AA440" i="1"/>
  <c r="AD440" i="1" s="1"/>
  <c r="X440" i="1"/>
  <c r="U482" i="1"/>
  <c r="Z482" i="1"/>
  <c r="AB482" i="1" s="1"/>
  <c r="AA260" i="1"/>
  <c r="AD260" i="1" s="1"/>
  <c r="AA264" i="1"/>
  <c r="AD264" i="1" s="1"/>
  <c r="AA268" i="1"/>
  <c r="AD268" i="1" s="1"/>
  <c r="AA272" i="1"/>
  <c r="AD272" i="1" s="1"/>
  <c r="AA296" i="1"/>
  <c r="AD296" i="1" s="1"/>
  <c r="AA300" i="1"/>
  <c r="AD300" i="1" s="1"/>
  <c r="AA304" i="1"/>
  <c r="AD304" i="1" s="1"/>
  <c r="AA308" i="1"/>
  <c r="AD308" i="1" s="1"/>
  <c r="AA312" i="1"/>
  <c r="AD312" i="1" s="1"/>
  <c r="AA337" i="1"/>
  <c r="AD337" i="1" s="1"/>
  <c r="AA341" i="1"/>
  <c r="AD341" i="1" s="1"/>
  <c r="AA345" i="1"/>
  <c r="AD345" i="1" s="1"/>
  <c r="AA349" i="1"/>
  <c r="AD349" i="1" s="1"/>
  <c r="AA353" i="1"/>
  <c r="AD353" i="1" s="1"/>
  <c r="U380" i="1"/>
  <c r="AA382" i="1"/>
  <c r="AD382" i="1" s="1"/>
  <c r="X387" i="1"/>
  <c r="AA387" i="1"/>
  <c r="AD387" i="1" s="1"/>
  <c r="AA398" i="1"/>
  <c r="AD398" i="1" s="1"/>
  <c r="AA403" i="1"/>
  <c r="AD403" i="1" s="1"/>
  <c r="X408" i="1"/>
  <c r="AA408" i="1"/>
  <c r="AD408" i="1" s="1"/>
  <c r="AA422" i="1"/>
  <c r="AD422" i="1" s="1"/>
  <c r="X422" i="1"/>
  <c r="X429" i="1"/>
  <c r="U471" i="1"/>
  <c r="U439" i="1"/>
  <c r="Z439" i="1"/>
  <c r="AB439" i="1" s="1"/>
  <c r="Z444" i="1"/>
  <c r="AB444" i="1" s="1"/>
  <c r="Z452" i="1"/>
  <c r="AB452" i="1" s="1"/>
  <c r="Z460" i="1"/>
  <c r="AB460" i="1" s="1"/>
  <c r="X470" i="1"/>
  <c r="AA470" i="1"/>
  <c r="AD470" i="1" s="1"/>
  <c r="U468" i="1"/>
  <c r="Z468" i="1"/>
  <c r="AB468" i="1" s="1"/>
  <c r="Z417" i="1"/>
  <c r="AB417" i="1" s="1"/>
  <c r="Z418" i="1"/>
  <c r="AB418" i="1" s="1"/>
  <c r="Z419" i="1"/>
  <c r="AB419" i="1" s="1"/>
  <c r="Z420" i="1"/>
  <c r="AB420" i="1" s="1"/>
  <c r="Z421" i="1"/>
  <c r="AB421" i="1" s="1"/>
  <c r="Z422" i="1"/>
  <c r="AB422" i="1" s="1"/>
  <c r="Z423" i="1"/>
  <c r="AB423" i="1" s="1"/>
  <c r="Z424" i="1"/>
  <c r="AB424" i="1" s="1"/>
  <c r="Z425" i="1"/>
  <c r="AB425" i="1" s="1"/>
  <c r="Z426" i="1"/>
  <c r="AB426" i="1" s="1"/>
  <c r="Z427" i="1"/>
  <c r="AB427" i="1" s="1"/>
  <c r="Z428" i="1"/>
  <c r="AB428" i="1" s="1"/>
  <c r="Z429" i="1"/>
  <c r="AB429" i="1" s="1"/>
  <c r="Z430" i="1"/>
  <c r="AB430" i="1" s="1"/>
  <c r="Z431" i="1"/>
  <c r="AB431" i="1" s="1"/>
  <c r="Z432" i="1"/>
  <c r="AB432" i="1" s="1"/>
  <c r="Z436" i="1"/>
  <c r="AB436" i="1" s="1"/>
  <c r="Z447" i="1"/>
  <c r="AB447" i="1" s="1"/>
  <c r="Z451" i="1"/>
  <c r="AB451" i="1" s="1"/>
  <c r="Z455" i="1"/>
  <c r="AB455" i="1" s="1"/>
  <c r="Z459" i="1"/>
  <c r="AB459" i="1" s="1"/>
  <c r="Z479" i="1"/>
  <c r="AB479" i="1" s="1"/>
  <c r="X464" i="1"/>
  <c r="I472" i="1"/>
  <c r="X492" i="1"/>
  <c r="AA492" i="1"/>
  <c r="AD492" i="1" s="1"/>
  <c r="X493" i="1"/>
  <c r="AA493" i="1"/>
  <c r="AD493" i="1" s="1"/>
  <c r="X494" i="1"/>
  <c r="AA494" i="1"/>
  <c r="AD494" i="1" s="1"/>
  <c r="X495" i="1"/>
  <c r="AA495" i="1"/>
  <c r="AD495" i="1" s="1"/>
  <c r="I498" i="1"/>
  <c r="X504" i="1"/>
  <c r="AA504" i="1"/>
  <c r="AD504" i="1" s="1"/>
  <c r="AA508" i="1"/>
  <c r="AD508" i="1" s="1"/>
  <c r="X508" i="1"/>
  <c r="Z514" i="1"/>
  <c r="AB514" i="1" s="1"/>
  <c r="M498" i="1"/>
  <c r="O498" i="1"/>
  <c r="T501" i="1"/>
  <c r="Z501" i="1" s="1"/>
  <c r="Z502" i="1"/>
  <c r="AB502" i="1" s="1"/>
  <c r="Z503" i="1"/>
  <c r="AB503" i="1" s="1"/>
  <c r="Z504" i="1"/>
  <c r="AB504" i="1" s="1"/>
  <c r="Z508" i="1"/>
  <c r="AB508" i="1" s="1"/>
  <c r="Z509" i="1"/>
  <c r="AB509" i="1" s="1"/>
  <c r="Z512" i="1"/>
  <c r="AB512" i="1" s="1"/>
  <c r="O509" i="1"/>
  <c r="AA511" i="1"/>
  <c r="AD511" i="1" s="1"/>
  <c r="X511" i="1"/>
  <c r="W515" i="1"/>
  <c r="Q514" i="1"/>
  <c r="X513" i="1" l="1"/>
  <c r="AA513" i="1"/>
  <c r="AD513" i="1" s="1"/>
  <c r="W502" i="1"/>
  <c r="Q474" i="1"/>
  <c r="Q473" i="1" s="1"/>
  <c r="Q472" i="1" s="1"/>
  <c r="AA463" i="1"/>
  <c r="AD463" i="1" s="1"/>
  <c r="X463" i="1"/>
  <c r="X54" i="1"/>
  <c r="W501" i="1"/>
  <c r="X501" i="1" s="1"/>
  <c r="X357" i="1"/>
  <c r="AA357" i="1"/>
  <c r="AD357" i="1" s="1"/>
  <c r="X316" i="1"/>
  <c r="AA316" i="1"/>
  <c r="AD316" i="1" s="1"/>
  <c r="W69" i="1"/>
  <c r="X69" i="1" s="1"/>
  <c r="W93" i="1"/>
  <c r="AA93" i="1" s="1"/>
  <c r="AD93" i="1" s="1"/>
  <c r="S81" i="1"/>
  <c r="S60" i="1" s="1"/>
  <c r="S57" i="1" s="1"/>
  <c r="W57" i="1" s="1"/>
  <c r="AA78" i="1"/>
  <c r="AD78" i="1" s="1"/>
  <c r="X78" i="1"/>
  <c r="W71" i="1"/>
  <c r="S49" i="1"/>
  <c r="S45" i="1" s="1"/>
  <c r="Z472" i="1"/>
  <c r="AB472" i="1" s="1"/>
  <c r="AA43" i="1"/>
  <c r="X43" i="1"/>
  <c r="AA42" i="1"/>
  <c r="X42" i="1"/>
  <c r="S41" i="1"/>
  <c r="S35" i="1" s="1"/>
  <c r="W21" i="1"/>
  <c r="X21" i="1" s="1"/>
  <c r="X505" i="1"/>
  <c r="Z507" i="1"/>
  <c r="AB507" i="1" s="1"/>
  <c r="AA512" i="1"/>
  <c r="AD512" i="1" s="1"/>
  <c r="X496" i="1"/>
  <c r="X466" i="1"/>
  <c r="U69" i="1"/>
  <c r="U536" i="1" s="1"/>
  <c r="AB505" i="1"/>
  <c r="X469" i="1"/>
  <c r="AA32" i="1"/>
  <c r="AD32" i="1" s="1"/>
  <c r="U498" i="1"/>
  <c r="AA503" i="1"/>
  <c r="AD503" i="1" s="1"/>
  <c r="AA499" i="1"/>
  <c r="AD499" i="1" s="1"/>
  <c r="O16" i="1"/>
  <c r="X507" i="1"/>
  <c r="W51" i="1"/>
  <c r="X51" i="1" s="1"/>
  <c r="Z21" i="1"/>
  <c r="AB21" i="1" s="1"/>
  <c r="AA417" i="1"/>
  <c r="AD417" i="1" s="1"/>
  <c r="X417" i="1"/>
  <c r="X510" i="1"/>
  <c r="Q45" i="1"/>
  <c r="Z60" i="1"/>
  <c r="AB60" i="1" s="1"/>
  <c r="Z499" i="1"/>
  <c r="AB499" i="1" s="1"/>
  <c r="U499" i="1"/>
  <c r="W441" i="1"/>
  <c r="W498" i="1"/>
  <c r="X498" i="1" s="1"/>
  <c r="Z57" i="1"/>
  <c r="AB57" i="1" s="1"/>
  <c r="W55" i="1"/>
  <c r="X55" i="1" s="1"/>
  <c r="X44" i="1"/>
  <c r="X402" i="1"/>
  <c r="AA402" i="1"/>
  <c r="AD402" i="1" s="1"/>
  <c r="AA515" i="1"/>
  <c r="AD515" i="1" s="1"/>
  <c r="X515" i="1"/>
  <c r="W50" i="1"/>
  <c r="U501" i="1"/>
  <c r="AB501" i="1"/>
  <c r="Q26" i="1"/>
  <c r="S31" i="1"/>
  <c r="AH31" i="1" s="1"/>
  <c r="X379" i="1"/>
  <c r="AA379" i="1"/>
  <c r="AD379" i="1" s="1"/>
  <c r="AA23" i="1"/>
  <c r="AD23" i="1" s="1"/>
  <c r="X23" i="1"/>
  <c r="Q81" i="1"/>
  <c r="Q509" i="1"/>
  <c r="W509" i="1" s="1"/>
  <c r="W514" i="1"/>
  <c r="S474" i="1" l="1"/>
  <c r="S473" i="1" s="1"/>
  <c r="X502" i="1"/>
  <c r="AA502" i="1"/>
  <c r="AD502" i="1" s="1"/>
  <c r="X93" i="1"/>
  <c r="AA501" i="1"/>
  <c r="AD501" i="1" s="1"/>
  <c r="AA69" i="1"/>
  <c r="AD69" i="1" s="1"/>
  <c r="X57" i="1"/>
  <c r="AA57" i="1"/>
  <c r="AD57" i="1" s="1"/>
  <c r="X71" i="1"/>
  <c r="AA71" i="1"/>
  <c r="AD71" i="1" s="1"/>
  <c r="W45" i="1"/>
  <c r="X45" i="1" s="1"/>
  <c r="S16" i="1"/>
  <c r="W49" i="1"/>
  <c r="W41" i="1"/>
  <c r="X41" i="1" s="1"/>
  <c r="W35" i="1"/>
  <c r="X35" i="1" s="1"/>
  <c r="AA21" i="1"/>
  <c r="AD21" i="1" s="1"/>
  <c r="W31" i="1"/>
  <c r="X31" i="1" s="1"/>
  <c r="AA51" i="1"/>
  <c r="AD51" i="1" s="1"/>
  <c r="AA441" i="1"/>
  <c r="AD441" i="1" s="1"/>
  <c r="X441" i="1"/>
  <c r="Q60" i="1"/>
  <c r="AA55" i="1"/>
  <c r="AD55" i="1" s="1"/>
  <c r="AA498" i="1"/>
  <c r="AD498" i="1" s="1"/>
  <c r="X50" i="1"/>
  <c r="AA50" i="1"/>
  <c r="AD50" i="1" s="1"/>
  <c r="AH26" i="1"/>
  <c r="Q16" i="1"/>
  <c r="W26" i="1"/>
  <c r="X514" i="1"/>
  <c r="AA514" i="1"/>
  <c r="AD514" i="1" s="1"/>
  <c r="X509" i="1"/>
  <c r="AA509" i="1"/>
  <c r="AD509" i="1" s="1"/>
  <c r="W474" i="1" l="1"/>
  <c r="AA474" i="1" s="1"/>
  <c r="AD474" i="1" s="1"/>
  <c r="S472" i="1"/>
  <c r="W472" i="1" s="1"/>
  <c r="W473" i="1"/>
  <c r="AA45" i="1"/>
  <c r="AD45" i="1" s="1"/>
  <c r="X49" i="1"/>
  <c r="AA49" i="1"/>
  <c r="AD49" i="1" s="1"/>
  <c r="AA35" i="1"/>
  <c r="AA41" i="1"/>
  <c r="AA31" i="1"/>
  <c r="AD31" i="1" s="1"/>
  <c r="AH16" i="1"/>
  <c r="W16" i="1"/>
  <c r="X26" i="1"/>
  <c r="AA26" i="1"/>
  <c r="AD26" i="1" s="1"/>
  <c r="X474" i="1" l="1"/>
  <c r="X473" i="1"/>
  <c r="AA473" i="1"/>
  <c r="AD473" i="1" s="1"/>
  <c r="X472" i="1"/>
  <c r="AA472" i="1"/>
  <c r="AD472" i="1" s="1"/>
  <c r="X16" i="1"/>
  <c r="AA16" i="1"/>
  <c r="AD16" i="1" s="1"/>
  <c r="M81" i="1"/>
  <c r="M60" i="1" s="1"/>
  <c r="O439" i="1"/>
  <c r="W439" i="1" s="1"/>
  <c r="O81" i="1" l="1"/>
  <c r="O60" i="1" s="1"/>
  <c r="W60" i="1" s="1"/>
  <c r="X60" i="1" s="1"/>
  <c r="X535" i="1" s="1"/>
  <c r="X536" i="1" s="1"/>
  <c r="X439" i="1"/>
  <c r="AA439" i="1"/>
  <c r="AD439" i="1" s="1"/>
  <c r="W81" i="1" l="1"/>
  <c r="X81" i="1" s="1"/>
  <c r="AA60" i="1"/>
  <c r="AD60" i="1" s="1"/>
  <c r="AA81" i="1" l="1"/>
  <c r="AD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14" authorId="0" shapeId="0" xr:uid="{00000000-0006-0000-0000-000001000000}">
      <text>
        <r>
          <rPr>
            <sz val="11"/>
            <color theme="1"/>
            <rFont val="Calibri"/>
            <scheme val="minor"/>
          </rPr>
          <t>jumlah UKBM yang berkembang/jumlah seluruh UKBMx100</t>
        </r>
      </text>
    </comment>
    <comment ref="H514" authorId="0" shapeId="0" xr:uid="{00000000-0006-0000-0000-000002000000}">
      <text>
        <r>
          <rPr>
            <sz val="11"/>
            <color theme="1"/>
            <rFont val="Calibri"/>
            <scheme val="minor"/>
          </rPr>
          <t>jumlah UKBM yang berkembang/jumlah seluruh UKBMx100</t>
        </r>
      </text>
    </comment>
    <comment ref="J514" authorId="0" shapeId="0" xr:uid="{00000000-0006-0000-0000-000003000000}">
      <text>
        <r>
          <rPr>
            <sz val="11"/>
            <color theme="1"/>
            <rFont val="Calibri"/>
            <scheme val="minor"/>
          </rPr>
          <t>jumlah UKBM yang berkembang/jumlah seluruh UKBMx100</t>
        </r>
      </text>
    </comment>
  </commentList>
</comments>
</file>

<file path=xl/sharedStrings.xml><?xml version="1.0" encoding="utf-8"?>
<sst xmlns="http://schemas.openxmlformats.org/spreadsheetml/2006/main" count="3553" uniqueCount="753">
  <si>
    <t>EVALUASI TERHADAP HASIL RENCANA KERJA PERANGKAT DAERAH LINGKUP KABUPATEN</t>
  </si>
  <si>
    <t>RENCANA KERJA PERANGKAT DAERAH</t>
  </si>
  <si>
    <t>DINAS KESEHATAN</t>
  </si>
  <si>
    <t>Indikator dan Target Kinerja Perangkat Daerah Kabupaten yang Mengacu Pada Sasaran RKPD Kabupaten</t>
  </si>
  <si>
    <t>No</t>
  </si>
  <si>
    <t>Sasaran</t>
  </si>
  <si>
    <t>Program/Kegiatan</t>
  </si>
  <si>
    <r>
      <rPr>
        <b/>
        <sz val="12"/>
        <color theme="1"/>
        <rFont val="Arial"/>
      </rPr>
      <t>Indikator Kinerja Program (</t>
    </r>
    <r>
      <rPr>
        <b/>
        <i/>
        <sz val="12"/>
        <color theme="1"/>
        <rFont val="Arial"/>
      </rPr>
      <t>Outcome</t>
    </r>
    <r>
      <rPr>
        <b/>
        <sz val="12"/>
        <color theme="1"/>
        <rFont val="Arial"/>
      </rPr>
      <t>)/Kegiatan (</t>
    </r>
    <r>
      <rPr>
        <b/>
        <i/>
        <sz val="12"/>
        <color theme="1"/>
        <rFont val="Arial"/>
      </rPr>
      <t>Output</t>
    </r>
    <r>
      <rPr>
        <b/>
        <sz val="12"/>
        <color theme="1"/>
        <rFont val="Arial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</si>
  <si>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</si>
  <si>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</si>
  <si>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</si>
  <si>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</si>
  <si>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</si>
  <si>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</si>
  <si>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</si>
  <si>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</si>
  <si>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</si>
  <si>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</si>
  <si>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</si>
  <si>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</si>
  <si>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</si>
  <si>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</si>
  <si>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</si>
  <si>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</si>
  <si>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</si>
  <si>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</si>
  <si>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</si>
  <si>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</si>
  <si>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</si>
  <si>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</si>
  <si>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</si>
  <si>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</si>
  <si>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</si>
  <si>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</si>
  <si>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</si>
  <si>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61 Renstra kolom 19</t>
  </si>
  <si>
    <t>tabel  6,1 Renstra kolom 10</t>
  </si>
  <si>
    <t>tabel  61 renstra kolom 11</t>
  </si>
  <si>
    <t>sistem emonev triwulan II</t>
  </si>
  <si>
    <t>Memastikan perencanaan kinerja berkualitas</t>
  </si>
  <si>
    <t>Program Penunjang Urusan Pemerintahan Daerah Kabupaten/Kota</t>
  </si>
  <si>
    <t>Skor perencanaan kinerja</t>
  </si>
  <si>
    <t>≥ 26</t>
  </si>
  <si>
    <t>Skor</t>
  </si>
  <si>
    <t>%</t>
  </si>
  <si>
    <t>Dinas Kesehatan</t>
  </si>
  <si>
    <t>Memastikan pengukuran kinerja tersedia</t>
  </si>
  <si>
    <t>Skor pengukuran kinerja</t>
  </si>
  <si>
    <t>≥  22</t>
  </si>
  <si>
    <t>Memastikan pelaporan kinerja berkualitas</t>
  </si>
  <si>
    <t>Skor Pelaporan Kinerja</t>
  </si>
  <si>
    <t>≥  12</t>
  </si>
  <si>
    <t>Memastikan terlaksananya evaluasi akuntabilitas kinerja internal</t>
  </si>
  <si>
    <t>Skor evaluasi akuntabilitas kinerja internal</t>
  </si>
  <si>
    <t>≥  8,5</t>
  </si>
  <si>
    <t>≥  8.5</t>
  </si>
  <si>
    <t>Memastikan target capaian kinerja tercapai</t>
  </si>
  <si>
    <t>Skor capaian  kinerja</t>
  </si>
  <si>
    <t>≥  13</t>
  </si>
  <si>
    <t>Memastikan Perencanaan, Penganggaran dan Evaluasi Kinerja yang Berkualitas dan Tersusun dengan Baik</t>
  </si>
  <si>
    <t>Perencanaan, Pengangnggaran dan Evaluasi Kinerja Perangkat Daerah</t>
  </si>
  <si>
    <t>Jumlah dokumen perencanaan  Dinkes yang berkualitas</t>
  </si>
  <si>
    <t>Dok</t>
  </si>
  <si>
    <t>Jumlah Dokumen Laporan AKIP yang berkualitas</t>
  </si>
  <si>
    <t>Tersusunnya Dokumen Perencanaan Perangkat Daerah</t>
  </si>
  <si>
    <t>Penyusunan Dokumen Perencanaan Perangkat Daerah</t>
  </si>
  <si>
    <t>Jumlah Dokumen Perencanaan Perangkat Daerah</t>
  </si>
  <si>
    <t>Terlaksananya Evaluasi Kinerja Perangkat Daerah</t>
  </si>
  <si>
    <t>Evaluasi Kinerja Perangkat Daerah</t>
  </si>
  <si>
    <t>Jumlah Laporan Evaluasi Kinerja Perangkat Daerah</t>
  </si>
  <si>
    <t>Tersedianya Laporan Capaian Kinerja dan Ikhtisar Realisasi Kinerja SKPD dan Laporan Hasil Koordinasi Penyusunan Laporan Capaian Kinerja dan Ikhtisar  Realisasi Kinerja SKPD</t>
  </si>
  <si>
    <t>Koordinasi dan Penyusunan Laporan Capaian Kinerja dan Ikhtisar Realisasi Kinerja SKPD</t>
  </si>
  <si>
    <t>Jumlah Laporan Capaian Kinerja dan Ikhtisar Realisasi Kinerja SKPD dan Laporan Hasil Koordinasi Penyusunan Laporan Capaian Kinerja dan Ikhtisar Realisasi Kinerja SKPD</t>
  </si>
  <si>
    <t>Lap</t>
  </si>
  <si>
    <t>Tersusunnya pelaporan administrasi keuangan yang kredibel</t>
  </si>
  <si>
    <t>Administrasi Keuangan Perangkat Daerah</t>
  </si>
  <si>
    <t>Jumlah laporan gaji dan tunjangan ASN</t>
  </si>
  <si>
    <t>Jumlah laporan keuangan akhir tahun</t>
  </si>
  <si>
    <t>Jumlah laporan keuangan bulanan/ semesteran/ triwulanan</t>
  </si>
  <si>
    <t>Jumlah laporan prognosis realisasi anggaran</t>
  </si>
  <si>
    <t>Tersedianya Penerimaan Transaksi Keuangan dan Pengeluaran  Transaksi Keuangan serta Pembukuan Terkait Transaksi Keuangan</t>
  </si>
  <si>
    <t>Jumlah Laporan Keuangan</t>
  </si>
  <si>
    <t>Tersedianya Gaji dan Tunjangan ASN</t>
  </si>
  <si>
    <t>Penyedian Gaji dan Tunjangan ASN</t>
  </si>
  <si>
    <t>Jumlah ASN yang menerima gaji dan tunjangan</t>
  </si>
  <si>
    <t>Org/bln</t>
  </si>
  <si>
    <t>Terlaksananya pelayanan administrasi pendapatan sesuai standar</t>
  </si>
  <si>
    <t>Administrasi Pendapatan Daerah Kewenangan Perangkat Daerah</t>
  </si>
  <si>
    <t>Persentase  Pelayanan administrasi pendapatan sesuai standar</t>
  </si>
  <si>
    <t xml:space="preserve">Terlaksanaya Penerimaan, Pengumpulan, Pengklasifikasian dan  Penelaahan Data Obyek Kerja di bidang Program Anggaran dan Pelaporan
</t>
  </si>
  <si>
    <t>Jumlah Laporan Data Obyek Kerja</t>
  </si>
  <si>
    <t xml:space="preserve">Tersedianya Rencana Pengelolaan Retribusi Daerah
</t>
  </si>
  <si>
    <t xml:space="preserve">Perencanaan Pengelolaan Retribusi Daerah </t>
  </si>
  <si>
    <t>Jumlah Dokumen Rencana Pengelolaan Retribusi
Daerah</t>
  </si>
  <si>
    <t>Memastikan pelayanan administrasi umum bermanfaat</t>
  </si>
  <si>
    <t>Administrasi Umum Perangkat Daerah</t>
  </si>
  <si>
    <t>Persentase komponen instalasi listrik berfungsi dengan baik</t>
  </si>
  <si>
    <t>Persentase peralatan dan perlengkapan kantor sesuai kebutuhan kerja</t>
  </si>
  <si>
    <t>Persentase pemanfaatan bahan logistik sesuai kebutuhan kerja</t>
  </si>
  <si>
    <t>Persentase barang cetakan dan penggandaan sesuai kebutuhan kerja</t>
  </si>
  <si>
    <t>Persentase pelayanan koordinasi dan konsultasi yang sesuai anggaran</t>
  </si>
  <si>
    <t>Tersedianya Komponen Instalasi Listrik/Penerangan Bangunan Kantor</t>
  </si>
  <si>
    <t>Penyedian Komponen Instalasi Listrik/Penerangan Bangunan kantor</t>
  </si>
  <si>
    <t>Jumlah Paket Komponen Instalasi Listrik/Penerangan Bangunan Kantor yang Disediakan</t>
  </si>
  <si>
    <t>Paket</t>
  </si>
  <si>
    <t>Tersedianya Peralatan dan Perlengkapan Kantor</t>
  </si>
  <si>
    <t>Penyedian Peralatan dan Perlengkapan Kantor</t>
  </si>
  <si>
    <t>Jumlah Paket Peralatan dan Perlengkapan Kantor yang Disediakan</t>
  </si>
  <si>
    <t>Tersedianya Bahan Logistik Kantor</t>
  </si>
  <si>
    <t>Penyedian Bahan Logistik Kantor</t>
  </si>
  <si>
    <t>Jumlah Paket Bahan Logistik Kantor yang Disediakan</t>
  </si>
  <si>
    <t>Tersedianya Barang Cetakan dan Penggandaan</t>
  </si>
  <si>
    <t>Penyedian Barang Cetakan dan Penggandaan</t>
  </si>
  <si>
    <t>Jumlah Paket Barang Cetakan dan Penggandaan yang Disediakan</t>
  </si>
  <si>
    <t>Terlaksananya Penyelenggaraan Rapat Koordinasi dan Konsultasi SKPD</t>
  </si>
  <si>
    <t>Penyelenggaraan Rapat Koordinasi dan Konsultasi SKPD</t>
  </si>
  <si>
    <t>Jumlah Laporan Penyelenggaraan Rapat Koordinasi dan Konsultasi SKPD</t>
  </si>
  <si>
    <t>Memastikan pelayanan penunjang kantor tersedia dengan baik</t>
  </si>
  <si>
    <t>Penyediaan Jasa Penunjang Urusan Pemerintahan Daerah</t>
  </si>
  <si>
    <t>Persentase  jasa surat menyurat sesuai kebutuhan</t>
  </si>
  <si>
    <t>Persentase fasilitas Komunikasi, Sumber Daya Air dan Listrik tersedia dengan baik</t>
  </si>
  <si>
    <t>Persentase tenaga jasa umum kantor bekerja dengan baik</t>
  </si>
  <si>
    <t>Terlaksananya Penyediaan Jasa Surat Menyurat</t>
  </si>
  <si>
    <t>Penyediaan Jasa Surat Menyurat</t>
  </si>
  <si>
    <t>Jumlah Laporan Penyediaan Jasa Surat Menyurat</t>
  </si>
  <si>
    <t>Tersedianya Jasa Komunikasi, Sumber Daya Air dan Listrik</t>
  </si>
  <si>
    <t>Penyediaan Jasa Komunikasi, Sumber Daya Air dan Listrik</t>
  </si>
  <si>
    <t>Jumlah Laporan Penyediaan Jasa Komunikasi, Sumber Daya Air dan Listrik yang Disediakan</t>
  </si>
  <si>
    <t>Tersedianya Jasa Pelayanan Umum Kantor</t>
  </si>
  <si>
    <t>Penyediaan Jasa Pelayanan Umum Kantor</t>
  </si>
  <si>
    <t>Jumlah Laporan Penyediaan Jasa Pelayanan Umum Kantor yang Disediakan</t>
  </si>
  <si>
    <t>Memastikan barang milik daerah terpelihara dengan baik dan layak berfungsi</t>
  </si>
  <si>
    <t>Pemeliharaan Barang Milik daerah Penunjang Urusan Pemerintahan Daerah</t>
  </si>
  <si>
    <t>Persentase kendaraan operasional yang layak jalan dan berfungsi baik</t>
  </si>
  <si>
    <t>Persentase gedung kantor dalam kondisi baik</t>
  </si>
  <si>
    <t>Persentase Sarana dan Prasarana Gedung Kantor atau Bangunan Lainnya</t>
  </si>
  <si>
    <t>Tersedianya Jasa Pemeliharaan, Biaya Pemeliharaan dan Pajak Kendaraan Perorangan Dinas atau Kendaraan Dinas Jabatan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</si>
  <si>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</si>
  <si>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</si>
  <si>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Unit</t>
  </si>
  <si>
    <t>Terlaksananya Pemeliharaan/Rehabilitasi Gedung  Kantor dan Bangunan Lainnya</t>
  </si>
  <si>
    <t>Pemeliharaan/Rehabilitasi Gedung Kantor dan Bangunan Lainnya</t>
  </si>
  <si>
    <t>Jumlah Gedung Kantor dan Bangunan Lainnya yang  Dipelihara/Direhabilitasi</t>
  </si>
  <si>
    <t>Terlaksananya  Pemeliharaan/Rehabilitasi  Sarana dan   Prasarana   Gedung   Kantor   atau   Bangunan Lainnya</t>
  </si>
  <si>
    <t>Pemeliharaan/Rehabilitasi Sarana dan Prasarana Gedung Kantor atau Bangunan Lainnya</t>
  </si>
  <si>
    <t>Jumlah Sarana dan Prasarana Gedung Kantor atau Bangunan Lainnya yang Dipelihara/Direhabilitasi</t>
  </si>
  <si>
    <t>Peningkatan Pelayanan BLUD</t>
  </si>
  <si>
    <t>Pelayanan dan Penunjang Pelayanan BLUD (Puskesmas Negara)</t>
  </si>
  <si>
    <t>Jumlah BLUD yang Menyediakan Pelayanan dan Penunjang Pelayanan</t>
  </si>
  <si>
    <t>Unit Kerja</t>
  </si>
  <si>
    <t>Pelayanan dan Penunjang Pelayanan BLUD (Puskesmas Kandangan)</t>
  </si>
  <si>
    <t>Meningkatnya Pertolongan Medis pada Kelahiran</t>
  </si>
  <si>
    <t>Program Pemenuhan Upayan kesehatan Perorangan dan Upaya Kesehatan Masyarakat</t>
  </si>
  <si>
    <t>% Kelahiran di Faskes</t>
  </si>
  <si>
    <t>Menurunnya komplikasi obstetri (komplikasi kehamilan, persalinan dan masa nifas)</t>
  </si>
  <si>
    <t>Persentase Penurunan Komplikasi obstetri</t>
  </si>
  <si>
    <t>Meningkatnya Pelayanan Kesehatan Pasca Persalinan</t>
  </si>
  <si>
    <t>% Cakupan Pelayanan Ibu Nifas</t>
  </si>
  <si>
    <t>Meningkatnya Pelayanan Kesehatan Bayi dan Balita</t>
  </si>
  <si>
    <t>% Pelayanan bayi</t>
  </si>
  <si>
    <t>%Cakupan desa UCI</t>
  </si>
  <si>
    <t>% Imunisasi dasar lengkap pada bayi</t>
  </si>
  <si>
    <t>Menurunnya Bayi/Balita Gizi Kurang</t>
  </si>
  <si>
    <t>% Penurunan Balita gizi kurang</t>
  </si>
  <si>
    <t>Menurunnya BBLR (Berat badan lahir rendah)</t>
  </si>
  <si>
    <t>% BBLR</t>
  </si>
  <si>
    <t>Meningkatnya Pelayanan Kesehatan Penyakit Menular dan Tidak Menular</t>
  </si>
  <si>
    <t>% Penyakit yang terkendali penyebarannya sesuai SPM</t>
  </si>
  <si>
    <t>Meningkatnya Ketersediaan Pelayanan Faskes dan Jaminan Kesehatan Sesuai Standar</t>
  </si>
  <si>
    <t>Penyediaan Fasilitas Pelayanan Kesehatan untuk UKM dan UKP Kewenangan Daerah Kabupaten/Kota</t>
  </si>
  <si>
    <t>% Fasilitas kesehatan Terakreditasi Paripurna</t>
  </si>
  <si>
    <t>Terbangunnya Fasilitas Kesehatan Lainnya</t>
  </si>
  <si>
    <t>Pembangunan Fasilitas Kesehatan Lainnya</t>
  </si>
  <si>
    <t>Jumlah Fasilitas Kesehatan Lainnya yang Dibangun</t>
  </si>
  <si>
    <t>Tersedianya       Sarana,       Prasarana       dan       Alat Kesehatan    yang    Telah    Dilakukan    Rehabilitasi dan Pemeliharaan oleh Puskesmas</t>
  </si>
  <si>
    <t>Rehabilitasi dan Pemeliharaan Puskesmas</t>
  </si>
  <si>
    <t>Jumlah Sarana, Prasarana dan Alat Kesehatan yang Telah Dilakukan Rehabilitasi dan Pemeliharaan Oleh Puskesmas</t>
  </si>
  <si>
    <t xml:space="preserve">Tersedianya  Sarana , Prasarana  dan  Alat Kesehatan  yang  Telah  Dilakukan  Rehabilitasi dan Pemeliharaan     </t>
  </si>
  <si>
    <t>Rehabilitasi dan Pemeliharaan Fasilitas Kesehatan Lainnya</t>
  </si>
  <si>
    <t>Jumlah Sarana, Prasarana dan Alat Kesehatan yang Telah Dilakukan Rehabilitasi dan Pemeliharaan Oleh Fasilitas Kesehatan Lainnya</t>
  </si>
  <si>
    <t>Tersedianya  Sarana  dan  Prasarana  Rumah  Dinas Tenaga  Kesehatan  yang Telah  Dilakukan Rehabilitasi dan Pemeliharaan</t>
  </si>
  <si>
    <t>Rehabilitasi dan Pemeliharaan Rumah Dinas Tenaga Kesehatan</t>
  </si>
  <si>
    <t>Jumlah Sarana dan Prasarana Rumah Dinas Tenaga Kesehatan yang Telah Dilakukan Rehabilitasi dan Pemeliharaan</t>
  </si>
  <si>
    <t>Tersedianya      Alat      Kesehatan/Alat      Penunjang Medik Fasilitas Pelayanan Kesehatan</t>
  </si>
  <si>
    <t>Pengadaan Alat Kesehatan/Alat Penunjang Medik Fasilitas Pelayanan Kesehatan</t>
  </si>
  <si>
    <t>Jumlah Alat Kesehatan/Alat Penunjang Medik Fasilitas Pelayanan Kesehatan yang Disediakan</t>
  </si>
  <si>
    <t>Tersedianya Obat  dan Vaksin</t>
  </si>
  <si>
    <t>Pengadaan Obat, Vaksin</t>
  </si>
  <si>
    <t>Jumlah Obat dan Vaksin yang Disediakan</t>
  </si>
  <si>
    <t>Tersedianya Bahan Habis Pakai</t>
  </si>
  <si>
    <t>Pengadaan Bahan Habis Pakai</t>
  </si>
  <si>
    <t>Jumlah Bahan Habis Pakai yang Disediakan</t>
  </si>
  <si>
    <t>Terpeliharanya   Alat    Kesehatan/Alat    Penunjang Medik      Fasilitas      Layanan      Kesehatan      Sesuai Standar</t>
  </si>
  <si>
    <t>Pemeliharaan Rutin dan Berkala Alat Kesehatan/Alat Penunjang Medik Fasilitas Pelayanan Kesehatan</t>
  </si>
  <si>
    <t>Jumlah alat Kesehatan/Alat Penunjang Medik Fasilitas Pelayanan Kesehatan yang Terpelihara Sesuai Standar</t>
  </si>
  <si>
    <t>Terlaksananya   Distribusi   Alat   Kesehatan,   Obat, Vaksin,     Bahan     Medis     Habis     Pakai     (BMHP), Makanan    dan    Minuman    ke    Puskesmas    serta Fasilitas Kesehatan Lainnya</t>
  </si>
  <si>
    <t>Distribusi Alat Kesehatan Obat, Vaksin, BMHP, Makanan dan Minuman ke Puskesmas serta Fasilitas Kesehatan Lainnya</t>
  </si>
  <si>
    <t>Jumlah Distribusi Alat Kesehatan, Obat, Vaksin, Bahan Medis Habis Pakai (BMHP), Makanan dan Minuman yang Didistribusikan ke Puskesmas serta Fasilitas Kesehatan Lainnya</t>
  </si>
  <si>
    <t>Terbangunnya      Pusat      Kesehatan      Masyarakat</t>
  </si>
  <si>
    <t>Pembangunan Puskesmas</t>
  </si>
  <si>
    <t>Jumlah Pusat Kesehatan Masyarakat (Puskesmas) yang Dibangun</t>
  </si>
  <si>
    <t>Tersedianya       Prasarana       Fasilitas       Pelayanan  Kesehatan</t>
  </si>
  <si>
    <t>Pengadaan Prasarana dan Pendukung Fasilitas Pelayanan Kesehatan</t>
  </si>
  <si>
    <t>Jumlah Prasarana Fasilitas Pelayanan Kesehatan yang Disediakan</t>
  </si>
  <si>
    <t>Meningkatnya Pelayanan PONEK dan PONED</t>
  </si>
  <si>
    <t>Penyediaan Layanan Kesehatan untuk UKM dan UKP Rujukan Tingkat Daerah Kabupaten/Kota</t>
  </si>
  <si>
    <t>% Penyelenggaraan Pelayanan Obstetri Neonatal Emergensi Komprehensif (PONEK) 24 jam di RSUD</t>
  </si>
  <si>
    <t>% Puskesmas yg menyelenggarakan Pelayanan Obstetri Neonatal Emergensi</t>
  </si>
  <si>
    <t>Meningkatnya Pemeriksanaan Kehamilan</t>
  </si>
  <si>
    <t>% Kunjungan K4</t>
  </si>
  <si>
    <t>Meningkatnya Pertolongan Persalinan Bagi Ibu Hamil dari Keluarga Kurang Mampu</t>
  </si>
  <si>
    <t>% Persalinan oleh tenaga non kesehatan</t>
  </si>
  <si>
    <t xml:space="preserve">% penduduk HSS yang memiliki jaminan kesehatan </t>
  </si>
  <si>
    <t>Meningkatnya Kesadaran Ibu untuk Memberikan ASI</t>
  </si>
  <si>
    <t>% Bayi yang diberikan ASI eksklusif</t>
  </si>
  <si>
    <t>Meningkatnya Kesehatan Ibu Hamil</t>
  </si>
  <si>
    <t xml:space="preserve">% Ibu hamil yang mendapat tablet FE
</t>
  </si>
  <si>
    <t>% Ibu hamil yang mendapatkan Imunisasi TT</t>
  </si>
  <si>
    <t>% Ibu hamil kek</t>
  </si>
  <si>
    <t>Memastikan Puskesmas melakukan PANDU PTM</t>
  </si>
  <si>
    <t>% Puskesmas yang melaksanakan PANDU PTM</t>
  </si>
  <si>
    <t>Memastikan Tidak terjadi KLB</t>
  </si>
  <si>
    <t>Jumlah kejadian KLB di daerah dalam kurun waktu 1 tahun</t>
  </si>
  <si>
    <t>Meningkatnya pemberdayaan masyarakat untuk hidup sehat</t>
  </si>
  <si>
    <t>% Keluarga ber-PHBS</t>
  </si>
  <si>
    <t>Pengelolaan Pelayanan Kesehatan Ibu Hamil</t>
  </si>
  <si>
    <t>Jumlah Ibu Hamil yang Mendapatkan Pelayanan Kesehatan Sesuai Standar</t>
  </si>
  <si>
    <t>Org</t>
  </si>
  <si>
    <t>Pengelolaan Pelayanan Kesehatan Ibu Hamil (Puskesmas Angkinang)</t>
  </si>
  <si>
    <t>-</t>
  </si>
  <si>
    <t>Pengelolaan Pelayanan Kesehatan Ibu Hamil (Puskesmas Bajayau)</t>
  </si>
  <si>
    <t>Pengelolaan Pelayanan Kesehatan Ibu Hamil (Puskesmas Bamban)</t>
  </si>
  <si>
    <t>Pengelolaan Pelayanan Kesehatan Ibu Hamil (Puskesmas Baruh Jaya)</t>
  </si>
  <si>
    <t>Pengelolaan Pelayanan Kesehatan Ibu Hamil (Puskesmas Batang Kulur)</t>
  </si>
  <si>
    <t>Pengelolaan Pelayanan Kesehatan Ibu Hamil (Puskesmas Bayanan)</t>
  </si>
  <si>
    <t>Pengelolaan Pelayanan Kesehatan Ibu Hamil (Puskesmas Gambah)</t>
  </si>
  <si>
    <t>Pengelolaan Pelayanan Kesehatan Ibu Hamil (Puskesmas Jambu Hilir)</t>
  </si>
  <si>
    <t>Pengelolaan Pelayanan Kesehatan Ibu Hamil (Puskesmas Kaliring)</t>
  </si>
  <si>
    <t>Pengelolaan Pelayanan Kesehatan Ibu Hamil (Puskesmas Kalumpang)</t>
  </si>
  <si>
    <t>Pengelolaan Pelayanan Kesehatan Ibu Hamil (Puskesmas Kandangan)</t>
  </si>
  <si>
    <t>Pengelolaan Pelayanan Kesehatan Ibu Hamil (Puskesmas Loksado)</t>
  </si>
  <si>
    <t>Pengelolaan Pelayanan Kesehatan Ibu Hamil (Puskesmas Malinau)</t>
  </si>
  <si>
    <t>Pengelolaan Pelayanan Kesehatan Ibu Hamil (Puskesmas Negara)</t>
  </si>
  <si>
    <t>Pengelolaan Pelayanan Kesehatan Ibu Hamil (Puskesmas Padang Batung)</t>
  </si>
  <si>
    <t>Pengelolaan Pelayanan Kesehatan Ibu Hamil (Puskesmas Pasungkan)</t>
  </si>
  <si>
    <t>Pengelolaan Pelayanan Kesehatan Ibu Hamil (Puskesmas Simpur)</t>
  </si>
  <si>
    <t>Pengelolaan Pelayanan Kesehatan Ibu Hamil (Puskesmas Sungai Pinang)</t>
  </si>
  <si>
    <t>Pengelolaan Pelayanan Kesehatan Ibu Hamil (Puskesmas Sungai Raya)</t>
  </si>
  <si>
    <t>Pengelolaan Pelayanan Kesehatan Ibu Hamil (Puskesmas Telaga Langsat)</t>
  </si>
  <si>
    <t>Pengelolaan Pelayanan Kesehatan Ibu Hamil (Puskesmas Wasah)</t>
  </si>
  <si>
    <t>Pengelolaan Pelayanan Kesehatan Ibu Bersalin</t>
  </si>
  <si>
    <t>Jumlah Ibu Bersalin yang Mendapatkan Pelayanan Kesehatan Sesuai Standar</t>
  </si>
  <si>
    <t>Pengelolaan Pelayanan Kesehatan Ibu Bersalin (Puskesmas Angkinang)</t>
  </si>
  <si>
    <t>Jumlah Ibu Bersalin yang mendapatkan pelayanan sesuai standar</t>
  </si>
  <si>
    <t>Pengelolaan Pelayanan Kesehatan Ibu Bersalin (Puskesmas Bamban)</t>
  </si>
  <si>
    <t>Pengelolaan Pelayanan Kesehatan Ibu Bersalin (Puskesmas Batang Kulur)</t>
  </si>
  <si>
    <t>Pengelolaan Pelayanan Kesehatan Ibu Bersalin (Puskesmas Gambah)</t>
  </si>
  <si>
    <t>Pengelolaan Pelayanan Kesehatan Ibu Bersalin (Puskesmas Jambu Hilir)</t>
  </si>
  <si>
    <t>Pengelolaan Pelayanan Kesehatan Ibu Bersalin (Puskesmas Kaliring)</t>
  </si>
  <si>
    <t>Pengelolaan Pelayanan Kesehatan Ibu Bersalin (Puskesmas Kalumpang)</t>
  </si>
  <si>
    <t>Pengelolaan Pelayanan Kesehatan Ibu Bersalin (Puskesmas Kandangan)</t>
  </si>
  <si>
    <t>Pengelolaan Pelayanan Kesehatan Ibu Bersalin (Puskesmas Loksado)</t>
  </si>
  <si>
    <t>Pengelolaan Pelayanan Kesehatan Ibu Bersalin (Puskesmas Malinau)</t>
  </si>
  <si>
    <t>Pengelolaan Pelayanan Kesehatan Ibu Bersalin (Puskesmas Negara)</t>
  </si>
  <si>
    <t>Pengelolaan Pelayanan Kesehatan Ibu Bersalin (Puskesmas Padang Batung)</t>
  </si>
  <si>
    <t>Pengelolaan Pelayanan Kesehatan Ibu Bersalin (Puskesmas Simpur)</t>
  </si>
  <si>
    <t>Pengelolaan Pelayanan Kesehatan Ibu Bersalin (Puskesmas Telaga Langsat)</t>
  </si>
  <si>
    <t>Pengelolaan Pelayanan Kesehatan Bayi Baru Lahir (Puskesmas Angkinang)</t>
  </si>
  <si>
    <t>Jumlah Bayi Baru Lahir yang Mendapatkan Pelayanan Kesehatan Sesuai Standar</t>
  </si>
  <si>
    <t>Pengelolaan Pelayanan Kesehatan Bayi Baru Lahir (Puskesmas Bajayau)</t>
  </si>
  <si>
    <t>Pengelolaan Pelayanan Kesehatan Bayi Baru Lahir (Puskesmas Bamban)</t>
  </si>
  <si>
    <t>Pengelolaan Pelayanan Kesehatan Bayi Baru Lahir (Puskesmas Baruh Jaya)</t>
  </si>
  <si>
    <t>Pengelolaan Pelayanan Kesehatan Bayi Baru Lahir (Puskesmas Batang Kulur)</t>
  </si>
  <si>
    <t>Pengelolaan Pelayanan Kesehatan Bayi Baru Lahir (Puskesmas Bayanan)</t>
  </si>
  <si>
    <t>Pengelolaan Pelayanan Kesehatan Bayi Baru Lahir (Puskesmas Gambah)</t>
  </si>
  <si>
    <t>Pengelolaan Pelayanan Kesehatan Bayi Baru Lahir (Puskesmas Jambu Hilir)</t>
  </si>
  <si>
    <t>Pengelolaan Pelayanan Kesehatan Bayi Baru Lahir (Puskesmas Kaliring)</t>
  </si>
  <si>
    <t>Pengelolaan Pelayanan Kesehatan Bayi Baru Lahir (Puskesmas Kalumpang)</t>
  </si>
  <si>
    <t>Pengelolaan Pelayanan Kesehatan Bayi Baru Lahir (Puskesmas Loksado)</t>
  </si>
  <si>
    <t>Pengelolaan Pelayanan Kesehatan Bayi Baru Lahir (Puskesmas Malinau)</t>
  </si>
  <si>
    <t>Pengelolaan Pelayanan Kesehatan Bayi Baru Lahir (Puskesmas Negara)</t>
  </si>
  <si>
    <t>Pengelolaan Pelayanan Kesehatan Bayi Baru Lahir (Puskesmas Pasungkan)</t>
  </si>
  <si>
    <t>Pengelolaan Pelayanan Kesehatan Bayi Baru Lahir (Puskesmas Sungai Raya)</t>
  </si>
  <si>
    <t>Pengelolaan Pelayanan Kesehatan Bayi Baru Lahir (Puskesmas Wasah)</t>
  </si>
  <si>
    <t>Pengelolaan Pelayanan Kesehatan Balita</t>
  </si>
  <si>
    <t>Jumlah Balita yang Mendapatkan Pelayanan Kesehatan Sesuai Standar</t>
  </si>
  <si>
    <t>Pengelolaan Pelayanan Kesehatan Balita (Puskesmas Angkinang)</t>
  </si>
  <si>
    <t>Pengelolaan Pelayanan Kesehatan Balita (Puskesmas Bajayau)</t>
  </si>
  <si>
    <t>Pengelolaan Pelayanan Kesehatan Balita (Puskesmas Bamban)</t>
  </si>
  <si>
    <t>Pengelolaan Pelayanan Kesehatan Balita (Puskesmas Baruh Jaya)</t>
  </si>
  <si>
    <t>Pengelolaan Pelayanan Kesehatan Balita (Puskesmas Batang Kulur)</t>
  </si>
  <si>
    <t>Pengelolaan Pelayanan Kesehatan Balita (Puskesmas Bayanan)</t>
  </si>
  <si>
    <t>Pengelolaan Pelayanan Kesehatan Balita (Puskesmas Gambah)</t>
  </si>
  <si>
    <t>Pengelolaan Pelayanan Kesehatan Balita (Puskesmas Jambu Hilir)</t>
  </si>
  <si>
    <t>Pengelolaan Pelayanan Kesehatan Balita (Puskesmas Kaliring)</t>
  </si>
  <si>
    <t>Pengelolaan Pelayanan Kesehatan Balita (Puskesmas Kalumpang)</t>
  </si>
  <si>
    <t>Pengelolaan Pelayanan Kesehatan Balita (Puskesmas Kandangan)</t>
  </si>
  <si>
    <t>Pengelolaan Pelayanan Kesehatan Balita (Puskesmas Loksado)</t>
  </si>
  <si>
    <t>Pengelolaan Pelayanan Kesehatan Balita (Puskesmas Malinau)</t>
  </si>
  <si>
    <t>Pengelolaan Pelayanan Kesehatan Balita (Puskesmas Negara)</t>
  </si>
  <si>
    <t>Pengelolaan Pelayanan Kesehatan Balita (Puskesmas Padang Batung)</t>
  </si>
  <si>
    <t>Pengelolaan Pelayanan Kesehatan Balita (Puskesmas Pasungkan)</t>
  </si>
  <si>
    <t>Pengelolaan Pelayanan Kesehatan Balita (Puskesmas Simpur)</t>
  </si>
  <si>
    <t>Pengelolaan Pelayanan Kesehatan Balita (Puskesmas Sungai Pinang)</t>
  </si>
  <si>
    <t>Pengelolaan Pelayanan Kesehatan Balita (Puskesmas Sungai Raya)</t>
  </si>
  <si>
    <t>Pengelolaan Pelayanan Kesehatan Balita (Puskesmas Telaga Langsat)</t>
  </si>
  <si>
    <t>Pengelolaan Pelayanan Kesehatan Balita (Puskesmas Wasah)</t>
  </si>
  <si>
    <t>Pengelolaan Pelayanan Kesehatan pada Usia Pendidikan Dasar</t>
  </si>
  <si>
    <t>Jumlah Anak Usia Pendidikan Dasar yang Mendapatkan Pelayanan Kesehatan Sesuai Standar</t>
  </si>
  <si>
    <t>Pengelolaan Pelayanan Kesehatan pada Usia Pendidikan Dasar (Puskesmas Angkinang)</t>
  </si>
  <si>
    <t>Pengelolaan Pelayanan Kesehatan pada Usia Pendidikan Dasar (Puskesmas Bajayau)</t>
  </si>
  <si>
    <t>Pengelolaan Pelayanan Kesehatan pada Usia Pendidikan Dasar (Puskesmas Bamban)</t>
  </si>
  <si>
    <t>Pengelolaan Pelayanan Kesehatan pada Usia Pendidikan Dasar (Puskesmas Baruh Jaya)</t>
  </si>
  <si>
    <t>Pengelolaan Pelayanan Kesehatan pada Usia Pendidikan Dasar (Puskesmas Batang Kulur)</t>
  </si>
  <si>
    <t>Pengelolaan Pelayanan Kesehatan pada Usia Pendidikan Dasar (Puskesmas Bayanan)</t>
  </si>
  <si>
    <t>Pengelolaan Pelayanan Kesehatan pada Usia Pendidikan Dasar (Puskesmas Gambah)</t>
  </si>
  <si>
    <t>Pengelolaan Pelayanan Kesehatan pada Usia Pendidikan Dasar (Puskesmas Jambu Hilir)</t>
  </si>
  <si>
    <t>Pengelolaan Pelayanan Kesehatan pada Usia Pendidikan Dasar (Puskesmas Kaliring)</t>
  </si>
  <si>
    <t>Pengelolaan Pelayanan Kesehatan pada Usia Pendidikan Dasar (Puskesmas Kalumpang)</t>
  </si>
  <si>
    <t>Pengelolaan Pelayanan Kesehatan pada Usia Pendidikan Dasar (Puskesmas Kandangan)</t>
  </si>
  <si>
    <t>Pengelolaan Pelayanan Kesehatan pada Usia Pendidikan Dasar (Puskesmas Loksado)</t>
  </si>
  <si>
    <t>Pengelolaan Pelayanan Kesehatan pada Usia Pendidikan Dasar (Puskesmas Malinau)</t>
  </si>
  <si>
    <t>Pengelolaan Pelayanan Kesehatan pada Usia Pendidikan Dasar (Puskesmas Negara)</t>
  </si>
  <si>
    <t>Pengelolaan Pelayanan Kesehatan pada Usia Pendidikan Dasar (Puskesmas Padang Batung)</t>
  </si>
  <si>
    <t>Pengelolaan Pelayanan Kesehatan pada Usia Pendidikan Dasar (Puskesmas Pasungkan)</t>
  </si>
  <si>
    <t>Pengelolaan Pelayanan Kesehatan pada Usia Pendidikan Dasar (Puskesmas Simpur)</t>
  </si>
  <si>
    <t>Pengelolaan Pelayanan Kesehatan pada Usia Pendidikan Dasar (Puskesmas Sungai Pinang)</t>
  </si>
  <si>
    <t>Pengelolaan Pelayanan Kesehatan pada Usia Pendidikan Dasar (Puskesmas Sungai Raya)</t>
  </si>
  <si>
    <t>Pengelolaan Pelayanan Kesehatan pada Usia Pendidikan Dasar (Puskesmas Telaga Langsat)</t>
  </si>
  <si>
    <t>Pengelolaan Pelayanan Kesehatan pada Usia Pendidikan Dasar (Puskesmas Wasah)</t>
  </si>
  <si>
    <t>Pengelolaan Pelayanan Kesehatan pada Usia Produktif</t>
  </si>
  <si>
    <t>Jumlah Penduduk Usia Produktif yang Mendapatkan Pelayanan Kesehatan Sesuai Standar</t>
  </si>
  <si>
    <t>Pengelolaan Pelayanan Kesehatan pada Usia Produktif (Puskesmas Angkinang)</t>
  </si>
  <si>
    <t>Pengelolaan Pelayanan Kesehatan pada Usia Produktif (Puskesmas Bajayau)</t>
  </si>
  <si>
    <t>Pengelolaan Pelayanan Kesehatan pada Usia Produktif (Puskesmas Bamban)</t>
  </si>
  <si>
    <t>Pengelolaan Pelayanan Kesehatan pada Usia Produktif (Puskesmas Baruh Jaya)</t>
  </si>
  <si>
    <t>Pengelolaan Pelayanan Kesehatan pada Usia Produktif (Puskesmas Batang Kulur)</t>
  </si>
  <si>
    <t>Pengelolaan Pelayanan Kesehatan pada Usia Produktif (Puskesmas Bayanan)</t>
  </si>
  <si>
    <t>Pengelolaan Pelayanan Kesehatan pada Usia Produktif (Puskesmas Gambah)</t>
  </si>
  <si>
    <t>Pengelolaan Pelayanan Kesehatan pada Usia Produktif (Puskesmas Jambu Hilir)</t>
  </si>
  <si>
    <t>Pengelolaan Pelayanan Kesehatan pada Usia Produktif (Puskesmas Kaliring)</t>
  </si>
  <si>
    <t>Pengelolaan Pelayanan Kesehatan pada Usia Produktif (Puskesmas Kalumpang)</t>
  </si>
  <si>
    <t>Pengelolaan Pelayanan Kesehatan pada Usia Produktif (Puskesmas Kandangan)</t>
  </si>
  <si>
    <t>Pengelolaan Pelayanan Kesehatan pada Usia Produktif (Puskesmas Loksado)</t>
  </si>
  <si>
    <t>Pengelolaan Pelayanan Kesehatan pada Usia Produktif (Puskesmas Malinau)</t>
  </si>
  <si>
    <t>Pengelolaan Pelayanan Kesehatan pada Usia Produktif (Puskesmas Negara)</t>
  </si>
  <si>
    <t>Pengelolaan Pelayanan Kesehatan pada Usia Produktif (Puskesmas Padang Batung)</t>
  </si>
  <si>
    <t>Pengelolaan Pelayanan Kesehatan pada Usia Produktif (Puskesmas Pasungkan)</t>
  </si>
  <si>
    <t>Pengelolaan Pelayanan Kesehatan pada Usia Produktif (Puskesmas Simpur)</t>
  </si>
  <si>
    <t>Pengelolaan Pelayanan Kesehatan pada Usia Produktif (Puskesmas Sungai Pinang)</t>
  </si>
  <si>
    <t>Pengelolaan Pelayanan Kesehatan pada Usia Produktif (Puskesmas Sungai Raya)</t>
  </si>
  <si>
    <t>Pengelolaan Pelayanan Kesehatan pada Usia Produktif (Puskesmas Telaga Langsat)</t>
  </si>
  <si>
    <t>Pengelolaan Pelayanan Kesehatan pada Usia Produktif (Puskesmas Wasah)</t>
  </si>
  <si>
    <t>Pengelolaan Pelayanan Kesehatan pada Usia Lanjut</t>
  </si>
  <si>
    <t>Jumlah Penduduk Usia Lanjut yang Mendapatkan Pelayanan Kesehatan Sesuai Standar</t>
  </si>
  <si>
    <t>Pengelolaan Pelayanan Kesehatan pada Usia Lanjut (Puskesmas Angkinang)</t>
  </si>
  <si>
    <t>Pengelolaan Pelayanan Kesehatan pada Usia Lanjut (Puskesmas Bajayau)</t>
  </si>
  <si>
    <t>Pengelolaan Pelayanan Kesehatan pada Usia Lanjut (Puskesmas Bamban)</t>
  </si>
  <si>
    <t>Pengelolaan Pelayanan Kesehatan pada Usia Lanjut (Puskesmas Baruh Jaya)</t>
  </si>
  <si>
    <t>Pengelolaan Pelayanan Kesehatan pada Usia Lanjut (Puskesmas Batang Kulur)</t>
  </si>
  <si>
    <t>Pengelolaan Pelayanan Kesehatan pada Usia Lanjut (Puskesmas Bayanan)</t>
  </si>
  <si>
    <t>Pengelolaan Pelayanan Kesehatan pada Usia Lanjut (Puskesmas Gambah)</t>
  </si>
  <si>
    <t>Pengelolaan Pelayanan Kesehatan pada Usia Lanjut (Puskesmas Jambu Hilir)</t>
  </si>
  <si>
    <t>Pengelolaan Pelayanan Kesehatan pada Usia Lanjut (Puskesmas Kaliring)</t>
  </si>
  <si>
    <t>Pengelolaan Pelayanan Kesehatan pada Usia Lanjut (Puskesmas Kalumpang)</t>
  </si>
  <si>
    <t>Pengelolaan Pelayanan Kesehatan pada Usia Lanjut (Puskesmas Kandangan)</t>
  </si>
  <si>
    <t>Pengelolaan Pelayanan Kesehatan pada Usia Lanjut (Puskesmas Loksado)</t>
  </si>
  <si>
    <t>Pengelolaan Pelayanan Kesehatan pada Usia Lanjut (Puskesmas Malinau)</t>
  </si>
  <si>
    <t>Pengelolaan Pelayanan Kesehatan pada Usia Lanjut (Puskesmas Negara)</t>
  </si>
  <si>
    <t>Pengelolaan Pelayanan Kesehatan pada Usia Lanjut (Puskesmas Padang Batung)</t>
  </si>
  <si>
    <t>Pengelolaan Pelayanan Kesehatan pada Usia Lanjut (Puskesmas Pasungkan)</t>
  </si>
  <si>
    <t>Pengelolaan Pelayanan Kesehatan pada Usia Lanjut (Puskesmas Simpur)</t>
  </si>
  <si>
    <t>Pengelolaan Pelayanan Kesehatan pada Usia Lanjut (Puskesmas Sungai Pinang)</t>
  </si>
  <si>
    <t>Pengelolaan Pelayanan Kesehatan pada Usia Lanjut (Puskesmas Sungai Raya)</t>
  </si>
  <si>
    <t>Pengelolaan Pelayanan Kesehatan pada Usia Lanjut (Puskesmas Telaga Langsat)</t>
  </si>
  <si>
    <t>Pengelolaan Pelayanan Kesehatan pada Usia Lanjut (Puskesmas Wasah)</t>
  </si>
  <si>
    <t>Pengelolaan Pelayanan Kesehatan Penderita Hipertensi</t>
  </si>
  <si>
    <t>Jumlah Penderita Hipertensi yang Mendapatkan Pelayanan Kesehatan Sesuai Standar</t>
  </si>
  <si>
    <t>Pengelolaan Pelayanan Kesehatan Penderita Hipertensi (Puskesmas Loksado)</t>
  </si>
  <si>
    <t>Pengelolaan Pelayanan Kesehatan Penderita Hipertensi (Puskesmas Negara)</t>
  </si>
  <si>
    <t>Pengelolaan Pelayanan Kesehatan Penderita Diabetes Melitus</t>
  </si>
  <si>
    <t>Jumlah Penderita Diabetes Melitus yang Mendapatkan Pelayanan Kesehatan Sesuai Standar</t>
  </si>
  <si>
    <t>Pengelolaan Pelayanan Kesehatan Penderita Diabetes Melitus (Puskesmas Loksado)</t>
  </si>
  <si>
    <t>Pengelolaan Pelayanan Kesehatan Penderita Diabetes Melitus (Puskesmas Negara)</t>
  </si>
  <si>
    <t>Pengelolaan Pelayanan Kesehatan Orang dengan Gangguan Jiwa Berat</t>
  </si>
  <si>
    <t>Jumlah Orang dengan Gangguan Jiwa Berat yang Mendapatkan Pelayanan Kesehatan Sesuai Standar</t>
  </si>
  <si>
    <t>Pengelolaan Pelayanan Kesehatan Orang dengan Gangguan Jiwa Berat (Puskesmas Angkinang)</t>
  </si>
  <si>
    <t>Pengelolaan Pelayanan Kesehatan Orang dengan Gangguan Jiwa Berat (Puskesmas Bajayau)</t>
  </si>
  <si>
    <t>Pengelolaan Pelayanan Kesehatan Orang dengan Gangguan Jiwa Berat (Puskesmas Bayanan)</t>
  </si>
  <si>
    <t>Pengelolaan Pelayanan Kesehatan Orang dengan Gangguan Jiwa Berat (Puskesmas Gambah)</t>
  </si>
  <si>
    <t>Pengelolaan Pelayanan Kesehatan Orang dengan Gangguan Jiwa Berat (Puskesmas Kalumpang)</t>
  </si>
  <si>
    <t>Pengelolaan Pelayanan Kesehatan Orang dengan Gangguan Jiwa Berat (Puskesmas Kandangan)</t>
  </si>
  <si>
    <t>Pengelolaan Pelayanan Kesehatan Orang dengan Gangguan Jiwa Berat (Puskesmas Negara)</t>
  </si>
  <si>
    <t>Pengelolaan Pelayanan Kesehatan Orang dengan Gangguan Jiwa Berat (Puskesmas Padang Batung)</t>
  </si>
  <si>
    <t>Pengelolaan Pelayanan Kesehatan Orang dengan Gangguan Jiwa Berat (Puskesmas Pasungkan)</t>
  </si>
  <si>
    <t>Pengelolaan Pelayanan Kesehatan Orang dengan Gangguan Jiwa Berat (Puskesmas Simpur)</t>
  </si>
  <si>
    <t>Pengelolaan Pelayanan Kesehatan Orang dengan Gangguan Jiwa Berat (Puskesmas Sungai Pinang)</t>
  </si>
  <si>
    <t>Pengelolaan Pelayanan Kesehatan Orang dengan Gangguan Jiwa Berat (Puskesmas Sungai Raya)</t>
  </si>
  <si>
    <t>Pengelolaan Pelayanan Kesehatan Orang dengan Gangguan Jiwa Berat (Puskesmas Telaga Langsat)</t>
  </si>
  <si>
    <t>Pengelolaan Pelayanan Kesehatan Orang dengan Gangguan Jiwa Berat (Puskesmas Wasah)</t>
  </si>
  <si>
    <t>Pengelolaan Pelayanan Kesehatan Orang Terduga Tuberkulosis</t>
  </si>
  <si>
    <t>Jumlah Orang Terduga Menderita Tuberkulosis yang Mendapatkan Pelayanan Kesehatan Sesuai Standar</t>
  </si>
  <si>
    <t>Pengelolaan Pelayanan Kesehatan Orang Terduga Tuberkulosis (Puskesmas Angkinang)</t>
  </si>
  <si>
    <t>Pengelolaan Pelayanan Kesehatan Orang Terduga Tuberkulosis (Puskesmas Bajayau)</t>
  </si>
  <si>
    <t>Pengelolaan Pelayanan Kesehatan Orang Terduga Tuberkulosis (Puskesmas Bamban)</t>
  </si>
  <si>
    <t>Pengelolaan Pelayanan Kesehatan Orang Terduga Tuberkulosis (Puskesmas Baruh Jaya)</t>
  </si>
  <si>
    <t>Pengelolaan Pelayanan Kesehatan Orang Terduga Tuberkulosis (Puskesmas Bayanan)</t>
  </si>
  <si>
    <t>Pengelolaan Pelayanan Kesehatan Orang Terduga Tuberkulosis (Puskesmas Gambah)</t>
  </si>
  <si>
    <t>Pengelolaan Pelayanan Kesehatan Orang Terduga Tuberkulosis (Puskesmas Jambu Hilir)</t>
  </si>
  <si>
    <t>Pengelolaan Pelayanan Kesehatan Orang Terduga Tuberkulosis (Puskesmas Kaliring)</t>
  </si>
  <si>
    <t>Pengelolaan Pelayanan Kesehatan Orang Terduga Tuberkulosis (Puskesmas Kalumpang)</t>
  </si>
  <si>
    <t>Pengelolaan Pelayanan Kesehatan Orang Terduga Tuberkulosis (Puskesmas Kandangan)</t>
  </si>
  <si>
    <t>Pengelolaan Pelayanan Kesehatan Orang Terduga Tuberkulosis (Puskesmas Loksado)</t>
  </si>
  <si>
    <t>Pengelolaan Pelayanan Kesehatan Orang Terduga Tuberkulosis (Puskesmas Malinau)</t>
  </si>
  <si>
    <t>Pengelolaan Pelayanan Kesehatan Orang Terduga Tuberkulosis (Puskesmas Negara)</t>
  </si>
  <si>
    <t>Pengelolaan Pelayanan Kesehatan Orang Terduga Tuberkulosis (Puskesmas Padang Batung)</t>
  </si>
  <si>
    <t>Pengelolaan Pelayanan Kesehatan Orang Terduga Tuberkulosis (Puskesmas Pasungkan)</t>
  </si>
  <si>
    <t>Pengelolaan Pelayanan Kesehatan Orang Terduga Tuberkulosis (Puskesmas Simpur)</t>
  </si>
  <si>
    <t>Pengelolaan Pelayanan Kesehatan Orang Terduga Tuberkulosis (Puskesmas Sungai Pinang)</t>
  </si>
  <si>
    <t>Pengelolaan Pelayanan Kesehatan Orang Terduga Tuberkulosis (Puskesmas Sungai Raya)</t>
  </si>
  <si>
    <t>Pengelolaan Pelayanan Kesehatan Orang Terduga Tuberkulosis (Puskesmas Telaga Langsat)</t>
  </si>
  <si>
    <t>Pengelolaan Pelayanan Kesehatan Orang Terduga Tuberkulosis (Puskesmas Wasah)</t>
  </si>
  <si>
    <t>Pengelolaan Pelayanan Kesehatan Orang dengan Risiko Terinfeksi HIV</t>
  </si>
  <si>
    <t>Jumlah Orang Terduga Menderita HIV yang Mendapatkan Pelayanan Kesehatan Sesuai Standar</t>
  </si>
  <si>
    <t>Pengelolaan Pelayanan Kesehatan Orang dengan Risiko Terinfeksi HIV (Puskesmas Angkinang)</t>
  </si>
  <si>
    <t>Pengelolaan Pelayanan Kesehatan Orang dengan Risiko Terinfeksi HIV (Puskesmas Bajayau)</t>
  </si>
  <si>
    <t>Pengelolaan Pelayanan Kesehatan Orang dengan Risiko Terinfeksi HIV (Puskesmas Bamban)</t>
  </si>
  <si>
    <t>Pengelolaan Pelayanan Kesehatan Orang dengan Risiko Terinfeksi HIV (Puskesmas Baruh Jaya)</t>
  </si>
  <si>
    <t>Pengelolaan Pelayanan Kesehatan Orang dengan Risiko Terinfeksi HIV (Puskesmas Batang Kulur)</t>
  </si>
  <si>
    <t>Pengelolaan Pelayanan Kesehatan Orang dengan Risiko Terinfeksi HIV (Puskesmas Bayanan)</t>
  </si>
  <si>
    <t>Pengelolaan Pelayanan Kesehatan Orang dengan Risiko Terinfeksi HIV (Puskesmas Gambah)</t>
  </si>
  <si>
    <t>Pengelolaan Pelayanan Kesehatan Orang dengan Risiko Terinfeksi HIV (Puskesmas Jambu Hilir)</t>
  </si>
  <si>
    <t>Pengelolaan Pelayanan Kesehatan Orang dengan Risiko Terinfeksi HIV (Puskesmas Kaliring)</t>
  </si>
  <si>
    <t>Pengelolaan Pelayanan Kesehatan Orang dengan Risiko Terinfeksi HIV (Puskesmas Kalumpang)</t>
  </si>
  <si>
    <t>Pengelolaan Pelayanan Kesehatan Orang dengan Risiko Terinfeksi HIV (Puskesmas Kandangan)</t>
  </si>
  <si>
    <t>Pengelolaan Pelayanan Kesehatan Orang dengan Risiko Terinfeksi HIV (Puskesmas Loksado)</t>
  </si>
  <si>
    <t>Pengelolaan Pelayanan Kesehatan Orang dengan Risiko Terinfeksi HIV (Puskesmas Malinau)</t>
  </si>
  <si>
    <t>Pengelolaan Pelayanan Kesehatan Orang dengan Risiko Terinfeksi HIV (Puskesmas Negara)</t>
  </si>
  <si>
    <t>Pengelolaan Pelayanan Kesehatan Orang dengan Risiko Terinfeksi HIV (Puskesmas Padang Batung)</t>
  </si>
  <si>
    <t>Pengelolaan Pelayanan Kesehatan Orang dengan Risiko Terinfeksi HIV (Puskesmas Pasungkan)</t>
  </si>
  <si>
    <t>Pengelolaan Pelayanan Kesehatan Orang dengan Risiko Terinfeksi HIV (Puskesmas Simpur)</t>
  </si>
  <si>
    <t>Pengelolaan Pelayanan Kesehatan Orang dengan Risiko Terinfeksi HIV (Puskesmas Sungai Pinang)</t>
  </si>
  <si>
    <t>Pengelolaan Pelayanan Kesehatan bagi Penduduk pada Kondisi Kejadian Luar Biasa (KLB)</t>
  </si>
  <si>
    <t>Jumlah Dokumen Hasil Pengelolaan Pelayanan Kesehatan bagi Penduduk pada Kondisi Kejadian Luar Biasa (KLB) Sesuai Standar</t>
  </si>
  <si>
    <t>Pengelolaan Pelayanan Kesehatan bagi Penduduk pada Kondisi Kejadian Luar Biasa (KLB) (Puskesmas Angkinang)</t>
  </si>
  <si>
    <t>Pengelolaan Pelayanan Kesehatan bagi Penduduk pada Kondisi Kejadian Luar Biasa (KLB) (Puskesmas Bajayau)</t>
  </si>
  <si>
    <t>Pengelolaan Pelayanan Kesehatan bagi Penduduk pada Kondisi Kejadian Luar Biasa (KLB) (Puskesmas Bamban)</t>
  </si>
  <si>
    <t>Pengelolaan Pelayanan Kesehatan bagi Penduduk pada Kondisi Kejadian Luar Biasa (KLB) (Puskesmas Baruh Jaya)</t>
  </si>
  <si>
    <t>Pengelolaan Pelayanan Kesehatan bagi Penduduk pada Kondisi Kejadian Luar Biasa (KLB) (Puskesmas Batang Kulur)</t>
  </si>
  <si>
    <t>Pengelolaan Pelayanan Kesehatan bagi Penduduk pada Kondisi Kejadian Luar Biasa (KLB) (Puskesmas Bayanan)</t>
  </si>
  <si>
    <t>Pengelolaan Pelayanan Kesehatan bagi Penduduk pada Kondisi Kejadian Luar Biasa (KLB) (Puskesmas Gambah)</t>
  </si>
  <si>
    <t>Pengelolaan Pelayanan Kesehatan bagi Penduduk pada Kondisi Kejadian Luar Biasa (KLB) (Puskesmas Jambu Hilir)</t>
  </si>
  <si>
    <t>Pengelolaan Pelayanan Kesehatan bagi Penduduk pada Kondisi Kejadian Luar Biasa (KLB) (Puskesmas Kaliring)</t>
  </si>
  <si>
    <t>Pengelolaan Pelayanan Kesehatan bagi Penduduk pada Kondisi Kejadian Luar Biasa (KLB) (Puskesmas Kalumpang)</t>
  </si>
  <si>
    <t>Pengelolaan Pelayanan Kesehatan bagi Penduduk pada Kondisi Kejadian Luar Biasa (KLB) (Puskesmas Kandangan)</t>
  </si>
  <si>
    <t>Pengelolaan Pelayanan Kesehatan bagi Penduduk pada Kondisi Kejadian Luar Biasa (KLB) (Puskesmas Loksado)</t>
  </si>
  <si>
    <t>Pengelolaan Pelayanan Kesehatan bagi Penduduk pada Kondisi Kejadian Luar Biasa (KLB) (Puskesmas Malinau)</t>
  </si>
  <si>
    <t>Pengelolaan Pelayanan Kesehatan bagi Penduduk pada Kondisi Kejadian Luar Biasa (KLB) (Puskesmas Negara)</t>
  </si>
  <si>
    <t>Pengelolaan Pelayanan Kesehatan bagi Penduduk pada Kondisi Kejadian Luar Biasa (KLB) (Puskesmas Padang Batung)</t>
  </si>
  <si>
    <t>Pengelolaan Pelayanan Kesehatan bagi Penduduk pada Kondisi Kejadian Luar Biasa (KLB) (Puskesmas Pasungkan)</t>
  </si>
  <si>
    <t>Pengelolaan Pelayanan Kesehatan bagi Penduduk pada Kondisi Kejadian Luar Biasa (KLB) (Puskesmas Simpur)</t>
  </si>
  <si>
    <t>Pengelolaan Pelayanan Kesehatan bagi Penduduk pada Kondisi Kejadian Luar Biasa (KLB) (Puskesmas Sungai Raya)</t>
  </si>
  <si>
    <t>Pengelolaan Pelayanan Kesehatan bagi Penduduk pada Kondisi Kejadian Luar Biasa (KLB) (Puskesmas Telaga Langsat)</t>
  </si>
  <si>
    <t>Pengelolaan Pelayanan Kesehatan bagi Penduduk pada Kondisi Kejadian Luar Biasa (KLB) (Puskesmas Wasah)</t>
  </si>
  <si>
    <t>Pengelolaan Pelayanan Kesehatan Gizi Masyarakat</t>
  </si>
  <si>
    <t>Jumlah Dokumen Hasil Pengelolaan Pelayanan Kesehatan Gizi Masyarakat</t>
  </si>
  <si>
    <t>Pengelolaan Pelayanan Kesehatan Gizi Masyarakat (Puskesmas Angkinang)</t>
  </si>
  <si>
    <t>Pengelolaan Pelayanan Kesehatan Gizi Masyarakat (Puskesmas Bajayau)</t>
  </si>
  <si>
    <t>Pengelolaan Pelayanan Kesehatan Gizi Masyarakat (Puskesmas Bamban)</t>
  </si>
  <si>
    <t>Pengelolaan Pelayanan Kesehatan Gizi Masyarakat (Puskesmas Baruh Jaya)</t>
  </si>
  <si>
    <t>Pengelolaan Pelayanan Kesehatan Gizi Masyarakat (Puskesmas Batang Kulur)</t>
  </si>
  <si>
    <t>Pengelolaan Pelayanan Kesehatan Gizi Masyarakat (Puskesmas Gambah)</t>
  </si>
  <si>
    <t>Pengelolaan Pelayanan Kesehatan Gizi Masyarakat (Puskesmas Jambu Hilir)</t>
  </si>
  <si>
    <t>Pengelolaan Pelayanan Kesehatan Gizi Masyarakat (Puskesmas Kaliring)</t>
  </si>
  <si>
    <t>Pengelolaan Pelayanan Kesehatan Gizi Masyarakat (Puskesmas Kalumpang)</t>
  </si>
  <si>
    <t>Pengelolaan Pelayanan Kesehatan Gizi Masyarakat (Puskesmas Kandangan)</t>
  </si>
  <si>
    <t>Pengelolaan Pelayanan Kesehatan Gizi Masyarakat (Puskesmas Loksado)</t>
  </si>
  <si>
    <t>Pengelolaan Pelayanan Kesehatan Gizi Masyarakat (Puskesmas Malinau)</t>
  </si>
  <si>
    <t>Pengelolaan Pelayanan Kesehatan Gizi Masyarakat (Puskesmas Negara)</t>
  </si>
  <si>
    <t>Pengelolaan Pelayanan Kesehatan Gizi Masyarakat (Puskesmas Padang Batung)</t>
  </si>
  <si>
    <t>Pengelolaan Pelayanan Kesehatan Gizi Masyarakat (Puskesmas Pasungkan)</t>
  </si>
  <si>
    <t>Pengelolaan Pelayanan Kesehatan Gizi Masyarakat (Puskesmas Simpur)</t>
  </si>
  <si>
    <t>Pengelolaan Pelayanan Kesehatan Gizi Masyarakat (Puskesmas Sungai Pinang)</t>
  </si>
  <si>
    <t>Pengelolaan Pelayanan Kesehatan Gizi Masyarakat (Puskesmas Sungai Raya)</t>
  </si>
  <si>
    <t>Pengelolaan Pelayanan Kesehatan Gizi Masyarakat (Puskesmas Telaga Langsat)</t>
  </si>
  <si>
    <t>Pengelolaan Pelayanan Kesehatan Gizi Masyarakat (Puskesmas Wasah)</t>
  </si>
  <si>
    <t>Pengelolaan Pelayanan Kesehatan Kerja dan Olahraga</t>
  </si>
  <si>
    <t>Jumlah Dokumen Hasil Pengelolaan Pelayanan Kesehatan Kerja dan Olahraga</t>
  </si>
  <si>
    <t>Pengelolaan Pelayanan Kesehatan Kerja dan Olahraga (Puskesmas Angkinang)</t>
  </si>
  <si>
    <t>Pengelolaan Pelayanan Kesehatan Kerja dan Olahraga (Puskesmas Bamban)</t>
  </si>
  <si>
    <t>Pengelolaan Pelayanan Kesehatan Kerja dan Olahraga (Puskesmas Baruh Jaya)</t>
  </si>
  <si>
    <t>Pengelolaan Pelayanan Kesehatan Kerja dan Olahraga (Puskesmas Batang Kulur)</t>
  </si>
  <si>
    <t>Pengelolaan Pelayanan Kesehatan Kerja dan Olahraga (Puskesmas Bayanan)</t>
  </si>
  <si>
    <t>Pengelolaan Pelayanan Kesehatan Kerja dan Olahraga (Puskesmas Gambah)</t>
  </si>
  <si>
    <t>Pengelolaan Pelayanan Kesehatan Kerja dan Olahraga (Puskesmas Jambu Hilir)</t>
  </si>
  <si>
    <t>Pengelolaan Pelayanan Kesehatan Kerja dan Olahraga (Puskesmas Kaliring)</t>
  </si>
  <si>
    <t>Pengelolaan Pelayanan Kesehatan Kerja dan Olahraga (Puskesmas Kalumpang)</t>
  </si>
  <si>
    <t>Pengelolaan Pelayanan Kesehatan Kerja dan Olahraga (Puskesmas Kandangan)</t>
  </si>
  <si>
    <t>Pengelolaan Pelayanan Kesehatan Kerja dan Olahraga (Puskesmas Loksado)</t>
  </si>
  <si>
    <t>Pengelolaan Pelayanan Kesehatan Kerja dan Olahraga (Puskesmas Malinau)</t>
  </si>
  <si>
    <t>Pengelolaan Pelayanan Kesehatan Kerja dan Olahraga (Puskesmas Negara)</t>
  </si>
  <si>
    <t>Pengelolaan Pelayanan Kesehatan Kerja dan Olahraga (Puskesmas Padang Batung)</t>
  </si>
  <si>
    <t>Pengelolaan Pelayanan Kesehatan Kerja dan Olahraga (Puskesmas Simpur)</t>
  </si>
  <si>
    <t>Pengelolaan Pelayanan Kesehatan Kerja dan Olahraga (Puskesmas Sungai Pinang)</t>
  </si>
  <si>
    <t>Pengelolaan Pelayanan Kesehatan Kerja dan Olahraga (Puskesmas Sungai Raya)</t>
  </si>
  <si>
    <t>Pengelolaan Pelayanan Kesehatan Kerja dan Olahraga (Puskesmas Telaga Langsat)</t>
  </si>
  <si>
    <t>Pengelolaan Pelayanan Kesehatan Kerja dan Olahraga (Puskesmas Wasah)</t>
  </si>
  <si>
    <t>Pengelolaan Pelayanan Kesehatan Lingkungan</t>
  </si>
  <si>
    <t>Jumlah Dokumen Hasil Pengelolaan Pelayanan Kesehatan Lingkungan</t>
  </si>
  <si>
    <t>Pengelolaan Pelayanan Kesehatan Lingkungan (Puskesmas Angkinang)</t>
  </si>
  <si>
    <t>Pengelolaan Pelayanan Kesehatan Lingkungan (Puskesmas Bajayau)</t>
  </si>
  <si>
    <t>Pengelolaan Pelayanan Kesehatan Lingkungan (Puskesmas Bamban)</t>
  </si>
  <si>
    <t>Pengelolaan Pelayanan Kesehatan Lingkungan (Puskesmas Baruh Jaya)</t>
  </si>
  <si>
    <t>Pengelolaan Pelayanan Kesehatan Lingkungan (Puskesmas Batang Kulur)</t>
  </si>
  <si>
    <t>Pengelolaan Pelayanan Kesehatan Lingkungan (Puskesmas Bayanan)</t>
  </si>
  <si>
    <t>Pengelolaan Pelayanan Kesehatan Lingkungan (Puskesmas Gambah)</t>
  </si>
  <si>
    <t>Pengelolaan Pelayanan Kesehatan Lingkungan (Puskesmas Jambu Hilir)</t>
  </si>
  <si>
    <t>Pengelolaan Pelayanan Kesehatan Lingkungan (Puskesmas Kaliring)</t>
  </si>
  <si>
    <t>Pengelolaan Pelayanan Kesehatan Lingkungan (Puskesmas Kalumpang)</t>
  </si>
  <si>
    <t>Pengelolaan Pelayanan Kesehatan Lingkungan (Puskesmas Kandangan)</t>
  </si>
  <si>
    <t>Pengelolaan Pelayanan Kesehatan Lingkungan (Puskesmas Loksado)</t>
  </si>
  <si>
    <t>Pengelolaan Pelayanan Kesehatan Lingkungan (Puskesmas Malinau)</t>
  </si>
  <si>
    <t>Pengelolaan Pelayanan Kesehatan Lingkungan (Puskesmas Negara)</t>
  </si>
  <si>
    <t>Pengelolaan Pelayanan Kesehatan Lingkungan (Puskesmas Padang Batung)</t>
  </si>
  <si>
    <t>Pengelolaan Pelayanan Kesehatan Lingkungan (Puskesmas Pasungkan)</t>
  </si>
  <si>
    <t>Pengelolaan Pelayanan Kesehatan Lingkungan (Puskesmas Simpur)</t>
  </si>
  <si>
    <t>Pengelolaan Pelayanan Kesehatan Lingkungan (Puskesmas Sungai Pinang)</t>
  </si>
  <si>
    <t>Pengelolaan Pelayanan Kesehatan Lingkungan (Puskesmas Sungai Raya)</t>
  </si>
  <si>
    <t>Pengelolaan Pelayanan Kesehatan Lingkungan (Puskesmas Telaga Langsat)</t>
  </si>
  <si>
    <t>Pengelolaan Pelayanan Kesehatan Lingkungan (Puskesmas Wasah)</t>
  </si>
  <si>
    <t>Pengelolaan Pelayanan Promosi Kesehatan</t>
  </si>
  <si>
    <t>Jumlah Dokumen Hasil Pengelolaan Pelayanan Promosi Kesehatan</t>
  </si>
  <si>
    <t>Pengelolaan Pelayanan Promosi Kesehatan (Puskesmas Angkinang)</t>
  </si>
  <si>
    <t>Pengelolaan Pelayanan Promosi Kesehatan (Puskesmas Bajayau)</t>
  </si>
  <si>
    <t>Pengelolaan Pelayanan Promosi Kesehatan (Puskesmas Bamban)</t>
  </si>
  <si>
    <t>Pengelolaan Pelayanan Promosi Kesehatan (Puskesmas Baruh Jaya)</t>
  </si>
  <si>
    <t>Pengelolaan Pelayanan Promosi Kesehatan (Puskesmas Batang Kulur)</t>
  </si>
  <si>
    <t>Pengelolaan Pelayanan Promosi Kesehatan (Puskesmas Gambah)</t>
  </si>
  <si>
    <t>Pengelolaan Pelayanan Promosi Kesehatan (Puskesmas Jambu Hilir)</t>
  </si>
  <si>
    <t>Pengelolaan Pelayanan Promosi Kesehatan (Puskesmas Kaliring)</t>
  </si>
  <si>
    <t>Pengelolaan Pelayanan Promosi Kesehatan (Puskesmas Kalumpang)</t>
  </si>
  <si>
    <t>Pengelolaan Pelayanan Promosi Kesehatan (Puskesmas Kandangan)</t>
  </si>
  <si>
    <t>Pengelolaan Pelayanan Promosi Kesehatan (Puskesmas Loksado)</t>
  </si>
  <si>
    <t>Pengelolaan Pelayanan Promosi Kesehatan (Puskesmas Malinau)</t>
  </si>
  <si>
    <t>Pengelolaan Pelayanan Promosi Kesehatan (Puskesmas Negara)</t>
  </si>
  <si>
    <t>Pengelolaan Pelayanan Promosi Kesehatan (Puskesmas Padang Batung)</t>
  </si>
  <si>
    <t>Pengelolaan Pelayanan Promosi Kesehatan (Puskesmas Pasungkan)</t>
  </si>
  <si>
    <t>Pengelolaan Pelayanan Promosi Kesehatan (Puskesmas Simpur)</t>
  </si>
  <si>
    <t>Pengelolaan Pelayanan Promosi Kesehatan (Puskesmas Sungai Pinang)</t>
  </si>
  <si>
    <t>Pengelolaan Pelayanan Promosi Kesehatan (Puskesmas Sungai Raya)</t>
  </si>
  <si>
    <t>Pengelolaan Pelayanan Promosi Kesehatan (Puskesmas Telaga Langsat)</t>
  </si>
  <si>
    <t>Pengelolaan Pelayanan Promosi Kesehatan (Puskesmas Wasah)</t>
  </si>
  <si>
    <t>Pengelolaan Pelayanan Kesehatan Tradisional, Akupuntur, Asuhan Mandiri dan Tradisional Lainnya</t>
  </si>
  <si>
    <t>Jumlah Dokumen Hasil Pengelolaan Pelayanan Kesehatan Tradisional, Akupuntur, Asuhan Mandiri dan Tradisional Lainnya</t>
  </si>
  <si>
    <t>Pengelolaan Pelayanan Kesehatan Tradisional, Akupuntur, Asuhan Mandiri dan Tradisional Lainnya (Puskesmas Jambu Hilir)</t>
  </si>
  <si>
    <t>Pengelolaan Surveilans Kesehatan</t>
  </si>
  <si>
    <t>Jumlah Dokumen Hasil Pengelolaan Surveilans Kesehatan</t>
  </si>
  <si>
    <t>Pengelolaan Surveilans Kesehatan (Puskesmas Baruh Jaya)</t>
  </si>
  <si>
    <t>Pengelolaan Surveilans Kesehatan (Puskesmas Malinau)</t>
  </si>
  <si>
    <t>Pengelolaan Surveilans Kesehatan (Puskesmas Pasungkan)</t>
  </si>
  <si>
    <t>Pengelolaan Surveilans Kesehatan (Puskesmas Simpur)</t>
  </si>
  <si>
    <t>Pengelolaan Surveilans Kesehatan (Puskesmas Wasah)</t>
  </si>
  <si>
    <t>Pengelolaan Pelayanan Kesehatan Jiwa dan NAPZA (Puskesmas Bamban)</t>
  </si>
  <si>
    <t>Jumlah Penyalahguna NAPZA yang Mendapatkan Pelayanan Kesehatan</t>
  </si>
  <si>
    <t>Pengelolaan Pelayanan Kesehatan Jiwa dan NAPZA (Puskesmas Baruh Jaya)</t>
  </si>
  <si>
    <t>Pengelolaan Pelayanan Kesehatan Jiwa dan NAPZA (Puskesmas Batang Kulur)</t>
  </si>
  <si>
    <t>Pengelolaan Pelayanan Kesehatan Jiwa dan NAPZA (Puskesmas Jambu Hilir)</t>
  </si>
  <si>
    <t>Pengelolaan Pelayanan Kesehatan Jiwa dan NAPZA (Puskesmas Kaliring)</t>
  </si>
  <si>
    <t>Pengelolaan Pelayanan Kesehatan Jiwa dan NAPZA (Puskesmas Loksado)</t>
  </si>
  <si>
    <t>Pengelolaan Pelayanan Kesehatan Jiwa dan NAPZA (Puskesmas Malinau)</t>
  </si>
  <si>
    <t>Pengelolaan Pelayanan Kesehatan Jiwa dan NAPZA (Puskesmas Simpur)</t>
  </si>
  <si>
    <t>Pengelolaan Pelayanan Kesehatan Jiwa dan NAPZA (Puskesmas Wasah)</t>
  </si>
  <si>
    <t>Pelayanan Kesehatan Penyakit Menular dan Tidak Menular</t>
  </si>
  <si>
    <t>Jumlah Dokumen Hasil Pelayanan Kesehatan Penyakit Menular dan Tidak Menular</t>
  </si>
  <si>
    <t>Pelayanan Kesehatan Penyakit Menular dan Tidak Menular (Puskesmas Angkinang)</t>
  </si>
  <si>
    <t>Pelayanan Kesehatan Penyakit Menular dan Tidak Menular (Puskesmas Bajayau)</t>
  </si>
  <si>
    <t>Pelayanan Kesehatan Penyakit Menular dan Tidak Menular (Puskesmas Bamban)</t>
  </si>
  <si>
    <t>Pelayanan Kesehatan Penyakit Menular dan Tidak Menular (Puskesmas Baruh Jaya)</t>
  </si>
  <si>
    <t>Pelayanan Kesehatan Penyakit Menular dan Tidak Menular (Puskesmas Batang Kulur)</t>
  </si>
  <si>
    <t>Pelayanan Kesehatan Penyakit Menular dan Tidak Menular (Puskesmas Bayanan)</t>
  </si>
  <si>
    <t>Pelayanan Kesehatan Penyakit Menular dan Tidak Menular (Puskesmas Gambah)</t>
  </si>
  <si>
    <t>Pelayanan Kesehatan Penyakit Menular dan Tidak Menular (Puskesmas Jambu Hilir)</t>
  </si>
  <si>
    <t>Pelayanan Kesehatan Penyakit Menular dan Tidak Menular (Puskesmas Kaliring)</t>
  </si>
  <si>
    <t>Pelayanan Kesehatan Penyakit Menular dan Tidak Menular (Puskesmas Kalumpang)</t>
  </si>
  <si>
    <t>Pelayanan Kesehatan Penyakit Menular dan Tidak Menular (Puskesmas Kandangan)</t>
  </si>
  <si>
    <t>Pelayanan Kesehatan Penyakit Menular dan Tidak Menular (Puskesmas Loksado)</t>
  </si>
  <si>
    <t>Pelayanan Kesehatan Penyakit Menular dan Tidak Menular (Puskesmas Malinau)</t>
  </si>
  <si>
    <t>Pelayanan Kesehatan Penyakit Menular dan Tidak Menular (Puskesmas Negara)</t>
  </si>
  <si>
    <t>Pelayanan Kesehatan Penyakit Menular dan Tidak Menular (Puskesmas Padang Batung)</t>
  </si>
  <si>
    <t>Pelayanan Kesehatan Penyakit Menular dan Tidak Menular (Puskesmas Pasungkan)</t>
  </si>
  <si>
    <t>Pelayanan Kesehatan Penyakit Menular dan Tidak Menular (Puskesmas Simpur)</t>
  </si>
  <si>
    <t>Pelayanan Kesehatan Penyakit Menular dan Tidak Menular (Puskesmas Sungai Pinang)</t>
  </si>
  <si>
    <t>Pelayanan Kesehatan Penyakit Menular dan Tidak Menular (Puskesmas Sungai Raya)</t>
  </si>
  <si>
    <t>Pelayanan Kesehatan Penyakit Menular dan Tidak Menular (Puskesmas Telaga Langsat)</t>
  </si>
  <si>
    <t>Pelayanan Kesehatan Penyakit Menular dan Tidak Menular (Puskesmas Wasah)</t>
  </si>
  <si>
    <t>Pengelolaan Jaminan Kesehatan Masyarakat</t>
  </si>
  <si>
    <t>Jumlah Dokumen Hasil Pengelolaan Jaminan Kesehatan Masyarakat</t>
  </si>
  <si>
    <t>Penyelenggaraan Kabupaten/Kota Sehat</t>
  </si>
  <si>
    <t>Jumlah Dokumen Hasil Penyelenggaraan Kabupaten/Kota Sehat</t>
  </si>
  <si>
    <t>Operasional Pelayanan Puskesmas</t>
  </si>
  <si>
    <t>Jumlah Dokumen Operasional Pelayanan Puskesmas</t>
  </si>
  <si>
    <t>Operasional Pelayanan Puskesmas (Puskesmas Angkinang)</t>
  </si>
  <si>
    <t>Operasional Pelayanan Puskesmas (Puskesmas Bajayau)</t>
  </si>
  <si>
    <t>Operasional Pelayanan Puskesmas (Puskesmas Bamban)</t>
  </si>
  <si>
    <t>Operasional Pelayanan Puskesmas (Puskesmas Baruh Jaya)</t>
  </si>
  <si>
    <t>Operasional Pelayanan Puskesmas (Puskesmas Batang Kulur)</t>
  </si>
  <si>
    <t>Operasional Pelayanan Puskesmas (Puskesmas Bayanan)</t>
  </si>
  <si>
    <t>Operasional Pelayanan Puskesmas (Puskesmas Gambah)</t>
  </si>
  <si>
    <t>Operasional Pelayanan Puskesmas (Puskesmas Jambu Hilir)</t>
  </si>
  <si>
    <t>Operasional Pelayanan Puskesmas (Puskesmas Kaliring)</t>
  </si>
  <si>
    <t>Operasional Pelayanan Puskesmas (Puskesmas Kalumpang)</t>
  </si>
  <si>
    <t>Operasional Pelayanan Puskesmas (Puskesmas Kandangan)</t>
  </si>
  <si>
    <t>Operasional Pelayanan Puskesmas (Puskesmas Loksado)</t>
  </si>
  <si>
    <t>Operasional Pelayanan Puskesmas (Puskesmas Malinau)</t>
  </si>
  <si>
    <t>Operasional Pelayanan Puskesmas (Puskesmas Negara)</t>
  </si>
  <si>
    <t>Operasional Pelayanan Puskesmas (Puskesmas Padang Batung)</t>
  </si>
  <si>
    <t>Operasional Pelayanan Puskesmas (Puskesmas Pasungkan)</t>
  </si>
  <si>
    <t>Operasional Pelayanan Puskesmas (Puskesmas Simpur)</t>
  </si>
  <si>
    <t>Operasional Pelayanan Puskesmas (Puskesmas Sungai Pinang)</t>
  </si>
  <si>
    <t>Operasional Pelayanan Puskesmas (Puskesmas Sungai Raya)</t>
  </si>
  <si>
    <t>Operasional Pelayanan Puskesmas (Puskesmas Telaga Langsat)</t>
  </si>
  <si>
    <t>Operasional Pelayanan Puskesmas (Puskesmas Wasah)</t>
  </si>
  <si>
    <t>Operasional Pelayanan Fasilitas Kesehatan Lainnya</t>
  </si>
  <si>
    <t>Jumlah Dokumen Operasional Pelayanan Fasilitas Kesehatan Lainnya</t>
  </si>
  <si>
    <t>Pelaksanaan Akreditasi Fasilitas Kesehatan di Kabupaten/Kota</t>
  </si>
  <si>
    <t>Jumlah Fasilitas Kesehatan yang Terakreditasi di Kabupaten/Kota</t>
  </si>
  <si>
    <t>Pengelolaan Pelayanan Kesehatan bagi Penduduk Terdampak Krisis Kesehatan Akibat Bencana dan/atau Berpotensi Bencana</t>
  </si>
  <si>
    <t>Jumlah Dokumen Hasil Pengelolaan Pelayanan Kesehatan bagi Penduduk Terdampak Krisis Kesehatan Akibat Bencana dan/atau Berpotensi Bencana Sesuai Standar</t>
  </si>
  <si>
    <t>Penyelenggaraan Sistem Informasi Kesehatan secara Terintegrasi</t>
  </si>
  <si>
    <t>Terlaksananya Pengelolaan Sistem Informasi Kesehatan</t>
  </si>
  <si>
    <t>Pengelolaan Sistem Informasi Kesehatan</t>
  </si>
  <si>
    <t>Jumlah Dokumen Hasil Pengelolaan Sistem Informasi Kesehatan</t>
  </si>
  <si>
    <t>Tersedianya Alat/Perangkat  Sistem Informasi Kesehatan dan Jaringan Internet</t>
  </si>
  <si>
    <t>Pengadaan Alat/Perangkat Sistem Informasi Kesehatan dan Jaringan Internet</t>
  </si>
  <si>
    <t>Jumlah Alat/Perangkat Sistem Informasi Kesehatan dan Jaringan Internet yang Disediakan</t>
  </si>
  <si>
    <t>Penerbitan Izin Rumah Sakit Kelas C dan D serta Fasilitas Pelayanan Kesehatan Tingkat Daerah Kabupaten/Kota</t>
  </si>
  <si>
    <t>Faskes</t>
  </si>
  <si>
    <t>Peningkatan Tata Kelola Rumah Sakit dan Fasilitas Pelayanan Kesehatan Tingkat Daerah Kabupaten/Kota</t>
  </si>
  <si>
    <t xml:space="preserve">Jumlah Rumah Sakit dan Fasilitas Pelayanan Kesehatan Tingkat Daerah Kabupaten/Kota yang Melakukan Peningkatan Tata Kelola Sesuai Standar
</t>
  </si>
  <si>
    <t>Peningkatan Mutu Pelayanan Fasilitas Kesehatan</t>
  </si>
  <si>
    <t>Jumlah Fasilitas Kesehatan yang Dilakukan Pengukuran Indikator Nasional Mutu (INM) Pelayanan kesehatan</t>
  </si>
  <si>
    <t>Program Peningkatan Kapasitas Sumber Daya Manusia Kesehatan</t>
  </si>
  <si>
    <t>Meningkatnya ketersediaan tenaga kesehatan yang kompeten</t>
  </si>
  <si>
    <t>Perencanaan Kebutuhan dan Pendayagunaan Sumberdaya Manusia Kesehatan untuk UKP dan UKM di Wilayah Kabupaten/Kota</t>
  </si>
  <si>
    <t>ratio Tenaga Kesehatan (dokter, bidan, perawat, Kesmas, Sanitarian, Gizi)</t>
  </si>
  <si>
    <t xml:space="preserve">Dokter umum  1:2500  Bidan 1:1000  Perawat 1:855 Kesmas 1: 6667  Sanitarian 1: 5556 Gizi 1: 7143 </t>
  </si>
  <si>
    <t>Dokter umum  1:4471 Bidan 1:740 Perawat 1:429 Kesmas 1: 10857  Sanitarian 1 : 6909   Gizi 1: 4146</t>
  </si>
  <si>
    <t>Dokter umum  1:2500  Bidan 1:1000  Perawat 1:855  Kesmas 1: 6667  Sanitarian 1: 5556 Gizi 1: 7143</t>
  </si>
  <si>
    <t>Pemenuhan Kebutuhan Sumber Daya Manusia Kesehatan sesuai Standar</t>
  </si>
  <si>
    <t>Jumlah Sumber Daya Manusia Kesehatan yang Memenuhi Standar di Fasilitas Pelayanan Kesehatan (Fasyankes)</t>
  </si>
  <si>
    <t>Pemenuhan Kebutuhan Sumber Daya Manusia Kesehatan sesuai Standar (Puskesmas Angkinang)</t>
  </si>
  <si>
    <t>Pemenuhan Kebutuhan Sumber Daya Manusia Kesehatan sesuai Standar (Puskesmas Bajayau)</t>
  </si>
  <si>
    <t>Pemenuhan Kebutuhan Sumber Daya Manusia Kesehatan sesuai Standar (Puskesmas Bamban)</t>
  </si>
  <si>
    <t>Pemenuhan Kebutuhan Sumber Daya Manusia Kesehatan sesuai Standar (Puskesmas Baruh Jaya)</t>
  </si>
  <si>
    <t>Pemenuhan Kebutuhan Sumber Daya Manusia Kesehatan sesuai Standar (Puskesmas Batang Kulur)</t>
  </si>
  <si>
    <t>Pemenuhan Kebutuhan Sumber Daya Manusia Kesehatan sesuai Standar (Puskesmas Bayanan)</t>
  </si>
  <si>
    <t>Pemenuhan Kebutuhan Sumber Daya Manusia Kesehatan sesuai Standar (Puskesmas Gambah)</t>
  </si>
  <si>
    <t>Pemenuhan Kebutuhan Sumber Daya Manusia Kesehatan sesuai Standar (Puskesmas Jambu Hilir)</t>
  </si>
  <si>
    <t>Pemenuhan Kebutuhan Sumber Daya Manusia Kesehatan sesuai Standar (Puskesmas Kaliring)</t>
  </si>
  <si>
    <t>Pemenuhan Kebutuhan Sumber Daya Manusia Kesehatan sesuai Standar (Puskesmas Kalumpang)</t>
  </si>
  <si>
    <t>Pemenuhan Kebutuhan Sumber Daya Manusia Kesehatan sesuai Standar (Puskesmas Kandangan)</t>
  </si>
  <si>
    <t>Pemenuhan Kebutuhan Sumber Daya Manusia Kesehatan sesuai Standar (Puskesmas Loksado)</t>
  </si>
  <si>
    <t>Pemenuhan Kebutuhan Sumber Daya Manusia Kesehatan sesuai Standar (Puskesmas Malinau)</t>
  </si>
  <si>
    <t>Pemenuhan Kebutuhan Sumber Daya Manusia Kesehatan sesuai Standar (Puskesmas Negara)</t>
  </si>
  <si>
    <t>Pemenuhan Kebutuhan Sumber Daya Manusia Kesehatan sesuai Standar (Puskesmas Padang Batung)</t>
  </si>
  <si>
    <t>Pemenuhan Kebutuhan Sumber Daya Manusia Kesehatan sesuai Standar (Puskesmas Pasungkan)</t>
  </si>
  <si>
    <t>Pemenuhan Kebutuhan Sumber Daya Manusia Kesehatan sesuai Standar (Puskesmas Simpur)</t>
  </si>
  <si>
    <t>Pemenuhan Kebutuhan Sumber Daya Manusia Kesehatan sesuai Standar (Puskesmas Sungai Pinang)</t>
  </si>
  <si>
    <t>Pemenuhan Kebutuhan Sumber Daya Manusia Kesehatan sesuai Standar (Puskesmas Sungai Raya)</t>
  </si>
  <si>
    <t>Pemenuhan Kebutuhan Sumber Daya Manusia Kesehatan sesuai Standar (Puskesmas Telaga Langsat)</t>
  </si>
  <si>
    <t>Pemenuhan Kebutuhan Sumber Daya Manusia Kesehatan sesuai Standar (Puskesmas Wasah)</t>
  </si>
  <si>
    <t>Pengembangan Mutu dan Peningkatan Kompetensi Teknis Sumber Daya Manusia Kesehatan Tingkat Daerah Kabupaten/Kota</t>
  </si>
  <si>
    <t>Jumlah Sumber Daya Manusia Kesehatan Tingkat Daerah Kabupaten/Kota yang Ditingkatkan Mutu dan Kompetensinya</t>
  </si>
  <si>
    <t>Program Sediaan Farmasi, Alat Kesehatan Dan Makanan Minuman</t>
  </si>
  <si>
    <t>Pemberian Izin Apotek, Toko Obat, Toko Alat Kesehatan dan Optikal, Usaha Mikro Obat Tradisional (UMOT)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</si>
  <si>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</si>
  <si>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</si>
  <si>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>Penerbitan Sertifikat Produksi Pangan Industri Rumah Tangga dan Nomor P-IRT sebagai Izin Produksi, untuk Produk Makanan Minuman Tertentu yang dapat Diproduksi oleh Industri Rumah Tangga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</si>
  <si>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</si>
  <si>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 untuk Produk Makanan Minuman Tertentu yang dapat Diproduksi oleh Industri Rumah Tangga</t>
  </si>
  <si>
    <t>Penerbitan Sertifikat Laik Higiene Sanitasi Tempat Pengelolaan Makanan (TPM) antara lain Jasa Boga, Rumah Makan/Restoran dan Depot Air Minum (DAM)</t>
  </si>
  <si>
    <t>Pengendalian dan Pengawasan serta Tindak Lanjut Pengawasan Penerbitan Sertifikat Laik Higiene Sanitasi Tempat Pengelolaan Makanan (TPM) antara lain Jasa Boga, Rumah Makan/Restoran dan Depot Air Minum (DAM)</t>
  </si>
  <si>
    <t>Jumlah Dokumen Hasil Pengendalian dan Pengawasan serta Tindak Lanjut Pengawasan Penerbitan Sertifikat Laik Higiene Sanitasi Tempat Pengelolaan Makanan (TPM) antara lain Jasa Boga, Rumah Makan/Restoran dan Depot Air Minum (DAM)</t>
  </si>
  <si>
    <t>Penerbitan Stiker Pembinaan pada Makanan Jajanan dan Sentra Makanan Jajanan</t>
  </si>
  <si>
    <t>Pengendalian dan Pengawasan serta tindak lanjut Penerbitan Stiker Pembinaan pada Makanan Jajanan dan Sentra Makanan Jajanan</t>
  </si>
  <si>
    <t>Jumlah Dokumen Hasil Pengendalian dan Pengawasan serta tindak lanjut Penerbitan Stiker Pembinaan pada Makanan Jajanan dan Sentra Makanan Jajanan</t>
  </si>
  <si>
    <t>Pemeriksaan dan Tindak Lanjut Hasil Pemeriksaan Post Market pada Produksi dan Produk Makanan Minuman Industri Rumah Tangga</t>
  </si>
  <si>
    <t>Pemeriksaan Post Market pada Produk Makanan- Minuman Industri Rumah Tangga yang Beredar dan Pengawasan serta Tindak Lanjut Pengawasan</t>
  </si>
  <si>
    <t>Jumlah Produk dan Sarana Produksi Makanan- Minuman Industri Rumah Tangga Beredar yang Dilakukan Pemeriksaan Post Market dalam rangka Tindak Lanjut Pengawasan</t>
  </si>
  <si>
    <t>Program Pemberdayaan Masyarakat Bidang Kesehatan</t>
  </si>
  <si>
    <t>Advokasi, Pemberdayaan, Kemitraan, Peningkatan Peran serta Masyarakat dan Lintas Sektor Tingkat Daerah Kabupaten/Kota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</si>
  <si>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</si>
  <si>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</si>
  <si>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</si>
  <si>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Penyelenggaraan Promosi Kesehatan dan Gerakan Hidup Bersih dan Sehat</t>
  </si>
  <si>
    <t>Jumlah Dokumen Hasil Penyelenggaraan Promosi Kesehatan dan Gerakan Hidup Bersih dan Sehat</t>
  </si>
  <si>
    <t>Pengembangan dan Pelaksanaan Upaya Kesehatan Bersumber Daya Masyarakat (UKBM) Tingkat Daerah Kabupaten/Kota</t>
  </si>
  <si>
    <t>Bimbingan Teknis dan Supervisi Pengembangan dan Pelaksanaan Upaya Kesehatan Bersumber Daya Masyarakat (UKBM)</t>
  </si>
  <si>
    <t>Jumlah Dokumen Hasil Bimbingan Teknis dan Supervisi Upaya Kesehatan Bersumber Daya Masyarakat (UKBM)</t>
  </si>
  <si>
    <t>Bimbingan Teknis dan Supervisi Pengembangan dan Pelaksanaan Upaya Kesehatan Bersumber Daya Masyarakat (UKBM) (Puskesmas Angkinang)</t>
  </si>
  <si>
    <t>Bimbingan Teknis dan Supervisi Pengembangan dan Pelaksanaan Upaya Kesehatan Bersumber Daya Masyarakat (UKBM) (Puskesmas Bajayau)</t>
  </si>
  <si>
    <t>Bimbingan Teknis dan Supervisi Pengembangan dan Pelaksanaan Upaya Kesehatan Bersumber Daya Masyarakat (UKBM) (Puskesmas Bamban)</t>
  </si>
  <si>
    <t>Bimbingan Teknis dan Supervisi Pengembangan dan Pelaksanaan Upaya Kesehatan Bersumber Daya Masyarakat (UKBM) (Puskesmas Baruh Jaya)</t>
  </si>
  <si>
    <t>kelompok</t>
  </si>
  <si>
    <t>Bimbingan Teknis dan Supervisi Pengembangan dan Pelaksanaan Upaya Kesehatan Bersumber Daya Masyarakat (UKBM) (Puskesmas Batang Kulur)</t>
  </si>
  <si>
    <t>Bimbingan Teknis dan Supervisi Pengembangan dan Pelaksanaan Upaya Kesehatan Bersumber Daya Masyarakat (UKBM) (Puskesmas Bayanan)</t>
  </si>
  <si>
    <t>Bimbingan Teknis dan Supervisi Pengembangan dan Pelaksanaan Upaya Kesehatan Bersumber Daya Masyarakat (UKBM) (Puskesmas Gambah)</t>
  </si>
  <si>
    <t>Bimbingan Teknis dan Supervisi Pengembangan dan Pelaksanaan Upaya Kesehatan Bersumber Daya Masyarakat (UKBM) (Puskesmas Kaliring)</t>
  </si>
  <si>
    <t>Bimbingan Teknis dan Supervisi Pengembangan dan Pelaksanaan Upaya Kesehatan Bersumber Daya Masyarakat (UKBM) (Puskesmas Kalumpang)</t>
  </si>
  <si>
    <t>Bimbingan Teknis dan Supervisi Pengembangan dan Pelaksanaan Upaya Kesehatan Bersumber Daya Masyarakat (UKBM) (Puskesmas Kandangan)</t>
  </si>
  <si>
    <t>Bimbingan Teknis dan Supervisi Pengembangan dan Pelaksanaan Upaya Kesehatan Bersumber Daya Masyarakat (UKBM) (Puskesmas Loksado)</t>
  </si>
  <si>
    <t>Bimbingan Teknis dan Supervisi Pengembangan dan Pelaksanaan Upaya Kesehatan Bersumber Daya Masyarakat (UKBM) (Puskesmas Malinau)</t>
  </si>
  <si>
    <t>Bimbingan Teknis dan Supervisi Pengembangan dan Pelaksanaan Upaya Kesehatan Bersumber Daya Masyarakat (UKBM) (Puskesmas Negara)</t>
  </si>
  <si>
    <t>Bimbingan Teknis dan Supervisi Pengembangan dan Pelaksanaan Upaya Kesehatan Bersumber Daya Masyarakat (UKBM) (Puskesmas Padang Batung)</t>
  </si>
  <si>
    <t>Bimbingan Teknis dan Supervisi Pengembangan dan Pelaksanaan Upaya Kesehatan Bersumber Daya Masyarakat (UKBM) (Puskesmas Pasungkan)</t>
  </si>
  <si>
    <t>Jumlah Kelompok Masyarakat Mendapatkan Bimbingan Teknis dan Supervisi Upaya Kesehatan Bersumber Daya Masyarakat (UKBM)</t>
  </si>
  <si>
    <t>Bimbingan Teknis dan Supervisi Pengembangan dan Pelaksanaan Upaya Kesehatan Bersumber Daya Masyarakat (UKBM) (Puskesmas Simpur)</t>
  </si>
  <si>
    <t>Bimbingan Teknis dan Supervisi Pengembangan dan Pelaksanaan Upaya Kesehatan Bersumber Daya Masyarakat (UKBM) (Puskesmas Sungai Raya)</t>
  </si>
  <si>
    <t>Bimbingan Teknis dan Supervisi Pengembangan dan Pelaksanaan Upaya Kesehatan Bersumber Daya Masyarakat (UKBM) (Puskesmas Telaga Langsat)</t>
  </si>
  <si>
    <t>Bimbingan Teknis dan Supervisi Pengembangan dan Pelaksanaan Upaya Kesehatan Bersumber Daya Masyarakat (UKBM) (Puskesmas Wasah)</t>
  </si>
  <si>
    <t>Rata-rata Capaian Kinerja (%)</t>
  </si>
  <si>
    <t>Predikat Kinerja</t>
  </si>
  <si>
    <t>Faktor pendorong keberhasilan pencapaian: Adanya dukungan lintas sektor dan masyarakat</t>
  </si>
  <si>
    <t>Faktor penghambat pencapaian kinerja: Ada beberapa kegiatan yang ikut perubahan anggaran sehingga belum bisa direalisasikan, menurun nya kasus covid sehingga untuk dana yang disediakan untuk covid tidak terserap maksimal.</t>
  </si>
  <si>
    <t>Tindak lanjut yang diperlukan dalam triwulan berikutnya*): segera merealisasikan kegiatan yang sudah dianggarkan, anggaran covid di ubah ke insentif ukm dan kegiatan UKM essensial</t>
  </si>
  <si>
    <t>Tindak lanjut yang diperlukan dalam Renja Perangkat Daerah Kabupaten berikutnya*): melakukan kegiatan sesuai jadwal angkas dan peng spj an segera dibereskan.</t>
  </si>
  <si>
    <t>Disusun</t>
  </si>
  <si>
    <t>Kepala Dinas Kesehatan</t>
  </si>
  <si>
    <t>Kabupaten Hulu Sungai Selatan</t>
  </si>
  <si>
    <t>No.</t>
  </si>
  <si>
    <t xml:space="preserve">INTERVAL NILAI REALISASI KINERJA </t>
  </si>
  <si>
    <t xml:space="preserve">KRITERIA PENILAIAN REALISASI KINERJA </t>
  </si>
  <si>
    <r>
      <rPr>
        <sz val="10"/>
        <color rgb="FF000000"/>
        <rFont val="Arial Narrow"/>
      </rPr>
      <t>(1)</t>
    </r>
    <r>
      <rPr>
        <sz val="7"/>
        <color rgb="FF000000"/>
        <rFont val="Arial Narrow"/>
      </rPr>
      <t xml:space="preserve">             </t>
    </r>
    <r>
      <rPr>
        <sz val="10"/>
        <color rgb="FF000000"/>
        <rFont val="Arial Narrow"/>
      </rPr>
      <t> </t>
    </r>
  </si>
  <si>
    <r>
      <rPr>
        <sz val="10"/>
        <color rgb="FF000000"/>
        <rFont val="Arial Narrow"/>
      </rPr>
      <t xml:space="preserve">91% </t>
    </r>
    <r>
      <rPr>
        <sz val="12"/>
        <color rgb="FF000000"/>
        <rFont val="Arial Narrow"/>
      </rPr>
      <t>≤</t>
    </r>
    <r>
      <rPr>
        <sz val="10"/>
        <color rgb="FF000000"/>
        <rFont val="Arial Narrow"/>
      </rPr>
      <t xml:space="preserve"> 100%</t>
    </r>
  </si>
  <si>
    <t>Sangat tinggi</t>
  </si>
  <si>
    <t>dr. Hj. SITI ZAINAB</t>
  </si>
  <si>
    <r>
      <rPr>
        <sz val="10"/>
        <color rgb="FF000000"/>
        <rFont val="Arial Narrow"/>
      </rPr>
      <t>(2)</t>
    </r>
    <r>
      <rPr>
        <sz val="7"/>
        <color rgb="FF000000"/>
        <rFont val="Arial Narrow"/>
      </rPr>
      <t xml:space="preserve">             </t>
    </r>
    <r>
      <rPr>
        <sz val="10"/>
        <color rgb="FF000000"/>
        <rFont val="Arial Narrow"/>
      </rPr>
      <t> </t>
    </r>
  </si>
  <si>
    <r>
      <rPr>
        <sz val="10"/>
        <color rgb="FF000000"/>
        <rFont val="Arial Narrow"/>
      </rPr>
      <t xml:space="preserve">76% </t>
    </r>
    <r>
      <rPr>
        <sz val="12"/>
        <color rgb="FF000000"/>
        <rFont val="Arial Narrow"/>
      </rPr>
      <t xml:space="preserve">≤ </t>
    </r>
    <r>
      <rPr>
        <sz val="10"/>
        <color rgb="FF000000"/>
        <rFont val="Arial Narrow"/>
      </rPr>
      <t xml:space="preserve">90% </t>
    </r>
  </si>
  <si>
    <t>Tinggi</t>
  </si>
  <si>
    <t>NIP. 19710723 200212 2 004</t>
  </si>
  <si>
    <r>
      <rPr>
        <sz val="10"/>
        <color rgb="FF000000"/>
        <rFont val="Arial Narrow"/>
      </rPr>
      <t>(3)</t>
    </r>
    <r>
      <rPr>
        <sz val="7"/>
        <color rgb="FF000000"/>
        <rFont val="Arial Narrow"/>
      </rPr>
      <t xml:space="preserve">             </t>
    </r>
    <r>
      <rPr>
        <sz val="10"/>
        <color rgb="FF000000"/>
        <rFont val="Arial Narrow"/>
      </rPr>
      <t> </t>
    </r>
  </si>
  <si>
    <r>
      <rPr>
        <sz val="10"/>
        <color rgb="FF000000"/>
        <rFont val="Arial Narrow"/>
      </rPr>
      <t xml:space="preserve">66% </t>
    </r>
    <r>
      <rPr>
        <sz val="12"/>
        <color rgb="FF000000"/>
        <rFont val="Arial Narrow"/>
      </rPr>
      <t xml:space="preserve">≤ </t>
    </r>
    <r>
      <rPr>
        <sz val="10"/>
        <color rgb="FF000000"/>
        <rFont val="Arial Narrow"/>
      </rPr>
      <t>75%</t>
    </r>
  </si>
  <si>
    <t>Sedang</t>
  </si>
  <si>
    <r>
      <rPr>
        <sz val="10"/>
        <color rgb="FF000000"/>
        <rFont val="Arial Narrow"/>
      </rPr>
      <t>(4)</t>
    </r>
    <r>
      <rPr>
        <sz val="7"/>
        <color rgb="FF000000"/>
        <rFont val="Arial Narrow"/>
      </rPr>
      <t xml:space="preserve">             </t>
    </r>
    <r>
      <rPr>
        <sz val="10"/>
        <color rgb="FF000000"/>
        <rFont val="Arial Narrow"/>
      </rPr>
      <t> </t>
    </r>
  </si>
  <si>
    <r>
      <rPr>
        <sz val="10"/>
        <color rgb="FF000000"/>
        <rFont val="Arial Narrow"/>
      </rPr>
      <t xml:space="preserve">51% </t>
    </r>
    <r>
      <rPr>
        <sz val="12"/>
        <color rgb="FF000000"/>
        <rFont val="Arial Narrow"/>
      </rPr>
      <t xml:space="preserve">≤ </t>
    </r>
    <r>
      <rPr>
        <sz val="10"/>
        <color rgb="FF000000"/>
        <rFont val="Arial Narrow"/>
      </rPr>
      <t>65%</t>
    </r>
  </si>
  <si>
    <t>Rendah</t>
  </si>
  <si>
    <r>
      <rPr>
        <sz val="10"/>
        <color rgb="FF000000"/>
        <rFont val="Arial Narrow"/>
      </rPr>
      <t>(5)</t>
    </r>
    <r>
      <rPr>
        <sz val="7"/>
        <color rgb="FF000000"/>
        <rFont val="Arial Narrow"/>
      </rPr>
      <t xml:space="preserve">             </t>
    </r>
    <r>
      <rPr>
        <sz val="10"/>
        <color rgb="FF000000"/>
        <rFont val="Arial Narrow"/>
      </rPr>
      <t> </t>
    </r>
  </si>
  <si>
    <r>
      <rPr>
        <sz val="12"/>
        <color rgb="FF000000"/>
        <rFont val="Arial Narrow"/>
      </rPr>
      <t>≤</t>
    </r>
    <r>
      <rPr>
        <sz val="10"/>
        <color rgb="FF000000"/>
        <rFont val="Arial Narrow"/>
      </rPr>
      <t xml:space="preserve"> 50%</t>
    </r>
  </si>
  <si>
    <t>Sangat Rendah</t>
  </si>
  <si>
    <t>30116722.50</t>
  </si>
  <si>
    <t>Dokter umum  1:4471  Bidan 1:740 Perawat 1:429 Kesmas 1: 19500 Sanitarian 1: 7862 Gizi 1: 13800</t>
  </si>
  <si>
    <t>PERIODE PELAKSANAAN TRIWULAN IV TAHUN 2022</t>
  </si>
  <si>
    <t>Kandangan,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</si>
</sst>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0.0"/>
    <numFmt numFmtId="169" formatCode="_(* #,##0.00_);_(* \(#,##0.00\);_(* &quot;-&quot;??.00_);_(@_)"/>
  </numFmts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</font>
    <font>
      <sz val="18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1"/>
      <name val="Calibri"/>
    </font>
    <font>
      <b/>
      <sz val="12"/>
      <color theme="1"/>
      <name val="Arial"/>
    </font>
    <font>
      <sz val="12"/>
      <color theme="1"/>
      <name val="Arial"/>
    </font>
    <font>
      <b/>
      <sz val="12"/>
      <color theme="1"/>
      <name val="Calibri"/>
    </font>
    <font>
      <b/>
      <sz val="11"/>
      <color theme="1"/>
      <name val="Arial"/>
    </font>
    <font>
      <sz val="12"/>
      <color rgb="FF000000"/>
      <name val="Arial"/>
    </font>
    <font>
      <sz val="10"/>
      <color rgb="FF000000"/>
      <name val="Arial Narrow"/>
    </font>
    <font>
      <b/>
      <u/>
      <sz val="12"/>
      <color theme="1"/>
      <name val="Arial"/>
    </font>
    <font>
      <sz val="12"/>
      <color rgb="FF000000"/>
      <name val="Arial Narrow"/>
    </font>
    <font>
      <b/>
      <i/>
      <sz val="12"/>
      <color theme="1"/>
      <name val="Arial"/>
    </font>
    <font>
      <sz val="7"/>
      <color rgb="FF000000"/>
      <name val="Arial Narrow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E2EFD9"/>
        <bgColor rgb="FFE2EFD9"/>
      </patternFill>
    </fill>
    <fill>
      <patternFill patternType="solid">
        <fgColor rgb="FFF4B084"/>
        <bgColor rgb="FFF4B08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22"/>
    <xf numFmtId="166" fontId="2" fillId="0" borderId="22" applyFont="0" applyFill="0" applyBorder="0" applyAlignment="0" applyProtection="0"/>
    <xf numFmtId="164" fontId="2" fillId="0" borderId="22" applyFont="0" applyFill="0" applyBorder="0" applyAlignment="0" applyProtection="0"/>
    <xf numFmtId="0" fontId="19" fillId="0" borderId="22"/>
    <xf numFmtId="165" fontId="2" fillId="0" borderId="22" applyFont="0" applyFill="0" applyBorder="0" applyAlignment="0" applyProtection="0"/>
    <xf numFmtId="0" fontId="1" fillId="0" borderId="22"/>
    <xf numFmtId="166" fontId="1" fillId="0" borderId="22" applyFont="0" applyFill="0" applyBorder="0" applyAlignment="0" applyProtection="0"/>
    <xf numFmtId="164" fontId="1" fillId="0" borderId="22" applyFont="0" applyFill="0" applyBorder="0" applyAlignment="0" applyProtection="0"/>
    <xf numFmtId="165" fontId="1" fillId="0" borderId="22" applyFont="0" applyFill="0" applyBorder="0" applyAlignment="0" applyProtection="0"/>
  </cellStyleXfs>
  <cellXfs count="23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8" fillId="2" borderId="20" xfId="0" applyFont="1" applyFill="1" applyBorder="1" applyAlignment="1">
      <alignment vertical="top" wrapText="1"/>
    </xf>
    <xf numFmtId="0" fontId="8" fillId="3" borderId="21" xfId="0" applyFont="1" applyFill="1" applyBorder="1" applyAlignment="1">
      <alignment horizontal="center"/>
    </xf>
    <xf numFmtId="0" fontId="5" fillId="3" borderId="22" xfId="0" applyFont="1" applyFill="1" applyBorder="1"/>
    <xf numFmtId="0" fontId="8" fillId="3" borderId="25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0" fontId="5" fillId="3" borderId="26" xfId="0" applyFont="1" applyFill="1" applyBorder="1"/>
    <xf numFmtId="0" fontId="8" fillId="3" borderId="2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5" fillId="3" borderId="20" xfId="0" applyFont="1" applyFill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/>
    <xf numFmtId="0" fontId="5" fillId="0" borderId="7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" fontId="10" fillId="0" borderId="21" xfId="0" applyNumberFormat="1" applyFont="1" applyBorder="1" applyAlignment="1">
      <alignment horizontal="center" vertical="top" wrapText="1"/>
    </xf>
    <xf numFmtId="9" fontId="8" fillId="0" borderId="21" xfId="0" applyNumberFormat="1" applyFont="1" applyBorder="1" applyAlignment="1">
      <alignment horizontal="center" vertical="top"/>
    </xf>
    <xf numFmtId="167" fontId="8" fillId="0" borderId="2" xfId="0" applyNumberFormat="1" applyFont="1" applyBorder="1" applyAlignment="1">
      <alignment vertical="top"/>
    </xf>
    <xf numFmtId="0" fontId="8" fillId="0" borderId="21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3" fontId="8" fillId="0" borderId="2" xfId="0" applyNumberFormat="1" applyFont="1" applyBorder="1" applyAlignment="1">
      <alignment vertical="top"/>
    </xf>
    <xf numFmtId="166" fontId="8" fillId="0" borderId="2" xfId="0" applyNumberFormat="1" applyFont="1" applyBorder="1" applyAlignment="1">
      <alignment horizontal="center" vertical="top"/>
    </xf>
    <xf numFmtId="1" fontId="9" fillId="0" borderId="21" xfId="0" applyNumberFormat="1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0" fontId="11" fillId="0" borderId="0" xfId="0" applyFont="1"/>
    <xf numFmtId="167" fontId="8" fillId="0" borderId="0" xfId="0" applyNumberFormat="1" applyFont="1" applyAlignment="1">
      <alignment vertical="top"/>
    </xf>
    <xf numFmtId="1" fontId="8" fillId="0" borderId="21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 vertical="top"/>
    </xf>
    <xf numFmtId="168" fontId="9" fillId="0" borderId="21" xfId="0" applyNumberFormat="1" applyFont="1" applyBorder="1" applyAlignment="1">
      <alignment horizontal="center" vertical="top"/>
    </xf>
    <xf numFmtId="0" fontId="11" fillId="0" borderId="7" xfId="0" applyFont="1" applyBorder="1"/>
    <xf numFmtId="0" fontId="8" fillId="0" borderId="7" xfId="0" applyFont="1" applyBorder="1" applyAlignment="1">
      <alignment horizontal="center" vertical="top"/>
    </xf>
    <xf numFmtId="0" fontId="8" fillId="0" borderId="14" xfId="0" applyFont="1" applyBorder="1" applyAlignment="1">
      <alignment horizontal="left" vertical="top" wrapText="1"/>
    </xf>
    <xf numFmtId="0" fontId="8" fillId="4" borderId="21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1" fontId="9" fillId="0" borderId="21" xfId="0" applyNumberFormat="1" applyFont="1" applyBorder="1" applyAlignment="1">
      <alignment horizontal="center" vertical="top" wrapText="1"/>
    </xf>
    <xf numFmtId="9" fontId="9" fillId="0" borderId="21" xfId="0" applyNumberFormat="1" applyFont="1" applyBorder="1" applyAlignment="1">
      <alignment horizontal="center" vertical="top"/>
    </xf>
    <xf numFmtId="167" fontId="9" fillId="0" borderId="21" xfId="0" applyNumberFormat="1" applyFont="1" applyBorder="1" applyAlignment="1">
      <alignment vertical="top"/>
    </xf>
    <xf numFmtId="0" fontId="9" fillId="0" borderId="21" xfId="0" applyFont="1" applyBorder="1" applyAlignment="1">
      <alignment horizontal="center" vertical="top" wrapText="1"/>
    </xf>
    <xf numFmtId="3" fontId="9" fillId="0" borderId="21" xfId="0" applyNumberFormat="1" applyFont="1" applyBorder="1" applyAlignment="1">
      <alignment vertical="top"/>
    </xf>
    <xf numFmtId="167" fontId="9" fillId="0" borderId="21" xfId="0" applyNumberFormat="1" applyFont="1" applyBorder="1" applyAlignment="1">
      <alignment horizontal="center" vertical="top"/>
    </xf>
    <xf numFmtId="166" fontId="9" fillId="0" borderId="21" xfId="0" applyNumberFormat="1" applyFont="1" applyBorder="1" applyAlignment="1">
      <alignment horizontal="center" vertical="top"/>
    </xf>
    <xf numFmtId="167" fontId="9" fillId="0" borderId="0" xfId="0" applyNumberFormat="1" applyFont="1" applyAlignment="1">
      <alignment vertical="top"/>
    </xf>
    <xf numFmtId="0" fontId="9" fillId="5" borderId="20" xfId="0" applyFont="1" applyFill="1" applyBorder="1" applyAlignment="1">
      <alignment horizontal="left" vertical="top" wrapText="1"/>
    </xf>
    <xf numFmtId="0" fontId="9" fillId="5" borderId="21" xfId="0" applyFont="1" applyFill="1" applyBorder="1" applyAlignment="1">
      <alignment horizontal="left" vertical="top" wrapText="1"/>
    </xf>
    <xf numFmtId="167" fontId="9" fillId="5" borderId="21" xfId="0" applyNumberFormat="1" applyFont="1" applyFill="1" applyBorder="1" applyAlignment="1">
      <alignment vertical="top"/>
    </xf>
    <xf numFmtId="0" fontId="9" fillId="5" borderId="21" xfId="0" applyFont="1" applyFill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" fontId="8" fillId="0" borderId="14" xfId="0" applyNumberFormat="1" applyFont="1" applyBorder="1" applyAlignment="1">
      <alignment horizontal="center" vertical="top" wrapText="1"/>
    </xf>
    <xf numFmtId="9" fontId="8" fillId="0" borderId="14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" fontId="8" fillId="0" borderId="21" xfId="0" applyNumberFormat="1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 wrapText="1"/>
    </xf>
    <xf numFmtId="167" fontId="8" fillId="0" borderId="21" xfId="0" applyNumberFormat="1" applyFont="1" applyBorder="1" applyAlignment="1">
      <alignment vertical="top"/>
    </xf>
    <xf numFmtId="169" fontId="8" fillId="0" borderId="2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horizontal="center" vertical="top" wrapText="1"/>
    </xf>
    <xf numFmtId="168" fontId="8" fillId="0" borderId="14" xfId="0" applyNumberFormat="1" applyFont="1" applyBorder="1" applyAlignment="1">
      <alignment horizontal="center" vertical="top" wrapText="1"/>
    </xf>
    <xf numFmtId="167" fontId="9" fillId="0" borderId="14" xfId="0" applyNumberFormat="1" applyFont="1" applyBorder="1" applyAlignment="1">
      <alignment vertical="top"/>
    </xf>
    <xf numFmtId="0" fontId="9" fillId="0" borderId="21" xfId="0" applyFont="1" applyBorder="1" applyAlignment="1">
      <alignment vertical="top" wrapText="1"/>
    </xf>
    <xf numFmtId="3" fontId="9" fillId="0" borderId="2" xfId="0" applyNumberFormat="1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3" fontId="8" fillId="0" borderId="21" xfId="0" applyNumberFormat="1" applyFont="1" applyBorder="1" applyAlignment="1">
      <alignment vertical="top"/>
    </xf>
    <xf numFmtId="9" fontId="9" fillId="0" borderId="21" xfId="0" applyNumberFormat="1" applyFont="1" applyBorder="1" applyAlignment="1">
      <alignment horizontal="center" vertical="top" wrapText="1"/>
    </xf>
    <xf numFmtId="167" fontId="12" fillId="0" borderId="21" xfId="0" applyNumberFormat="1" applyFont="1" applyBorder="1" applyAlignment="1">
      <alignment vertical="top"/>
    </xf>
    <xf numFmtId="2" fontId="8" fillId="0" borderId="21" xfId="0" applyNumberFormat="1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vertical="top"/>
    </xf>
    <xf numFmtId="166" fontId="8" fillId="0" borderId="7" xfId="0" applyNumberFormat="1" applyFont="1" applyBorder="1" applyAlignment="1">
      <alignment vertical="top"/>
    </xf>
    <xf numFmtId="167" fontId="8" fillId="0" borderId="7" xfId="0" applyNumberFormat="1" applyFont="1" applyBorder="1" applyAlignment="1">
      <alignment vertical="top"/>
    </xf>
    <xf numFmtId="2" fontId="8" fillId="4" borderId="21" xfId="0" applyNumberFormat="1" applyFont="1" applyFill="1" applyBorder="1" applyAlignment="1">
      <alignment horizontal="center" vertical="top" wrapText="1"/>
    </xf>
    <xf numFmtId="3" fontId="8" fillId="0" borderId="7" xfId="0" applyNumberFormat="1" applyFont="1" applyBorder="1" applyAlignment="1">
      <alignment vertical="top"/>
    </xf>
    <xf numFmtId="2" fontId="8" fillId="0" borderId="7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 wrapText="1"/>
    </xf>
    <xf numFmtId="168" fontId="8" fillId="0" borderId="2" xfId="0" applyNumberFormat="1" applyFont="1" applyBorder="1" applyAlignment="1">
      <alignment horizontal="center" vertical="top" wrapText="1"/>
    </xf>
    <xf numFmtId="166" fontId="8" fillId="0" borderId="21" xfId="0" applyNumberFormat="1" applyFont="1" applyBorder="1" applyAlignment="1">
      <alignment horizontal="center" vertical="top"/>
    </xf>
    <xf numFmtId="164" fontId="9" fillId="0" borderId="21" xfId="0" applyNumberFormat="1" applyFont="1" applyBorder="1" applyAlignment="1">
      <alignment vertical="top"/>
    </xf>
    <xf numFmtId="2" fontId="9" fillId="0" borderId="21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0" fontId="9" fillId="6" borderId="20" xfId="0" applyFont="1" applyFill="1" applyBorder="1" applyAlignment="1">
      <alignment horizontal="left" vertical="top" wrapText="1"/>
    </xf>
    <xf numFmtId="0" fontId="9" fillId="6" borderId="21" xfId="0" applyFont="1" applyFill="1" applyBorder="1" applyAlignment="1">
      <alignment horizontal="left" vertical="top" wrapText="1"/>
    </xf>
    <xf numFmtId="0" fontId="9" fillId="6" borderId="21" xfId="0" applyFont="1" applyFill="1" applyBorder="1" applyAlignment="1">
      <alignment horizontal="center" vertical="top" wrapText="1"/>
    </xf>
    <xf numFmtId="167" fontId="9" fillId="6" borderId="21" xfId="0" applyNumberFormat="1" applyFont="1" applyFill="1" applyBorder="1" applyAlignment="1">
      <alignment vertical="top"/>
    </xf>
    <xf numFmtId="9" fontId="8" fillId="0" borderId="21" xfId="0" applyNumberFormat="1" applyFont="1" applyBorder="1" applyAlignment="1">
      <alignment horizontal="center" vertical="top" wrapText="1"/>
    </xf>
    <xf numFmtId="167" fontId="8" fillId="0" borderId="14" xfId="0" applyNumberFormat="1" applyFont="1" applyBorder="1" applyAlignment="1">
      <alignment vertical="top"/>
    </xf>
    <xf numFmtId="3" fontId="9" fillId="0" borderId="21" xfId="0" applyNumberFormat="1" applyFont="1" applyBorder="1" applyAlignment="1">
      <alignment horizontal="center" vertical="top" wrapText="1"/>
    </xf>
    <xf numFmtId="3" fontId="9" fillId="0" borderId="21" xfId="0" applyNumberFormat="1" applyFont="1" applyBorder="1" applyAlignment="1">
      <alignment horizontal="center" vertical="top"/>
    </xf>
    <xf numFmtId="167" fontId="9" fillId="0" borderId="21" xfId="0" quotePrefix="1" applyNumberFormat="1" applyFont="1" applyBorder="1" applyAlignment="1">
      <alignment vertical="top"/>
    </xf>
    <xf numFmtId="3" fontId="9" fillId="7" borderId="21" xfId="0" applyNumberFormat="1" applyFont="1" applyFill="1" applyBorder="1" applyAlignment="1">
      <alignment horizontal="center" vertical="top" wrapText="1"/>
    </xf>
    <xf numFmtId="167" fontId="9" fillId="7" borderId="21" xfId="0" applyNumberFormat="1" applyFont="1" applyFill="1" applyBorder="1" applyAlignment="1">
      <alignment vertical="top"/>
    </xf>
    <xf numFmtId="1" fontId="12" fillId="0" borderId="21" xfId="0" applyNumberFormat="1" applyFont="1" applyBorder="1" applyAlignment="1">
      <alignment horizontal="center" vertical="top"/>
    </xf>
    <xf numFmtId="167" fontId="12" fillId="0" borderId="18" xfId="0" applyNumberFormat="1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3" fontId="12" fillId="0" borderId="18" xfId="0" applyNumberFormat="1" applyFont="1" applyBorder="1" applyAlignment="1">
      <alignment horizontal="center" vertical="top"/>
    </xf>
    <xf numFmtId="3" fontId="12" fillId="8" borderId="21" xfId="0" applyNumberFormat="1" applyFont="1" applyFill="1" applyBorder="1" applyAlignment="1">
      <alignment horizontal="center" vertical="top"/>
    </xf>
    <xf numFmtId="167" fontId="12" fillId="8" borderId="18" xfId="0" applyNumberFormat="1" applyFont="1" applyFill="1" applyBorder="1" applyAlignment="1">
      <alignment vertical="top"/>
    </xf>
    <xf numFmtId="3" fontId="12" fillId="0" borderId="21" xfId="0" applyNumberFormat="1" applyFont="1" applyBorder="1" applyAlignment="1">
      <alignment horizontal="center" vertical="top"/>
    </xf>
    <xf numFmtId="3" fontId="12" fillId="9" borderId="21" xfId="0" applyNumberFormat="1" applyFont="1" applyFill="1" applyBorder="1" applyAlignment="1">
      <alignment horizontal="center" vertical="top"/>
    </xf>
    <xf numFmtId="167" fontId="12" fillId="9" borderId="18" xfId="0" applyNumberFormat="1" applyFont="1" applyFill="1" applyBorder="1" applyAlignment="1">
      <alignment vertical="top"/>
    </xf>
    <xf numFmtId="1" fontId="12" fillId="0" borderId="12" xfId="0" applyNumberFormat="1" applyFont="1" applyBorder="1" applyAlignment="1">
      <alignment horizontal="center" vertical="top"/>
    </xf>
    <xf numFmtId="167" fontId="12" fillId="0" borderId="12" xfId="0" applyNumberFormat="1" applyFont="1" applyBorder="1" applyAlignment="1">
      <alignment horizontal="right" vertical="top"/>
    </xf>
    <xf numFmtId="0" fontId="12" fillId="0" borderId="12" xfId="0" applyFont="1" applyBorder="1" applyAlignment="1">
      <alignment horizontal="center" vertical="top"/>
    </xf>
    <xf numFmtId="3" fontId="12" fillId="0" borderId="12" xfId="0" applyNumberFormat="1" applyFont="1" applyBorder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3" fontId="9" fillId="5" borderId="21" xfId="0" applyNumberFormat="1" applyFont="1" applyFill="1" applyBorder="1" applyAlignment="1">
      <alignment horizontal="center" vertical="top" wrapText="1"/>
    </xf>
    <xf numFmtId="1" fontId="9" fillId="4" borderId="21" xfId="0" applyNumberFormat="1" applyFont="1" applyFill="1" applyBorder="1" applyAlignment="1">
      <alignment horizontal="center" vertical="top" wrapText="1"/>
    </xf>
    <xf numFmtId="9" fontId="9" fillId="4" borderId="21" xfId="0" applyNumberFormat="1" applyFont="1" applyFill="1" applyBorder="1" applyAlignment="1">
      <alignment horizontal="center" vertical="top" wrapText="1"/>
    </xf>
    <xf numFmtId="164" fontId="9" fillId="4" borderId="21" xfId="0" applyNumberFormat="1" applyFont="1" applyFill="1" applyBorder="1" applyAlignment="1">
      <alignment vertical="top"/>
    </xf>
    <xf numFmtId="3" fontId="9" fillId="4" borderId="21" xfId="0" applyNumberFormat="1" applyFont="1" applyFill="1" applyBorder="1" applyAlignment="1">
      <alignment horizontal="center" vertical="top" wrapText="1"/>
    </xf>
    <xf numFmtId="167" fontId="9" fillId="4" borderId="21" xfId="0" applyNumberFormat="1" applyFont="1" applyFill="1" applyBorder="1" applyAlignment="1">
      <alignment vertical="top"/>
    </xf>
    <xf numFmtId="0" fontId="9" fillId="4" borderId="21" xfId="0" applyFont="1" applyFill="1" applyBorder="1" applyAlignment="1">
      <alignment horizontal="center" vertical="top" wrapText="1"/>
    </xf>
    <xf numFmtId="1" fontId="9" fillId="4" borderId="21" xfId="0" applyNumberFormat="1" applyFont="1" applyFill="1" applyBorder="1" applyAlignment="1">
      <alignment horizontal="center" vertical="top"/>
    </xf>
    <xf numFmtId="167" fontId="9" fillId="4" borderId="21" xfId="0" quotePrefix="1" applyNumberFormat="1" applyFont="1" applyFill="1" applyBorder="1" applyAlignment="1">
      <alignment vertical="top"/>
    </xf>
    <xf numFmtId="1" fontId="9" fillId="5" borderId="21" xfId="0" applyNumberFormat="1" applyFont="1" applyFill="1" applyBorder="1" applyAlignment="1">
      <alignment horizontal="center" vertical="top"/>
    </xf>
    <xf numFmtId="167" fontId="12" fillId="0" borderId="18" xfId="0" applyNumberFormat="1" applyFont="1" applyBorder="1" applyAlignment="1">
      <alignment horizontal="right" vertical="top"/>
    </xf>
    <xf numFmtId="1" fontId="12" fillId="0" borderId="18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/>
    </xf>
    <xf numFmtId="9" fontId="9" fillId="0" borderId="2" xfId="0" applyNumberFormat="1" applyFont="1" applyBorder="1" applyAlignment="1">
      <alignment horizontal="center" vertical="top"/>
    </xf>
    <xf numFmtId="1" fontId="9" fillId="5" borderId="29" xfId="0" applyNumberFormat="1" applyFont="1" applyFill="1" applyBorder="1" applyAlignment="1">
      <alignment horizontal="center" vertical="top" wrapText="1"/>
    </xf>
    <xf numFmtId="167" fontId="9" fillId="5" borderId="29" xfId="0" applyNumberFormat="1" applyFont="1" applyFill="1" applyBorder="1" applyAlignment="1">
      <alignment vertical="top"/>
    </xf>
    <xf numFmtId="0" fontId="9" fillId="0" borderId="7" xfId="0" applyFont="1" applyBorder="1" applyAlignment="1">
      <alignment horizontal="left" vertical="top" wrapText="1"/>
    </xf>
    <xf numFmtId="1" fontId="9" fillId="0" borderId="7" xfId="0" applyNumberFormat="1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vertical="top"/>
    </xf>
    <xf numFmtId="0" fontId="9" fillId="0" borderId="7" xfId="0" applyFont="1" applyBorder="1" applyAlignment="1">
      <alignment horizontal="center" vertical="top" wrapText="1"/>
    </xf>
    <xf numFmtId="167" fontId="9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3" fontId="9" fillId="0" borderId="7" xfId="0" applyNumberFormat="1" applyFont="1" applyBorder="1" applyAlignment="1">
      <alignment vertical="top"/>
    </xf>
    <xf numFmtId="2" fontId="9" fillId="0" borderId="7" xfId="0" applyNumberFormat="1" applyFont="1" applyBorder="1" applyAlignment="1">
      <alignment horizontal="center" vertical="top"/>
    </xf>
    <xf numFmtId="1" fontId="8" fillId="4" borderId="21" xfId="0" applyNumberFormat="1" applyFont="1" applyFill="1" applyBorder="1" applyAlignment="1">
      <alignment horizontal="center" vertical="top"/>
    </xf>
    <xf numFmtId="167" fontId="8" fillId="0" borderId="21" xfId="0" applyNumberFormat="1" applyFont="1" applyBorder="1" applyAlignment="1">
      <alignment horizontal="center" vertical="top" wrapText="1"/>
    </xf>
    <xf numFmtId="164" fontId="8" fillId="0" borderId="21" xfId="0" applyNumberFormat="1" applyFont="1" applyBorder="1" applyAlignment="1">
      <alignment vertical="top"/>
    </xf>
    <xf numFmtId="2" fontId="9" fillId="4" borderId="21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right"/>
    </xf>
    <xf numFmtId="2" fontId="9" fillId="4" borderId="31" xfId="0" applyNumberFormat="1" applyFont="1" applyFill="1" applyBorder="1" applyAlignment="1">
      <alignment horizontal="right"/>
    </xf>
    <xf numFmtId="2" fontId="9" fillId="4" borderId="32" xfId="0" applyNumberFormat="1" applyFont="1" applyFill="1" applyBorder="1" applyAlignment="1">
      <alignment horizontal="right"/>
    </xf>
    <xf numFmtId="0" fontId="9" fillId="4" borderId="21" xfId="0" applyFont="1" applyFill="1" applyBorder="1" applyAlignment="1">
      <alignment horizontal="left"/>
    </xf>
    <xf numFmtId="0" fontId="9" fillId="4" borderId="25" xfId="0" applyFont="1" applyFill="1" applyBorder="1"/>
    <xf numFmtId="0" fontId="9" fillId="4" borderId="31" xfId="0" applyFont="1" applyFill="1" applyBorder="1" applyAlignment="1">
      <alignment horizontal="left"/>
    </xf>
    <xf numFmtId="0" fontId="9" fillId="4" borderId="31" xfId="0" applyFont="1" applyFill="1" applyBorder="1"/>
    <xf numFmtId="0" fontId="9" fillId="4" borderId="32" xfId="0" applyFont="1" applyFill="1" applyBorder="1"/>
    <xf numFmtId="0" fontId="5" fillId="0" borderId="14" xfId="0" applyFont="1" applyBorder="1"/>
    <xf numFmtId="0" fontId="9" fillId="0" borderId="0" xfId="0" applyFont="1"/>
    <xf numFmtId="1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/>
    <xf numFmtId="0" fontId="13" fillId="10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68" fontId="8" fillId="0" borderId="29" xfId="0" applyNumberFormat="1" applyFont="1" applyBorder="1" applyAlignment="1">
      <alignment horizontal="center" vertical="top" wrapText="1"/>
    </xf>
    <xf numFmtId="2" fontId="8" fillId="0" borderId="29" xfId="0" applyNumberFormat="1" applyFont="1" applyBorder="1" applyAlignment="1">
      <alignment horizontal="center" vertical="top" wrapText="1"/>
    </xf>
    <xf numFmtId="166" fontId="8" fillId="0" borderId="21" xfId="0" applyNumberFormat="1" applyFont="1" applyBorder="1" applyAlignment="1">
      <alignment vertical="top"/>
    </xf>
    <xf numFmtId="167" fontId="18" fillId="0" borderId="34" xfId="2" quotePrefix="1" applyNumberFormat="1" applyFont="1" applyFill="1" applyBorder="1" applyAlignment="1">
      <alignment vertical="top"/>
    </xf>
    <xf numFmtId="2" fontId="18" fillId="0" borderId="33" xfId="1" applyNumberFormat="1" applyFont="1" applyBorder="1" applyAlignment="1">
      <alignment horizontal="center" vertical="top" wrapText="1"/>
    </xf>
    <xf numFmtId="0" fontId="18" fillId="11" borderId="33" xfId="1" applyFont="1" applyFill="1" applyBorder="1" applyAlignment="1">
      <alignment horizontal="center" vertical="top" wrapText="1"/>
    </xf>
    <xf numFmtId="2" fontId="18" fillId="11" borderId="33" xfId="1" applyNumberFormat="1" applyFont="1" applyFill="1" applyBorder="1" applyAlignment="1">
      <alignment horizontal="center" vertical="top" wrapText="1"/>
    </xf>
    <xf numFmtId="167" fontId="18" fillId="0" borderId="34" xfId="7" quotePrefix="1" applyNumberFormat="1" applyFont="1" applyFill="1" applyBorder="1" applyAlignment="1">
      <alignment vertical="top"/>
    </xf>
    <xf numFmtId="2" fontId="18" fillId="0" borderId="33" xfId="6" applyNumberFormat="1" applyFont="1" applyBorder="1" applyAlignment="1">
      <alignment horizontal="center" vertical="top" wrapText="1"/>
    </xf>
    <xf numFmtId="0" fontId="18" fillId="11" borderId="33" xfId="6" applyFont="1" applyFill="1" applyBorder="1" applyAlignment="1">
      <alignment horizontal="center" vertical="top" wrapText="1"/>
    </xf>
    <xf numFmtId="2" fontId="18" fillId="11" borderId="33" xfId="6" applyNumberFormat="1" applyFont="1" applyFill="1" applyBorder="1" applyAlignment="1">
      <alignment horizontal="center" vertical="top" wrapText="1"/>
    </xf>
    <xf numFmtId="164" fontId="8" fillId="0" borderId="21" xfId="0" applyNumberFormat="1" applyFont="1" applyBorder="1" applyAlignment="1">
      <alignment horizontal="right" vertical="top"/>
    </xf>
    <xf numFmtId="0" fontId="8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14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5" xfId="0" applyFont="1" applyBorder="1"/>
    <xf numFmtId="0" fontId="7" fillId="0" borderId="8" xfId="0" applyFont="1" applyBorder="1"/>
    <xf numFmtId="0" fontId="0" fillId="0" borderId="0" xfId="0"/>
    <xf numFmtId="0" fontId="7" fillId="0" borderId="9" xfId="0" applyFont="1" applyBorder="1"/>
    <xf numFmtId="0" fontId="7" fillId="0" borderId="10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6" xfId="0" applyFont="1" applyBorder="1"/>
    <xf numFmtId="0" fontId="7" fillId="0" borderId="11" xfId="0" applyFont="1" applyBorder="1"/>
    <xf numFmtId="0" fontId="8" fillId="2" borderId="15" xfId="0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13" xfId="0" applyFont="1" applyBorder="1"/>
    <xf numFmtId="0" fontId="8" fillId="2" borderId="17" xfId="0" applyFont="1" applyFill="1" applyBorder="1" applyAlignment="1">
      <alignment horizontal="center" vertical="center"/>
    </xf>
    <xf numFmtId="0" fontId="7" fillId="0" borderId="18" xfId="0" applyFont="1" applyBorder="1"/>
    <xf numFmtId="0" fontId="7" fillId="0" borderId="19" xfId="0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7" fillId="0" borderId="27" xfId="0" applyFont="1" applyBorder="1"/>
    <xf numFmtId="0" fontId="8" fillId="3" borderId="17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right"/>
    </xf>
    <xf numFmtId="0" fontId="7" fillId="0" borderId="30" xfId="0" applyFont="1" applyBorder="1"/>
    <xf numFmtId="0" fontId="9" fillId="4" borderId="17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/>
    </xf>
    <xf numFmtId="0" fontId="8" fillId="3" borderId="17" xfId="0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166" fontId="9" fillId="0" borderId="2" xfId="0" applyNumberFormat="1" applyFont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top"/>
    </xf>
    <xf numFmtId="167" fontId="8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top" wrapText="1"/>
    </xf>
  </cellXfs>
  <cellStyles count="10">
    <cellStyle name="Comma [0] 2" xfId="3" xr:uid="{77FA0CF0-CDD2-452D-8572-2496AE2D75E1}"/>
    <cellStyle name="Comma [0] 3" xfId="8" xr:uid="{DDF5E8CB-DAF9-4D1C-B37D-588AD60ECB2A}"/>
    <cellStyle name="Comma 2" xfId="2" xr:uid="{CEE5F7CA-0E49-4310-B076-39437A90C4AB}"/>
    <cellStyle name="Comma 3" xfId="7" xr:uid="{A3B63FA1-1E6C-46A5-8905-2465E434173C}"/>
    <cellStyle name="Currency 2" xfId="5" xr:uid="{B9C904ED-ABC8-468C-B3D0-97816C5A981F}"/>
    <cellStyle name="Currency 3" xfId="9" xr:uid="{A63E6EA5-F925-4781-8E22-0C6BB43BF3D2}"/>
    <cellStyle name="Normal" xfId="0" builtinId="0"/>
    <cellStyle name="Normal 2" xfId="4" xr:uid="{182F3917-9266-40B5-9F48-C0FC3E253B85}"/>
    <cellStyle name="Normal 3" xfId="1" xr:uid="{EAD98C55-FEE0-4425-8C14-9037C210D8B0}"/>
    <cellStyle name="Normal 4" xfId="6" xr:uid="{0FE8EB3D-F05E-45F9-9F29-97BD5C898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</sheetPr>
  <dimension ref="A1:AK1000"/>
  <sheetViews>
    <sheetView tabSelected="1" zoomScale="70" zoomScaleNormal="70" workbookViewId="0">
      <pane xSplit="4" ySplit="9" topLeftCell="E532" activePane="bottomRight" state="frozen"/>
      <selection pane="topRight" activeCell="E1" sqref="E1"/>
      <selection pane="bottomLeft" activeCell="A10" sqref="A10"/>
      <selection pane="bottomRight" activeCell="U31" sqref="U31"/>
    </sheetView>
  </sheetViews>
  <sheetFormatPr defaultColWidth="14.42578125" defaultRowHeight="15" customHeight="1"/>
  <cols>
    <col min="1" max="1" width="6.42578125" customWidth="1"/>
    <col min="2" max="2" width="18" customWidth="1"/>
    <col min="3" max="3" width="19.140625" customWidth="1"/>
    <col min="4" max="4" width="17" customWidth="1"/>
    <col min="5" max="5" width="12.28515625" customWidth="1"/>
    <col min="6" max="6" width="7.7109375" customWidth="1"/>
    <col min="7" max="7" width="19.140625" customWidth="1"/>
    <col min="8" max="8" width="10.28515625" customWidth="1"/>
    <col min="9" max="9" width="21.42578125" customWidth="1"/>
    <col min="10" max="10" width="9" customWidth="1"/>
    <col min="11" max="11" width="21.140625" customWidth="1"/>
    <col min="12" max="12" width="9" customWidth="1"/>
    <col min="13" max="13" width="20.42578125" customWidth="1"/>
    <col min="14" max="14" width="9.42578125" customWidth="1"/>
    <col min="15" max="15" width="18.7109375" customWidth="1"/>
    <col min="16" max="16" width="7.7109375" customWidth="1"/>
    <col min="17" max="17" width="18.28515625" customWidth="1"/>
    <col min="18" max="18" width="9" customWidth="1"/>
    <col min="19" max="19" width="17.85546875" customWidth="1"/>
    <col min="20" max="20" width="10.7109375" customWidth="1"/>
    <col min="21" max="21" width="10.5703125" customWidth="1"/>
    <col min="22" max="22" width="5.5703125" customWidth="1"/>
    <col min="23" max="23" width="17.85546875" customWidth="1"/>
    <col min="24" max="24" width="8.85546875" customWidth="1"/>
    <col min="25" max="25" width="5.5703125" customWidth="1"/>
    <col min="26" max="26" width="10.5703125" customWidth="1"/>
    <col min="27" max="27" width="20.140625" customWidth="1"/>
    <col min="28" max="28" width="8.85546875" customWidth="1"/>
    <col min="29" max="29" width="5.5703125" customWidth="1"/>
    <col min="30" max="30" width="14" customWidth="1"/>
    <col min="31" max="31" width="15" customWidth="1"/>
    <col min="32" max="32" width="9.140625" customWidth="1"/>
    <col min="33" max="37" width="19.5703125" customWidth="1"/>
  </cols>
  <sheetData>
    <row r="1" spans="1:37" ht="22.5" customHeight="1">
      <c r="A1" s="213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"/>
      <c r="AF1" s="2"/>
      <c r="AG1" s="2"/>
      <c r="AH1" s="2"/>
      <c r="AI1" s="2"/>
      <c r="AJ1" s="2"/>
      <c r="AK1" s="2"/>
    </row>
    <row r="2" spans="1:37" ht="22.5" customHeight="1">
      <c r="A2" s="213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3"/>
      <c r="AF2" s="2"/>
      <c r="AG2" s="2"/>
      <c r="AH2" s="2"/>
      <c r="AI2" s="2"/>
      <c r="AJ2" s="2"/>
      <c r="AK2" s="2"/>
    </row>
    <row r="3" spans="1:37" ht="22.5" customHeight="1">
      <c r="A3" s="213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3"/>
      <c r="AF3" s="2"/>
      <c r="AG3" s="2"/>
      <c r="AH3" s="2"/>
      <c r="AI3" s="2"/>
      <c r="AJ3" s="2"/>
      <c r="AK3" s="2"/>
    </row>
    <row r="4" spans="1:37" ht="22.5" customHeight="1">
      <c r="A4" s="214" t="s">
        <v>751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"/>
      <c r="AF4" s="2"/>
      <c r="AG4" s="2"/>
      <c r="AH4" s="2"/>
      <c r="AI4" s="2"/>
      <c r="AJ4" s="2"/>
      <c r="AK4" s="2"/>
    </row>
    <row r="5" spans="1:37" ht="22.5" customHeight="1">
      <c r="A5" s="215" t="s">
        <v>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2"/>
      <c r="AF5" s="2"/>
      <c r="AG5" s="2"/>
      <c r="AH5" s="2"/>
      <c r="AI5" s="2"/>
      <c r="AJ5" s="2"/>
      <c r="AK5" s="2"/>
    </row>
    <row r="6" spans="1:37" ht="22.5" customHeight="1">
      <c r="A6" s="216" t="s">
        <v>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2"/>
      <c r="AF6" s="2"/>
      <c r="AG6" s="2"/>
      <c r="AH6" s="2"/>
      <c r="AI6" s="2"/>
      <c r="AJ6" s="2"/>
      <c r="AK6" s="2"/>
    </row>
    <row r="7" spans="1:37" ht="81" customHeight="1">
      <c r="A7" s="219" t="s">
        <v>4</v>
      </c>
      <c r="B7" s="219" t="s">
        <v>5</v>
      </c>
      <c r="C7" s="181" t="s">
        <v>6</v>
      </c>
      <c r="D7" s="181" t="s">
        <v>7</v>
      </c>
      <c r="E7" s="184" t="s">
        <v>8</v>
      </c>
      <c r="F7" s="185"/>
      <c r="G7" s="186"/>
      <c r="H7" s="184" t="s">
        <v>9</v>
      </c>
      <c r="I7" s="186"/>
      <c r="J7" s="184" t="s">
        <v>10</v>
      </c>
      <c r="K7" s="193"/>
      <c r="L7" s="184" t="s">
        <v>11</v>
      </c>
      <c r="M7" s="185"/>
      <c r="N7" s="185"/>
      <c r="O7" s="185"/>
      <c r="P7" s="185"/>
      <c r="Q7" s="185"/>
      <c r="R7" s="185"/>
      <c r="S7" s="186"/>
      <c r="T7" s="184" t="s">
        <v>12</v>
      </c>
      <c r="U7" s="185"/>
      <c r="V7" s="185"/>
      <c r="W7" s="185"/>
      <c r="X7" s="185"/>
      <c r="Y7" s="186"/>
      <c r="Z7" s="184" t="s">
        <v>13</v>
      </c>
      <c r="AA7" s="186"/>
      <c r="AB7" s="184" t="s">
        <v>14</v>
      </c>
      <c r="AC7" s="185"/>
      <c r="AD7" s="193"/>
      <c r="AE7" s="181" t="s">
        <v>15</v>
      </c>
      <c r="AF7" s="2"/>
      <c r="AG7" s="4"/>
      <c r="AH7" s="4"/>
      <c r="AI7" s="4"/>
      <c r="AJ7" s="4"/>
      <c r="AK7" s="4"/>
    </row>
    <row r="8" spans="1:37" ht="18" customHeight="1">
      <c r="A8" s="182"/>
      <c r="B8" s="182"/>
      <c r="C8" s="182"/>
      <c r="D8" s="182"/>
      <c r="E8" s="187"/>
      <c r="F8" s="188"/>
      <c r="G8" s="189"/>
      <c r="H8" s="187"/>
      <c r="I8" s="189"/>
      <c r="J8" s="190"/>
      <c r="K8" s="194"/>
      <c r="L8" s="190"/>
      <c r="M8" s="191"/>
      <c r="N8" s="191"/>
      <c r="O8" s="191"/>
      <c r="P8" s="191"/>
      <c r="Q8" s="191"/>
      <c r="R8" s="191"/>
      <c r="S8" s="192"/>
      <c r="T8" s="190"/>
      <c r="U8" s="191"/>
      <c r="V8" s="191"/>
      <c r="W8" s="191"/>
      <c r="X8" s="191"/>
      <c r="Y8" s="192"/>
      <c r="Z8" s="190"/>
      <c r="AA8" s="192"/>
      <c r="AB8" s="190"/>
      <c r="AC8" s="191"/>
      <c r="AD8" s="194"/>
      <c r="AE8" s="197"/>
      <c r="AF8" s="2"/>
      <c r="AG8" s="2"/>
      <c r="AH8" s="2"/>
      <c r="AI8" s="2"/>
      <c r="AJ8" s="2"/>
      <c r="AK8" s="2"/>
    </row>
    <row r="9" spans="1:37" ht="15.75" customHeight="1">
      <c r="A9" s="183"/>
      <c r="B9" s="183"/>
      <c r="C9" s="183"/>
      <c r="D9" s="183"/>
      <c r="E9" s="190"/>
      <c r="F9" s="191"/>
      <c r="G9" s="192"/>
      <c r="H9" s="190"/>
      <c r="I9" s="192"/>
      <c r="J9" s="195">
        <v>2022</v>
      </c>
      <c r="K9" s="196"/>
      <c r="L9" s="198" t="s">
        <v>16</v>
      </c>
      <c r="M9" s="199"/>
      <c r="N9" s="198" t="s">
        <v>17</v>
      </c>
      <c r="O9" s="199"/>
      <c r="P9" s="198" t="s">
        <v>18</v>
      </c>
      <c r="Q9" s="199"/>
      <c r="R9" s="198" t="s">
        <v>19</v>
      </c>
      <c r="S9" s="199"/>
      <c r="T9" s="198">
        <v>2022</v>
      </c>
      <c r="U9" s="200"/>
      <c r="V9" s="200"/>
      <c r="W9" s="200"/>
      <c r="X9" s="200"/>
      <c r="Y9" s="199"/>
      <c r="Z9" s="198">
        <v>2022</v>
      </c>
      <c r="AA9" s="199"/>
      <c r="AB9" s="198">
        <v>2022</v>
      </c>
      <c r="AC9" s="200"/>
      <c r="AD9" s="199"/>
      <c r="AE9" s="5"/>
      <c r="AF9" s="2"/>
      <c r="AG9" s="2"/>
      <c r="AH9" s="2"/>
      <c r="AI9" s="2"/>
      <c r="AJ9" s="2"/>
      <c r="AK9" s="2"/>
    </row>
    <row r="10" spans="1:37" ht="14.25" customHeight="1">
      <c r="A10" s="201">
        <v>1</v>
      </c>
      <c r="B10" s="201">
        <v>2</v>
      </c>
      <c r="C10" s="201">
        <v>3</v>
      </c>
      <c r="D10" s="201">
        <v>4</v>
      </c>
      <c r="E10" s="204">
        <v>5</v>
      </c>
      <c r="F10" s="200"/>
      <c r="G10" s="199"/>
      <c r="H10" s="204">
        <v>6</v>
      </c>
      <c r="I10" s="199"/>
      <c r="J10" s="217">
        <v>7</v>
      </c>
      <c r="K10" s="199"/>
      <c r="L10" s="217">
        <v>8</v>
      </c>
      <c r="M10" s="199"/>
      <c r="N10" s="217">
        <v>9</v>
      </c>
      <c r="O10" s="199"/>
      <c r="P10" s="217">
        <v>10</v>
      </c>
      <c r="Q10" s="199"/>
      <c r="R10" s="217">
        <v>11</v>
      </c>
      <c r="S10" s="199"/>
      <c r="T10" s="218">
        <v>12</v>
      </c>
      <c r="U10" s="200"/>
      <c r="V10" s="200"/>
      <c r="W10" s="200"/>
      <c r="X10" s="200"/>
      <c r="Y10" s="199"/>
      <c r="Z10" s="218">
        <v>13</v>
      </c>
      <c r="AA10" s="199"/>
      <c r="AB10" s="218">
        <v>14</v>
      </c>
      <c r="AC10" s="200"/>
      <c r="AD10" s="199"/>
      <c r="AE10" s="6">
        <v>15</v>
      </c>
      <c r="AF10" s="7"/>
      <c r="AG10" s="7"/>
      <c r="AH10" s="7"/>
      <c r="AI10" s="7"/>
      <c r="AJ10" s="7"/>
      <c r="AK10" s="7"/>
    </row>
    <row r="11" spans="1:37" ht="87" customHeight="1">
      <c r="A11" s="182"/>
      <c r="B11" s="182"/>
      <c r="C11" s="182"/>
      <c r="D11" s="182"/>
      <c r="E11" s="224" t="s">
        <v>20</v>
      </c>
      <c r="F11" s="186"/>
      <c r="G11" s="225" t="s">
        <v>21</v>
      </c>
      <c r="H11" s="202" t="s">
        <v>20</v>
      </c>
      <c r="I11" s="225" t="s">
        <v>21</v>
      </c>
      <c r="J11" s="202" t="s">
        <v>20</v>
      </c>
      <c r="K11" s="201" t="s">
        <v>21</v>
      </c>
      <c r="L11" s="202" t="s">
        <v>20</v>
      </c>
      <c r="M11" s="201" t="s">
        <v>21</v>
      </c>
      <c r="N11" s="202" t="s">
        <v>20</v>
      </c>
      <c r="O11" s="201" t="s">
        <v>21</v>
      </c>
      <c r="P11" s="202" t="s">
        <v>20</v>
      </c>
      <c r="Q11" s="201" t="s">
        <v>21</v>
      </c>
      <c r="R11" s="202" t="s">
        <v>20</v>
      </c>
      <c r="S11" s="201" t="s">
        <v>21</v>
      </c>
      <c r="T11" s="8" t="s">
        <v>22</v>
      </c>
      <c r="U11" s="204" t="s">
        <v>23</v>
      </c>
      <c r="V11" s="199"/>
      <c r="W11" s="9" t="s">
        <v>24</v>
      </c>
      <c r="X11" s="204" t="s">
        <v>25</v>
      </c>
      <c r="Y11" s="199"/>
      <c r="Z11" s="8" t="s">
        <v>26</v>
      </c>
      <c r="AA11" s="9" t="s">
        <v>27</v>
      </c>
      <c r="AB11" s="204" t="s">
        <v>28</v>
      </c>
      <c r="AC11" s="199"/>
      <c r="AD11" s="9" t="s">
        <v>29</v>
      </c>
      <c r="AE11" s="10"/>
      <c r="AF11" s="7"/>
      <c r="AG11" s="7"/>
      <c r="AH11" s="7"/>
      <c r="AI11" s="7"/>
      <c r="AJ11" s="7"/>
      <c r="AK11" s="7"/>
    </row>
    <row r="12" spans="1:37" ht="14.25" customHeight="1">
      <c r="A12" s="183"/>
      <c r="B12" s="183"/>
      <c r="C12" s="183"/>
      <c r="D12" s="183"/>
      <c r="E12" s="190"/>
      <c r="F12" s="192"/>
      <c r="G12" s="183"/>
      <c r="H12" s="203"/>
      <c r="I12" s="183"/>
      <c r="J12" s="203"/>
      <c r="K12" s="183"/>
      <c r="L12" s="203"/>
      <c r="M12" s="183"/>
      <c r="N12" s="203"/>
      <c r="O12" s="183"/>
      <c r="P12" s="203"/>
      <c r="Q12" s="183"/>
      <c r="R12" s="203"/>
      <c r="S12" s="183"/>
      <c r="T12" s="11" t="s">
        <v>20</v>
      </c>
      <c r="U12" s="205" t="s">
        <v>20</v>
      </c>
      <c r="V12" s="196"/>
      <c r="W12" s="12" t="s">
        <v>21</v>
      </c>
      <c r="X12" s="205" t="s">
        <v>21</v>
      </c>
      <c r="Y12" s="196"/>
      <c r="Z12" s="11" t="s">
        <v>20</v>
      </c>
      <c r="AA12" s="12" t="s">
        <v>21</v>
      </c>
      <c r="AB12" s="205" t="s">
        <v>20</v>
      </c>
      <c r="AC12" s="196"/>
      <c r="AD12" s="12" t="s">
        <v>21</v>
      </c>
      <c r="AE12" s="13"/>
      <c r="AF12" s="7"/>
      <c r="AG12" s="7"/>
      <c r="AH12" s="7"/>
      <c r="AI12" s="7"/>
      <c r="AJ12" s="7"/>
      <c r="AK12" s="7"/>
    </row>
    <row r="13" spans="1:37" ht="15" hidden="1" customHeight="1">
      <c r="A13" s="228"/>
      <c r="B13" s="229" t="s">
        <v>30</v>
      </c>
      <c r="C13" s="230" t="s">
        <v>31</v>
      </c>
      <c r="D13" s="229" t="s">
        <v>32</v>
      </c>
      <c r="E13" s="231" t="s">
        <v>33</v>
      </c>
      <c r="F13" s="186"/>
      <c r="G13" s="228"/>
      <c r="H13" s="231" t="s">
        <v>34</v>
      </c>
      <c r="I13" s="230" t="s">
        <v>35</v>
      </c>
      <c r="J13" s="234" t="s">
        <v>36</v>
      </c>
      <c r="K13" s="230" t="s">
        <v>37</v>
      </c>
      <c r="L13" s="234" t="s">
        <v>38</v>
      </c>
      <c r="M13" s="16"/>
      <c r="N13" s="16"/>
      <c r="O13" s="16"/>
      <c r="P13" s="16"/>
      <c r="Q13" s="16"/>
      <c r="R13" s="16"/>
      <c r="S13" s="16"/>
      <c r="T13" s="16"/>
      <c r="U13" s="16"/>
      <c r="V13" s="14"/>
      <c r="W13" s="16"/>
      <c r="X13" s="16"/>
      <c r="Y13" s="14"/>
      <c r="Z13" s="16"/>
      <c r="AA13" s="16"/>
      <c r="AB13" s="16"/>
      <c r="AC13" s="14"/>
      <c r="AD13" s="16"/>
      <c r="AE13" s="17"/>
      <c r="AF13" s="2"/>
      <c r="AG13" s="2"/>
      <c r="AH13" s="2"/>
      <c r="AI13" s="2"/>
      <c r="AJ13" s="2"/>
      <c r="AK13" s="2"/>
    </row>
    <row r="14" spans="1:37" ht="15" hidden="1" customHeight="1">
      <c r="A14" s="182"/>
      <c r="B14" s="182"/>
      <c r="C14" s="182"/>
      <c r="D14" s="182"/>
      <c r="E14" s="187"/>
      <c r="F14" s="189"/>
      <c r="G14" s="182"/>
      <c r="H14" s="187"/>
      <c r="I14" s="182"/>
      <c r="J14" s="187"/>
      <c r="K14" s="182"/>
      <c r="L14" s="187"/>
      <c r="M14" s="18"/>
      <c r="N14" s="18"/>
      <c r="O14" s="18"/>
      <c r="P14" s="18"/>
      <c r="Q14" s="18"/>
      <c r="R14" s="18"/>
      <c r="S14" s="18"/>
      <c r="T14" s="18"/>
      <c r="U14" s="18"/>
      <c r="V14" s="19"/>
      <c r="W14" s="18"/>
      <c r="X14" s="18"/>
      <c r="Y14" s="19"/>
      <c r="Z14" s="18"/>
      <c r="AA14" s="18"/>
      <c r="AB14" s="18"/>
      <c r="AC14" s="19"/>
      <c r="AD14" s="18"/>
      <c r="AE14" s="17"/>
      <c r="AF14" s="2"/>
      <c r="AG14" s="2"/>
      <c r="AH14" s="2"/>
      <c r="AI14" s="2"/>
      <c r="AJ14" s="2"/>
      <c r="AK14" s="2"/>
    </row>
    <row r="15" spans="1:37" ht="15" hidden="1" customHeight="1">
      <c r="A15" s="183"/>
      <c r="B15" s="183"/>
      <c r="C15" s="183"/>
      <c r="D15" s="183"/>
      <c r="E15" s="190"/>
      <c r="F15" s="192"/>
      <c r="G15" s="183"/>
      <c r="H15" s="190"/>
      <c r="I15" s="183"/>
      <c r="J15" s="190"/>
      <c r="K15" s="183"/>
      <c r="L15" s="19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0"/>
      <c r="X15" s="20"/>
      <c r="Y15" s="21"/>
      <c r="Z15" s="20"/>
      <c r="AA15" s="20"/>
      <c r="AB15" s="20"/>
      <c r="AC15" s="21"/>
      <c r="AD15" s="20"/>
      <c r="AE15" s="17"/>
      <c r="AF15" s="2"/>
      <c r="AG15" s="2"/>
      <c r="AH15" s="2"/>
      <c r="AI15" s="2"/>
      <c r="AJ15" s="2"/>
      <c r="AK15" s="2"/>
    </row>
    <row r="16" spans="1:37" ht="122.25" customHeight="1">
      <c r="A16" s="22">
        <v>1</v>
      </c>
      <c r="B16" s="23" t="s">
        <v>39</v>
      </c>
      <c r="C16" s="24" t="s">
        <v>40</v>
      </c>
      <c r="D16" s="23" t="s">
        <v>41</v>
      </c>
      <c r="E16" s="25" t="s">
        <v>42</v>
      </c>
      <c r="F16" s="26" t="s">
        <v>43</v>
      </c>
      <c r="G16" s="27">
        <f>G21+G26+G32+G35+G45+G51+G57</f>
        <v>160408096243</v>
      </c>
      <c r="H16" s="28">
        <v>27.58</v>
      </c>
      <c r="I16" s="27">
        <f>I21+I26+I32+I35+I45+I51+I57</f>
        <v>72201257368</v>
      </c>
      <c r="J16" s="25" t="s">
        <v>42</v>
      </c>
      <c r="K16" s="27">
        <f>K21+K26+K32+K35+K45+K51+K57</f>
        <v>80208489871.449997</v>
      </c>
      <c r="L16" s="28"/>
      <c r="M16" s="27">
        <f>M21+M26+M35+M45+M51</f>
        <v>11678974622</v>
      </c>
      <c r="N16" s="29"/>
      <c r="O16" s="27">
        <f>O21+O26+O35+O45+O51</f>
        <v>19422263095</v>
      </c>
      <c r="P16" s="29"/>
      <c r="Q16" s="27">
        <f>Q21+Q26+Q35+Q45+Q51</f>
        <v>17706772045</v>
      </c>
      <c r="R16" s="28"/>
      <c r="S16" s="27">
        <f>S21+S26+S35+S45+S51</f>
        <v>16912387313</v>
      </c>
      <c r="T16" s="30">
        <f t="shared" ref="T16:T24" si="0">SUM(L16,N16,P16,R16)</f>
        <v>0</v>
      </c>
      <c r="U16" s="30">
        <f>T16/26*100</f>
        <v>0</v>
      </c>
      <c r="V16" s="30" t="s">
        <v>44</v>
      </c>
      <c r="W16" s="31">
        <f>SUM(M16,O16,Q16,S16)</f>
        <v>65720397075</v>
      </c>
      <c r="X16" s="32">
        <f>W16/K16*100</f>
        <v>81.936958519391098</v>
      </c>
      <c r="Y16" s="22" t="s">
        <v>44</v>
      </c>
      <c r="Z16" s="30">
        <f t="shared" ref="Z16:Z30" si="1">SUM(H16,T16)</f>
        <v>27.58</v>
      </c>
      <c r="AA16" s="31">
        <f>SUM(I16,W16)</f>
        <v>137921654443</v>
      </c>
      <c r="AB16" s="33">
        <f>Z16/26*100</f>
        <v>106.07692307692307</v>
      </c>
      <c r="AC16" s="34" t="s">
        <v>44</v>
      </c>
      <c r="AD16" s="32">
        <f>AA16/G16*100</f>
        <v>85.981728898561585</v>
      </c>
      <c r="AE16" s="35" t="s">
        <v>45</v>
      </c>
      <c r="AF16" s="36"/>
      <c r="AG16" s="36"/>
      <c r="AH16" s="37">
        <f>M16+O16+Q16+S16</f>
        <v>65720397075</v>
      </c>
      <c r="AI16" s="36"/>
      <c r="AJ16" s="36"/>
      <c r="AK16" s="36"/>
    </row>
    <row r="17" spans="1:37" ht="122.25" customHeight="1">
      <c r="A17" s="22"/>
      <c r="B17" s="23" t="s">
        <v>46</v>
      </c>
      <c r="C17" s="24"/>
      <c r="D17" s="23" t="s">
        <v>47</v>
      </c>
      <c r="E17" s="38" t="s">
        <v>48</v>
      </c>
      <c r="F17" s="26" t="s">
        <v>43</v>
      </c>
      <c r="G17" s="27"/>
      <c r="H17" s="28">
        <v>21.88</v>
      </c>
      <c r="I17" s="27"/>
      <c r="J17" s="38" t="s">
        <v>48</v>
      </c>
      <c r="K17" s="27"/>
      <c r="L17" s="28"/>
      <c r="M17" s="27"/>
      <c r="N17" s="29"/>
      <c r="O17" s="27"/>
      <c r="P17" s="29"/>
      <c r="Q17" s="27"/>
      <c r="R17" s="28"/>
      <c r="S17" s="27"/>
      <c r="T17" s="30">
        <f t="shared" si="0"/>
        <v>0</v>
      </c>
      <c r="U17" s="30">
        <f>T17/22*100</f>
        <v>0</v>
      </c>
      <c r="V17" s="30"/>
      <c r="W17" s="31"/>
      <c r="X17" s="22"/>
      <c r="Y17" s="22"/>
      <c r="Z17" s="30">
        <f t="shared" si="1"/>
        <v>21.88</v>
      </c>
      <c r="AA17" s="31"/>
      <c r="AB17" s="33">
        <f>Z17/22*100</f>
        <v>99.454545454545453</v>
      </c>
      <c r="AC17" s="34" t="s">
        <v>44</v>
      </c>
      <c r="AD17" s="22"/>
      <c r="AE17" s="35"/>
      <c r="AF17" s="36"/>
      <c r="AG17" s="36"/>
      <c r="AH17" s="37"/>
      <c r="AI17" s="36"/>
      <c r="AJ17" s="36"/>
      <c r="AK17" s="36"/>
    </row>
    <row r="18" spans="1:37" ht="122.25" customHeight="1">
      <c r="A18" s="22"/>
      <c r="B18" s="23" t="s">
        <v>49</v>
      </c>
      <c r="C18" s="24"/>
      <c r="D18" s="23" t="s">
        <v>50</v>
      </c>
      <c r="E18" s="38" t="s">
        <v>51</v>
      </c>
      <c r="F18" s="26" t="s">
        <v>43</v>
      </c>
      <c r="G18" s="27"/>
      <c r="H18" s="28">
        <v>12</v>
      </c>
      <c r="I18" s="27"/>
      <c r="J18" s="38" t="s">
        <v>51</v>
      </c>
      <c r="K18" s="27"/>
      <c r="L18" s="28"/>
      <c r="M18" s="27"/>
      <c r="N18" s="29"/>
      <c r="O18" s="27"/>
      <c r="P18" s="29"/>
      <c r="Q18" s="27"/>
      <c r="R18" s="28"/>
      <c r="S18" s="27"/>
      <c r="T18" s="30">
        <f t="shared" si="0"/>
        <v>0</v>
      </c>
      <c r="U18" s="30">
        <f>T18/12*100</f>
        <v>0</v>
      </c>
      <c r="V18" s="30"/>
      <c r="W18" s="31"/>
      <c r="X18" s="22"/>
      <c r="Y18" s="22"/>
      <c r="Z18" s="30">
        <f t="shared" si="1"/>
        <v>12</v>
      </c>
      <c r="AA18" s="31"/>
      <c r="AB18" s="33">
        <f>Z18/12*100</f>
        <v>100</v>
      </c>
      <c r="AC18" s="34" t="s">
        <v>44</v>
      </c>
      <c r="AD18" s="22"/>
      <c r="AE18" s="35"/>
      <c r="AF18" s="36"/>
      <c r="AG18" s="36"/>
      <c r="AH18" s="37"/>
      <c r="AI18" s="36"/>
      <c r="AJ18" s="36"/>
      <c r="AK18" s="36"/>
    </row>
    <row r="19" spans="1:37" ht="122.25" customHeight="1">
      <c r="A19" s="22"/>
      <c r="B19" s="23" t="s">
        <v>52</v>
      </c>
      <c r="C19" s="24"/>
      <c r="D19" s="23" t="s">
        <v>53</v>
      </c>
      <c r="E19" s="38" t="s">
        <v>54</v>
      </c>
      <c r="F19" s="26" t="s">
        <v>43</v>
      </c>
      <c r="G19" s="27"/>
      <c r="H19" s="28">
        <v>7.83</v>
      </c>
      <c r="I19" s="27"/>
      <c r="J19" s="38" t="s">
        <v>55</v>
      </c>
      <c r="K19" s="27"/>
      <c r="L19" s="28"/>
      <c r="M19" s="27"/>
      <c r="N19" s="29"/>
      <c r="O19" s="27"/>
      <c r="P19" s="29"/>
      <c r="Q19" s="27"/>
      <c r="R19" s="28"/>
      <c r="S19" s="27"/>
      <c r="T19" s="30">
        <f t="shared" si="0"/>
        <v>0</v>
      </c>
      <c r="U19" s="30">
        <f>T19/8.5*100</f>
        <v>0</v>
      </c>
      <c r="V19" s="30"/>
      <c r="W19" s="31"/>
      <c r="X19" s="22"/>
      <c r="Y19" s="22"/>
      <c r="Z19" s="30">
        <f t="shared" si="1"/>
        <v>7.83</v>
      </c>
      <c r="AA19" s="31"/>
      <c r="AB19" s="33">
        <f>Z19/8.5*100</f>
        <v>92.117647058823522</v>
      </c>
      <c r="AC19" s="34" t="s">
        <v>44</v>
      </c>
      <c r="AD19" s="22"/>
      <c r="AE19" s="35"/>
      <c r="AF19" s="36"/>
      <c r="AG19" s="36"/>
      <c r="AH19" s="37"/>
      <c r="AI19" s="36"/>
      <c r="AJ19" s="36"/>
      <c r="AK19" s="36"/>
    </row>
    <row r="20" spans="1:37" ht="122.25" customHeight="1">
      <c r="A20" s="22"/>
      <c r="B20" s="39" t="s">
        <v>56</v>
      </c>
      <c r="C20" s="24"/>
      <c r="D20" s="23" t="s">
        <v>57</v>
      </c>
      <c r="E20" s="38" t="s">
        <v>58</v>
      </c>
      <c r="F20" s="26" t="s">
        <v>43</v>
      </c>
      <c r="G20" s="27"/>
      <c r="H20" s="28">
        <v>12.29</v>
      </c>
      <c r="I20" s="27"/>
      <c r="J20" s="38" t="s">
        <v>58</v>
      </c>
      <c r="K20" s="27"/>
      <c r="L20" s="28"/>
      <c r="M20" s="27"/>
      <c r="N20" s="29"/>
      <c r="O20" s="27"/>
      <c r="P20" s="29"/>
      <c r="Q20" s="27"/>
      <c r="R20" s="28"/>
      <c r="S20" s="27"/>
      <c r="T20" s="30">
        <f t="shared" si="0"/>
        <v>0</v>
      </c>
      <c r="U20" s="30">
        <f>T20/13*100</f>
        <v>0</v>
      </c>
      <c r="V20" s="30"/>
      <c r="W20" s="31"/>
      <c r="X20" s="22"/>
      <c r="Y20" s="22"/>
      <c r="Z20" s="30">
        <f t="shared" si="1"/>
        <v>12.29</v>
      </c>
      <c r="AA20" s="31"/>
      <c r="AB20" s="33">
        <f>Z20/13*100</f>
        <v>94.538461538461533</v>
      </c>
      <c r="AC20" s="34" t="s">
        <v>44</v>
      </c>
      <c r="AD20" s="22"/>
      <c r="AE20" s="35"/>
      <c r="AF20" s="36"/>
      <c r="AG20" s="36"/>
      <c r="AH20" s="37"/>
      <c r="AI20" s="36"/>
      <c r="AJ20" s="36"/>
      <c r="AK20" s="36"/>
    </row>
    <row r="21" spans="1:37" ht="34.5" customHeight="1">
      <c r="A21" s="22">
        <v>2</v>
      </c>
      <c r="B21" s="24" t="s">
        <v>59</v>
      </c>
      <c r="C21" s="232" t="s">
        <v>60</v>
      </c>
      <c r="D21" s="23" t="s">
        <v>61</v>
      </c>
      <c r="E21" s="38">
        <f>SUM(E23:E25)</f>
        <v>55</v>
      </c>
      <c r="F21" s="26" t="s">
        <v>62</v>
      </c>
      <c r="G21" s="227">
        <f t="shared" ref="G21:M21" si="2">SUM(G23:G25)</f>
        <v>31962300</v>
      </c>
      <c r="H21" s="28">
        <f t="shared" si="2"/>
        <v>25</v>
      </c>
      <c r="I21" s="227">
        <f t="shared" si="2"/>
        <v>10980000</v>
      </c>
      <c r="J21" s="28">
        <f t="shared" si="2"/>
        <v>15</v>
      </c>
      <c r="K21" s="227">
        <f t="shared" si="2"/>
        <v>16050000</v>
      </c>
      <c r="L21" s="28">
        <f t="shared" si="2"/>
        <v>5</v>
      </c>
      <c r="M21" s="227">
        <f t="shared" si="2"/>
        <v>0</v>
      </c>
      <c r="N21" s="28">
        <f t="shared" ref="N21:S21" si="3">N23+N24</f>
        <v>2</v>
      </c>
      <c r="O21" s="227">
        <f t="shared" si="3"/>
        <v>2370500</v>
      </c>
      <c r="P21" s="28">
        <f t="shared" si="3"/>
        <v>4</v>
      </c>
      <c r="Q21" s="227">
        <f t="shared" si="3"/>
        <v>779500</v>
      </c>
      <c r="R21" s="28">
        <f t="shared" si="3"/>
        <v>3</v>
      </c>
      <c r="S21" s="227">
        <f t="shared" si="3"/>
        <v>9368400</v>
      </c>
      <c r="T21" s="30">
        <f t="shared" si="0"/>
        <v>14</v>
      </c>
      <c r="U21" s="40">
        <f t="shared" ref="U21:U24" si="4">T21/J21*100</f>
        <v>93.333333333333329</v>
      </c>
      <c r="V21" s="30" t="s">
        <v>44</v>
      </c>
      <c r="W21" s="222">
        <f>SUM(M21,O21,Q21,S21)</f>
        <v>12518400</v>
      </c>
      <c r="X21" s="40">
        <f>W21/K21*100</f>
        <v>77.996261682243002</v>
      </c>
      <c r="Y21" s="30" t="s">
        <v>44</v>
      </c>
      <c r="Z21" s="30">
        <f t="shared" si="1"/>
        <v>39</v>
      </c>
      <c r="AA21" s="222">
        <f>SUM(I21,W21)</f>
        <v>23498400</v>
      </c>
      <c r="AB21" s="41">
        <f t="shared" ref="AB21:AB83" si="5">Z21/E21*100</f>
        <v>70.909090909090907</v>
      </c>
      <c r="AC21" s="34" t="s">
        <v>44</v>
      </c>
      <c r="AD21" s="226">
        <f>AA21/G21*100</f>
        <v>73.519114707014197</v>
      </c>
      <c r="AE21" s="42"/>
      <c r="AF21" s="36"/>
      <c r="AG21" s="36"/>
      <c r="AH21" s="37"/>
      <c r="AI21" s="36"/>
      <c r="AJ21" s="36"/>
      <c r="AK21" s="36"/>
    </row>
    <row r="22" spans="1:37" ht="34.5" customHeight="1">
      <c r="A22" s="43"/>
      <c r="B22" s="39"/>
      <c r="C22" s="183"/>
      <c r="D22" s="44" t="s">
        <v>63</v>
      </c>
      <c r="E22" s="38">
        <v>12</v>
      </c>
      <c r="F22" s="26" t="s">
        <v>62</v>
      </c>
      <c r="G22" s="183"/>
      <c r="H22" s="28">
        <v>4</v>
      </c>
      <c r="I22" s="183"/>
      <c r="J22" s="28">
        <v>4</v>
      </c>
      <c r="K22" s="183"/>
      <c r="L22" s="28">
        <v>1</v>
      </c>
      <c r="M22" s="183"/>
      <c r="N22" s="28">
        <v>1</v>
      </c>
      <c r="O22" s="183"/>
      <c r="P22" s="28">
        <v>1</v>
      </c>
      <c r="Q22" s="183"/>
      <c r="R22" s="28">
        <v>1</v>
      </c>
      <c r="S22" s="183"/>
      <c r="T22" s="30">
        <f t="shared" si="0"/>
        <v>4</v>
      </c>
      <c r="U22" s="40">
        <f t="shared" si="4"/>
        <v>100</v>
      </c>
      <c r="V22" s="30" t="s">
        <v>44</v>
      </c>
      <c r="W22" s="183"/>
      <c r="X22" s="40"/>
      <c r="Y22" s="30"/>
      <c r="Z22" s="30">
        <f t="shared" si="1"/>
        <v>8</v>
      </c>
      <c r="AA22" s="183"/>
      <c r="AB22" s="41">
        <f t="shared" si="5"/>
        <v>66.666666666666657</v>
      </c>
      <c r="AC22" s="34" t="s">
        <v>44</v>
      </c>
      <c r="AD22" s="183"/>
      <c r="AE22" s="42"/>
      <c r="AF22" s="36"/>
      <c r="AG22" s="36"/>
      <c r="AH22" s="37"/>
      <c r="AI22" s="36"/>
      <c r="AJ22" s="36"/>
      <c r="AK22" s="36"/>
    </row>
    <row r="23" spans="1:37" ht="34.5" customHeight="1">
      <c r="A23" s="43"/>
      <c r="B23" s="39" t="s">
        <v>64</v>
      </c>
      <c r="C23" s="46" t="s">
        <v>65</v>
      </c>
      <c r="D23" s="47" t="s">
        <v>66</v>
      </c>
      <c r="E23" s="48">
        <v>30</v>
      </c>
      <c r="F23" s="49" t="s">
        <v>62</v>
      </c>
      <c r="G23" s="50">
        <v>23062500</v>
      </c>
      <c r="H23" s="51">
        <v>10</v>
      </c>
      <c r="I23" s="50">
        <v>6000000</v>
      </c>
      <c r="J23" s="51">
        <v>10</v>
      </c>
      <c r="K23" s="50">
        <v>12150000</v>
      </c>
      <c r="L23" s="51">
        <v>4</v>
      </c>
      <c r="M23" s="50">
        <v>0</v>
      </c>
      <c r="N23" s="51">
        <v>1</v>
      </c>
      <c r="O23" s="50">
        <v>1495500</v>
      </c>
      <c r="P23" s="51">
        <v>3</v>
      </c>
      <c r="Q23" s="50">
        <f>2275000-O23</f>
        <v>779500</v>
      </c>
      <c r="R23" s="51">
        <v>2</v>
      </c>
      <c r="S23" s="50">
        <f>11280900-O23-Q23</f>
        <v>9005900</v>
      </c>
      <c r="T23" s="34">
        <f t="shared" si="0"/>
        <v>10</v>
      </c>
      <c r="U23" s="34">
        <f t="shared" si="4"/>
        <v>100</v>
      </c>
      <c r="V23" s="34" t="s">
        <v>44</v>
      </c>
      <c r="W23" s="52">
        <f t="shared" ref="W23:W24" si="6">SUM(M23,O23,Q23,S23)</f>
        <v>11280900</v>
      </c>
      <c r="X23" s="53">
        <f t="shared" ref="X23:X24" si="7">W23/K23*100</f>
        <v>92.84691358024692</v>
      </c>
      <c r="Y23" s="34" t="s">
        <v>44</v>
      </c>
      <c r="Z23" s="34">
        <f t="shared" si="1"/>
        <v>20</v>
      </c>
      <c r="AA23" s="52">
        <f t="shared" ref="AA23:AA26" si="8">SUM(I23,W23)</f>
        <v>17280900</v>
      </c>
      <c r="AB23" s="41">
        <f t="shared" si="5"/>
        <v>66.666666666666657</v>
      </c>
      <c r="AC23" s="34" t="s">
        <v>44</v>
      </c>
      <c r="AD23" s="54">
        <f t="shared" ref="AD23:AD24" si="9">AA23/G23*100</f>
        <v>74.930731707317079</v>
      </c>
      <c r="AE23" s="17"/>
      <c r="AF23" s="2"/>
      <c r="AG23" s="2"/>
      <c r="AH23" s="55"/>
      <c r="AI23" s="2"/>
      <c r="AJ23" s="2"/>
      <c r="AK23" s="2"/>
    </row>
    <row r="24" spans="1:37" ht="34.5" customHeight="1">
      <c r="A24" s="43"/>
      <c r="B24" s="39" t="s">
        <v>67</v>
      </c>
      <c r="C24" s="46" t="s">
        <v>68</v>
      </c>
      <c r="D24" s="47" t="s">
        <v>69</v>
      </c>
      <c r="E24" s="48">
        <v>15</v>
      </c>
      <c r="F24" s="49" t="s">
        <v>62</v>
      </c>
      <c r="G24" s="50">
        <v>8899800</v>
      </c>
      <c r="H24" s="51">
        <v>5</v>
      </c>
      <c r="I24" s="50"/>
      <c r="J24" s="51">
        <v>5</v>
      </c>
      <c r="K24" s="50">
        <v>3900000</v>
      </c>
      <c r="L24" s="51">
        <v>1</v>
      </c>
      <c r="M24" s="50">
        <v>0</v>
      </c>
      <c r="N24" s="51">
        <v>1</v>
      </c>
      <c r="O24" s="50">
        <v>875000</v>
      </c>
      <c r="P24" s="51">
        <v>1</v>
      </c>
      <c r="Q24" s="50">
        <v>0</v>
      </c>
      <c r="R24" s="51">
        <v>1</v>
      </c>
      <c r="S24" s="50">
        <f>1237500-O24</f>
        <v>362500</v>
      </c>
      <c r="T24" s="34">
        <f t="shared" si="0"/>
        <v>4</v>
      </c>
      <c r="U24" s="34">
        <f t="shared" si="4"/>
        <v>80</v>
      </c>
      <c r="V24" s="34" t="s">
        <v>44</v>
      </c>
      <c r="W24" s="52">
        <f t="shared" si="6"/>
        <v>1237500</v>
      </c>
      <c r="X24" s="53">
        <f t="shared" si="7"/>
        <v>31.73076923076923</v>
      </c>
      <c r="Y24" s="34" t="s">
        <v>44</v>
      </c>
      <c r="Z24" s="34">
        <f t="shared" si="1"/>
        <v>9</v>
      </c>
      <c r="AA24" s="52">
        <f t="shared" si="8"/>
        <v>1237500</v>
      </c>
      <c r="AB24" s="41">
        <f t="shared" si="5"/>
        <v>60</v>
      </c>
      <c r="AC24" s="34" t="s">
        <v>44</v>
      </c>
      <c r="AD24" s="54">
        <f t="shared" si="9"/>
        <v>13.904806849592125</v>
      </c>
      <c r="AE24" s="17"/>
      <c r="AF24" s="2"/>
      <c r="AG24" s="2"/>
      <c r="AH24" s="55"/>
      <c r="AI24" s="2"/>
      <c r="AJ24" s="2"/>
      <c r="AK24" s="2"/>
    </row>
    <row r="25" spans="1:37" ht="279.75" customHeight="1">
      <c r="A25" s="43"/>
      <c r="B25" s="39" t="s">
        <v>70</v>
      </c>
      <c r="C25" s="56" t="s">
        <v>71</v>
      </c>
      <c r="D25" s="57" t="s">
        <v>72</v>
      </c>
      <c r="E25" s="48">
        <v>10</v>
      </c>
      <c r="F25" s="49" t="s">
        <v>73</v>
      </c>
      <c r="G25" s="50">
        <v>0</v>
      </c>
      <c r="H25" s="51">
        <v>10</v>
      </c>
      <c r="I25" s="50">
        <v>4980000</v>
      </c>
      <c r="J25" s="51"/>
      <c r="K25" s="58"/>
      <c r="L25" s="59"/>
      <c r="M25" s="58"/>
      <c r="N25" s="59"/>
      <c r="O25" s="58"/>
      <c r="P25" s="59"/>
      <c r="Q25" s="58"/>
      <c r="R25" s="59"/>
      <c r="S25" s="58"/>
      <c r="T25" s="34"/>
      <c r="U25" s="34"/>
      <c r="V25" s="34"/>
      <c r="W25" s="52"/>
      <c r="X25" s="60"/>
      <c r="Y25" s="34"/>
      <c r="Z25" s="34">
        <f t="shared" si="1"/>
        <v>10</v>
      </c>
      <c r="AA25" s="52">
        <f t="shared" si="8"/>
        <v>4980000</v>
      </c>
      <c r="AB25" s="41">
        <f t="shared" si="5"/>
        <v>100</v>
      </c>
      <c r="AC25" s="34" t="s">
        <v>44</v>
      </c>
      <c r="AD25" s="34">
        <v>100</v>
      </c>
      <c r="AE25" s="17"/>
      <c r="AF25" s="2"/>
      <c r="AG25" s="2"/>
      <c r="AH25" s="55"/>
      <c r="AI25" s="2"/>
      <c r="AJ25" s="2"/>
      <c r="AK25" s="2"/>
    </row>
    <row r="26" spans="1:37" ht="99" customHeight="1">
      <c r="A26" s="43"/>
      <c r="B26" s="232" t="s">
        <v>74</v>
      </c>
      <c r="C26" s="233" t="s">
        <v>75</v>
      </c>
      <c r="D26" s="23" t="s">
        <v>76</v>
      </c>
      <c r="E26" s="62">
        <f>12*3</f>
        <v>36</v>
      </c>
      <c r="F26" s="63" t="s">
        <v>62</v>
      </c>
      <c r="G26" s="227">
        <f>SUM(G31)</f>
        <v>144315686612</v>
      </c>
      <c r="H26" s="62">
        <v>12</v>
      </c>
      <c r="I26" s="227">
        <f>SUM(I31)</f>
        <v>66502507313</v>
      </c>
      <c r="J26" s="62">
        <v>12</v>
      </c>
      <c r="K26" s="227">
        <f>SUM(K31)</f>
        <v>72941282950</v>
      </c>
      <c r="L26" s="28">
        <v>3</v>
      </c>
      <c r="M26" s="227">
        <f>SUM(M31)</f>
        <v>11309675865</v>
      </c>
      <c r="N26" s="28">
        <v>5</v>
      </c>
      <c r="O26" s="227">
        <f>O31</f>
        <v>18814626936</v>
      </c>
      <c r="P26" s="28">
        <v>3</v>
      </c>
      <c r="Q26" s="227">
        <f>Q31</f>
        <v>17258487267</v>
      </c>
      <c r="R26" s="28">
        <v>3</v>
      </c>
      <c r="S26" s="227">
        <v>15940520142</v>
      </c>
      <c r="T26" s="30">
        <f t="shared" ref="T26:T30" si="10">SUM(L26,N26,P26,R26)</f>
        <v>14</v>
      </c>
      <c r="U26" s="40">
        <f t="shared" ref="U26:U69" si="11">T26/J26*100</f>
        <v>116.66666666666667</v>
      </c>
      <c r="V26" s="30" t="s">
        <v>44</v>
      </c>
      <c r="W26" s="222">
        <f>SUM(M26,O26,Q26,S26)</f>
        <v>63323310210</v>
      </c>
      <c r="X26" s="220">
        <f>W26/K26*100</f>
        <v>86.814088879416957</v>
      </c>
      <c r="Y26" s="221" t="s">
        <v>44</v>
      </c>
      <c r="Z26" s="65">
        <f t="shared" si="1"/>
        <v>26</v>
      </c>
      <c r="AA26" s="222">
        <f t="shared" si="8"/>
        <v>129825817523</v>
      </c>
      <c r="AB26" s="41">
        <f t="shared" si="5"/>
        <v>72.222222222222214</v>
      </c>
      <c r="AC26" s="34" t="s">
        <v>44</v>
      </c>
      <c r="AD26" s="223">
        <f>AA26/G26*100</f>
        <v>89.959602154714659</v>
      </c>
      <c r="AE26" s="35"/>
      <c r="AF26" s="36"/>
      <c r="AG26" s="36"/>
      <c r="AH26" s="37">
        <f>M26+O26+Q26+S26</f>
        <v>63323310210</v>
      </c>
      <c r="AI26" s="36"/>
      <c r="AJ26" s="36"/>
      <c r="AK26" s="36"/>
    </row>
    <row r="27" spans="1:37" ht="99" customHeight="1">
      <c r="A27" s="43"/>
      <c r="B27" s="182"/>
      <c r="C27" s="182"/>
      <c r="D27" s="44" t="s">
        <v>77</v>
      </c>
      <c r="E27" s="62">
        <v>3</v>
      </c>
      <c r="F27" s="63" t="s">
        <v>62</v>
      </c>
      <c r="G27" s="182"/>
      <c r="H27" s="62">
        <v>1</v>
      </c>
      <c r="I27" s="182"/>
      <c r="J27" s="62">
        <v>1</v>
      </c>
      <c r="K27" s="182"/>
      <c r="L27" s="28">
        <v>0</v>
      </c>
      <c r="M27" s="182"/>
      <c r="N27" s="28">
        <v>0</v>
      </c>
      <c r="O27" s="182"/>
      <c r="P27" s="28">
        <v>0</v>
      </c>
      <c r="Q27" s="182"/>
      <c r="R27" s="28">
        <v>1</v>
      </c>
      <c r="S27" s="182"/>
      <c r="T27" s="30">
        <f t="shared" si="10"/>
        <v>1</v>
      </c>
      <c r="U27" s="40">
        <f t="shared" si="11"/>
        <v>100</v>
      </c>
      <c r="V27" s="30" t="s">
        <v>44</v>
      </c>
      <c r="W27" s="182"/>
      <c r="X27" s="182"/>
      <c r="Y27" s="182"/>
      <c r="Z27" s="65">
        <f t="shared" si="1"/>
        <v>2</v>
      </c>
      <c r="AA27" s="182"/>
      <c r="AB27" s="41">
        <f t="shared" si="5"/>
        <v>66.666666666666657</v>
      </c>
      <c r="AC27" s="34" t="s">
        <v>44</v>
      </c>
      <c r="AD27" s="182"/>
      <c r="AE27" s="35"/>
      <c r="AF27" s="36"/>
      <c r="AG27" s="36"/>
      <c r="AH27" s="37"/>
      <c r="AI27" s="36"/>
      <c r="AJ27" s="36"/>
      <c r="AK27" s="36"/>
    </row>
    <row r="28" spans="1:37" ht="99" customHeight="1">
      <c r="A28" s="43"/>
      <c r="B28" s="182"/>
      <c r="C28" s="182"/>
      <c r="D28" s="44" t="s">
        <v>78</v>
      </c>
      <c r="E28" s="62">
        <f>16*3</f>
        <v>48</v>
      </c>
      <c r="F28" s="63" t="s">
        <v>62</v>
      </c>
      <c r="G28" s="182"/>
      <c r="H28" s="62">
        <v>16</v>
      </c>
      <c r="I28" s="182"/>
      <c r="J28" s="62">
        <v>16</v>
      </c>
      <c r="K28" s="182"/>
      <c r="L28" s="28">
        <v>4</v>
      </c>
      <c r="M28" s="182"/>
      <c r="N28" s="28">
        <v>4</v>
      </c>
      <c r="O28" s="182"/>
      <c r="P28" s="28">
        <v>4</v>
      </c>
      <c r="Q28" s="182"/>
      <c r="R28" s="28">
        <v>4</v>
      </c>
      <c r="S28" s="182"/>
      <c r="T28" s="30">
        <f t="shared" si="10"/>
        <v>16</v>
      </c>
      <c r="U28" s="40">
        <f t="shared" si="11"/>
        <v>100</v>
      </c>
      <c r="V28" s="30" t="s">
        <v>44</v>
      </c>
      <c r="W28" s="182"/>
      <c r="X28" s="182"/>
      <c r="Y28" s="182"/>
      <c r="Z28" s="65">
        <f t="shared" si="1"/>
        <v>32</v>
      </c>
      <c r="AA28" s="182"/>
      <c r="AB28" s="41">
        <f t="shared" si="5"/>
        <v>66.666666666666657</v>
      </c>
      <c r="AC28" s="34" t="s">
        <v>44</v>
      </c>
      <c r="AD28" s="182"/>
      <c r="AE28" s="35"/>
      <c r="AF28" s="36"/>
      <c r="AG28" s="36"/>
      <c r="AH28" s="37"/>
      <c r="AI28" s="36"/>
      <c r="AJ28" s="36"/>
      <c r="AK28" s="36"/>
    </row>
    <row r="29" spans="1:37" ht="99" customHeight="1">
      <c r="A29" s="43"/>
      <c r="B29" s="183"/>
      <c r="C29" s="182"/>
      <c r="D29" s="44" t="s">
        <v>79</v>
      </c>
      <c r="E29" s="62">
        <v>3</v>
      </c>
      <c r="F29" s="63" t="s">
        <v>62</v>
      </c>
      <c r="G29" s="182"/>
      <c r="H29" s="62">
        <v>1</v>
      </c>
      <c r="I29" s="182"/>
      <c r="J29" s="62">
        <v>1</v>
      </c>
      <c r="K29" s="182"/>
      <c r="L29" s="28">
        <v>0</v>
      </c>
      <c r="M29" s="182"/>
      <c r="N29" s="28">
        <v>0</v>
      </c>
      <c r="O29" s="182"/>
      <c r="P29" s="28">
        <v>0</v>
      </c>
      <c r="Q29" s="182"/>
      <c r="R29" s="28">
        <v>1</v>
      </c>
      <c r="S29" s="182"/>
      <c r="T29" s="30">
        <f t="shared" si="10"/>
        <v>1</v>
      </c>
      <c r="U29" s="40">
        <f t="shared" si="11"/>
        <v>100</v>
      </c>
      <c r="V29" s="30" t="s">
        <v>44</v>
      </c>
      <c r="W29" s="182"/>
      <c r="X29" s="182"/>
      <c r="Y29" s="182"/>
      <c r="Z29" s="65">
        <f t="shared" si="1"/>
        <v>2</v>
      </c>
      <c r="AA29" s="182"/>
      <c r="AB29" s="41">
        <f t="shared" si="5"/>
        <v>66.666666666666657</v>
      </c>
      <c r="AC29" s="34" t="s">
        <v>44</v>
      </c>
      <c r="AD29" s="182"/>
      <c r="AE29" s="35"/>
      <c r="AF29" s="36"/>
      <c r="AG29" s="36"/>
      <c r="AH29" s="37"/>
      <c r="AI29" s="36"/>
      <c r="AJ29" s="36"/>
      <c r="AK29" s="36"/>
    </row>
    <row r="30" spans="1:37" ht="99" customHeight="1">
      <c r="A30" s="43"/>
      <c r="B30" s="23" t="s">
        <v>80</v>
      </c>
      <c r="C30" s="183"/>
      <c r="D30" s="44" t="s">
        <v>81</v>
      </c>
      <c r="E30" s="62">
        <v>36</v>
      </c>
      <c r="F30" s="63" t="s">
        <v>62</v>
      </c>
      <c r="G30" s="183"/>
      <c r="H30" s="62">
        <v>12</v>
      </c>
      <c r="I30" s="183"/>
      <c r="J30" s="62">
        <v>12</v>
      </c>
      <c r="K30" s="183"/>
      <c r="L30" s="28">
        <v>3</v>
      </c>
      <c r="M30" s="183"/>
      <c r="N30" s="28">
        <v>3</v>
      </c>
      <c r="O30" s="183"/>
      <c r="P30" s="28">
        <v>3</v>
      </c>
      <c r="Q30" s="183"/>
      <c r="R30" s="28">
        <v>3</v>
      </c>
      <c r="S30" s="183"/>
      <c r="T30" s="30">
        <f t="shared" si="10"/>
        <v>12</v>
      </c>
      <c r="U30" s="40">
        <f t="shared" si="11"/>
        <v>100</v>
      </c>
      <c r="V30" s="30" t="s">
        <v>44</v>
      </c>
      <c r="W30" s="183"/>
      <c r="X30" s="183"/>
      <c r="Y30" s="183"/>
      <c r="Z30" s="65">
        <f t="shared" si="1"/>
        <v>24</v>
      </c>
      <c r="AA30" s="183"/>
      <c r="AB30" s="41">
        <f t="shared" si="5"/>
        <v>66.666666666666657</v>
      </c>
      <c r="AC30" s="34" t="s">
        <v>44</v>
      </c>
      <c r="AD30" s="183"/>
      <c r="AE30" s="35"/>
      <c r="AF30" s="36"/>
      <c r="AG30" s="36"/>
      <c r="AH30" s="37"/>
      <c r="AI30" s="36"/>
      <c r="AJ30" s="36"/>
      <c r="AK30" s="36"/>
    </row>
    <row r="31" spans="1:37" ht="63">
      <c r="A31" s="43"/>
      <c r="B31" s="23" t="s">
        <v>82</v>
      </c>
      <c r="C31" s="46" t="s">
        <v>83</v>
      </c>
      <c r="D31" s="46" t="s">
        <v>84</v>
      </c>
      <c r="E31" s="48">
        <v>733</v>
      </c>
      <c r="F31" s="49" t="s">
        <v>85</v>
      </c>
      <c r="G31" s="50">
        <v>144315686612</v>
      </c>
      <c r="H31" s="51">
        <v>694</v>
      </c>
      <c r="I31" s="50">
        <v>66502507313</v>
      </c>
      <c r="J31" s="51">
        <v>773</v>
      </c>
      <c r="K31" s="50">
        <v>72941282950</v>
      </c>
      <c r="L31" s="51">
        <v>671</v>
      </c>
      <c r="M31" s="50">
        <v>11309675865</v>
      </c>
      <c r="N31" s="51">
        <v>700</v>
      </c>
      <c r="O31" s="50">
        <f>30124302801-M31</f>
        <v>18814626936</v>
      </c>
      <c r="P31" s="51">
        <v>770</v>
      </c>
      <c r="Q31" s="50">
        <f>47382790068-M31-O31</f>
        <v>17258487267</v>
      </c>
      <c r="R31" s="51">
        <v>764</v>
      </c>
      <c r="S31" s="50">
        <f>63323310210-M31-O31-Q31</f>
        <v>15940520142</v>
      </c>
      <c r="T31" s="33">
        <f t="shared" ref="T31:T32" si="12">AVERAGE(L31,N31,P31,R31)</f>
        <v>726.25</v>
      </c>
      <c r="U31" s="60">
        <f t="shared" si="11"/>
        <v>93.952134540750322</v>
      </c>
      <c r="V31" s="34" t="s">
        <v>44</v>
      </c>
      <c r="W31" s="52">
        <f t="shared" ref="W31:W32" si="13">SUM(M31,O31,Q31,S31)</f>
        <v>63323310210</v>
      </c>
      <c r="X31" s="60">
        <f t="shared" ref="X31:X32" si="14">W31/K31*100</f>
        <v>86.814088879416957</v>
      </c>
      <c r="Y31" s="34" t="s">
        <v>44</v>
      </c>
      <c r="Z31" s="33">
        <f t="shared" ref="Z31:Z32" si="15">AVERAGE(H31,T31)</f>
        <v>710.125</v>
      </c>
      <c r="AA31" s="52">
        <f t="shared" ref="AA31:AA32" si="16">SUM(I31,W31)</f>
        <v>129825817523</v>
      </c>
      <c r="AB31" s="41">
        <f t="shared" si="5"/>
        <v>96.879263301500686</v>
      </c>
      <c r="AC31" s="34" t="s">
        <v>44</v>
      </c>
      <c r="AD31" s="54">
        <f t="shared" ref="AD31:AD32" si="17">AA31/G31*100</f>
        <v>89.959602154714659</v>
      </c>
      <c r="AE31" s="17"/>
      <c r="AF31" s="2"/>
      <c r="AG31" s="2"/>
      <c r="AH31" s="55">
        <f t="shared" ref="AH31:AH32" si="18">M31+O31+Q31+S31</f>
        <v>63323310210</v>
      </c>
      <c r="AI31" s="2"/>
      <c r="AJ31" s="2"/>
      <c r="AK31" s="2"/>
    </row>
    <row r="32" spans="1:37" ht="94.5">
      <c r="A32" s="43"/>
      <c r="B32" s="23" t="s">
        <v>86</v>
      </c>
      <c r="C32" s="232" t="s">
        <v>87</v>
      </c>
      <c r="D32" s="23" t="s">
        <v>88</v>
      </c>
      <c r="E32" s="62">
        <v>100</v>
      </c>
      <c r="F32" s="63" t="s">
        <v>44</v>
      </c>
      <c r="G32" s="227">
        <f>SUM(G34)</f>
        <v>38925000</v>
      </c>
      <c r="H32" s="62">
        <v>100</v>
      </c>
      <c r="I32" s="227">
        <f>SUM(I34)</f>
        <v>12975000</v>
      </c>
      <c r="J32" s="62">
        <v>100</v>
      </c>
      <c r="K32" s="227">
        <f>SUM(K34)</f>
        <v>12975000</v>
      </c>
      <c r="L32" s="28">
        <v>100</v>
      </c>
      <c r="M32" s="227">
        <f>SUM(M34)</f>
        <v>0</v>
      </c>
      <c r="N32" s="28">
        <v>100</v>
      </c>
      <c r="O32" s="227">
        <f>O34</f>
        <v>0</v>
      </c>
      <c r="P32" s="28">
        <v>100</v>
      </c>
      <c r="Q32" s="227">
        <f>Q34</f>
        <v>0</v>
      </c>
      <c r="R32" s="28">
        <v>100</v>
      </c>
      <c r="S32" s="227">
        <v>0</v>
      </c>
      <c r="T32" s="30">
        <f t="shared" si="12"/>
        <v>100</v>
      </c>
      <c r="U32" s="40">
        <f t="shared" si="11"/>
        <v>100</v>
      </c>
      <c r="V32" s="30" t="s">
        <v>44</v>
      </c>
      <c r="W32" s="222">
        <f t="shared" si="13"/>
        <v>0</v>
      </c>
      <c r="X32" s="220">
        <f t="shared" si="14"/>
        <v>0</v>
      </c>
      <c r="Y32" s="221" t="s">
        <v>44</v>
      </c>
      <c r="Z32" s="65">
        <f t="shared" si="15"/>
        <v>100</v>
      </c>
      <c r="AA32" s="222">
        <f t="shared" si="16"/>
        <v>12975000</v>
      </c>
      <c r="AB32" s="41">
        <f t="shared" si="5"/>
        <v>100</v>
      </c>
      <c r="AC32" s="34" t="s">
        <v>44</v>
      </c>
      <c r="AD32" s="226">
        <f t="shared" si="17"/>
        <v>33.333333333333329</v>
      </c>
      <c r="AE32" s="35"/>
      <c r="AF32" s="36"/>
      <c r="AG32" s="36"/>
      <c r="AH32" s="37">
        <f t="shared" si="18"/>
        <v>0</v>
      </c>
      <c r="AI32" s="36"/>
      <c r="AJ32" s="36"/>
      <c r="AK32" s="36"/>
    </row>
    <row r="33" spans="1:37" ht="189">
      <c r="A33" s="43"/>
      <c r="B33" s="23" t="s">
        <v>89</v>
      </c>
      <c r="C33" s="183"/>
      <c r="D33" s="44" t="s">
        <v>90</v>
      </c>
      <c r="E33" s="62">
        <v>36</v>
      </c>
      <c r="F33" s="63" t="s">
        <v>73</v>
      </c>
      <c r="G33" s="183"/>
      <c r="H33" s="62">
        <v>12</v>
      </c>
      <c r="I33" s="183"/>
      <c r="J33" s="66">
        <v>12</v>
      </c>
      <c r="K33" s="183"/>
      <c r="L33" s="28">
        <v>3</v>
      </c>
      <c r="M33" s="183"/>
      <c r="N33" s="28">
        <v>3</v>
      </c>
      <c r="O33" s="183"/>
      <c r="P33" s="28">
        <v>3</v>
      </c>
      <c r="Q33" s="183"/>
      <c r="R33" s="28">
        <v>3</v>
      </c>
      <c r="S33" s="183"/>
      <c r="T33" s="30">
        <f t="shared" ref="T33:T56" si="19">SUM(L33,N33,P33,R33)</f>
        <v>12</v>
      </c>
      <c r="U33" s="40">
        <f t="shared" si="11"/>
        <v>100</v>
      </c>
      <c r="V33" s="30"/>
      <c r="W33" s="183"/>
      <c r="X33" s="183"/>
      <c r="Y33" s="183"/>
      <c r="Z33" s="65">
        <f t="shared" ref="Z33:Z287" si="20">SUM(H33,T33)</f>
        <v>24</v>
      </c>
      <c r="AA33" s="183"/>
      <c r="AB33" s="41">
        <f t="shared" si="5"/>
        <v>66.666666666666657</v>
      </c>
      <c r="AC33" s="34" t="s">
        <v>44</v>
      </c>
      <c r="AD33" s="183"/>
      <c r="AE33" s="35"/>
      <c r="AF33" s="36"/>
      <c r="AG33" s="36"/>
      <c r="AH33" s="37"/>
      <c r="AI33" s="36"/>
      <c r="AJ33" s="36"/>
      <c r="AK33" s="36"/>
    </row>
    <row r="34" spans="1:37" ht="94.5">
      <c r="A34" s="43"/>
      <c r="B34" s="23" t="s">
        <v>91</v>
      </c>
      <c r="C34" s="46" t="s">
        <v>92</v>
      </c>
      <c r="D34" s="46" t="s">
        <v>93</v>
      </c>
      <c r="E34" s="48">
        <f>4*3</f>
        <v>12</v>
      </c>
      <c r="F34" s="49" t="s">
        <v>62</v>
      </c>
      <c r="G34" s="50">
        <f>12975000*3</f>
        <v>38925000</v>
      </c>
      <c r="H34" s="51">
        <v>4</v>
      </c>
      <c r="I34" s="50">
        <v>12975000</v>
      </c>
      <c r="J34" s="51">
        <v>4</v>
      </c>
      <c r="K34" s="50">
        <v>12975000</v>
      </c>
      <c r="L34" s="51">
        <v>0</v>
      </c>
      <c r="M34" s="50">
        <v>0</v>
      </c>
      <c r="N34" s="51">
        <v>0</v>
      </c>
      <c r="O34" s="50">
        <v>0</v>
      </c>
      <c r="P34" s="51">
        <v>0</v>
      </c>
      <c r="Q34" s="50">
        <v>0</v>
      </c>
      <c r="R34" s="51">
        <v>0</v>
      </c>
      <c r="S34" s="50">
        <v>0</v>
      </c>
      <c r="T34" s="34">
        <f t="shared" si="19"/>
        <v>0</v>
      </c>
      <c r="U34" s="34">
        <f t="shared" si="11"/>
        <v>0</v>
      </c>
      <c r="V34" s="34" t="s">
        <v>44</v>
      </c>
      <c r="W34" s="52">
        <f t="shared" ref="W34:W35" si="21">SUM(M34,O34,Q34,S34)</f>
        <v>0</v>
      </c>
      <c r="X34" s="60">
        <f t="shared" ref="X34:X35" si="22">W34/K34*100</f>
        <v>0</v>
      </c>
      <c r="Y34" s="34" t="s">
        <v>44</v>
      </c>
      <c r="Z34" s="34">
        <f t="shared" si="20"/>
        <v>4</v>
      </c>
      <c r="AA34" s="52">
        <f t="shared" ref="AA34:AA35" si="23">SUM(I34,W34)</f>
        <v>12975000</v>
      </c>
      <c r="AB34" s="41">
        <f t="shared" si="5"/>
        <v>33.333333333333329</v>
      </c>
      <c r="AC34" s="34" t="s">
        <v>44</v>
      </c>
      <c r="AD34" s="34"/>
      <c r="AE34" s="17"/>
      <c r="AF34" s="2"/>
      <c r="AG34" s="2"/>
      <c r="AH34" s="55">
        <f>M34+O34+Q34+S34</f>
        <v>0</v>
      </c>
      <c r="AI34" s="2"/>
      <c r="AJ34" s="2"/>
      <c r="AK34" s="2"/>
    </row>
    <row r="35" spans="1:37" ht="99" customHeight="1">
      <c r="A35" s="43"/>
      <c r="B35" s="39" t="s">
        <v>94</v>
      </c>
      <c r="C35" s="39" t="s">
        <v>95</v>
      </c>
      <c r="D35" s="23" t="s">
        <v>96</v>
      </c>
      <c r="E35" s="62">
        <v>100</v>
      </c>
      <c r="F35" s="63" t="s">
        <v>44</v>
      </c>
      <c r="G35" s="227">
        <f>SUM(G40:G44)</f>
        <v>1175327935</v>
      </c>
      <c r="H35" s="62">
        <v>100</v>
      </c>
      <c r="I35" s="227">
        <f>SUM(I40:I44)</f>
        <v>691486738</v>
      </c>
      <c r="J35" s="62">
        <v>100</v>
      </c>
      <c r="K35" s="227">
        <f>SUM(K40:K44)</f>
        <v>589160050</v>
      </c>
      <c r="L35" s="62">
        <v>0</v>
      </c>
      <c r="M35" s="227">
        <f>SUM(M40:M44)</f>
        <v>29938900</v>
      </c>
      <c r="N35" s="65">
        <v>100</v>
      </c>
      <c r="O35" s="227">
        <f>SUM(O40:O44)</f>
        <v>146243050</v>
      </c>
      <c r="P35" s="65">
        <v>0</v>
      </c>
      <c r="Q35" s="227">
        <f t="shared" ref="Q35:S35" si="24">SUM(Q40:Q44)</f>
        <v>41593013</v>
      </c>
      <c r="R35" s="67">
        <f t="shared" si="24"/>
        <v>12</v>
      </c>
      <c r="S35" s="227">
        <f t="shared" si="24"/>
        <v>333123891</v>
      </c>
      <c r="T35" s="65">
        <f t="shared" si="19"/>
        <v>112</v>
      </c>
      <c r="U35" s="30">
        <f t="shared" si="11"/>
        <v>112.00000000000001</v>
      </c>
      <c r="V35" s="30" t="s">
        <v>44</v>
      </c>
      <c r="W35" s="222">
        <f t="shared" si="21"/>
        <v>550898854</v>
      </c>
      <c r="X35" s="220">
        <f t="shared" si="22"/>
        <v>93.505806104809722</v>
      </c>
      <c r="Y35" s="221" t="s">
        <v>44</v>
      </c>
      <c r="Z35" s="65">
        <f t="shared" si="20"/>
        <v>212</v>
      </c>
      <c r="AA35" s="222">
        <f t="shared" si="23"/>
        <v>1242385592</v>
      </c>
      <c r="AB35" s="41">
        <f t="shared" si="5"/>
        <v>212</v>
      </c>
      <c r="AC35" s="34" t="s">
        <v>44</v>
      </c>
      <c r="AD35" s="221"/>
      <c r="AE35" s="42"/>
      <c r="AF35" s="36"/>
      <c r="AG35" s="36"/>
      <c r="AH35" s="37"/>
      <c r="AI35" s="36"/>
      <c r="AJ35" s="36"/>
      <c r="AK35" s="36"/>
    </row>
    <row r="36" spans="1:37" ht="99" customHeight="1">
      <c r="A36" s="43"/>
      <c r="B36" s="39"/>
      <c r="C36" s="39"/>
      <c r="D36" s="23" t="s">
        <v>97</v>
      </c>
      <c r="E36" s="62">
        <v>100</v>
      </c>
      <c r="F36" s="63" t="s">
        <v>44</v>
      </c>
      <c r="G36" s="182"/>
      <c r="H36" s="62">
        <v>100</v>
      </c>
      <c r="I36" s="182"/>
      <c r="J36" s="62">
        <v>100</v>
      </c>
      <c r="K36" s="182"/>
      <c r="L36" s="62">
        <v>25</v>
      </c>
      <c r="M36" s="182"/>
      <c r="N36" s="65">
        <v>25</v>
      </c>
      <c r="O36" s="182"/>
      <c r="P36" s="65">
        <v>46</v>
      </c>
      <c r="Q36" s="182"/>
      <c r="R36" s="68">
        <v>3.8</v>
      </c>
      <c r="S36" s="182"/>
      <c r="T36" s="40">
        <f t="shared" si="19"/>
        <v>99.8</v>
      </c>
      <c r="U36" s="30">
        <f t="shared" si="11"/>
        <v>99.8</v>
      </c>
      <c r="V36" s="30" t="s">
        <v>44</v>
      </c>
      <c r="W36" s="182"/>
      <c r="X36" s="182"/>
      <c r="Y36" s="182"/>
      <c r="Z36" s="65">
        <f t="shared" si="20"/>
        <v>199.8</v>
      </c>
      <c r="AA36" s="182"/>
      <c r="AB36" s="41">
        <f t="shared" si="5"/>
        <v>199.8</v>
      </c>
      <c r="AC36" s="34" t="s">
        <v>44</v>
      </c>
      <c r="AD36" s="182"/>
      <c r="AE36" s="42"/>
      <c r="AF36" s="36"/>
      <c r="AG36" s="36"/>
      <c r="AH36" s="37"/>
      <c r="AI36" s="36"/>
      <c r="AJ36" s="36"/>
      <c r="AK36" s="36"/>
    </row>
    <row r="37" spans="1:37" ht="99" customHeight="1">
      <c r="A37" s="43"/>
      <c r="B37" s="39"/>
      <c r="C37" s="39"/>
      <c r="D37" s="23" t="s">
        <v>98</v>
      </c>
      <c r="E37" s="62">
        <v>100</v>
      </c>
      <c r="F37" s="63" t="s">
        <v>44</v>
      </c>
      <c r="G37" s="182"/>
      <c r="H37" s="62">
        <v>100</v>
      </c>
      <c r="I37" s="182"/>
      <c r="J37" s="62">
        <v>100</v>
      </c>
      <c r="K37" s="182"/>
      <c r="L37" s="69">
        <v>31.2</v>
      </c>
      <c r="M37" s="182"/>
      <c r="N37" s="40">
        <v>29.5</v>
      </c>
      <c r="O37" s="182"/>
      <c r="P37" s="40">
        <v>11.2</v>
      </c>
      <c r="Q37" s="182"/>
      <c r="R37" s="67">
        <v>0</v>
      </c>
      <c r="S37" s="182"/>
      <c r="T37" s="40">
        <f t="shared" si="19"/>
        <v>71.900000000000006</v>
      </c>
      <c r="U37" s="30">
        <f t="shared" si="11"/>
        <v>71.900000000000006</v>
      </c>
      <c r="V37" s="30" t="s">
        <v>44</v>
      </c>
      <c r="W37" s="182"/>
      <c r="X37" s="182"/>
      <c r="Y37" s="182"/>
      <c r="Z37" s="65">
        <f t="shared" si="20"/>
        <v>171.9</v>
      </c>
      <c r="AA37" s="182"/>
      <c r="AB37" s="41">
        <f t="shared" si="5"/>
        <v>171.9</v>
      </c>
      <c r="AC37" s="34" t="s">
        <v>44</v>
      </c>
      <c r="AD37" s="182"/>
      <c r="AE37" s="42"/>
      <c r="AF37" s="36"/>
      <c r="AG37" s="36"/>
      <c r="AH37" s="37"/>
      <c r="AI37" s="36"/>
      <c r="AJ37" s="36"/>
      <c r="AK37" s="36"/>
    </row>
    <row r="38" spans="1:37" ht="99" customHeight="1">
      <c r="A38" s="43"/>
      <c r="B38" s="39"/>
      <c r="C38" s="39"/>
      <c r="D38" s="23" t="s">
        <v>99</v>
      </c>
      <c r="E38" s="62">
        <v>100</v>
      </c>
      <c r="F38" s="63" t="s">
        <v>44</v>
      </c>
      <c r="G38" s="182"/>
      <c r="H38" s="62">
        <v>100</v>
      </c>
      <c r="I38" s="182"/>
      <c r="J38" s="62">
        <v>100</v>
      </c>
      <c r="K38" s="182"/>
      <c r="L38" s="70">
        <v>4.2</v>
      </c>
      <c r="M38" s="182"/>
      <c r="N38" s="40">
        <v>50.45</v>
      </c>
      <c r="O38" s="182"/>
      <c r="P38" s="65">
        <v>0</v>
      </c>
      <c r="Q38" s="182"/>
      <c r="R38" s="68">
        <v>4.7699999999999996</v>
      </c>
      <c r="S38" s="182"/>
      <c r="T38" s="40">
        <f t="shared" si="19"/>
        <v>59.42</v>
      </c>
      <c r="U38" s="30">
        <f t="shared" si="11"/>
        <v>59.420000000000009</v>
      </c>
      <c r="V38" s="30" t="s">
        <v>44</v>
      </c>
      <c r="W38" s="182"/>
      <c r="X38" s="182"/>
      <c r="Y38" s="182"/>
      <c r="Z38" s="65">
        <f t="shared" si="20"/>
        <v>159.42000000000002</v>
      </c>
      <c r="AA38" s="182"/>
      <c r="AB38" s="41">
        <f t="shared" si="5"/>
        <v>159.42000000000002</v>
      </c>
      <c r="AC38" s="34" t="s">
        <v>44</v>
      </c>
      <c r="AD38" s="182"/>
      <c r="AE38" s="42"/>
      <c r="AF38" s="36"/>
      <c r="AG38" s="36"/>
      <c r="AH38" s="37"/>
      <c r="AI38" s="36"/>
      <c r="AJ38" s="36"/>
      <c r="AK38" s="36"/>
    </row>
    <row r="39" spans="1:37" ht="99" customHeight="1">
      <c r="A39" s="43"/>
      <c r="B39" s="39"/>
      <c r="C39" s="39"/>
      <c r="D39" s="23" t="s">
        <v>100</v>
      </c>
      <c r="E39" s="62">
        <v>100</v>
      </c>
      <c r="F39" s="63" t="s">
        <v>44</v>
      </c>
      <c r="G39" s="183"/>
      <c r="H39" s="62">
        <v>100</v>
      </c>
      <c r="I39" s="183"/>
      <c r="J39" s="62">
        <v>100</v>
      </c>
      <c r="K39" s="183"/>
      <c r="L39" s="69">
        <v>11.97</v>
      </c>
      <c r="M39" s="183"/>
      <c r="N39" s="40">
        <v>25.72</v>
      </c>
      <c r="O39" s="183"/>
      <c r="P39" s="40">
        <v>7.07</v>
      </c>
      <c r="Q39" s="183"/>
      <c r="R39" s="68">
        <v>52.88</v>
      </c>
      <c r="S39" s="183"/>
      <c r="T39" s="40">
        <f t="shared" si="19"/>
        <v>97.64</v>
      </c>
      <c r="U39" s="30">
        <f t="shared" si="11"/>
        <v>97.64</v>
      </c>
      <c r="V39" s="30" t="s">
        <v>44</v>
      </c>
      <c r="W39" s="183"/>
      <c r="X39" s="183"/>
      <c r="Y39" s="183"/>
      <c r="Z39" s="65">
        <f t="shared" si="20"/>
        <v>197.64</v>
      </c>
      <c r="AA39" s="183"/>
      <c r="AB39" s="41">
        <f t="shared" si="5"/>
        <v>197.64</v>
      </c>
      <c r="AC39" s="34" t="s">
        <v>44</v>
      </c>
      <c r="AD39" s="183"/>
      <c r="AE39" s="42"/>
      <c r="AF39" s="36"/>
      <c r="AG39" s="36"/>
      <c r="AH39" s="37"/>
      <c r="AI39" s="36"/>
      <c r="AJ39" s="36"/>
      <c r="AK39" s="36"/>
    </row>
    <row r="40" spans="1:37" ht="117" customHeight="1">
      <c r="A40" s="43"/>
      <c r="B40" s="39" t="s">
        <v>101</v>
      </c>
      <c r="C40" s="47" t="s">
        <v>102</v>
      </c>
      <c r="D40" s="47" t="s">
        <v>103</v>
      </c>
      <c r="E40" s="48">
        <f t="shared" ref="E40:E44" si="25">12*3</f>
        <v>36</v>
      </c>
      <c r="F40" s="49" t="s">
        <v>104</v>
      </c>
      <c r="G40" s="50">
        <v>19800000</v>
      </c>
      <c r="H40" s="51">
        <v>12</v>
      </c>
      <c r="I40" s="50">
        <v>16294000</v>
      </c>
      <c r="J40" s="51">
        <v>12</v>
      </c>
      <c r="K40" s="50">
        <v>2400000</v>
      </c>
      <c r="L40" s="51">
        <v>0</v>
      </c>
      <c r="M40" s="50">
        <v>0</v>
      </c>
      <c r="N40" s="51">
        <v>12</v>
      </c>
      <c r="O40" s="50">
        <v>2400000</v>
      </c>
      <c r="P40" s="51">
        <v>0</v>
      </c>
      <c r="Q40" s="50">
        <v>0</v>
      </c>
      <c r="R40" s="51">
        <v>0</v>
      </c>
      <c r="S40" s="50">
        <v>0</v>
      </c>
      <c r="T40" s="34">
        <f t="shared" si="19"/>
        <v>12</v>
      </c>
      <c r="U40" s="34">
        <f t="shared" si="11"/>
        <v>100</v>
      </c>
      <c r="V40" s="34" t="s">
        <v>44</v>
      </c>
      <c r="W40" s="52">
        <f t="shared" ref="W40:W45" si="26">SUM(M40,O40,Q40,S40)</f>
        <v>2400000</v>
      </c>
      <c r="X40" s="60">
        <f t="shared" ref="X40:X45" si="27">W40/K40*100</f>
        <v>100</v>
      </c>
      <c r="Y40" s="34" t="s">
        <v>44</v>
      </c>
      <c r="Z40" s="34">
        <f t="shared" si="20"/>
        <v>24</v>
      </c>
      <c r="AA40" s="52">
        <f t="shared" ref="AA40:AA45" si="28">SUM(I40,W40)</f>
        <v>18694000</v>
      </c>
      <c r="AB40" s="41">
        <f t="shared" si="5"/>
        <v>66.666666666666657</v>
      </c>
      <c r="AC40" s="34" t="s">
        <v>44</v>
      </c>
      <c r="AD40" s="34"/>
      <c r="AE40" s="17"/>
      <c r="AF40" s="2"/>
      <c r="AG40" s="2"/>
      <c r="AH40" s="55"/>
      <c r="AI40" s="2"/>
      <c r="AJ40" s="2"/>
      <c r="AK40" s="2"/>
    </row>
    <row r="41" spans="1:37" ht="117" customHeight="1">
      <c r="A41" s="43"/>
      <c r="B41" s="39" t="s">
        <v>105</v>
      </c>
      <c r="C41" s="47" t="s">
        <v>106</v>
      </c>
      <c r="D41" s="47" t="s">
        <v>107</v>
      </c>
      <c r="E41" s="48">
        <f t="shared" si="25"/>
        <v>36</v>
      </c>
      <c r="F41" s="49" t="s">
        <v>104</v>
      </c>
      <c r="G41" s="50">
        <v>423853408</v>
      </c>
      <c r="H41" s="51">
        <v>12</v>
      </c>
      <c r="I41" s="50">
        <v>316442450</v>
      </c>
      <c r="J41" s="51">
        <v>12</v>
      </c>
      <c r="K41" s="50">
        <v>132964800</v>
      </c>
      <c r="L41" s="51">
        <v>3</v>
      </c>
      <c r="M41" s="50">
        <v>18256200</v>
      </c>
      <c r="N41" s="51">
        <v>3</v>
      </c>
      <c r="O41" s="50">
        <f>22946750-M41</f>
        <v>4690550</v>
      </c>
      <c r="P41" s="51">
        <v>3</v>
      </c>
      <c r="Q41" s="50">
        <f>35863375-M41-O41</f>
        <v>12916625</v>
      </c>
      <c r="R41" s="51">
        <v>3</v>
      </c>
      <c r="S41" s="50">
        <f>124200361-M41-O41-Q41</f>
        <v>88336986</v>
      </c>
      <c r="T41" s="34">
        <f t="shared" si="19"/>
        <v>12</v>
      </c>
      <c r="U41" s="34">
        <f t="shared" si="11"/>
        <v>100</v>
      </c>
      <c r="V41" s="34" t="s">
        <v>44</v>
      </c>
      <c r="W41" s="52">
        <f t="shared" si="26"/>
        <v>124200361</v>
      </c>
      <c r="X41" s="60">
        <f t="shared" si="27"/>
        <v>93.408451710527899</v>
      </c>
      <c r="Y41" s="34" t="s">
        <v>44</v>
      </c>
      <c r="Z41" s="34">
        <f t="shared" si="20"/>
        <v>24</v>
      </c>
      <c r="AA41" s="52">
        <f t="shared" si="28"/>
        <v>440642811</v>
      </c>
      <c r="AB41" s="41">
        <f t="shared" si="5"/>
        <v>66.666666666666657</v>
      </c>
      <c r="AC41" s="34" t="s">
        <v>44</v>
      </c>
      <c r="AD41" s="34"/>
      <c r="AE41" s="17"/>
      <c r="AF41" s="2"/>
      <c r="AG41" s="2"/>
      <c r="AH41" s="55"/>
      <c r="AI41" s="2"/>
      <c r="AJ41" s="2"/>
      <c r="AK41" s="2"/>
    </row>
    <row r="42" spans="1:37" ht="117" customHeight="1">
      <c r="A42" s="43"/>
      <c r="B42" s="39" t="s">
        <v>108</v>
      </c>
      <c r="C42" s="47" t="s">
        <v>109</v>
      </c>
      <c r="D42" s="46" t="s">
        <v>110</v>
      </c>
      <c r="E42" s="48">
        <f t="shared" si="25"/>
        <v>36</v>
      </c>
      <c r="F42" s="49" t="s">
        <v>104</v>
      </c>
      <c r="G42" s="71">
        <v>191120000</v>
      </c>
      <c r="H42" s="51">
        <v>12</v>
      </c>
      <c r="I42" s="71">
        <v>22361000</v>
      </c>
      <c r="J42" s="51">
        <v>12</v>
      </c>
      <c r="K42" s="50">
        <v>66830000</v>
      </c>
      <c r="L42" s="51">
        <v>3</v>
      </c>
      <c r="M42" s="50">
        <v>0</v>
      </c>
      <c r="N42" s="51">
        <v>3</v>
      </c>
      <c r="O42" s="50">
        <v>2870000</v>
      </c>
      <c r="P42" s="51">
        <v>3</v>
      </c>
      <c r="Q42" s="50">
        <f>4995000-O42</f>
        <v>2125000</v>
      </c>
      <c r="R42" s="51">
        <v>3</v>
      </c>
      <c r="S42" s="50">
        <f>51335500-M42-O42-Q42</f>
        <v>46340500</v>
      </c>
      <c r="T42" s="34">
        <f t="shared" si="19"/>
        <v>12</v>
      </c>
      <c r="U42" s="34">
        <f t="shared" si="11"/>
        <v>100</v>
      </c>
      <c r="V42" s="34" t="s">
        <v>44</v>
      </c>
      <c r="W42" s="52">
        <f t="shared" si="26"/>
        <v>51335500</v>
      </c>
      <c r="X42" s="60">
        <f t="shared" si="27"/>
        <v>76.815053119856344</v>
      </c>
      <c r="Y42" s="34" t="s">
        <v>44</v>
      </c>
      <c r="Z42" s="34">
        <f t="shared" si="20"/>
        <v>24</v>
      </c>
      <c r="AA42" s="52">
        <f t="shared" si="28"/>
        <v>73696500</v>
      </c>
      <c r="AB42" s="41">
        <f t="shared" si="5"/>
        <v>66.666666666666657</v>
      </c>
      <c r="AC42" s="34" t="s">
        <v>44</v>
      </c>
      <c r="AD42" s="34"/>
      <c r="AE42" s="17"/>
      <c r="AF42" s="2"/>
      <c r="AG42" s="2"/>
      <c r="AH42" s="55"/>
      <c r="AI42" s="2"/>
      <c r="AJ42" s="2"/>
      <c r="AK42" s="2"/>
    </row>
    <row r="43" spans="1:37" ht="117" customHeight="1">
      <c r="A43" s="43"/>
      <c r="B43" s="39" t="s">
        <v>111</v>
      </c>
      <c r="C43" s="47" t="s">
        <v>112</v>
      </c>
      <c r="D43" s="46" t="s">
        <v>113</v>
      </c>
      <c r="E43" s="48">
        <f t="shared" si="25"/>
        <v>36</v>
      </c>
      <c r="F43" s="49" t="s">
        <v>104</v>
      </c>
      <c r="G43" s="50">
        <v>24804050</v>
      </c>
      <c r="H43" s="51">
        <v>12</v>
      </c>
      <c r="I43" s="50">
        <v>12224700</v>
      </c>
      <c r="J43" s="51">
        <v>12</v>
      </c>
      <c r="K43" s="50">
        <v>12579250</v>
      </c>
      <c r="L43" s="51">
        <v>3</v>
      </c>
      <c r="M43" s="50">
        <v>530000</v>
      </c>
      <c r="N43" s="51">
        <v>3</v>
      </c>
      <c r="O43" s="50">
        <v>6344800</v>
      </c>
      <c r="P43" s="51">
        <v>3</v>
      </c>
      <c r="Q43" s="50">
        <f>6874800-M43-O43</f>
        <v>0</v>
      </c>
      <c r="R43" s="51">
        <v>3</v>
      </c>
      <c r="S43" s="50">
        <f>7424800-M43-O43-Q43</f>
        <v>550000</v>
      </c>
      <c r="T43" s="34">
        <f t="shared" si="19"/>
        <v>12</v>
      </c>
      <c r="U43" s="34">
        <f t="shared" si="11"/>
        <v>100</v>
      </c>
      <c r="V43" s="34" t="s">
        <v>44</v>
      </c>
      <c r="W43" s="52">
        <f t="shared" si="26"/>
        <v>7424800</v>
      </c>
      <c r="X43" s="60">
        <f t="shared" si="27"/>
        <v>59.02418665659718</v>
      </c>
      <c r="Y43" s="34" t="s">
        <v>44</v>
      </c>
      <c r="Z43" s="34">
        <f t="shared" si="20"/>
        <v>24</v>
      </c>
      <c r="AA43" s="52">
        <f t="shared" si="28"/>
        <v>19649500</v>
      </c>
      <c r="AB43" s="41">
        <f t="shared" si="5"/>
        <v>66.666666666666657</v>
      </c>
      <c r="AC43" s="34" t="s">
        <v>44</v>
      </c>
      <c r="AD43" s="34"/>
      <c r="AE43" s="17"/>
      <c r="AF43" s="2"/>
      <c r="AG43" s="2"/>
      <c r="AH43" s="55"/>
      <c r="AI43" s="2"/>
      <c r="AJ43" s="2"/>
      <c r="AK43" s="2"/>
    </row>
    <row r="44" spans="1:37" ht="117" customHeight="1">
      <c r="A44" s="43"/>
      <c r="B44" s="39" t="s">
        <v>114</v>
      </c>
      <c r="C44" s="47" t="s">
        <v>115</v>
      </c>
      <c r="D44" s="46" t="s">
        <v>116</v>
      </c>
      <c r="E44" s="48">
        <f t="shared" si="25"/>
        <v>36</v>
      </c>
      <c r="F44" s="49" t="s">
        <v>73</v>
      </c>
      <c r="G44" s="50">
        <v>515750477</v>
      </c>
      <c r="H44" s="51">
        <v>12</v>
      </c>
      <c r="I44" s="50">
        <v>324164588</v>
      </c>
      <c r="J44" s="51">
        <v>12</v>
      </c>
      <c r="K44" s="50">
        <v>374386000</v>
      </c>
      <c r="L44" s="51">
        <v>3</v>
      </c>
      <c r="M44" s="50">
        <v>11152700</v>
      </c>
      <c r="N44" s="51">
        <v>3</v>
      </c>
      <c r="O44" s="50">
        <f>141090400-M44</f>
        <v>129937700</v>
      </c>
      <c r="P44" s="51">
        <v>3</v>
      </c>
      <c r="Q44" s="50">
        <f>167641788-M44-O44</f>
        <v>26551388</v>
      </c>
      <c r="R44" s="51">
        <v>3</v>
      </c>
      <c r="S44" s="50">
        <f>365538193-M44-O44-Q44</f>
        <v>197896405</v>
      </c>
      <c r="T44" s="34">
        <f t="shared" si="19"/>
        <v>12</v>
      </c>
      <c r="U44" s="34">
        <f t="shared" si="11"/>
        <v>100</v>
      </c>
      <c r="V44" s="34" t="s">
        <v>44</v>
      </c>
      <c r="W44" s="52">
        <f t="shared" si="26"/>
        <v>365538193</v>
      </c>
      <c r="X44" s="60">
        <f t="shared" si="27"/>
        <v>97.636715315209429</v>
      </c>
      <c r="Y44" s="34" t="s">
        <v>44</v>
      </c>
      <c r="Z44" s="34">
        <f t="shared" si="20"/>
        <v>24</v>
      </c>
      <c r="AA44" s="52">
        <f t="shared" si="28"/>
        <v>689702781</v>
      </c>
      <c r="AB44" s="41">
        <f t="shared" si="5"/>
        <v>66.666666666666657</v>
      </c>
      <c r="AC44" s="34" t="s">
        <v>44</v>
      </c>
      <c r="AD44" s="34"/>
      <c r="AE44" s="17"/>
      <c r="AF44" s="2"/>
      <c r="AG44" s="2"/>
      <c r="AH44" s="55"/>
      <c r="AI44" s="2"/>
      <c r="AJ44" s="2"/>
      <c r="AK44" s="2"/>
    </row>
    <row r="45" spans="1:37" ht="102" customHeight="1">
      <c r="A45" s="43"/>
      <c r="B45" s="39" t="s">
        <v>117</v>
      </c>
      <c r="C45" s="232" t="s">
        <v>118</v>
      </c>
      <c r="D45" s="23" t="s">
        <v>119</v>
      </c>
      <c r="E45" s="38">
        <v>100</v>
      </c>
      <c r="F45" s="26" t="s">
        <v>44</v>
      </c>
      <c r="G45" s="227">
        <f>SUM(G48:G50)</f>
        <v>3708012100</v>
      </c>
      <c r="H45" s="28">
        <v>100</v>
      </c>
      <c r="I45" s="227">
        <f>SUM(I48:I50)</f>
        <v>1520845566</v>
      </c>
      <c r="J45" s="28">
        <v>100</v>
      </c>
      <c r="K45" s="227">
        <f>SUM(K48:K50)</f>
        <v>1969094100</v>
      </c>
      <c r="L45" s="28">
        <v>0</v>
      </c>
      <c r="M45" s="227">
        <f>SUM(M48:M50)</f>
        <v>225622928</v>
      </c>
      <c r="N45" s="65">
        <v>0</v>
      </c>
      <c r="O45" s="227">
        <f>SUM(O48:O50)</f>
        <v>383839018</v>
      </c>
      <c r="P45" s="65">
        <v>0</v>
      </c>
      <c r="Q45" s="227">
        <f t="shared" ref="Q45:S45" si="29">SUM(Q48:Q50)</f>
        <v>308220556</v>
      </c>
      <c r="R45" s="171">
        <v>83.11</v>
      </c>
      <c r="S45" s="227">
        <f t="shared" si="29"/>
        <v>424698238</v>
      </c>
      <c r="T45" s="40">
        <f>SUM(L45,N45,P45,R45)</f>
        <v>83.11</v>
      </c>
      <c r="U45" s="30">
        <f t="shared" si="11"/>
        <v>83.11</v>
      </c>
      <c r="V45" s="30" t="s">
        <v>44</v>
      </c>
      <c r="W45" s="222">
        <f t="shared" si="26"/>
        <v>1342380740</v>
      </c>
      <c r="X45" s="221">
        <f t="shared" si="27"/>
        <v>68.172503284632256</v>
      </c>
      <c r="Y45" s="221" t="s">
        <v>44</v>
      </c>
      <c r="Z45" s="30">
        <f t="shared" si="20"/>
        <v>183.11</v>
      </c>
      <c r="AA45" s="222">
        <f t="shared" si="28"/>
        <v>2863226306</v>
      </c>
      <c r="AB45" s="41">
        <f t="shared" si="5"/>
        <v>183.11</v>
      </c>
      <c r="AC45" s="34" t="s">
        <v>44</v>
      </c>
      <c r="AD45" s="226">
        <f>AA45/G45*100</f>
        <v>77.217285941434767</v>
      </c>
      <c r="AE45" s="42"/>
      <c r="AF45" s="36"/>
      <c r="AG45" s="36"/>
      <c r="AH45" s="37"/>
      <c r="AI45" s="36"/>
      <c r="AJ45" s="36"/>
      <c r="AK45" s="36"/>
    </row>
    <row r="46" spans="1:37" ht="114.75" customHeight="1">
      <c r="A46" s="43"/>
      <c r="B46" s="39"/>
      <c r="C46" s="182"/>
      <c r="D46" s="23" t="s">
        <v>120</v>
      </c>
      <c r="E46" s="38">
        <v>100</v>
      </c>
      <c r="F46" s="26" t="s">
        <v>44</v>
      </c>
      <c r="G46" s="182"/>
      <c r="H46" s="28">
        <v>100</v>
      </c>
      <c r="I46" s="182"/>
      <c r="J46" s="28">
        <v>100</v>
      </c>
      <c r="K46" s="182"/>
      <c r="L46" s="28">
        <v>16.940000000000001</v>
      </c>
      <c r="M46" s="182"/>
      <c r="N46" s="40">
        <v>17.829999999999998</v>
      </c>
      <c r="O46" s="182"/>
      <c r="P46" s="40">
        <v>25.77</v>
      </c>
      <c r="Q46" s="182"/>
      <c r="R46" s="171">
        <v>21.27</v>
      </c>
      <c r="S46" s="182"/>
      <c r="T46" s="40">
        <f>SUM(L46,N46,P46,R46)</f>
        <v>81.809999999999988</v>
      </c>
      <c r="U46" s="30">
        <f t="shared" si="11"/>
        <v>81.809999999999988</v>
      </c>
      <c r="V46" s="30" t="s">
        <v>44</v>
      </c>
      <c r="W46" s="182"/>
      <c r="X46" s="182"/>
      <c r="Y46" s="182"/>
      <c r="Z46" s="30">
        <f t="shared" si="20"/>
        <v>181.81</v>
      </c>
      <c r="AA46" s="182"/>
      <c r="AB46" s="41">
        <f t="shared" si="5"/>
        <v>181.81</v>
      </c>
      <c r="AC46" s="34" t="s">
        <v>44</v>
      </c>
      <c r="AD46" s="182"/>
      <c r="AE46" s="42"/>
      <c r="AF46" s="36"/>
      <c r="AG46" s="36"/>
      <c r="AH46" s="37"/>
      <c r="AI46" s="36"/>
      <c r="AJ46" s="36"/>
      <c r="AK46" s="36"/>
    </row>
    <row r="47" spans="1:37" ht="102" customHeight="1">
      <c r="A47" s="43"/>
      <c r="B47" s="39"/>
      <c r="C47" s="183"/>
      <c r="D47" s="23" t="s">
        <v>121</v>
      </c>
      <c r="E47" s="38">
        <v>100</v>
      </c>
      <c r="F47" s="26" t="s">
        <v>44</v>
      </c>
      <c r="G47" s="183"/>
      <c r="H47" s="28">
        <v>100</v>
      </c>
      <c r="I47" s="183"/>
      <c r="J47" s="28">
        <v>100</v>
      </c>
      <c r="K47" s="183"/>
      <c r="L47" s="28">
        <v>17.760000000000002</v>
      </c>
      <c r="M47" s="183"/>
      <c r="N47" s="40">
        <v>9.4600000000000009</v>
      </c>
      <c r="O47" s="183"/>
      <c r="P47" s="40">
        <v>12.3</v>
      </c>
      <c r="Q47" s="183"/>
      <c r="R47" s="171">
        <v>13.8</v>
      </c>
      <c r="S47" s="183"/>
      <c r="T47" s="30">
        <f t="shared" si="19"/>
        <v>53.320000000000007</v>
      </c>
      <c r="U47" s="30">
        <f t="shared" si="11"/>
        <v>53.320000000000014</v>
      </c>
      <c r="V47" s="30" t="s">
        <v>44</v>
      </c>
      <c r="W47" s="183"/>
      <c r="X47" s="183"/>
      <c r="Y47" s="183"/>
      <c r="Z47" s="30">
        <f t="shared" si="20"/>
        <v>153.32</v>
      </c>
      <c r="AA47" s="183"/>
      <c r="AB47" s="41">
        <f t="shared" si="5"/>
        <v>153.32</v>
      </c>
      <c r="AC47" s="34" t="s">
        <v>44</v>
      </c>
      <c r="AD47" s="183"/>
      <c r="AE47" s="42"/>
      <c r="AF47" s="36"/>
      <c r="AG47" s="36"/>
      <c r="AH47" s="37"/>
      <c r="AI47" s="36"/>
      <c r="AJ47" s="36"/>
      <c r="AK47" s="36"/>
    </row>
    <row r="48" spans="1:37" ht="75">
      <c r="A48" s="43"/>
      <c r="B48" s="39" t="s">
        <v>122</v>
      </c>
      <c r="C48" s="47" t="s">
        <v>123</v>
      </c>
      <c r="D48" s="47" t="s">
        <v>124</v>
      </c>
      <c r="E48" s="48">
        <f t="shared" ref="E48:E50" si="30">12*3</f>
        <v>36</v>
      </c>
      <c r="F48" s="49" t="s">
        <v>73</v>
      </c>
      <c r="G48" s="50">
        <v>3815000</v>
      </c>
      <c r="H48" s="51">
        <v>12</v>
      </c>
      <c r="I48" s="50">
        <v>1890000</v>
      </c>
      <c r="J48" s="51">
        <v>12</v>
      </c>
      <c r="K48" s="50">
        <v>1925000</v>
      </c>
      <c r="L48" s="51">
        <v>3</v>
      </c>
      <c r="M48" s="50">
        <v>0</v>
      </c>
      <c r="N48" s="51">
        <v>3</v>
      </c>
      <c r="O48" s="50">
        <v>0</v>
      </c>
      <c r="P48" s="51">
        <v>3</v>
      </c>
      <c r="Q48" s="50">
        <v>0</v>
      </c>
      <c r="R48" s="51">
        <v>3</v>
      </c>
      <c r="S48" s="50">
        <v>1600000</v>
      </c>
      <c r="T48" s="34">
        <f t="shared" si="19"/>
        <v>12</v>
      </c>
      <c r="U48" s="34">
        <f t="shared" si="11"/>
        <v>100</v>
      </c>
      <c r="V48" s="34" t="s">
        <v>44</v>
      </c>
      <c r="W48" s="52">
        <f t="shared" ref="W48:W51" si="31">SUM(M48,O48,Q48,S48)</f>
        <v>1600000</v>
      </c>
      <c r="X48" s="34">
        <f t="shared" ref="X48:X51" si="32">W48/K48*100</f>
        <v>83.116883116883116</v>
      </c>
      <c r="Y48" s="34" t="s">
        <v>44</v>
      </c>
      <c r="Z48" s="34">
        <f t="shared" si="20"/>
        <v>24</v>
      </c>
      <c r="AA48" s="52">
        <f t="shared" ref="AA48:AA51" si="33">SUM(I48,W48)</f>
        <v>3490000</v>
      </c>
      <c r="AB48" s="41">
        <f t="shared" si="5"/>
        <v>66.666666666666657</v>
      </c>
      <c r="AC48" s="34" t="s">
        <v>44</v>
      </c>
      <c r="AD48" s="54">
        <f t="shared" ref="AD48:AD51" si="34">AA48/G48*100</f>
        <v>91.480996068152038</v>
      </c>
      <c r="AE48" s="17"/>
      <c r="AF48" s="2"/>
      <c r="AG48" s="2"/>
      <c r="AH48" s="55"/>
      <c r="AI48" s="2"/>
      <c r="AJ48" s="2"/>
      <c r="AK48" s="2"/>
    </row>
    <row r="49" spans="1:37" ht="135">
      <c r="A49" s="43"/>
      <c r="B49" s="39" t="s">
        <v>125</v>
      </c>
      <c r="C49" s="47" t="s">
        <v>126</v>
      </c>
      <c r="D49" s="47" t="s">
        <v>127</v>
      </c>
      <c r="E49" s="48">
        <f t="shared" si="30"/>
        <v>36</v>
      </c>
      <c r="F49" s="49" t="s">
        <v>73</v>
      </c>
      <c r="G49" s="50">
        <v>1914420000</v>
      </c>
      <c r="H49" s="51">
        <v>12</v>
      </c>
      <c r="I49" s="50">
        <v>752950210</v>
      </c>
      <c r="J49" s="51">
        <v>12</v>
      </c>
      <c r="K49" s="50">
        <v>1018260000</v>
      </c>
      <c r="L49" s="51">
        <v>3</v>
      </c>
      <c r="M49" s="50">
        <v>117622928</v>
      </c>
      <c r="N49" s="51">
        <v>3</v>
      </c>
      <c r="O49" s="50">
        <f>349438010-M49</f>
        <v>231815082</v>
      </c>
      <c r="P49" s="51">
        <v>3</v>
      </c>
      <c r="Q49" s="50">
        <f>540924196-M49-O49</f>
        <v>191486186</v>
      </c>
      <c r="R49" s="51">
        <v>3</v>
      </c>
      <c r="S49" s="50">
        <f>833038588-M49-O49-Q49</f>
        <v>292114392</v>
      </c>
      <c r="T49" s="34">
        <f t="shared" si="19"/>
        <v>12</v>
      </c>
      <c r="U49" s="34">
        <f t="shared" si="11"/>
        <v>100</v>
      </c>
      <c r="V49" s="34" t="s">
        <v>44</v>
      </c>
      <c r="W49" s="52">
        <f t="shared" si="31"/>
        <v>833038588</v>
      </c>
      <c r="X49" s="60">
        <f t="shared" si="32"/>
        <v>81.81000805295308</v>
      </c>
      <c r="Y49" s="34" t="s">
        <v>44</v>
      </c>
      <c r="Z49" s="34">
        <f t="shared" si="20"/>
        <v>24</v>
      </c>
      <c r="AA49" s="52">
        <f t="shared" si="33"/>
        <v>1585988798</v>
      </c>
      <c r="AB49" s="41">
        <f t="shared" si="5"/>
        <v>66.666666666666657</v>
      </c>
      <c r="AC49" s="34" t="s">
        <v>44</v>
      </c>
      <c r="AD49" s="54">
        <f t="shared" si="34"/>
        <v>82.844349620250526</v>
      </c>
      <c r="AE49" s="17"/>
      <c r="AF49" s="2"/>
      <c r="AG49" s="2"/>
      <c r="AH49" s="55"/>
      <c r="AI49" s="2"/>
      <c r="AJ49" s="2"/>
      <c r="AK49" s="2"/>
    </row>
    <row r="50" spans="1:37" ht="120">
      <c r="A50" s="43"/>
      <c r="B50" s="39" t="s">
        <v>128</v>
      </c>
      <c r="C50" s="47" t="s">
        <v>129</v>
      </c>
      <c r="D50" s="47" t="s">
        <v>130</v>
      </c>
      <c r="E50" s="48">
        <f t="shared" si="30"/>
        <v>36</v>
      </c>
      <c r="F50" s="49" t="s">
        <v>73</v>
      </c>
      <c r="G50" s="50">
        <v>1789777100</v>
      </c>
      <c r="H50" s="51">
        <v>12</v>
      </c>
      <c r="I50" s="50">
        <v>766005356</v>
      </c>
      <c r="J50" s="51">
        <v>12</v>
      </c>
      <c r="K50" s="50">
        <v>948909100</v>
      </c>
      <c r="L50" s="51">
        <v>3</v>
      </c>
      <c r="M50" s="50">
        <v>108000000</v>
      </c>
      <c r="N50" s="51">
        <v>3</v>
      </c>
      <c r="O50" s="50">
        <f>260023936-M50</f>
        <v>152023936</v>
      </c>
      <c r="P50" s="51">
        <v>3</v>
      </c>
      <c r="Q50" s="50">
        <f>376758306-M50-O50</f>
        <v>116734370</v>
      </c>
      <c r="R50" s="51">
        <v>3</v>
      </c>
      <c r="S50" s="50">
        <f>507742152-M50-O50-Q50</f>
        <v>130983846</v>
      </c>
      <c r="T50" s="34">
        <f t="shared" si="19"/>
        <v>12</v>
      </c>
      <c r="U50" s="34">
        <f t="shared" si="11"/>
        <v>100</v>
      </c>
      <c r="V50" s="34" t="s">
        <v>44</v>
      </c>
      <c r="W50" s="52">
        <f t="shared" si="31"/>
        <v>507742152</v>
      </c>
      <c r="X50" s="60">
        <f t="shared" si="32"/>
        <v>53.507986381414199</v>
      </c>
      <c r="Y50" s="34" t="s">
        <v>44</v>
      </c>
      <c r="Z50" s="34">
        <f t="shared" si="20"/>
        <v>24</v>
      </c>
      <c r="AA50" s="52">
        <f t="shared" si="33"/>
        <v>1273747508</v>
      </c>
      <c r="AB50" s="41">
        <f t="shared" si="5"/>
        <v>66.666666666666657</v>
      </c>
      <c r="AC50" s="34" t="s">
        <v>44</v>
      </c>
      <c r="AD50" s="54">
        <f t="shared" si="34"/>
        <v>71.167940856992757</v>
      </c>
      <c r="AE50" s="17"/>
      <c r="AF50" s="2"/>
      <c r="AG50" s="2"/>
      <c r="AH50" s="55"/>
      <c r="AI50" s="2"/>
      <c r="AJ50" s="2"/>
      <c r="AK50" s="2"/>
    </row>
    <row r="51" spans="1:37" ht="111" customHeight="1">
      <c r="A51" s="43"/>
      <c r="B51" s="39" t="s">
        <v>131</v>
      </c>
      <c r="C51" s="232" t="s">
        <v>132</v>
      </c>
      <c r="D51" s="23" t="s">
        <v>133</v>
      </c>
      <c r="E51" s="38">
        <v>100</v>
      </c>
      <c r="F51" s="26" t="s">
        <v>44</v>
      </c>
      <c r="G51" s="227">
        <f>SUM(G54:G56)</f>
        <v>1566508000</v>
      </c>
      <c r="H51" s="28">
        <v>100</v>
      </c>
      <c r="I51" s="227">
        <f>SUM(I54:I56)</f>
        <v>505430329</v>
      </c>
      <c r="J51" s="28">
        <v>100</v>
      </c>
      <c r="K51" s="227">
        <f>SUM(K54:K56)</f>
        <v>716222000</v>
      </c>
      <c r="L51" s="28">
        <v>16.72</v>
      </c>
      <c r="M51" s="227">
        <f>SUM(M54:M56)</f>
        <v>113736929</v>
      </c>
      <c r="N51" s="40">
        <v>11.65</v>
      </c>
      <c r="O51" s="227">
        <f>SUM(O54:O56)</f>
        <v>75183591</v>
      </c>
      <c r="P51" s="40">
        <v>8.75</v>
      </c>
      <c r="Q51" s="227">
        <f t="shared" ref="Q51:S51" si="35">SUM(Q54:Q56)</f>
        <v>97691709</v>
      </c>
      <c r="R51" s="171">
        <v>26.18</v>
      </c>
      <c r="S51" s="227">
        <f t="shared" si="35"/>
        <v>204676642</v>
      </c>
      <c r="T51" s="40">
        <f t="shared" si="19"/>
        <v>63.3</v>
      </c>
      <c r="U51" s="30">
        <f t="shared" si="11"/>
        <v>63.3</v>
      </c>
      <c r="V51" s="30" t="s">
        <v>44</v>
      </c>
      <c r="W51" s="222">
        <f t="shared" si="31"/>
        <v>491288871</v>
      </c>
      <c r="X51" s="220">
        <f t="shared" si="32"/>
        <v>68.594495980296614</v>
      </c>
      <c r="Y51" s="221" t="s">
        <v>44</v>
      </c>
      <c r="Z51" s="30">
        <f t="shared" si="20"/>
        <v>163.30000000000001</v>
      </c>
      <c r="AA51" s="222">
        <f t="shared" si="33"/>
        <v>996719200</v>
      </c>
      <c r="AB51" s="41">
        <f t="shared" si="5"/>
        <v>163.30000000000001</v>
      </c>
      <c r="AC51" s="34" t="s">
        <v>44</v>
      </c>
      <c r="AD51" s="226">
        <f t="shared" si="34"/>
        <v>63.626818375648256</v>
      </c>
      <c r="AE51" s="42"/>
      <c r="AF51" s="36"/>
      <c r="AG51" s="36"/>
      <c r="AH51" s="37"/>
      <c r="AI51" s="36"/>
      <c r="AJ51" s="36"/>
      <c r="AK51" s="36"/>
    </row>
    <row r="52" spans="1:37" ht="111" customHeight="1">
      <c r="A52" s="43"/>
      <c r="B52" s="39"/>
      <c r="C52" s="182"/>
      <c r="D52" s="23" t="s">
        <v>134</v>
      </c>
      <c r="E52" s="38">
        <v>100</v>
      </c>
      <c r="F52" s="26" t="s">
        <v>44</v>
      </c>
      <c r="G52" s="182"/>
      <c r="H52" s="28">
        <v>100</v>
      </c>
      <c r="I52" s="182"/>
      <c r="J52" s="28">
        <v>100</v>
      </c>
      <c r="K52" s="182"/>
      <c r="L52" s="28">
        <v>14.01</v>
      </c>
      <c r="M52" s="182"/>
      <c r="N52" s="40">
        <v>8.48</v>
      </c>
      <c r="O52" s="182"/>
      <c r="P52" s="40">
        <v>11.09</v>
      </c>
      <c r="Q52" s="182"/>
      <c r="R52" s="171">
        <v>52.25</v>
      </c>
      <c r="S52" s="182"/>
      <c r="T52" s="30">
        <f t="shared" si="19"/>
        <v>85.83</v>
      </c>
      <c r="U52" s="30">
        <f t="shared" si="11"/>
        <v>85.83</v>
      </c>
      <c r="V52" s="30" t="s">
        <v>44</v>
      </c>
      <c r="W52" s="182"/>
      <c r="X52" s="182"/>
      <c r="Y52" s="182"/>
      <c r="Z52" s="30">
        <f t="shared" si="20"/>
        <v>185.82999999999998</v>
      </c>
      <c r="AA52" s="182"/>
      <c r="AB52" s="41">
        <f t="shared" si="5"/>
        <v>185.82999999999998</v>
      </c>
      <c r="AC52" s="34"/>
      <c r="AD52" s="182"/>
      <c r="AE52" s="42"/>
      <c r="AF52" s="36"/>
      <c r="AG52" s="36"/>
      <c r="AH52" s="37"/>
      <c r="AI52" s="36"/>
      <c r="AJ52" s="36"/>
      <c r="AK52" s="36"/>
    </row>
    <row r="53" spans="1:37" ht="111" customHeight="1">
      <c r="A53" s="43"/>
      <c r="B53" s="39"/>
      <c r="C53" s="183"/>
      <c r="D53" s="23" t="s">
        <v>135</v>
      </c>
      <c r="E53" s="38">
        <v>100</v>
      </c>
      <c r="F53" s="26" t="s">
        <v>44</v>
      </c>
      <c r="G53" s="183"/>
      <c r="H53" s="28">
        <v>100</v>
      </c>
      <c r="I53" s="183"/>
      <c r="J53" s="28">
        <v>100</v>
      </c>
      <c r="K53" s="183"/>
      <c r="L53" s="28">
        <v>11.06</v>
      </c>
      <c r="M53" s="183"/>
      <c r="N53" s="65">
        <v>0</v>
      </c>
      <c r="O53" s="183"/>
      <c r="P53" s="65">
        <v>0</v>
      </c>
      <c r="Q53" s="183"/>
      <c r="R53" s="171">
        <v>49.3</v>
      </c>
      <c r="S53" s="183"/>
      <c r="T53" s="30">
        <f t="shared" si="19"/>
        <v>60.36</v>
      </c>
      <c r="U53" s="30">
        <f t="shared" si="11"/>
        <v>60.36</v>
      </c>
      <c r="V53" s="30" t="s">
        <v>44</v>
      </c>
      <c r="W53" s="183"/>
      <c r="X53" s="183"/>
      <c r="Y53" s="183"/>
      <c r="Z53" s="30">
        <f t="shared" si="20"/>
        <v>160.36000000000001</v>
      </c>
      <c r="AA53" s="183"/>
      <c r="AB53" s="41">
        <f t="shared" si="5"/>
        <v>160.36000000000001</v>
      </c>
      <c r="AC53" s="34"/>
      <c r="AD53" s="183"/>
      <c r="AE53" s="42"/>
      <c r="AF53" s="36"/>
      <c r="AG53" s="36"/>
      <c r="AH53" s="37"/>
      <c r="AI53" s="36"/>
      <c r="AJ53" s="36"/>
      <c r="AK53" s="36"/>
    </row>
    <row r="54" spans="1:37" ht="173.25">
      <c r="A54" s="43"/>
      <c r="B54" s="39" t="s">
        <v>136</v>
      </c>
      <c r="C54" s="47" t="s">
        <v>137</v>
      </c>
      <c r="D54" s="47" t="s">
        <v>138</v>
      </c>
      <c r="E54" s="48">
        <v>24</v>
      </c>
      <c r="F54" s="49" t="s">
        <v>139</v>
      </c>
      <c r="G54" s="50">
        <v>1303836000</v>
      </c>
      <c r="H54" s="51">
        <v>8</v>
      </c>
      <c r="I54" s="50">
        <v>391594426</v>
      </c>
      <c r="J54" s="51">
        <v>8</v>
      </c>
      <c r="K54" s="50">
        <v>520550000</v>
      </c>
      <c r="L54" s="51">
        <v>0</v>
      </c>
      <c r="M54" s="50">
        <v>87036929</v>
      </c>
      <c r="N54" s="51">
        <v>2</v>
      </c>
      <c r="O54" s="50">
        <f>147700941-M54</f>
        <v>60664012</v>
      </c>
      <c r="P54" s="51">
        <v>1</v>
      </c>
      <c r="Q54" s="50">
        <v>78696837</v>
      </c>
      <c r="R54" s="51">
        <v>5</v>
      </c>
      <c r="S54" s="50">
        <v>103149334</v>
      </c>
      <c r="T54" s="34">
        <f t="shared" si="19"/>
        <v>8</v>
      </c>
      <c r="U54" s="34">
        <f t="shared" si="11"/>
        <v>100</v>
      </c>
      <c r="V54" s="34" t="s">
        <v>44</v>
      </c>
      <c r="W54" s="52">
        <f t="shared" ref="W54:W60" si="36">SUM(M54,O54,Q54,S54)</f>
        <v>329547112</v>
      </c>
      <c r="X54" s="60">
        <f t="shared" ref="X54:X60" si="37">W54/K54*100</f>
        <v>63.307484775717995</v>
      </c>
      <c r="Y54" s="34" t="s">
        <v>44</v>
      </c>
      <c r="Z54" s="34">
        <f t="shared" si="20"/>
        <v>16</v>
      </c>
      <c r="AA54" s="52">
        <f t="shared" ref="AA54:AA60" si="38">SUM(I54,W54)</f>
        <v>721141538</v>
      </c>
      <c r="AB54" s="41">
        <f t="shared" si="5"/>
        <v>66.666666666666657</v>
      </c>
      <c r="AC54" s="34" t="s">
        <v>44</v>
      </c>
      <c r="AD54" s="54">
        <f t="shared" ref="AD54:AD60" si="39">AA54/G54*100</f>
        <v>55.309221251752518</v>
      </c>
      <c r="AE54" s="17"/>
      <c r="AF54" s="2"/>
      <c r="AG54" s="2"/>
      <c r="AH54" s="55"/>
      <c r="AI54" s="2"/>
      <c r="AJ54" s="2"/>
      <c r="AK54" s="2"/>
    </row>
    <row r="55" spans="1:37" ht="110.25">
      <c r="A55" s="43"/>
      <c r="B55" s="39" t="s">
        <v>140</v>
      </c>
      <c r="C55" s="46" t="s">
        <v>141</v>
      </c>
      <c r="D55" s="47" t="s">
        <v>142</v>
      </c>
      <c r="E55" s="48">
        <v>2</v>
      </c>
      <c r="F55" s="49" t="s">
        <v>139</v>
      </c>
      <c r="G55" s="50">
        <v>233664000</v>
      </c>
      <c r="H55" s="51">
        <v>1</v>
      </c>
      <c r="I55" s="50">
        <v>104450903</v>
      </c>
      <c r="J55" s="51">
        <v>1</v>
      </c>
      <c r="K55" s="50">
        <v>171264000</v>
      </c>
      <c r="L55" s="51">
        <v>0</v>
      </c>
      <c r="M55" s="50">
        <v>24000000</v>
      </c>
      <c r="N55" s="51">
        <v>0</v>
      </c>
      <c r="O55" s="50">
        <f>38519579-M55</f>
        <v>14519579</v>
      </c>
      <c r="P55" s="51">
        <v>1</v>
      </c>
      <c r="Q55" s="50">
        <f>57514451-M55-O55</f>
        <v>18994872</v>
      </c>
      <c r="R55" s="51">
        <v>0</v>
      </c>
      <c r="S55" s="50">
        <v>89492308</v>
      </c>
      <c r="T55" s="34">
        <f t="shared" si="19"/>
        <v>1</v>
      </c>
      <c r="U55" s="34">
        <f t="shared" si="11"/>
        <v>100</v>
      </c>
      <c r="V55" s="34" t="s">
        <v>44</v>
      </c>
      <c r="W55" s="52">
        <f t="shared" si="36"/>
        <v>147006759</v>
      </c>
      <c r="X55" s="60">
        <f t="shared" si="37"/>
        <v>85.836345641816152</v>
      </c>
      <c r="Y55" s="34" t="s">
        <v>44</v>
      </c>
      <c r="Z55" s="34">
        <f t="shared" si="20"/>
        <v>2</v>
      </c>
      <c r="AA55" s="52">
        <f t="shared" si="38"/>
        <v>251457662</v>
      </c>
      <c r="AB55" s="41">
        <f t="shared" si="5"/>
        <v>100</v>
      </c>
      <c r="AC55" s="34" t="s">
        <v>44</v>
      </c>
      <c r="AD55" s="54">
        <f t="shared" si="39"/>
        <v>107.61506350999726</v>
      </c>
      <c r="AE55" s="17"/>
      <c r="AF55" s="2"/>
      <c r="AG55" s="2"/>
      <c r="AH55" s="55"/>
      <c r="AI55" s="2"/>
      <c r="AJ55" s="2"/>
      <c r="AK55" s="2"/>
    </row>
    <row r="56" spans="1:37" ht="141.75">
      <c r="A56" s="43"/>
      <c r="B56" s="39" t="s">
        <v>143</v>
      </c>
      <c r="C56" s="46" t="s">
        <v>144</v>
      </c>
      <c r="D56" s="72" t="s">
        <v>145</v>
      </c>
      <c r="E56" s="48">
        <f>101+H56+J56</f>
        <v>220</v>
      </c>
      <c r="F56" s="49" t="s">
        <v>139</v>
      </c>
      <c r="G56" s="50">
        <v>29008000</v>
      </c>
      <c r="H56" s="51">
        <v>51</v>
      </c>
      <c r="I56" s="50">
        <v>9385000</v>
      </c>
      <c r="J56" s="51">
        <v>68</v>
      </c>
      <c r="K56" s="50">
        <v>24408000</v>
      </c>
      <c r="L56" s="51">
        <v>0</v>
      </c>
      <c r="M56" s="50">
        <v>2700000</v>
      </c>
      <c r="N56" s="51">
        <v>18</v>
      </c>
      <c r="O56" s="50"/>
      <c r="P56" s="51">
        <v>15</v>
      </c>
      <c r="Q56" s="50">
        <f>2700000-M56-O56</f>
        <v>0</v>
      </c>
      <c r="R56" s="51">
        <v>27</v>
      </c>
      <c r="S56" s="50">
        <v>12035000</v>
      </c>
      <c r="T56" s="34">
        <f t="shared" si="19"/>
        <v>60</v>
      </c>
      <c r="U56" s="60">
        <f t="shared" si="11"/>
        <v>88.235294117647058</v>
      </c>
      <c r="V56" s="34" t="s">
        <v>44</v>
      </c>
      <c r="W56" s="73">
        <f t="shared" si="36"/>
        <v>14735000</v>
      </c>
      <c r="X56" s="74">
        <f t="shared" si="37"/>
        <v>60.369550966896099</v>
      </c>
      <c r="Y56" s="75" t="s">
        <v>44</v>
      </c>
      <c r="Z56" s="75">
        <f t="shared" si="20"/>
        <v>111</v>
      </c>
      <c r="AA56" s="73">
        <f t="shared" si="38"/>
        <v>24120000</v>
      </c>
      <c r="AB56" s="41">
        <f t="shared" si="5"/>
        <v>50.454545454545453</v>
      </c>
      <c r="AC56" s="34" t="s">
        <v>44</v>
      </c>
      <c r="AD56" s="54">
        <f t="shared" si="39"/>
        <v>83.149476006618855</v>
      </c>
      <c r="AE56" s="17"/>
      <c r="AF56" s="2"/>
      <c r="AG56" s="2"/>
      <c r="AH56" s="55"/>
      <c r="AI56" s="2"/>
      <c r="AJ56" s="2"/>
      <c r="AK56" s="2"/>
    </row>
    <row r="57" spans="1:37" ht="111" customHeight="1">
      <c r="A57" s="43"/>
      <c r="B57" s="39"/>
      <c r="C57" s="23" t="s">
        <v>146</v>
      </c>
      <c r="D57" s="23"/>
      <c r="E57" s="38">
        <v>100</v>
      </c>
      <c r="F57" s="26" t="s">
        <v>44</v>
      </c>
      <c r="G57" s="67">
        <f>SUM(G58:G59)</f>
        <v>9571674296</v>
      </c>
      <c r="H57" s="28">
        <v>100</v>
      </c>
      <c r="I57" s="67">
        <f>SUM(I58:I59)</f>
        <v>2957032422</v>
      </c>
      <c r="J57" s="28">
        <v>100</v>
      </c>
      <c r="K57" s="67">
        <f>SUM(K58:K59)</f>
        <v>3963705771.4499998</v>
      </c>
      <c r="L57" s="28">
        <v>100</v>
      </c>
      <c r="M57" s="67">
        <f>SUM(M58:M59)</f>
        <v>512400733</v>
      </c>
      <c r="N57" s="65">
        <v>100</v>
      </c>
      <c r="O57" s="67">
        <f>SUM(O58:O59)</f>
        <v>642174977</v>
      </c>
      <c r="P57" s="65">
        <v>100</v>
      </c>
      <c r="Q57" s="67">
        <f>SUM(Q58:Q59)</f>
        <v>664029176</v>
      </c>
      <c r="R57" s="67">
        <f t="shared" ref="R57:S57" si="40">SUM(R58:R60)</f>
        <v>102</v>
      </c>
      <c r="S57" s="67">
        <f t="shared" si="40"/>
        <v>60628668238.699997</v>
      </c>
      <c r="T57" s="65">
        <f t="shared" ref="T57:T60" si="41">AVERAGE(L57,N57,P57,R57)</f>
        <v>100.5</v>
      </c>
      <c r="U57" s="30">
        <f t="shared" si="11"/>
        <v>100.49999999999999</v>
      </c>
      <c r="V57" s="30" t="s">
        <v>44</v>
      </c>
      <c r="W57" s="76">
        <f t="shared" si="36"/>
        <v>62447273124.699997</v>
      </c>
      <c r="X57" s="40">
        <f t="shared" si="37"/>
        <v>1575.4770087754416</v>
      </c>
      <c r="Y57" s="30" t="s">
        <v>44</v>
      </c>
      <c r="Z57" s="30">
        <f t="shared" si="20"/>
        <v>200.5</v>
      </c>
      <c r="AA57" s="76">
        <f t="shared" si="38"/>
        <v>65404305546.699997</v>
      </c>
      <c r="AB57" s="41">
        <f t="shared" si="5"/>
        <v>200.5</v>
      </c>
      <c r="AC57" s="34" t="s">
        <v>44</v>
      </c>
      <c r="AD57" s="54">
        <f t="shared" si="39"/>
        <v>683.31102296316578</v>
      </c>
      <c r="AE57" s="42"/>
      <c r="AF57" s="36"/>
      <c r="AG57" s="36"/>
      <c r="AH57" s="37"/>
      <c r="AI57" s="36"/>
      <c r="AJ57" s="36"/>
      <c r="AK57" s="36"/>
    </row>
    <row r="58" spans="1:37" ht="90">
      <c r="A58" s="43"/>
      <c r="B58" s="39"/>
      <c r="C58" s="47" t="s">
        <v>147</v>
      </c>
      <c r="D58" s="47" t="s">
        <v>148</v>
      </c>
      <c r="E58" s="48">
        <v>1</v>
      </c>
      <c r="F58" s="77" t="s">
        <v>149</v>
      </c>
      <c r="G58" s="50">
        <v>5763162296</v>
      </c>
      <c r="H58" s="51">
        <v>1</v>
      </c>
      <c r="I58" s="50">
        <v>1522278698</v>
      </c>
      <c r="J58" s="51">
        <v>1</v>
      </c>
      <c r="K58" s="50">
        <v>2344273464</v>
      </c>
      <c r="L58" s="51">
        <v>1</v>
      </c>
      <c r="M58" s="50">
        <v>286635205</v>
      </c>
      <c r="N58" s="51">
        <v>1</v>
      </c>
      <c r="O58" s="50">
        <v>393022560</v>
      </c>
      <c r="P58" s="51">
        <v>1</v>
      </c>
      <c r="Q58" s="50">
        <v>332014588</v>
      </c>
      <c r="R58" s="51">
        <v>1</v>
      </c>
      <c r="S58" s="78">
        <v>946319322</v>
      </c>
      <c r="T58" s="34">
        <f t="shared" si="41"/>
        <v>1</v>
      </c>
      <c r="U58" s="34">
        <f t="shared" si="11"/>
        <v>100</v>
      </c>
      <c r="V58" s="34" t="s">
        <v>44</v>
      </c>
      <c r="W58" s="52">
        <f t="shared" si="36"/>
        <v>1957991675</v>
      </c>
      <c r="X58" s="60">
        <f t="shared" si="37"/>
        <v>83.522323869976631</v>
      </c>
      <c r="Y58" s="34" t="s">
        <v>44</v>
      </c>
      <c r="Z58" s="34">
        <f t="shared" si="20"/>
        <v>2</v>
      </c>
      <c r="AA58" s="52">
        <f t="shared" si="38"/>
        <v>3480270373</v>
      </c>
      <c r="AB58" s="41">
        <f t="shared" si="5"/>
        <v>200</v>
      </c>
      <c r="AC58" s="34" t="s">
        <v>44</v>
      </c>
      <c r="AD58" s="54">
        <f t="shared" si="39"/>
        <v>60.388206929649172</v>
      </c>
      <c r="AE58" s="17"/>
      <c r="AF58" s="2"/>
      <c r="AG58" s="2"/>
      <c r="AH58" s="55"/>
      <c r="AI58" s="2"/>
      <c r="AJ58" s="2"/>
      <c r="AK58" s="2"/>
    </row>
    <row r="59" spans="1:37" ht="90">
      <c r="A59" s="43"/>
      <c r="B59" s="39"/>
      <c r="C59" s="46" t="s">
        <v>150</v>
      </c>
      <c r="D59" s="47" t="s">
        <v>148</v>
      </c>
      <c r="E59" s="48">
        <v>1</v>
      </c>
      <c r="F59" s="77" t="s">
        <v>149</v>
      </c>
      <c r="G59" s="50">
        <v>3808512000</v>
      </c>
      <c r="H59" s="51">
        <v>1</v>
      </c>
      <c r="I59" s="50">
        <v>1434753724</v>
      </c>
      <c r="J59" s="51">
        <v>1</v>
      </c>
      <c r="K59" s="50">
        <v>1619432307.45</v>
      </c>
      <c r="L59" s="51">
        <v>1</v>
      </c>
      <c r="M59" s="50">
        <v>225765528</v>
      </c>
      <c r="N59" s="51">
        <v>1</v>
      </c>
      <c r="O59" s="50">
        <v>249152417</v>
      </c>
      <c r="P59" s="51">
        <v>1</v>
      </c>
      <c r="Q59" s="50">
        <v>332014588</v>
      </c>
      <c r="R59" s="51">
        <v>1</v>
      </c>
      <c r="S59" s="50">
        <v>562001517</v>
      </c>
      <c r="T59" s="34">
        <f t="shared" si="41"/>
        <v>1</v>
      </c>
      <c r="U59" s="34">
        <f t="shared" si="11"/>
        <v>100</v>
      </c>
      <c r="V59" s="34" t="s">
        <v>44</v>
      </c>
      <c r="W59" s="52">
        <f t="shared" si="36"/>
        <v>1368934050</v>
      </c>
      <c r="X59" s="60">
        <f t="shared" si="37"/>
        <v>84.531724092596306</v>
      </c>
      <c r="Y59" s="34" t="s">
        <v>44</v>
      </c>
      <c r="Z59" s="34">
        <f t="shared" si="20"/>
        <v>2</v>
      </c>
      <c r="AA59" s="52">
        <f t="shared" si="38"/>
        <v>2803687774</v>
      </c>
      <c r="AB59" s="41">
        <f t="shared" si="5"/>
        <v>200</v>
      </c>
      <c r="AC59" s="34" t="s">
        <v>44</v>
      </c>
      <c r="AD59" s="54">
        <f t="shared" si="39"/>
        <v>73.616356571805468</v>
      </c>
      <c r="AE59" s="17"/>
      <c r="AF59" s="2"/>
      <c r="AG59" s="2"/>
      <c r="AH59" s="55"/>
      <c r="AI59" s="2"/>
      <c r="AJ59" s="2"/>
      <c r="AK59" s="2"/>
    </row>
    <row r="60" spans="1:37" ht="136.5" customHeight="1">
      <c r="A60" s="43"/>
      <c r="B60" s="39" t="s">
        <v>151</v>
      </c>
      <c r="C60" s="24" t="s">
        <v>152</v>
      </c>
      <c r="D60" s="23" t="s">
        <v>153</v>
      </c>
      <c r="E60" s="38">
        <v>100</v>
      </c>
      <c r="F60" s="26" t="s">
        <v>44</v>
      </c>
      <c r="G60" s="27">
        <f>G69+G81+G466+G469</f>
        <v>233864817207</v>
      </c>
      <c r="H60" s="79">
        <v>98.78</v>
      </c>
      <c r="I60" s="27">
        <f>I69+I81+I466+I469</f>
        <v>100099990513</v>
      </c>
      <c r="J60" s="28">
        <v>100</v>
      </c>
      <c r="K60" s="27">
        <f>K69+K81+K466+K469</f>
        <v>105671909477</v>
      </c>
      <c r="L60" s="28">
        <v>100</v>
      </c>
      <c r="M60" s="27">
        <f>M69+M81+M466+M469</f>
        <v>19060726696</v>
      </c>
      <c r="N60" s="27">
        <v>100</v>
      </c>
      <c r="O60" s="27">
        <f>O69+O81+O466+O469</f>
        <v>25365866413</v>
      </c>
      <c r="P60" s="27">
        <v>100</v>
      </c>
      <c r="Q60" s="27">
        <f t="shared" ref="Q60:S60" si="42">Q69+Q81+Q466+Q469</f>
        <v>11626259053</v>
      </c>
      <c r="R60" s="27">
        <v>100</v>
      </c>
      <c r="S60" s="27">
        <f t="shared" si="42"/>
        <v>59120347399.699997</v>
      </c>
      <c r="T60" s="65">
        <f t="shared" si="41"/>
        <v>100</v>
      </c>
      <c r="U60" s="30">
        <f t="shared" si="11"/>
        <v>100</v>
      </c>
      <c r="V60" s="30" t="s">
        <v>44</v>
      </c>
      <c r="W60" s="31">
        <f t="shared" si="36"/>
        <v>115173199561.7</v>
      </c>
      <c r="X60" s="64">
        <f t="shared" si="37"/>
        <v>108.99131106055012</v>
      </c>
      <c r="Y60" s="22" t="s">
        <v>44</v>
      </c>
      <c r="Z60" s="40">
        <f t="shared" si="20"/>
        <v>198.78</v>
      </c>
      <c r="AA60" s="31">
        <f t="shared" si="38"/>
        <v>215273190074.70001</v>
      </c>
      <c r="AB60" s="41">
        <f t="shared" si="5"/>
        <v>198.78</v>
      </c>
      <c r="AC60" s="34" t="s">
        <v>44</v>
      </c>
      <c r="AD60" s="223">
        <f t="shared" si="39"/>
        <v>92.05026760573223</v>
      </c>
      <c r="AE60" s="42"/>
      <c r="AF60" s="36"/>
      <c r="AG60" s="36"/>
      <c r="AH60" s="37"/>
      <c r="AI60" s="36"/>
      <c r="AJ60" s="36"/>
      <c r="AK60" s="36"/>
    </row>
    <row r="61" spans="1:37" ht="117" customHeight="1">
      <c r="A61" s="43"/>
      <c r="B61" s="39" t="s">
        <v>154</v>
      </c>
      <c r="C61" s="39"/>
      <c r="D61" s="23" t="s">
        <v>155</v>
      </c>
      <c r="E61" s="38">
        <v>15</v>
      </c>
      <c r="F61" s="26" t="s">
        <v>44</v>
      </c>
      <c r="G61" s="80"/>
      <c r="H61" s="79">
        <v>12</v>
      </c>
      <c r="I61" s="80"/>
      <c r="J61" s="28">
        <v>18</v>
      </c>
      <c r="K61" s="81"/>
      <c r="L61" s="28">
        <v>2.44</v>
      </c>
      <c r="M61" s="82"/>
      <c r="N61" s="28">
        <v>2.56</v>
      </c>
      <c r="O61" s="82"/>
      <c r="P61" s="79">
        <v>11.86</v>
      </c>
      <c r="Q61" s="82"/>
      <c r="R61" s="79">
        <v>6.21</v>
      </c>
      <c r="S61" s="82"/>
      <c r="T61" s="40">
        <f>SUM(L61,N61,P61,R61)</f>
        <v>23.07</v>
      </c>
      <c r="U61" s="40">
        <f t="shared" si="11"/>
        <v>128.16666666666669</v>
      </c>
      <c r="V61" s="30" t="s">
        <v>44</v>
      </c>
      <c r="W61" s="84"/>
      <c r="X61" s="85"/>
      <c r="Y61" s="43"/>
      <c r="Z61" s="40">
        <f t="shared" si="20"/>
        <v>35.07</v>
      </c>
      <c r="AA61" s="84"/>
      <c r="AB61" s="41">
        <f t="shared" si="5"/>
        <v>233.8</v>
      </c>
      <c r="AC61" s="34" t="s">
        <v>44</v>
      </c>
      <c r="AD61" s="182"/>
      <c r="AE61" s="42"/>
      <c r="AF61" s="36"/>
      <c r="AG61" s="36"/>
      <c r="AH61" s="37"/>
      <c r="AI61" s="36"/>
      <c r="AJ61" s="36"/>
      <c r="AK61" s="36"/>
    </row>
    <row r="62" spans="1:37" ht="117" customHeight="1">
      <c r="A62" s="43"/>
      <c r="B62" s="39" t="s">
        <v>156</v>
      </c>
      <c r="C62" s="39"/>
      <c r="D62" s="24" t="s">
        <v>157</v>
      </c>
      <c r="E62" s="86">
        <v>100</v>
      </c>
      <c r="F62" s="87" t="s">
        <v>44</v>
      </c>
      <c r="G62" s="80"/>
      <c r="H62" s="88">
        <v>99.78</v>
      </c>
      <c r="I62" s="80"/>
      <c r="J62" s="61">
        <v>100</v>
      </c>
      <c r="K62" s="81"/>
      <c r="L62" s="61">
        <v>100</v>
      </c>
      <c r="M62" s="82"/>
      <c r="N62" s="86">
        <v>100</v>
      </c>
      <c r="O62" s="82"/>
      <c r="P62" s="86">
        <v>100</v>
      </c>
      <c r="Q62" s="82"/>
      <c r="R62" s="88">
        <v>100</v>
      </c>
      <c r="S62" s="82"/>
      <c r="T62" s="65">
        <f>AVERAGE(L62,N62,P62,R62)</f>
        <v>100</v>
      </c>
      <c r="U62" s="40">
        <f t="shared" si="11"/>
        <v>100</v>
      </c>
      <c r="V62" s="30" t="s">
        <v>44</v>
      </c>
      <c r="W62" s="84"/>
      <c r="X62" s="85"/>
      <c r="Y62" s="43"/>
      <c r="Z62" s="40">
        <f t="shared" si="20"/>
        <v>199.78</v>
      </c>
      <c r="AA62" s="84"/>
      <c r="AB62" s="41">
        <f t="shared" si="5"/>
        <v>199.78</v>
      </c>
      <c r="AC62" s="34" t="s">
        <v>44</v>
      </c>
      <c r="AD62" s="182"/>
      <c r="AE62" s="42"/>
      <c r="AF62" s="36"/>
      <c r="AG62" s="36"/>
      <c r="AH62" s="37"/>
      <c r="AI62" s="36"/>
      <c r="AJ62" s="36"/>
      <c r="AK62" s="36"/>
    </row>
    <row r="63" spans="1:37" ht="74.25" customHeight="1">
      <c r="A63" s="43"/>
      <c r="B63" s="235" t="s">
        <v>158</v>
      </c>
      <c r="C63" s="39"/>
      <c r="D63" s="24" t="s">
        <v>159</v>
      </c>
      <c r="E63" s="86">
        <v>100</v>
      </c>
      <c r="F63" s="87" t="s">
        <v>44</v>
      </c>
      <c r="G63" s="80"/>
      <c r="H63" s="88">
        <v>93.72</v>
      </c>
      <c r="I63" s="80"/>
      <c r="J63" s="61">
        <v>100</v>
      </c>
      <c r="K63" s="81"/>
      <c r="L63" s="61">
        <v>20.21</v>
      </c>
      <c r="M63" s="82"/>
      <c r="N63" s="88">
        <v>23.51</v>
      </c>
      <c r="O63" s="82"/>
      <c r="P63" s="88">
        <v>7.62</v>
      </c>
      <c r="Q63" s="82"/>
      <c r="R63" s="88">
        <v>35.799999999999997</v>
      </c>
      <c r="S63" s="82"/>
      <c r="T63" s="40">
        <f t="shared" ref="T63:T78" si="43">SUM(L63,N63,P63,R63)</f>
        <v>87.139999999999986</v>
      </c>
      <c r="U63" s="40">
        <f t="shared" si="11"/>
        <v>87.139999999999986</v>
      </c>
      <c r="V63" s="30" t="s">
        <v>44</v>
      </c>
      <c r="W63" s="84"/>
      <c r="X63" s="85"/>
      <c r="Y63" s="43"/>
      <c r="Z63" s="40">
        <f t="shared" si="20"/>
        <v>180.85999999999999</v>
      </c>
      <c r="AA63" s="84"/>
      <c r="AB63" s="41">
        <f t="shared" si="5"/>
        <v>180.85999999999999</v>
      </c>
      <c r="AC63" s="34" t="s">
        <v>44</v>
      </c>
      <c r="AD63" s="182"/>
      <c r="AE63" s="42"/>
      <c r="AF63" s="36"/>
      <c r="AG63" s="36"/>
      <c r="AH63" s="37"/>
      <c r="AI63" s="36"/>
      <c r="AJ63" s="36"/>
      <c r="AK63" s="36"/>
    </row>
    <row r="64" spans="1:37" ht="31.5">
      <c r="A64" s="43"/>
      <c r="B64" s="182"/>
      <c r="C64" s="39"/>
      <c r="D64" s="24" t="s">
        <v>160</v>
      </c>
      <c r="E64" s="86">
        <v>80</v>
      </c>
      <c r="F64" s="87" t="s">
        <v>44</v>
      </c>
      <c r="G64" s="80"/>
      <c r="H64" s="61">
        <v>69.59</v>
      </c>
      <c r="I64" s="80"/>
      <c r="J64" s="61">
        <v>80</v>
      </c>
      <c r="K64" s="82"/>
      <c r="L64" s="61">
        <v>20</v>
      </c>
      <c r="M64" s="82"/>
      <c r="N64" s="89">
        <v>20</v>
      </c>
      <c r="O64" s="82"/>
      <c r="P64" s="88">
        <v>41.42</v>
      </c>
      <c r="Q64" s="82"/>
      <c r="R64" s="88">
        <v>14.03</v>
      </c>
      <c r="S64" s="82"/>
      <c r="T64" s="40">
        <f t="shared" si="43"/>
        <v>95.45</v>
      </c>
      <c r="U64" s="40">
        <f t="shared" si="11"/>
        <v>119.3125</v>
      </c>
      <c r="V64" s="30" t="s">
        <v>44</v>
      </c>
      <c r="W64" s="84"/>
      <c r="X64" s="85"/>
      <c r="Y64" s="43"/>
      <c r="Z64" s="64">
        <f t="shared" si="20"/>
        <v>165.04000000000002</v>
      </c>
      <c r="AA64" s="84"/>
      <c r="AB64" s="41">
        <f t="shared" si="5"/>
        <v>206.3</v>
      </c>
      <c r="AC64" s="34" t="s">
        <v>44</v>
      </c>
      <c r="AD64" s="182"/>
      <c r="AE64" s="42"/>
      <c r="AF64" s="36"/>
      <c r="AG64" s="36"/>
      <c r="AH64" s="37"/>
      <c r="AI64" s="36"/>
      <c r="AJ64" s="36"/>
      <c r="AK64" s="36"/>
    </row>
    <row r="65" spans="1:37" ht="47.25">
      <c r="A65" s="43"/>
      <c r="B65" s="182"/>
      <c r="C65" s="39"/>
      <c r="D65" s="24" t="s">
        <v>161</v>
      </c>
      <c r="E65" s="86">
        <v>90</v>
      </c>
      <c r="F65" s="87" t="s">
        <v>44</v>
      </c>
      <c r="G65" s="80"/>
      <c r="H65" s="61">
        <v>87.49</v>
      </c>
      <c r="I65" s="80"/>
      <c r="J65" s="61">
        <v>85</v>
      </c>
      <c r="K65" s="82"/>
      <c r="L65" s="61">
        <v>19.5</v>
      </c>
      <c r="M65" s="82"/>
      <c r="N65" s="89">
        <v>17.75</v>
      </c>
      <c r="O65" s="82"/>
      <c r="P65" s="88">
        <v>37.75</v>
      </c>
      <c r="Q65" s="82"/>
      <c r="R65" s="88">
        <f>94.6-L65-N65-P65</f>
        <v>19.599999999999994</v>
      </c>
      <c r="S65" s="82"/>
      <c r="T65" s="40">
        <f t="shared" si="43"/>
        <v>94.6</v>
      </c>
      <c r="U65" s="40">
        <f t="shared" si="11"/>
        <v>111.29411764705881</v>
      </c>
      <c r="V65" s="30" t="s">
        <v>44</v>
      </c>
      <c r="W65" s="84"/>
      <c r="X65" s="85"/>
      <c r="Y65" s="43"/>
      <c r="Z65" s="64">
        <f t="shared" si="20"/>
        <v>182.08999999999997</v>
      </c>
      <c r="AA65" s="84"/>
      <c r="AB65" s="41">
        <f t="shared" si="5"/>
        <v>202.32222222222219</v>
      </c>
      <c r="AC65" s="34" t="s">
        <v>44</v>
      </c>
      <c r="AD65" s="182"/>
      <c r="AE65" s="42"/>
      <c r="AF65" s="36"/>
      <c r="AG65" s="36"/>
      <c r="AH65" s="37"/>
      <c r="AI65" s="36"/>
      <c r="AJ65" s="36"/>
      <c r="AK65" s="36"/>
    </row>
    <row r="66" spans="1:37" ht="47.25">
      <c r="A66" s="43"/>
      <c r="B66" s="39" t="s">
        <v>162</v>
      </c>
      <c r="C66" s="39"/>
      <c r="D66" s="24" t="s">
        <v>163</v>
      </c>
      <c r="E66" s="86">
        <v>6</v>
      </c>
      <c r="F66" s="87" t="s">
        <v>44</v>
      </c>
      <c r="G66" s="80"/>
      <c r="H66" s="61">
        <v>5.29</v>
      </c>
      <c r="I66" s="80"/>
      <c r="J66" s="61">
        <v>8</v>
      </c>
      <c r="K66" s="82"/>
      <c r="L66" s="61">
        <v>1.5</v>
      </c>
      <c r="M66" s="82"/>
      <c r="N66" s="89">
        <f>3.8-L66</f>
        <v>2.2999999999999998</v>
      </c>
      <c r="O66" s="82"/>
      <c r="P66" s="169">
        <v>1.2</v>
      </c>
      <c r="Q66" s="82"/>
      <c r="R66" s="88">
        <v>0</v>
      </c>
      <c r="S66" s="82"/>
      <c r="T66" s="40">
        <f t="shared" si="43"/>
        <v>5</v>
      </c>
      <c r="U66" s="40">
        <f t="shared" si="11"/>
        <v>62.5</v>
      </c>
      <c r="V66" s="30" t="s">
        <v>44</v>
      </c>
      <c r="W66" s="84"/>
      <c r="X66" s="85"/>
      <c r="Y66" s="43"/>
      <c r="Z66" s="64">
        <f t="shared" si="20"/>
        <v>10.29</v>
      </c>
      <c r="AA66" s="84"/>
      <c r="AB66" s="41">
        <f t="shared" si="5"/>
        <v>171.5</v>
      </c>
      <c r="AC66" s="34" t="s">
        <v>44</v>
      </c>
      <c r="AD66" s="182"/>
      <c r="AE66" s="42"/>
      <c r="AF66" s="36"/>
      <c r="AG66" s="36"/>
      <c r="AH66" s="37"/>
      <c r="AI66" s="36"/>
      <c r="AJ66" s="36"/>
      <c r="AK66" s="36"/>
    </row>
    <row r="67" spans="1:37" ht="63">
      <c r="A67" s="43"/>
      <c r="B67" s="39" t="s">
        <v>164</v>
      </c>
      <c r="C67" s="39"/>
      <c r="D67" s="24" t="s">
        <v>165</v>
      </c>
      <c r="E67" s="86">
        <v>10</v>
      </c>
      <c r="F67" s="87" t="s">
        <v>44</v>
      </c>
      <c r="G67" s="80"/>
      <c r="H67" s="61">
        <v>8.02</v>
      </c>
      <c r="I67" s="80"/>
      <c r="J67" s="61">
        <v>11</v>
      </c>
      <c r="K67" s="82"/>
      <c r="L67" s="61">
        <v>2.9</v>
      </c>
      <c r="M67" s="82"/>
      <c r="N67" s="89">
        <v>1.8</v>
      </c>
      <c r="O67" s="82"/>
      <c r="P67" s="169">
        <v>0.6</v>
      </c>
      <c r="Q67" s="82"/>
      <c r="R67" s="88">
        <v>2.41</v>
      </c>
      <c r="S67" s="82"/>
      <c r="T67" s="40">
        <f t="shared" si="43"/>
        <v>7.71</v>
      </c>
      <c r="U67" s="40">
        <f t="shared" si="11"/>
        <v>70.090909090909093</v>
      </c>
      <c r="V67" s="30" t="s">
        <v>44</v>
      </c>
      <c r="W67" s="84"/>
      <c r="X67" s="85"/>
      <c r="Y67" s="43"/>
      <c r="Z67" s="64">
        <f t="shared" si="20"/>
        <v>15.73</v>
      </c>
      <c r="AA67" s="84"/>
      <c r="AB67" s="41">
        <f t="shared" si="5"/>
        <v>157.29999999999998</v>
      </c>
      <c r="AC67" s="34" t="s">
        <v>44</v>
      </c>
      <c r="AD67" s="182"/>
      <c r="AE67" s="42"/>
      <c r="AF67" s="36"/>
      <c r="AG67" s="36"/>
      <c r="AH67" s="37"/>
      <c r="AI67" s="36"/>
      <c r="AJ67" s="36"/>
      <c r="AK67" s="36"/>
    </row>
    <row r="68" spans="1:37" ht="94.5">
      <c r="A68" s="43"/>
      <c r="B68" s="39" t="s">
        <v>166</v>
      </c>
      <c r="C68" s="39"/>
      <c r="D68" s="24" t="s">
        <v>167</v>
      </c>
      <c r="E68" s="86">
        <v>100</v>
      </c>
      <c r="F68" s="87" t="s">
        <v>44</v>
      </c>
      <c r="G68" s="80"/>
      <c r="H68" s="61">
        <v>100</v>
      </c>
      <c r="I68" s="80"/>
      <c r="J68" s="61">
        <v>100</v>
      </c>
      <c r="K68" s="82"/>
      <c r="L68" s="61">
        <v>20.85</v>
      </c>
      <c r="M68" s="82"/>
      <c r="N68" s="88">
        <v>26.81</v>
      </c>
      <c r="O68" s="82"/>
      <c r="P68" s="170">
        <f>71.89-N68-L68</f>
        <v>24.229999999999997</v>
      </c>
      <c r="Q68" s="82"/>
      <c r="R68" s="88">
        <f>92.48-P68-N68-L68</f>
        <v>20.589999999999996</v>
      </c>
      <c r="S68" s="82"/>
      <c r="T68" s="40">
        <f t="shared" si="43"/>
        <v>92.47999999999999</v>
      </c>
      <c r="U68" s="40">
        <f t="shared" si="11"/>
        <v>92.47999999999999</v>
      </c>
      <c r="V68" s="30" t="s">
        <v>44</v>
      </c>
      <c r="W68" s="84"/>
      <c r="X68" s="85"/>
      <c r="Y68" s="43"/>
      <c r="Z68" s="64">
        <f t="shared" si="20"/>
        <v>192.48</v>
      </c>
      <c r="AA68" s="84"/>
      <c r="AB68" s="41">
        <f t="shared" si="5"/>
        <v>192.48</v>
      </c>
      <c r="AC68" s="34" t="s">
        <v>44</v>
      </c>
      <c r="AD68" s="183"/>
      <c r="AE68" s="42"/>
      <c r="AF68" s="36"/>
      <c r="AG68" s="36"/>
      <c r="AH68" s="37"/>
      <c r="AI68" s="36"/>
      <c r="AJ68" s="36"/>
      <c r="AK68" s="36"/>
    </row>
    <row r="69" spans="1:37" ht="167.25" customHeight="1">
      <c r="A69" s="43"/>
      <c r="B69" s="39" t="s">
        <v>168</v>
      </c>
      <c r="C69" s="23" t="s">
        <v>169</v>
      </c>
      <c r="D69" s="23" t="s">
        <v>170</v>
      </c>
      <c r="E69" s="38">
        <v>4</v>
      </c>
      <c r="F69" s="26" t="s">
        <v>139</v>
      </c>
      <c r="G69" s="67">
        <f>SUM(G70:G80)</f>
        <v>45759959972</v>
      </c>
      <c r="H69" s="28">
        <v>0</v>
      </c>
      <c r="I69" s="67">
        <f>SUM(I70:I80)</f>
        <v>19705698343</v>
      </c>
      <c r="J69" s="28">
        <v>4</v>
      </c>
      <c r="K69" s="67">
        <f>SUM(K70:K80)</f>
        <v>17378582866</v>
      </c>
      <c r="L69" s="28">
        <f>SUM(L70:L72)</f>
        <v>0</v>
      </c>
      <c r="M69" s="67">
        <f>SUM(M70:M78)</f>
        <v>0</v>
      </c>
      <c r="N69" s="67">
        <v>0</v>
      </c>
      <c r="O69" s="67">
        <f>SUM(O70:O78)</f>
        <v>1292089500</v>
      </c>
      <c r="P69" s="67">
        <v>0</v>
      </c>
      <c r="Q69" s="67">
        <f>SUM(Q70:Q78)</f>
        <v>2455233470</v>
      </c>
      <c r="R69" s="67">
        <f t="shared" ref="R69:S69" si="44">SUM(R70:R77)</f>
        <v>113</v>
      </c>
      <c r="S69" s="67">
        <f t="shared" si="44"/>
        <v>11154260777</v>
      </c>
      <c r="T69" s="30">
        <f t="shared" si="43"/>
        <v>113</v>
      </c>
      <c r="U69" s="30">
        <f t="shared" si="11"/>
        <v>2825</v>
      </c>
      <c r="V69" s="30" t="s">
        <v>44</v>
      </c>
      <c r="W69" s="76">
        <f t="shared" ref="W69:W78" si="45">SUM(M69,O69,Q69,S69)</f>
        <v>14901583747</v>
      </c>
      <c r="X69" s="40">
        <f t="shared" ref="X69:X78" si="46">W69/K69*100</f>
        <v>85.746829082099225</v>
      </c>
      <c r="Y69" s="30" t="s">
        <v>44</v>
      </c>
      <c r="Z69" s="30">
        <f t="shared" si="20"/>
        <v>113</v>
      </c>
      <c r="AA69" s="76">
        <f t="shared" ref="AA69:AA81" si="47">SUM(I69,W69)</f>
        <v>34607282090</v>
      </c>
      <c r="AB69" s="41">
        <f t="shared" si="5"/>
        <v>2825</v>
      </c>
      <c r="AC69" s="34" t="s">
        <v>44</v>
      </c>
      <c r="AD69" s="90">
        <f t="shared" ref="AD69:AD81" si="48">AA69/G69*100</f>
        <v>75.62786792465684</v>
      </c>
      <c r="AE69" s="42"/>
      <c r="AF69" s="36"/>
      <c r="AG69" s="36"/>
      <c r="AH69" s="37"/>
      <c r="AI69" s="36"/>
      <c r="AJ69" s="36"/>
      <c r="AK69" s="36"/>
    </row>
    <row r="70" spans="1:37" ht="75">
      <c r="A70" s="43"/>
      <c r="B70" s="39" t="s">
        <v>171</v>
      </c>
      <c r="C70" s="46" t="s">
        <v>172</v>
      </c>
      <c r="D70" s="47" t="s">
        <v>173</v>
      </c>
      <c r="E70" s="48">
        <v>2</v>
      </c>
      <c r="F70" s="49" t="s">
        <v>139</v>
      </c>
      <c r="G70" s="91"/>
      <c r="H70" s="92">
        <v>1</v>
      </c>
      <c r="I70" s="50"/>
      <c r="J70" s="51">
        <v>1</v>
      </c>
      <c r="K70" s="50">
        <v>391350000</v>
      </c>
      <c r="L70" s="51">
        <v>0</v>
      </c>
      <c r="M70" s="50">
        <v>0</v>
      </c>
      <c r="N70" s="51">
        <v>0</v>
      </c>
      <c r="O70" s="50">
        <v>0</v>
      </c>
      <c r="P70" s="51">
        <v>0</v>
      </c>
      <c r="Q70" s="50">
        <v>0</v>
      </c>
      <c r="R70" s="51">
        <v>2</v>
      </c>
      <c r="S70" s="50">
        <v>163626000</v>
      </c>
      <c r="T70" s="34">
        <f t="shared" si="43"/>
        <v>2</v>
      </c>
      <c r="U70" s="34">
        <f t="shared" ref="U70:U78" si="49">T70/J70*100</f>
        <v>200</v>
      </c>
      <c r="V70" s="34" t="s">
        <v>44</v>
      </c>
      <c r="W70" s="52">
        <f t="shared" si="45"/>
        <v>163626000</v>
      </c>
      <c r="X70" s="60">
        <f t="shared" si="46"/>
        <v>41.810655423533923</v>
      </c>
      <c r="Y70" s="34" t="s">
        <v>44</v>
      </c>
      <c r="Z70" s="60">
        <f t="shared" si="20"/>
        <v>3</v>
      </c>
      <c r="AA70" s="52">
        <f t="shared" si="47"/>
        <v>163626000</v>
      </c>
      <c r="AB70" s="41">
        <f t="shared" si="5"/>
        <v>150</v>
      </c>
      <c r="AC70" s="34" t="s">
        <v>44</v>
      </c>
      <c r="AD70" s="90" t="e">
        <f t="shared" si="48"/>
        <v>#DIV/0!</v>
      </c>
      <c r="AE70" s="17"/>
      <c r="AF70" s="2"/>
      <c r="AG70" s="2"/>
      <c r="AH70" s="55"/>
      <c r="AI70" s="2"/>
      <c r="AJ70" s="2"/>
      <c r="AK70" s="2"/>
    </row>
    <row r="71" spans="1:37" ht="201" customHeight="1">
      <c r="A71" s="43"/>
      <c r="B71" s="39" t="s">
        <v>174</v>
      </c>
      <c r="C71" s="46" t="s">
        <v>175</v>
      </c>
      <c r="D71" s="47" t="s">
        <v>176</v>
      </c>
      <c r="E71" s="48">
        <v>7</v>
      </c>
      <c r="F71" s="49" t="s">
        <v>139</v>
      </c>
      <c r="G71" s="91">
        <v>8145490000</v>
      </c>
      <c r="H71" s="48">
        <v>5</v>
      </c>
      <c r="I71" s="50">
        <v>1225135350</v>
      </c>
      <c r="J71" s="51">
        <v>2</v>
      </c>
      <c r="K71" s="50">
        <v>6032640000</v>
      </c>
      <c r="L71" s="51">
        <v>0</v>
      </c>
      <c r="M71" s="50">
        <v>0</v>
      </c>
      <c r="N71" s="51">
        <v>1</v>
      </c>
      <c r="O71" s="50">
        <v>987000000</v>
      </c>
      <c r="P71" s="51">
        <v>1</v>
      </c>
      <c r="Q71" s="50">
        <f>2441876750-O71</f>
        <v>1454876750</v>
      </c>
      <c r="R71" s="51">
        <v>0</v>
      </c>
      <c r="S71" s="50">
        <f>5901822700-O71-Q71</f>
        <v>3459945950</v>
      </c>
      <c r="T71" s="34">
        <f t="shared" si="43"/>
        <v>2</v>
      </c>
      <c r="U71" s="34">
        <f t="shared" si="49"/>
        <v>100</v>
      </c>
      <c r="V71" s="34" t="s">
        <v>44</v>
      </c>
      <c r="W71" s="52">
        <f t="shared" si="45"/>
        <v>5901822700</v>
      </c>
      <c r="X71" s="60">
        <f t="shared" si="46"/>
        <v>97.831508261722902</v>
      </c>
      <c r="Y71" s="34" t="s">
        <v>44</v>
      </c>
      <c r="Z71" s="33">
        <f t="shared" si="20"/>
        <v>7</v>
      </c>
      <c r="AA71" s="52">
        <f t="shared" si="47"/>
        <v>7126958050</v>
      </c>
      <c r="AB71" s="41">
        <f t="shared" si="5"/>
        <v>100</v>
      </c>
      <c r="AC71" s="34" t="s">
        <v>44</v>
      </c>
      <c r="AD71" s="90">
        <f t="shared" si="48"/>
        <v>87.495755933651637</v>
      </c>
      <c r="AE71" s="17"/>
      <c r="AF71" s="2"/>
      <c r="AG71" s="2"/>
      <c r="AH71" s="55"/>
      <c r="AI71" s="2"/>
      <c r="AJ71" s="2"/>
      <c r="AK71" s="2"/>
    </row>
    <row r="72" spans="1:37" ht="165">
      <c r="A72" s="43"/>
      <c r="B72" s="39" t="s">
        <v>177</v>
      </c>
      <c r="C72" s="46" t="s">
        <v>178</v>
      </c>
      <c r="D72" s="47" t="s">
        <v>179</v>
      </c>
      <c r="E72" s="48">
        <v>39</v>
      </c>
      <c r="F72" s="49" t="s">
        <v>139</v>
      </c>
      <c r="G72" s="91">
        <v>6535250000</v>
      </c>
      <c r="H72" s="51">
        <v>16</v>
      </c>
      <c r="I72" s="50">
        <v>3964412500</v>
      </c>
      <c r="J72" s="51">
        <v>13</v>
      </c>
      <c r="K72" s="50">
        <v>2281400000</v>
      </c>
      <c r="L72" s="51">
        <v>0</v>
      </c>
      <c r="M72" s="50">
        <v>0</v>
      </c>
      <c r="N72" s="51">
        <v>1</v>
      </c>
      <c r="O72" s="50">
        <v>269500000</v>
      </c>
      <c r="P72" s="51">
        <v>9</v>
      </c>
      <c r="Q72" s="50">
        <v>969050000</v>
      </c>
      <c r="R72" s="51">
        <v>3</v>
      </c>
      <c r="S72" s="50">
        <f>2233300000-O72-Q72</f>
        <v>994750000</v>
      </c>
      <c r="T72" s="34">
        <f t="shared" si="43"/>
        <v>13</v>
      </c>
      <c r="U72" s="34">
        <f t="shared" si="49"/>
        <v>100</v>
      </c>
      <c r="V72" s="34" t="s">
        <v>44</v>
      </c>
      <c r="W72" s="52">
        <f t="shared" si="45"/>
        <v>2233300000</v>
      </c>
      <c r="X72" s="60">
        <f t="shared" si="46"/>
        <v>97.891645480845085</v>
      </c>
      <c r="Y72" s="34" t="s">
        <v>44</v>
      </c>
      <c r="Z72" s="34">
        <f t="shared" si="20"/>
        <v>29</v>
      </c>
      <c r="AA72" s="52">
        <f t="shared" si="47"/>
        <v>6197712500</v>
      </c>
      <c r="AB72" s="41">
        <f t="shared" si="5"/>
        <v>74.358974358974365</v>
      </c>
      <c r="AC72" s="34" t="s">
        <v>44</v>
      </c>
      <c r="AD72" s="90">
        <f t="shared" si="48"/>
        <v>94.835124899583036</v>
      </c>
      <c r="AE72" s="17"/>
      <c r="AF72" s="2"/>
      <c r="AG72" s="2"/>
      <c r="AH72" s="55"/>
      <c r="AI72" s="2"/>
      <c r="AJ72" s="2"/>
      <c r="AK72" s="2"/>
    </row>
    <row r="73" spans="1:37" ht="182.25" customHeight="1">
      <c r="A73" s="43"/>
      <c r="B73" s="39" t="s">
        <v>180</v>
      </c>
      <c r="C73" s="46" t="s">
        <v>181</v>
      </c>
      <c r="D73" s="47" t="s">
        <v>182</v>
      </c>
      <c r="E73" s="48">
        <v>12</v>
      </c>
      <c r="F73" s="49" t="s">
        <v>139</v>
      </c>
      <c r="G73" s="91">
        <v>100000000</v>
      </c>
      <c r="H73" s="51">
        <v>12</v>
      </c>
      <c r="I73" s="50">
        <v>36380000</v>
      </c>
      <c r="J73" s="51">
        <v>1</v>
      </c>
      <c r="K73" s="50">
        <v>50000000</v>
      </c>
      <c r="L73" s="51">
        <v>0</v>
      </c>
      <c r="M73" s="50">
        <v>0</v>
      </c>
      <c r="N73" s="51">
        <v>0</v>
      </c>
      <c r="O73" s="50">
        <v>0</v>
      </c>
      <c r="P73" s="51">
        <v>0</v>
      </c>
      <c r="Q73" s="50">
        <v>0</v>
      </c>
      <c r="R73" s="51">
        <v>1</v>
      </c>
      <c r="S73" s="50">
        <v>47195000</v>
      </c>
      <c r="T73" s="34">
        <f t="shared" si="43"/>
        <v>1</v>
      </c>
      <c r="U73" s="34">
        <f t="shared" si="49"/>
        <v>100</v>
      </c>
      <c r="V73" s="34" t="s">
        <v>44</v>
      </c>
      <c r="W73" s="52">
        <f t="shared" si="45"/>
        <v>47195000</v>
      </c>
      <c r="X73" s="34">
        <f t="shared" si="46"/>
        <v>94.39</v>
      </c>
      <c r="Y73" s="34" t="s">
        <v>44</v>
      </c>
      <c r="Z73" s="34">
        <f t="shared" si="20"/>
        <v>13</v>
      </c>
      <c r="AA73" s="52">
        <f t="shared" si="47"/>
        <v>83575000</v>
      </c>
      <c r="AB73" s="41">
        <f t="shared" si="5"/>
        <v>108.33333333333333</v>
      </c>
      <c r="AC73" s="34" t="s">
        <v>44</v>
      </c>
      <c r="AD73" s="90">
        <f t="shared" si="48"/>
        <v>83.575000000000003</v>
      </c>
      <c r="AE73" s="17"/>
      <c r="AF73" s="2"/>
      <c r="AG73" s="2"/>
      <c r="AH73" s="55"/>
      <c r="AI73" s="2"/>
      <c r="AJ73" s="2"/>
      <c r="AK73" s="2"/>
    </row>
    <row r="74" spans="1:37" ht="120">
      <c r="A74" s="43"/>
      <c r="B74" s="39" t="s">
        <v>183</v>
      </c>
      <c r="C74" s="46" t="s">
        <v>184</v>
      </c>
      <c r="D74" s="47" t="s">
        <v>185</v>
      </c>
      <c r="E74" s="48">
        <v>43</v>
      </c>
      <c r="F74" s="49" t="s">
        <v>139</v>
      </c>
      <c r="G74" s="91">
        <v>8711542105</v>
      </c>
      <c r="H74" s="48">
        <v>12</v>
      </c>
      <c r="I74" s="50">
        <v>3586290968</v>
      </c>
      <c r="J74" s="51">
        <v>15</v>
      </c>
      <c r="K74" s="50">
        <v>4319436266</v>
      </c>
      <c r="L74" s="51">
        <v>0</v>
      </c>
      <c r="M74" s="50">
        <v>0</v>
      </c>
      <c r="N74" s="51">
        <v>0</v>
      </c>
      <c r="O74" s="50">
        <v>0</v>
      </c>
      <c r="P74" s="51">
        <v>11</v>
      </c>
      <c r="Q74" s="50">
        <v>0</v>
      </c>
      <c r="R74" s="51">
        <v>4</v>
      </c>
      <c r="S74" s="50">
        <v>3760703272</v>
      </c>
      <c r="T74" s="34">
        <f t="shared" si="43"/>
        <v>15</v>
      </c>
      <c r="U74" s="34">
        <f t="shared" si="49"/>
        <v>100</v>
      </c>
      <c r="V74" s="34" t="s">
        <v>44</v>
      </c>
      <c r="W74" s="52">
        <f t="shared" si="45"/>
        <v>3760703272</v>
      </c>
      <c r="X74" s="34">
        <f t="shared" si="46"/>
        <v>87.06467789794678</v>
      </c>
      <c r="Y74" s="34" t="s">
        <v>44</v>
      </c>
      <c r="Z74" s="33">
        <f t="shared" si="20"/>
        <v>27</v>
      </c>
      <c r="AA74" s="52">
        <f t="shared" si="47"/>
        <v>7346994240</v>
      </c>
      <c r="AB74" s="41">
        <f t="shared" si="5"/>
        <v>62.790697674418603</v>
      </c>
      <c r="AC74" s="34" t="s">
        <v>44</v>
      </c>
      <c r="AD74" s="90">
        <f t="shared" si="48"/>
        <v>84.336322449537192</v>
      </c>
      <c r="AE74" s="17"/>
      <c r="AF74" s="2"/>
      <c r="AG74" s="2"/>
      <c r="AH74" s="55"/>
      <c r="AI74" s="2"/>
      <c r="AJ74" s="2"/>
      <c r="AK74" s="2"/>
    </row>
    <row r="75" spans="1:37" ht="81.75" customHeight="1">
      <c r="A75" s="43"/>
      <c r="B75" s="23" t="s">
        <v>186</v>
      </c>
      <c r="C75" s="46" t="s">
        <v>187</v>
      </c>
      <c r="D75" s="47" t="s">
        <v>188</v>
      </c>
      <c r="E75" s="48">
        <v>45</v>
      </c>
      <c r="F75" s="49" t="s">
        <v>104</v>
      </c>
      <c r="G75" s="50">
        <v>4831273223</v>
      </c>
      <c r="H75" s="51">
        <v>45</v>
      </c>
      <c r="I75" s="50">
        <v>628732213</v>
      </c>
      <c r="J75" s="51">
        <v>45</v>
      </c>
      <c r="K75" s="50">
        <v>1852802723</v>
      </c>
      <c r="L75" s="51"/>
      <c r="M75" s="50">
        <v>0</v>
      </c>
      <c r="N75" s="51">
        <v>2</v>
      </c>
      <c r="O75" s="50">
        <v>5502500</v>
      </c>
      <c r="P75" s="51">
        <v>24</v>
      </c>
      <c r="Q75" s="50">
        <v>0</v>
      </c>
      <c r="R75" s="51">
        <f>45-N75-P75</f>
        <v>19</v>
      </c>
      <c r="S75" s="50">
        <f>1246676655-O75</f>
        <v>1241174155</v>
      </c>
      <c r="T75" s="34">
        <f t="shared" si="43"/>
        <v>45</v>
      </c>
      <c r="U75" s="34">
        <f t="shared" si="49"/>
        <v>100</v>
      </c>
      <c r="V75" s="34" t="s">
        <v>44</v>
      </c>
      <c r="W75" s="52">
        <f t="shared" si="45"/>
        <v>1246676655</v>
      </c>
      <c r="X75" s="60">
        <f t="shared" si="46"/>
        <v>67.285990004452302</v>
      </c>
      <c r="Y75" s="34" t="s">
        <v>44</v>
      </c>
      <c r="Z75" s="34">
        <f t="shared" si="20"/>
        <v>90</v>
      </c>
      <c r="AA75" s="52">
        <f t="shared" si="47"/>
        <v>1875408868</v>
      </c>
      <c r="AB75" s="41">
        <f t="shared" si="5"/>
        <v>200</v>
      </c>
      <c r="AC75" s="34" t="s">
        <v>44</v>
      </c>
      <c r="AD75" s="90">
        <f t="shared" si="48"/>
        <v>38.818108217764106</v>
      </c>
      <c r="AE75" s="17"/>
      <c r="AF75" s="2"/>
      <c r="AG75" s="2"/>
      <c r="AH75" s="55"/>
      <c r="AI75" s="2"/>
      <c r="AJ75" s="2"/>
      <c r="AK75" s="2"/>
    </row>
    <row r="76" spans="1:37" ht="60">
      <c r="A76" s="43"/>
      <c r="B76" s="23" t="s">
        <v>189</v>
      </c>
      <c r="C76" s="46" t="s">
        <v>190</v>
      </c>
      <c r="D76" s="47" t="s">
        <v>191</v>
      </c>
      <c r="E76" s="48">
        <v>90</v>
      </c>
      <c r="F76" s="49" t="s">
        <v>104</v>
      </c>
      <c r="G76" s="91">
        <v>7326591677</v>
      </c>
      <c r="H76" s="51">
        <v>80</v>
      </c>
      <c r="I76" s="50">
        <v>2804070519</v>
      </c>
      <c r="J76" s="51">
        <v>85</v>
      </c>
      <c r="K76" s="50">
        <v>2002356777</v>
      </c>
      <c r="L76" s="51"/>
      <c r="M76" s="50">
        <v>0</v>
      </c>
      <c r="N76" s="51">
        <v>0</v>
      </c>
      <c r="O76" s="50">
        <v>0</v>
      </c>
      <c r="P76" s="51">
        <v>1</v>
      </c>
      <c r="Q76" s="50">
        <v>0</v>
      </c>
      <c r="R76" s="51">
        <v>84</v>
      </c>
      <c r="S76" s="50">
        <f>1477176400</f>
        <v>1477176400</v>
      </c>
      <c r="T76" s="34">
        <f t="shared" si="43"/>
        <v>85</v>
      </c>
      <c r="U76" s="34">
        <f t="shared" si="49"/>
        <v>100</v>
      </c>
      <c r="V76" s="34" t="s">
        <v>44</v>
      </c>
      <c r="W76" s="52">
        <f t="shared" si="45"/>
        <v>1477176400</v>
      </c>
      <c r="X76" s="60">
        <f t="shared" si="46"/>
        <v>73.771888055492113</v>
      </c>
      <c r="Y76" s="34" t="s">
        <v>44</v>
      </c>
      <c r="Z76" s="34">
        <f t="shared" si="20"/>
        <v>165</v>
      </c>
      <c r="AA76" s="52">
        <f t="shared" si="47"/>
        <v>4281246919</v>
      </c>
      <c r="AB76" s="41">
        <f t="shared" si="5"/>
        <v>183.33333333333331</v>
      </c>
      <c r="AC76" s="34" t="s">
        <v>44</v>
      </c>
      <c r="AD76" s="90">
        <f t="shared" si="48"/>
        <v>58.43435949132941</v>
      </c>
      <c r="AE76" s="17"/>
      <c r="AF76" s="2"/>
      <c r="AG76" s="2"/>
      <c r="AH76" s="55"/>
      <c r="AI76" s="2"/>
      <c r="AJ76" s="2"/>
      <c r="AK76" s="2"/>
    </row>
    <row r="77" spans="1:37" ht="157.5">
      <c r="A77" s="43"/>
      <c r="B77" s="23" t="s">
        <v>192</v>
      </c>
      <c r="C77" s="47" t="s">
        <v>193</v>
      </c>
      <c r="D77" s="47" t="s">
        <v>194</v>
      </c>
      <c r="E77" s="48">
        <v>8</v>
      </c>
      <c r="F77" s="49" t="s">
        <v>139</v>
      </c>
      <c r="G77" s="93">
        <v>190575000</v>
      </c>
      <c r="H77" s="51">
        <v>7</v>
      </c>
      <c r="I77" s="94">
        <v>26448316</v>
      </c>
      <c r="J77" s="51">
        <v>8</v>
      </c>
      <c r="K77" s="50">
        <v>100000000</v>
      </c>
      <c r="L77" s="51">
        <v>0</v>
      </c>
      <c r="M77" s="50">
        <v>0</v>
      </c>
      <c r="N77" s="51">
        <v>0</v>
      </c>
      <c r="O77" s="50">
        <v>0</v>
      </c>
      <c r="P77" s="51">
        <v>2</v>
      </c>
      <c r="Q77" s="50">
        <v>456000</v>
      </c>
      <c r="R77" s="51">
        <v>0</v>
      </c>
      <c r="S77" s="50">
        <f>10146000-Q77</f>
        <v>9690000</v>
      </c>
      <c r="T77" s="34">
        <f t="shared" si="43"/>
        <v>2</v>
      </c>
      <c r="U77" s="34">
        <f t="shared" si="49"/>
        <v>25</v>
      </c>
      <c r="V77" s="34" t="s">
        <v>44</v>
      </c>
      <c r="W77" s="52">
        <f t="shared" si="45"/>
        <v>10146000</v>
      </c>
      <c r="X77" s="60">
        <f t="shared" si="46"/>
        <v>10.145999999999999</v>
      </c>
      <c r="Y77" s="34" t="s">
        <v>44</v>
      </c>
      <c r="Z77" s="34">
        <f t="shared" si="20"/>
        <v>9</v>
      </c>
      <c r="AA77" s="52">
        <f t="shared" si="47"/>
        <v>36594316</v>
      </c>
      <c r="AB77" s="41">
        <f t="shared" si="5"/>
        <v>112.5</v>
      </c>
      <c r="AC77" s="34" t="s">
        <v>44</v>
      </c>
      <c r="AD77" s="90">
        <f t="shared" si="48"/>
        <v>19.202054834054834</v>
      </c>
      <c r="AE77" s="17"/>
      <c r="AF77" s="2"/>
      <c r="AG77" s="2"/>
      <c r="AH77" s="55"/>
      <c r="AI77" s="2"/>
      <c r="AJ77" s="2"/>
      <c r="AK77" s="2"/>
    </row>
    <row r="78" spans="1:37" ht="215.25" customHeight="1">
      <c r="A78" s="43"/>
      <c r="B78" s="23" t="s">
        <v>195</v>
      </c>
      <c r="C78" s="47" t="s">
        <v>196</v>
      </c>
      <c r="D78" s="47" t="s">
        <v>197</v>
      </c>
      <c r="E78" s="48">
        <v>44</v>
      </c>
      <c r="F78" s="49" t="s">
        <v>104</v>
      </c>
      <c r="G78" s="93">
        <v>257106000</v>
      </c>
      <c r="H78" s="51">
        <v>44</v>
      </c>
      <c r="I78" s="94">
        <v>50720932</v>
      </c>
      <c r="J78" s="51">
        <v>44</v>
      </c>
      <c r="K78" s="50">
        <v>164997000</v>
      </c>
      <c r="L78" s="51">
        <v>0</v>
      </c>
      <c r="M78" s="50">
        <v>0</v>
      </c>
      <c r="N78" s="51">
        <v>22</v>
      </c>
      <c r="O78" s="50">
        <v>30087000</v>
      </c>
      <c r="P78" s="51">
        <v>11</v>
      </c>
      <c r="Q78" s="50">
        <f>60937720-O78</f>
        <v>30850720</v>
      </c>
      <c r="R78" s="51">
        <v>11</v>
      </c>
      <c r="S78" s="50">
        <f>104160290-O78-Q78</f>
        <v>43222570</v>
      </c>
      <c r="T78" s="34">
        <f t="shared" si="43"/>
        <v>44</v>
      </c>
      <c r="U78" s="34">
        <f t="shared" si="49"/>
        <v>100</v>
      </c>
      <c r="V78" s="34" t="s">
        <v>44</v>
      </c>
      <c r="W78" s="52">
        <f t="shared" si="45"/>
        <v>104160290</v>
      </c>
      <c r="X78" s="34">
        <f t="shared" si="46"/>
        <v>63.128596277508073</v>
      </c>
      <c r="Y78" s="34" t="s">
        <v>44</v>
      </c>
      <c r="Z78" s="34">
        <f t="shared" si="20"/>
        <v>88</v>
      </c>
      <c r="AA78" s="52">
        <f t="shared" si="47"/>
        <v>154881222</v>
      </c>
      <c r="AB78" s="41">
        <f t="shared" si="5"/>
        <v>200</v>
      </c>
      <c r="AC78" s="34" t="s">
        <v>44</v>
      </c>
      <c r="AD78" s="90">
        <f t="shared" si="48"/>
        <v>60.240220764976314</v>
      </c>
      <c r="AE78" s="17"/>
      <c r="AF78" s="2"/>
      <c r="AG78" s="2"/>
      <c r="AH78" s="55"/>
      <c r="AI78" s="2"/>
      <c r="AJ78" s="2"/>
      <c r="AK78" s="2"/>
    </row>
    <row r="79" spans="1:37" ht="75">
      <c r="A79" s="43"/>
      <c r="B79" s="23" t="s">
        <v>198</v>
      </c>
      <c r="C79" s="46" t="s">
        <v>199</v>
      </c>
      <c r="D79" s="47" t="s">
        <v>200</v>
      </c>
      <c r="E79" s="48">
        <v>1</v>
      </c>
      <c r="F79" s="49" t="s">
        <v>139</v>
      </c>
      <c r="G79" s="91">
        <v>8641631967</v>
      </c>
      <c r="H79" s="48">
        <v>1</v>
      </c>
      <c r="I79" s="50">
        <v>7042037545</v>
      </c>
      <c r="J79" s="51">
        <v>2</v>
      </c>
      <c r="K79" s="50">
        <v>183600100</v>
      </c>
      <c r="L79" s="51"/>
      <c r="M79" s="50"/>
      <c r="N79" s="51"/>
      <c r="O79" s="50"/>
      <c r="P79" s="51"/>
      <c r="Q79" s="50"/>
      <c r="R79" s="51">
        <v>2</v>
      </c>
      <c r="S79" s="50">
        <v>179400000</v>
      </c>
      <c r="T79" s="34">
        <f t="shared" ref="T79" si="50">SUM(L79,N79,P79,R79)</f>
        <v>2</v>
      </c>
      <c r="U79" s="34">
        <f t="shared" ref="U79" si="51">T79/J79*100</f>
        <v>100</v>
      </c>
      <c r="V79" s="34" t="s">
        <v>44</v>
      </c>
      <c r="W79" s="52">
        <f t="shared" ref="W79" si="52">SUM(M79,O79,Q79,S79)</f>
        <v>179400000</v>
      </c>
      <c r="X79" s="34">
        <f t="shared" ref="X79" si="53">W79/K79*100</f>
        <v>97.712365080411175</v>
      </c>
      <c r="Y79" s="34" t="s">
        <v>44</v>
      </c>
      <c r="Z79" s="33">
        <f t="shared" si="20"/>
        <v>3</v>
      </c>
      <c r="AA79" s="52">
        <f t="shared" si="47"/>
        <v>7221437545</v>
      </c>
      <c r="AB79" s="41">
        <f t="shared" si="5"/>
        <v>300</v>
      </c>
      <c r="AC79" s="34" t="s">
        <v>44</v>
      </c>
      <c r="AD79" s="90">
        <f t="shared" si="48"/>
        <v>83.565668759982728</v>
      </c>
      <c r="AE79" s="17"/>
      <c r="AF79" s="2"/>
      <c r="AG79" s="2"/>
      <c r="AH79" s="55"/>
      <c r="AI79" s="2"/>
      <c r="AJ79" s="2"/>
      <c r="AK79" s="2"/>
    </row>
    <row r="80" spans="1:37" ht="105">
      <c r="A80" s="43"/>
      <c r="B80" s="23" t="s">
        <v>201</v>
      </c>
      <c r="C80" s="95" t="s">
        <v>202</v>
      </c>
      <c r="D80" s="96" t="s">
        <v>203</v>
      </c>
      <c r="E80" s="48">
        <v>5</v>
      </c>
      <c r="F80" s="49" t="s">
        <v>139</v>
      </c>
      <c r="G80" s="91">
        <v>1020500000</v>
      </c>
      <c r="H80" s="48">
        <v>5</v>
      </c>
      <c r="I80" s="50">
        <v>341470000</v>
      </c>
      <c r="J80" s="97"/>
      <c r="K80" s="98"/>
      <c r="L80" s="97"/>
      <c r="M80" s="98"/>
      <c r="N80" s="97"/>
      <c r="O80" s="98"/>
      <c r="P80" s="97"/>
      <c r="Q80" s="98"/>
      <c r="R80" s="97"/>
      <c r="S80" s="98"/>
      <c r="T80" s="34"/>
      <c r="U80" s="34"/>
      <c r="V80" s="34"/>
      <c r="W80" s="52"/>
      <c r="X80" s="60"/>
      <c r="Y80" s="34"/>
      <c r="Z80" s="33">
        <f t="shared" si="20"/>
        <v>5</v>
      </c>
      <c r="AA80" s="52">
        <f t="shared" si="47"/>
        <v>341470000</v>
      </c>
      <c r="AB80" s="41">
        <f t="shared" si="5"/>
        <v>100</v>
      </c>
      <c r="AC80" s="34" t="s">
        <v>44</v>
      </c>
      <c r="AD80" s="90">
        <f t="shared" si="48"/>
        <v>33.461048505634494</v>
      </c>
      <c r="AE80" s="17"/>
      <c r="AF80" s="2"/>
      <c r="AG80" s="2"/>
      <c r="AH80" s="55"/>
      <c r="AI80" s="2"/>
      <c r="AJ80" s="2"/>
      <c r="AK80" s="2"/>
    </row>
    <row r="81" spans="1:37" ht="149.25" customHeight="1">
      <c r="A81" s="43"/>
      <c r="B81" s="232" t="s">
        <v>204</v>
      </c>
      <c r="C81" s="232" t="s">
        <v>205</v>
      </c>
      <c r="D81" s="23" t="s">
        <v>206</v>
      </c>
      <c r="E81" s="38">
        <v>50</v>
      </c>
      <c r="F81" s="99" t="s">
        <v>44</v>
      </c>
      <c r="G81" s="100">
        <f>SUM(G93:G465)</f>
        <v>186167703686</v>
      </c>
      <c r="H81" s="28">
        <v>50</v>
      </c>
      <c r="I81" s="100">
        <f>SUM(I93:I465)</f>
        <v>79487942220</v>
      </c>
      <c r="J81" s="28">
        <v>50</v>
      </c>
      <c r="K81" s="100">
        <f>SUM(K93:K465)</f>
        <v>87643713837</v>
      </c>
      <c r="L81" s="45"/>
      <c r="M81" s="100">
        <f>SUM(M93:M464)</f>
        <v>19060726696</v>
      </c>
      <c r="N81" s="83"/>
      <c r="O81" s="100">
        <f>SUM(O93:O464)</f>
        <v>24020036913</v>
      </c>
      <c r="P81" s="83"/>
      <c r="Q81" s="100">
        <f>SUM(Q93:Q464)</f>
        <v>8985317023</v>
      </c>
      <c r="R81" s="79">
        <v>23.81</v>
      </c>
      <c r="S81" s="100">
        <f>SUM(S93:S464)</f>
        <v>47726638062.699997</v>
      </c>
      <c r="T81" s="30">
        <f t="shared" ref="T81:T84" si="54">SUM(L81,N81,P81,R81)</f>
        <v>23.81</v>
      </c>
      <c r="U81" s="30">
        <f t="shared" ref="U81:U83" si="55">T81/J81*100</f>
        <v>47.62</v>
      </c>
      <c r="V81" s="30" t="s">
        <v>44</v>
      </c>
      <c r="W81" s="31">
        <f>SUM(M81,O81,Q81,S81)</f>
        <v>99792718694.699997</v>
      </c>
      <c r="X81" s="64">
        <f>W81/K81*100</f>
        <v>113.86180973605791</v>
      </c>
      <c r="Y81" s="22" t="s">
        <v>44</v>
      </c>
      <c r="Z81" s="30">
        <f t="shared" si="20"/>
        <v>73.81</v>
      </c>
      <c r="AA81" s="31">
        <f t="shared" si="47"/>
        <v>179280660914.70001</v>
      </c>
      <c r="AB81" s="41">
        <f t="shared" si="5"/>
        <v>147.62</v>
      </c>
      <c r="AC81" s="34" t="s">
        <v>44</v>
      </c>
      <c r="AD81" s="90">
        <f t="shared" si="48"/>
        <v>96.30062431080097</v>
      </c>
      <c r="AE81" s="42"/>
      <c r="AF81" s="36"/>
      <c r="AG81" s="36"/>
      <c r="AH81" s="37"/>
      <c r="AI81" s="36"/>
      <c r="AJ81" s="36"/>
      <c r="AK81" s="36"/>
    </row>
    <row r="82" spans="1:37" ht="132" customHeight="1">
      <c r="A82" s="43"/>
      <c r="B82" s="183"/>
      <c r="C82" s="182"/>
      <c r="D82" s="23" t="s">
        <v>207</v>
      </c>
      <c r="E82" s="38">
        <v>30</v>
      </c>
      <c r="F82" s="99" t="s">
        <v>44</v>
      </c>
      <c r="G82" s="100"/>
      <c r="H82" s="28">
        <v>9.52</v>
      </c>
      <c r="I82" s="100"/>
      <c r="J82" s="28">
        <v>30</v>
      </c>
      <c r="K82" s="100"/>
      <c r="L82" s="45"/>
      <c r="M82" s="100"/>
      <c r="N82" s="83"/>
      <c r="O82" s="100"/>
      <c r="P82" s="83"/>
      <c r="Q82" s="100"/>
      <c r="R82" s="79">
        <v>23.81</v>
      </c>
      <c r="S82" s="100"/>
      <c r="T82" s="30">
        <f t="shared" si="54"/>
        <v>23.81</v>
      </c>
      <c r="U82" s="40">
        <f t="shared" si="55"/>
        <v>79.36666666666666</v>
      </c>
      <c r="V82" s="30" t="s">
        <v>44</v>
      </c>
      <c r="W82" s="31"/>
      <c r="X82" s="64"/>
      <c r="Y82" s="22"/>
      <c r="Z82" s="30">
        <f t="shared" si="20"/>
        <v>33.33</v>
      </c>
      <c r="AA82" s="31"/>
      <c r="AB82" s="41">
        <f t="shared" si="5"/>
        <v>111.1</v>
      </c>
      <c r="AC82" s="34" t="s">
        <v>44</v>
      </c>
      <c r="AD82" s="90"/>
      <c r="AE82" s="42"/>
      <c r="AF82" s="36"/>
      <c r="AG82" s="36"/>
      <c r="AH82" s="37"/>
      <c r="AI82" s="36"/>
      <c r="AJ82" s="36"/>
      <c r="AK82" s="36"/>
    </row>
    <row r="83" spans="1:37" ht="57" customHeight="1">
      <c r="A83" s="43"/>
      <c r="B83" s="23" t="s">
        <v>208</v>
      </c>
      <c r="C83" s="182"/>
      <c r="D83" s="23" t="s">
        <v>209</v>
      </c>
      <c r="E83" s="38">
        <v>100</v>
      </c>
      <c r="F83" s="99" t="s">
        <v>44</v>
      </c>
      <c r="G83" s="100"/>
      <c r="H83" s="28">
        <v>86.7</v>
      </c>
      <c r="I83" s="100"/>
      <c r="J83" s="28">
        <v>100</v>
      </c>
      <c r="K83" s="100"/>
      <c r="L83" s="45">
        <v>24.69</v>
      </c>
      <c r="M83" s="100"/>
      <c r="N83" s="83">
        <f>48.76-L83</f>
        <v>24.069999999999997</v>
      </c>
      <c r="O83" s="100"/>
      <c r="P83" s="83">
        <f>72.09-L83-N83</f>
        <v>23.330000000000009</v>
      </c>
      <c r="Q83" s="100"/>
      <c r="R83" s="79">
        <f>95.49-L83-N83-P83</f>
        <v>23.399999999999995</v>
      </c>
      <c r="S83" s="100"/>
      <c r="T83" s="30">
        <f t="shared" si="54"/>
        <v>95.49</v>
      </c>
      <c r="U83" s="30">
        <f t="shared" si="55"/>
        <v>95.49</v>
      </c>
      <c r="V83" s="30" t="s">
        <v>44</v>
      </c>
      <c r="W83" s="31"/>
      <c r="X83" s="64"/>
      <c r="Y83" s="22"/>
      <c r="Z83" s="30">
        <f t="shared" si="20"/>
        <v>182.19</v>
      </c>
      <c r="AA83" s="31"/>
      <c r="AB83" s="41">
        <f t="shared" si="5"/>
        <v>182.19</v>
      </c>
      <c r="AC83" s="34" t="s">
        <v>44</v>
      </c>
      <c r="AD83" s="90"/>
      <c r="AE83" s="42"/>
      <c r="AF83" s="36"/>
      <c r="AG83" s="36"/>
      <c r="AH83" s="37"/>
      <c r="AI83" s="36"/>
      <c r="AJ83" s="36"/>
      <c r="AK83" s="36"/>
    </row>
    <row r="84" spans="1:37" ht="94.5" customHeight="1">
      <c r="A84" s="43"/>
      <c r="B84" s="232" t="s">
        <v>210</v>
      </c>
      <c r="C84" s="182"/>
      <c r="D84" s="23" t="s">
        <v>211</v>
      </c>
      <c r="E84" s="38">
        <v>0</v>
      </c>
      <c r="F84" s="99" t="s">
        <v>44</v>
      </c>
      <c r="G84" s="100"/>
      <c r="H84" s="28">
        <v>0.3</v>
      </c>
      <c r="I84" s="100"/>
      <c r="J84" s="28">
        <v>0</v>
      </c>
      <c r="K84" s="100"/>
      <c r="L84" s="174">
        <v>0</v>
      </c>
      <c r="M84" s="172"/>
      <c r="N84" s="175">
        <v>0.06</v>
      </c>
      <c r="O84" s="172"/>
      <c r="P84" s="175">
        <v>0.01</v>
      </c>
      <c r="Q84" s="172"/>
      <c r="R84" s="173">
        <f>0.15-N84-P84</f>
        <v>0.08</v>
      </c>
      <c r="S84" s="100"/>
      <c r="T84" s="30">
        <f t="shared" si="54"/>
        <v>0.15</v>
      </c>
      <c r="U84" s="30">
        <v>0</v>
      </c>
      <c r="V84" s="30" t="s">
        <v>44</v>
      </c>
      <c r="W84" s="31"/>
      <c r="X84" s="64"/>
      <c r="Y84" s="22"/>
      <c r="Z84" s="30">
        <f t="shared" si="20"/>
        <v>0.44999999999999996</v>
      </c>
      <c r="AA84" s="31"/>
      <c r="AB84" s="41">
        <v>0</v>
      </c>
      <c r="AC84" s="34" t="s">
        <v>44</v>
      </c>
      <c r="AD84" s="90"/>
      <c r="AE84" s="42"/>
      <c r="AF84" s="36"/>
      <c r="AG84" s="36"/>
      <c r="AH84" s="37"/>
      <c r="AI84" s="36"/>
      <c r="AJ84" s="36"/>
      <c r="AK84" s="36"/>
    </row>
    <row r="85" spans="1:37" ht="94.5" customHeight="1">
      <c r="A85" s="43"/>
      <c r="B85" s="183"/>
      <c r="C85" s="182"/>
      <c r="D85" s="23" t="s">
        <v>212</v>
      </c>
      <c r="E85" s="38">
        <v>100</v>
      </c>
      <c r="F85" s="99" t="s">
        <v>44</v>
      </c>
      <c r="G85" s="100"/>
      <c r="H85" s="28">
        <v>100</v>
      </c>
      <c r="I85" s="100"/>
      <c r="J85" s="28">
        <v>100</v>
      </c>
      <c r="K85" s="100"/>
      <c r="L85" s="45">
        <v>100</v>
      </c>
      <c r="M85" s="100"/>
      <c r="N85" s="83">
        <v>100</v>
      </c>
      <c r="O85" s="100"/>
      <c r="P85" s="83">
        <v>100</v>
      </c>
      <c r="Q85" s="100"/>
      <c r="R85" s="79">
        <v>100</v>
      </c>
      <c r="S85" s="100"/>
      <c r="T85" s="40">
        <f>AVERAGE(L85,N85,P85,R85)</f>
        <v>100</v>
      </c>
      <c r="U85" s="30">
        <f t="shared" ref="U85:U92" si="56">T85/J85*100</f>
        <v>100</v>
      </c>
      <c r="V85" s="30" t="s">
        <v>44</v>
      </c>
      <c r="W85" s="31"/>
      <c r="X85" s="64"/>
      <c r="Y85" s="22"/>
      <c r="Z85" s="30">
        <f t="shared" si="20"/>
        <v>200</v>
      </c>
      <c r="AA85" s="31"/>
      <c r="AB85" s="41">
        <v>0</v>
      </c>
      <c r="AC85" s="34" t="s">
        <v>44</v>
      </c>
      <c r="AD85" s="90"/>
      <c r="AE85" s="42"/>
      <c r="AF85" s="36"/>
      <c r="AG85" s="36"/>
      <c r="AH85" s="37"/>
      <c r="AI85" s="36"/>
      <c r="AJ85" s="36"/>
      <c r="AK85" s="36"/>
    </row>
    <row r="86" spans="1:37" ht="94.5" customHeight="1">
      <c r="A86" s="43"/>
      <c r="B86" s="23" t="s">
        <v>213</v>
      </c>
      <c r="C86" s="182"/>
      <c r="D86" s="23" t="s">
        <v>214</v>
      </c>
      <c r="E86" s="38">
        <v>55</v>
      </c>
      <c r="F86" s="99" t="s">
        <v>44</v>
      </c>
      <c r="G86" s="100"/>
      <c r="H86" s="28">
        <v>60.97</v>
      </c>
      <c r="I86" s="100"/>
      <c r="J86" s="28">
        <v>50</v>
      </c>
      <c r="K86" s="100"/>
      <c r="L86" s="178">
        <v>10.66</v>
      </c>
      <c r="M86" s="176"/>
      <c r="N86" s="179">
        <v>11.33</v>
      </c>
      <c r="O86" s="176"/>
      <c r="P86" s="179">
        <v>11.42</v>
      </c>
      <c r="Q86" s="176"/>
      <c r="R86" s="177">
        <v>16.54</v>
      </c>
      <c r="S86" s="100"/>
      <c r="T86" s="40">
        <f t="shared" ref="T86:T243" si="57">SUM(L86,N86,P86,R86)</f>
        <v>49.95</v>
      </c>
      <c r="U86" s="30">
        <f t="shared" si="56"/>
        <v>99.9</v>
      </c>
      <c r="V86" s="30" t="s">
        <v>44</v>
      </c>
      <c r="W86" s="31"/>
      <c r="X86" s="64"/>
      <c r="Y86" s="22"/>
      <c r="Z86" s="30">
        <f t="shared" si="20"/>
        <v>110.92</v>
      </c>
      <c r="AA86" s="31"/>
      <c r="AB86" s="41">
        <v>0</v>
      </c>
      <c r="AC86" s="34" t="s">
        <v>44</v>
      </c>
      <c r="AD86" s="90"/>
      <c r="AE86" s="42"/>
      <c r="AF86" s="36"/>
      <c r="AG86" s="36"/>
      <c r="AH86" s="37"/>
      <c r="AI86" s="36"/>
      <c r="AJ86" s="36"/>
      <c r="AK86" s="36"/>
    </row>
    <row r="87" spans="1:37" ht="94.5" customHeight="1">
      <c r="A87" s="43"/>
      <c r="B87" s="232" t="s">
        <v>215</v>
      </c>
      <c r="C87" s="182"/>
      <c r="D87" s="23" t="s">
        <v>216</v>
      </c>
      <c r="E87" s="38">
        <v>100</v>
      </c>
      <c r="F87" s="99" t="s">
        <v>44</v>
      </c>
      <c r="G87" s="100"/>
      <c r="H87" s="28">
        <v>86.7</v>
      </c>
      <c r="I87" s="100"/>
      <c r="J87" s="28">
        <v>100</v>
      </c>
      <c r="K87" s="100"/>
      <c r="L87" s="178">
        <v>23.23</v>
      </c>
      <c r="M87" s="176"/>
      <c r="N87" s="179">
        <v>22.87</v>
      </c>
      <c r="O87" s="176"/>
      <c r="P87" s="179">
        <v>22.39</v>
      </c>
      <c r="Q87" s="176"/>
      <c r="R87" s="177">
        <v>22.14</v>
      </c>
      <c r="S87" s="100"/>
      <c r="T87" s="40">
        <f t="shared" si="57"/>
        <v>90.63000000000001</v>
      </c>
      <c r="U87" s="30">
        <f t="shared" si="56"/>
        <v>90.63000000000001</v>
      </c>
      <c r="V87" s="30" t="s">
        <v>44</v>
      </c>
      <c r="W87" s="31"/>
      <c r="X87" s="64"/>
      <c r="Y87" s="22"/>
      <c r="Z87" s="30">
        <f t="shared" si="20"/>
        <v>177.33</v>
      </c>
      <c r="AA87" s="31"/>
      <c r="AB87" s="41">
        <v>0</v>
      </c>
      <c r="AC87" s="34" t="s">
        <v>44</v>
      </c>
      <c r="AD87" s="90"/>
      <c r="AE87" s="42"/>
      <c r="AF87" s="36"/>
      <c r="AG87" s="36"/>
      <c r="AH87" s="37"/>
      <c r="AI87" s="36"/>
      <c r="AJ87" s="36"/>
      <c r="AK87" s="36"/>
    </row>
    <row r="88" spans="1:37" ht="94.5" customHeight="1">
      <c r="A88" s="43"/>
      <c r="B88" s="182"/>
      <c r="C88" s="182"/>
      <c r="D88" s="23" t="s">
        <v>217</v>
      </c>
      <c r="E88" s="38">
        <v>100</v>
      </c>
      <c r="F88" s="99" t="s">
        <v>44</v>
      </c>
      <c r="G88" s="100"/>
      <c r="H88" s="28">
        <v>69.900000000000006</v>
      </c>
      <c r="I88" s="100"/>
      <c r="J88" s="28">
        <v>100</v>
      </c>
      <c r="K88" s="100"/>
      <c r="L88" s="178">
        <v>26.99</v>
      </c>
      <c r="M88" s="176"/>
      <c r="N88" s="179">
        <f>50.73-L88</f>
        <v>23.74</v>
      </c>
      <c r="O88" s="176"/>
      <c r="P88" s="179">
        <f>74.74-L88-N88</f>
        <v>24.01</v>
      </c>
      <c r="Q88" s="176"/>
      <c r="R88" s="177">
        <f>95.29-L88-N88-P88</f>
        <v>20.550000000000015</v>
      </c>
      <c r="S88" s="100"/>
      <c r="T88" s="40">
        <f t="shared" si="57"/>
        <v>95.29</v>
      </c>
      <c r="U88" s="30">
        <f t="shared" si="56"/>
        <v>95.29</v>
      </c>
      <c r="V88" s="30" t="s">
        <v>44</v>
      </c>
      <c r="W88" s="31"/>
      <c r="X88" s="64"/>
      <c r="Y88" s="22"/>
      <c r="Z88" s="30">
        <f t="shared" si="20"/>
        <v>165.19</v>
      </c>
      <c r="AA88" s="31"/>
      <c r="AB88" s="41">
        <v>0</v>
      </c>
      <c r="AC88" s="34" t="s">
        <v>44</v>
      </c>
      <c r="AD88" s="90"/>
      <c r="AE88" s="42"/>
      <c r="AF88" s="36"/>
      <c r="AG88" s="36"/>
      <c r="AH88" s="37"/>
      <c r="AI88" s="36"/>
      <c r="AJ88" s="36"/>
      <c r="AK88" s="36"/>
    </row>
    <row r="89" spans="1:37" ht="94.5" customHeight="1">
      <c r="A89" s="43"/>
      <c r="B89" s="183"/>
      <c r="C89" s="182"/>
      <c r="D89" s="23" t="s">
        <v>218</v>
      </c>
      <c r="E89" s="38">
        <v>14</v>
      </c>
      <c r="F89" s="99" t="s">
        <v>44</v>
      </c>
      <c r="G89" s="100"/>
      <c r="H89" s="28">
        <v>14.94</v>
      </c>
      <c r="I89" s="100"/>
      <c r="J89" s="28">
        <v>15</v>
      </c>
      <c r="K89" s="100"/>
      <c r="L89" s="178">
        <v>4.5199999999999996</v>
      </c>
      <c r="M89" s="176"/>
      <c r="N89" s="179">
        <v>8.67</v>
      </c>
      <c r="O89" s="176"/>
      <c r="P89" s="179">
        <v>13.02</v>
      </c>
      <c r="Q89" s="176"/>
      <c r="R89" s="177">
        <v>16.559999999999999</v>
      </c>
      <c r="S89" s="100"/>
      <c r="T89" s="40">
        <f t="shared" si="57"/>
        <v>42.769999999999996</v>
      </c>
      <c r="U89" s="40">
        <f t="shared" si="56"/>
        <v>285.13333333333333</v>
      </c>
      <c r="V89" s="30" t="s">
        <v>44</v>
      </c>
      <c r="W89" s="31"/>
      <c r="X89" s="64"/>
      <c r="Y89" s="22"/>
      <c r="Z89" s="30">
        <f t="shared" si="20"/>
        <v>57.709999999999994</v>
      </c>
      <c r="AA89" s="31"/>
      <c r="AB89" s="41">
        <v>0</v>
      </c>
      <c r="AC89" s="34" t="s">
        <v>44</v>
      </c>
      <c r="AD89" s="90"/>
      <c r="AE89" s="42"/>
      <c r="AF89" s="36"/>
      <c r="AG89" s="36"/>
      <c r="AH89" s="37"/>
      <c r="AI89" s="36"/>
      <c r="AJ89" s="36"/>
      <c r="AK89" s="36"/>
    </row>
    <row r="90" spans="1:37" ht="94.5" customHeight="1">
      <c r="A90" s="43"/>
      <c r="B90" s="23" t="s">
        <v>219</v>
      </c>
      <c r="C90" s="182"/>
      <c r="D90" s="23" t="s">
        <v>220</v>
      </c>
      <c r="E90" s="38">
        <v>100</v>
      </c>
      <c r="F90" s="99" t="s">
        <v>44</v>
      </c>
      <c r="G90" s="100"/>
      <c r="H90" s="28">
        <v>100</v>
      </c>
      <c r="I90" s="100"/>
      <c r="J90" s="28">
        <v>100</v>
      </c>
      <c r="K90" s="100"/>
      <c r="L90" s="45">
        <v>25</v>
      </c>
      <c r="M90" s="100"/>
      <c r="N90" s="83">
        <v>25</v>
      </c>
      <c r="O90" s="100"/>
      <c r="P90" s="83">
        <v>25</v>
      </c>
      <c r="Q90" s="100"/>
      <c r="R90" s="79">
        <v>25</v>
      </c>
      <c r="S90" s="100"/>
      <c r="T90" s="40">
        <f t="shared" si="57"/>
        <v>100</v>
      </c>
      <c r="U90" s="30">
        <f t="shared" si="56"/>
        <v>100</v>
      </c>
      <c r="V90" s="30" t="s">
        <v>44</v>
      </c>
      <c r="W90" s="31"/>
      <c r="X90" s="64"/>
      <c r="Y90" s="22"/>
      <c r="Z90" s="30">
        <f t="shared" si="20"/>
        <v>200</v>
      </c>
      <c r="AA90" s="31"/>
      <c r="AB90" s="41">
        <v>1</v>
      </c>
      <c r="AC90" s="34" t="s">
        <v>44</v>
      </c>
      <c r="AD90" s="90"/>
      <c r="AE90" s="42"/>
      <c r="AF90" s="36"/>
      <c r="AG90" s="36"/>
      <c r="AH90" s="37"/>
      <c r="AI90" s="36"/>
      <c r="AJ90" s="36"/>
      <c r="AK90" s="36"/>
    </row>
    <row r="91" spans="1:37" ht="94.5" customHeight="1">
      <c r="A91" s="43"/>
      <c r="B91" s="23" t="s">
        <v>221</v>
      </c>
      <c r="C91" s="182"/>
      <c r="D91" s="23" t="s">
        <v>222</v>
      </c>
      <c r="E91" s="38">
        <v>0</v>
      </c>
      <c r="F91" s="99" t="s">
        <v>44</v>
      </c>
      <c r="G91" s="100"/>
      <c r="H91" s="28">
        <v>0</v>
      </c>
      <c r="I91" s="100"/>
      <c r="J91" s="28">
        <v>0</v>
      </c>
      <c r="K91" s="100"/>
      <c r="L91" s="45">
        <v>0</v>
      </c>
      <c r="M91" s="100"/>
      <c r="N91" s="83">
        <v>0</v>
      </c>
      <c r="O91" s="100"/>
      <c r="P91" s="83">
        <v>0</v>
      </c>
      <c r="Q91" s="100"/>
      <c r="R91" s="79">
        <v>0</v>
      </c>
      <c r="S91" s="100"/>
      <c r="T91" s="40">
        <f t="shared" si="57"/>
        <v>0</v>
      </c>
      <c r="U91" s="30">
        <v>0</v>
      </c>
      <c r="V91" s="30" t="s">
        <v>44</v>
      </c>
      <c r="W91" s="31"/>
      <c r="X91" s="64"/>
      <c r="Y91" s="22"/>
      <c r="Z91" s="30">
        <f t="shared" si="20"/>
        <v>0</v>
      </c>
      <c r="AA91" s="31"/>
      <c r="AB91" s="41">
        <v>2</v>
      </c>
      <c r="AC91" s="34" t="s">
        <v>44</v>
      </c>
      <c r="AD91" s="90"/>
      <c r="AE91" s="42"/>
      <c r="AF91" s="36"/>
      <c r="AG91" s="36"/>
      <c r="AH91" s="37"/>
      <c r="AI91" s="36"/>
      <c r="AJ91" s="36"/>
      <c r="AK91" s="36"/>
    </row>
    <row r="92" spans="1:37" ht="94.5" customHeight="1">
      <c r="A92" s="43"/>
      <c r="B92" s="23" t="s">
        <v>223</v>
      </c>
      <c r="C92" s="183"/>
      <c r="D92" s="23" t="s">
        <v>224</v>
      </c>
      <c r="E92" s="38">
        <v>65</v>
      </c>
      <c r="F92" s="99" t="s">
        <v>44</v>
      </c>
      <c r="G92" s="100"/>
      <c r="H92" s="28">
        <v>59</v>
      </c>
      <c r="I92" s="100"/>
      <c r="J92" s="28">
        <v>63</v>
      </c>
      <c r="K92" s="100"/>
      <c r="L92" s="45"/>
      <c r="M92" s="100"/>
      <c r="N92" s="83"/>
      <c r="O92" s="100"/>
      <c r="P92" s="83"/>
      <c r="Q92" s="100"/>
      <c r="R92" s="79">
        <v>61</v>
      </c>
      <c r="S92" s="100"/>
      <c r="T92" s="40">
        <f t="shared" si="57"/>
        <v>61</v>
      </c>
      <c r="U92" s="40">
        <f t="shared" si="56"/>
        <v>96.825396825396822</v>
      </c>
      <c r="V92" s="30" t="s">
        <v>44</v>
      </c>
      <c r="W92" s="31"/>
      <c r="X92" s="64"/>
      <c r="Y92" s="22"/>
      <c r="Z92" s="30">
        <f t="shared" si="20"/>
        <v>120</v>
      </c>
      <c r="AA92" s="31"/>
      <c r="AB92" s="41">
        <v>3</v>
      </c>
      <c r="AC92" s="34" t="s">
        <v>44</v>
      </c>
      <c r="AD92" s="90"/>
      <c r="AE92" s="42"/>
      <c r="AF92" s="36"/>
      <c r="AG92" s="36"/>
      <c r="AH92" s="37"/>
      <c r="AI92" s="36"/>
      <c r="AJ92" s="36"/>
      <c r="AK92" s="36"/>
    </row>
    <row r="93" spans="1:37" ht="90">
      <c r="A93" s="43"/>
      <c r="B93" s="2"/>
      <c r="C93" s="46" t="s">
        <v>225</v>
      </c>
      <c r="D93" s="47" t="s">
        <v>226</v>
      </c>
      <c r="E93" s="48">
        <v>11896</v>
      </c>
      <c r="F93" s="77" t="s">
        <v>227</v>
      </c>
      <c r="G93" s="91">
        <v>911289850</v>
      </c>
      <c r="H93" s="101">
        <f>4311+3215</f>
        <v>7526</v>
      </c>
      <c r="I93" s="50">
        <v>148424265</v>
      </c>
      <c r="J93" s="51">
        <v>3586</v>
      </c>
      <c r="K93" s="50">
        <v>696425100</v>
      </c>
      <c r="L93" s="33">
        <v>820</v>
      </c>
      <c r="M93" s="50">
        <v>0</v>
      </c>
      <c r="N93" s="51">
        <v>833</v>
      </c>
      <c r="O93" s="50">
        <v>19812500</v>
      </c>
      <c r="P93" s="48">
        <v>516</v>
      </c>
      <c r="Q93" s="50">
        <f>136710450-M93-O93</f>
        <v>116897950</v>
      </c>
      <c r="R93" s="101">
        <v>1068</v>
      </c>
      <c r="S93" s="50">
        <f>502782000-O93-Q93</f>
        <v>366071550</v>
      </c>
      <c r="T93" s="102">
        <f t="shared" si="57"/>
        <v>3237</v>
      </c>
      <c r="U93" s="60">
        <f t="shared" ref="U93:U336" si="58">T93/J93*100</f>
        <v>90.267707752370328</v>
      </c>
      <c r="V93" s="34" t="s">
        <v>44</v>
      </c>
      <c r="W93" s="52">
        <f t="shared" ref="W93:W162" si="59">SUM(M93,O93,Q93,S93)</f>
        <v>502782000</v>
      </c>
      <c r="X93" s="60">
        <f t="shared" ref="X93:X347" si="60">W93/K93*100</f>
        <v>72.194698324342426</v>
      </c>
      <c r="Y93" s="34" t="s">
        <v>44</v>
      </c>
      <c r="Z93" s="102">
        <f t="shared" si="20"/>
        <v>10763</v>
      </c>
      <c r="AA93" s="52">
        <f t="shared" ref="AA93:AA347" si="61">SUM(I93,W93)</f>
        <v>651206265</v>
      </c>
      <c r="AB93" s="41">
        <f t="shared" ref="AB93:AB347" si="62">Z93/E93*100</f>
        <v>90.475790181573629</v>
      </c>
      <c r="AC93" s="34" t="s">
        <v>44</v>
      </c>
      <c r="AD93" s="90">
        <f t="shared" ref="AD93:AD347" si="63">AA93/G93*100</f>
        <v>71.459839588907954</v>
      </c>
      <c r="AE93" s="17"/>
      <c r="AF93" s="2"/>
      <c r="AG93" s="2"/>
      <c r="AH93" s="55"/>
      <c r="AI93" s="2"/>
      <c r="AJ93" s="2"/>
      <c r="AK93" s="2"/>
    </row>
    <row r="94" spans="1:37" ht="90">
      <c r="A94" s="43"/>
      <c r="B94" s="39"/>
      <c r="C94" s="46" t="s">
        <v>228</v>
      </c>
      <c r="D94" s="47" t="s">
        <v>226</v>
      </c>
      <c r="E94" s="48">
        <v>602</v>
      </c>
      <c r="F94" s="77" t="s">
        <v>227</v>
      </c>
      <c r="G94" s="91">
        <v>61539500</v>
      </c>
      <c r="H94" s="101">
        <v>186</v>
      </c>
      <c r="I94" s="50">
        <v>27605000</v>
      </c>
      <c r="J94" s="51">
        <v>134</v>
      </c>
      <c r="K94" s="50">
        <v>33784500</v>
      </c>
      <c r="L94" s="33">
        <v>26</v>
      </c>
      <c r="M94" s="103" t="s">
        <v>229</v>
      </c>
      <c r="N94" s="51">
        <v>37</v>
      </c>
      <c r="O94" s="50">
        <v>11342000</v>
      </c>
      <c r="P94" s="51">
        <v>71</v>
      </c>
      <c r="Q94" s="50">
        <v>11569000</v>
      </c>
      <c r="R94" s="101">
        <v>52</v>
      </c>
      <c r="S94" s="50">
        <v>10463500</v>
      </c>
      <c r="T94" s="102">
        <f t="shared" si="57"/>
        <v>186</v>
      </c>
      <c r="U94" s="60">
        <f t="shared" si="58"/>
        <v>138.80597014925374</v>
      </c>
      <c r="V94" s="34" t="s">
        <v>44</v>
      </c>
      <c r="W94" s="52">
        <f t="shared" si="59"/>
        <v>33374500</v>
      </c>
      <c r="X94" s="60">
        <f t="shared" si="60"/>
        <v>98.786425727774571</v>
      </c>
      <c r="Y94" s="34" t="s">
        <v>44</v>
      </c>
      <c r="Z94" s="102">
        <f t="shared" si="20"/>
        <v>372</v>
      </c>
      <c r="AA94" s="52">
        <f t="shared" si="61"/>
        <v>60979500</v>
      </c>
      <c r="AB94" s="41">
        <f t="shared" si="62"/>
        <v>61.794019933554821</v>
      </c>
      <c r="AC94" s="34" t="s">
        <v>44</v>
      </c>
      <c r="AD94" s="90">
        <f t="shared" si="63"/>
        <v>99.090015355990872</v>
      </c>
      <c r="AE94" s="17"/>
      <c r="AF94" s="2"/>
      <c r="AG94" s="2"/>
      <c r="AH94" s="55"/>
      <c r="AI94" s="2"/>
      <c r="AJ94" s="2"/>
      <c r="AK94" s="2"/>
    </row>
    <row r="95" spans="1:37" ht="90">
      <c r="A95" s="43"/>
      <c r="B95" s="39"/>
      <c r="C95" s="46" t="s">
        <v>230</v>
      </c>
      <c r="D95" s="47" t="s">
        <v>226</v>
      </c>
      <c r="E95" s="48">
        <v>388</v>
      </c>
      <c r="F95" s="77" t="s">
        <v>227</v>
      </c>
      <c r="G95" s="91">
        <v>239469100</v>
      </c>
      <c r="H95" s="101">
        <v>139</v>
      </c>
      <c r="I95" s="50">
        <v>18349500</v>
      </c>
      <c r="J95" s="51">
        <v>129</v>
      </c>
      <c r="K95" s="50">
        <v>108381400</v>
      </c>
      <c r="L95" s="33">
        <v>29</v>
      </c>
      <c r="M95" s="103" t="s">
        <v>229</v>
      </c>
      <c r="N95" s="51">
        <v>26</v>
      </c>
      <c r="O95" s="50">
        <v>25062500</v>
      </c>
      <c r="P95" s="51"/>
      <c r="Q95" s="50">
        <v>31050000</v>
      </c>
      <c r="R95" s="101">
        <v>29</v>
      </c>
      <c r="S95" s="50">
        <v>27309300</v>
      </c>
      <c r="T95" s="102">
        <f t="shared" si="57"/>
        <v>84</v>
      </c>
      <c r="U95" s="60">
        <f t="shared" si="58"/>
        <v>65.116279069767444</v>
      </c>
      <c r="V95" s="34" t="s">
        <v>44</v>
      </c>
      <c r="W95" s="52">
        <f t="shared" si="59"/>
        <v>83421800</v>
      </c>
      <c r="X95" s="60">
        <f t="shared" si="60"/>
        <v>76.970587204077461</v>
      </c>
      <c r="Y95" s="34" t="s">
        <v>44</v>
      </c>
      <c r="Z95" s="102">
        <f t="shared" si="20"/>
        <v>223</v>
      </c>
      <c r="AA95" s="52">
        <f t="shared" si="61"/>
        <v>101771300</v>
      </c>
      <c r="AB95" s="41">
        <f t="shared" si="62"/>
        <v>57.47422680412371</v>
      </c>
      <c r="AC95" s="34" t="s">
        <v>44</v>
      </c>
      <c r="AD95" s="90">
        <f t="shared" si="63"/>
        <v>42.498719041412855</v>
      </c>
      <c r="AE95" s="17"/>
      <c r="AF95" s="2"/>
      <c r="AG95" s="2"/>
      <c r="AH95" s="55"/>
      <c r="AI95" s="2"/>
      <c r="AJ95" s="2"/>
      <c r="AK95" s="2"/>
    </row>
    <row r="96" spans="1:37" ht="90">
      <c r="A96" s="43"/>
      <c r="B96" s="39"/>
      <c r="C96" s="46" t="s">
        <v>231</v>
      </c>
      <c r="D96" s="47" t="s">
        <v>226</v>
      </c>
      <c r="E96" s="48">
        <v>294</v>
      </c>
      <c r="F96" s="77" t="s">
        <v>227</v>
      </c>
      <c r="G96" s="91">
        <v>129439200</v>
      </c>
      <c r="H96" s="101">
        <v>88</v>
      </c>
      <c r="I96" s="50">
        <v>17595000</v>
      </c>
      <c r="J96" s="51">
        <v>98</v>
      </c>
      <c r="K96" s="50">
        <v>55922100</v>
      </c>
      <c r="L96" s="33">
        <v>0</v>
      </c>
      <c r="M96" s="103" t="s">
        <v>229</v>
      </c>
      <c r="N96" s="51">
        <v>43</v>
      </c>
      <c r="O96" s="50">
        <v>10520000</v>
      </c>
      <c r="P96" s="51">
        <v>43</v>
      </c>
      <c r="Q96" s="50">
        <v>22950000</v>
      </c>
      <c r="R96" s="101">
        <v>12</v>
      </c>
      <c r="S96" s="50">
        <v>21892100</v>
      </c>
      <c r="T96" s="102">
        <f t="shared" si="57"/>
        <v>98</v>
      </c>
      <c r="U96" s="60">
        <f t="shared" si="58"/>
        <v>100</v>
      </c>
      <c r="V96" s="34" t="s">
        <v>44</v>
      </c>
      <c r="W96" s="52">
        <f t="shared" si="59"/>
        <v>55362100</v>
      </c>
      <c r="X96" s="60">
        <f t="shared" si="60"/>
        <v>98.998606990796119</v>
      </c>
      <c r="Y96" s="34" t="s">
        <v>44</v>
      </c>
      <c r="Z96" s="102">
        <f t="shared" si="20"/>
        <v>186</v>
      </c>
      <c r="AA96" s="52">
        <f t="shared" si="61"/>
        <v>72957100</v>
      </c>
      <c r="AB96" s="41">
        <f t="shared" si="62"/>
        <v>63.265306122448983</v>
      </c>
      <c r="AC96" s="34" t="s">
        <v>44</v>
      </c>
      <c r="AD96" s="90">
        <f t="shared" si="63"/>
        <v>56.363991742841421</v>
      </c>
      <c r="AE96" s="17"/>
      <c r="AF96" s="2"/>
      <c r="AG96" s="2"/>
      <c r="AH96" s="55"/>
      <c r="AI96" s="2"/>
      <c r="AJ96" s="2"/>
      <c r="AK96" s="2"/>
    </row>
    <row r="97" spans="1:37" ht="90">
      <c r="A97" s="43"/>
      <c r="B97" s="39"/>
      <c r="C97" s="46" t="s">
        <v>232</v>
      </c>
      <c r="D97" s="47" t="s">
        <v>226</v>
      </c>
      <c r="E97" s="48">
        <v>756</v>
      </c>
      <c r="F97" s="77" t="s">
        <v>227</v>
      </c>
      <c r="G97" s="91">
        <v>75020000</v>
      </c>
      <c r="H97" s="101">
        <v>210</v>
      </c>
      <c r="I97" s="50">
        <v>15368600</v>
      </c>
      <c r="J97" s="51">
        <v>252</v>
      </c>
      <c r="K97" s="50">
        <v>29766000</v>
      </c>
      <c r="L97" s="33">
        <v>47</v>
      </c>
      <c r="M97" s="103" t="s">
        <v>229</v>
      </c>
      <c r="N97" s="51">
        <v>48</v>
      </c>
      <c r="O97" s="50">
        <v>8860000</v>
      </c>
      <c r="P97" s="51">
        <v>55</v>
      </c>
      <c r="Q97" s="50">
        <v>3110000</v>
      </c>
      <c r="R97" s="101">
        <v>61</v>
      </c>
      <c r="S97" s="50">
        <v>11170000</v>
      </c>
      <c r="T97" s="102">
        <f t="shared" si="57"/>
        <v>211</v>
      </c>
      <c r="U97" s="60">
        <f t="shared" si="58"/>
        <v>83.730158730158735</v>
      </c>
      <c r="V97" s="34" t="s">
        <v>44</v>
      </c>
      <c r="W97" s="52">
        <f t="shared" si="59"/>
        <v>23140000</v>
      </c>
      <c r="X97" s="60">
        <f t="shared" si="60"/>
        <v>77.73970301686488</v>
      </c>
      <c r="Y97" s="34" t="s">
        <v>44</v>
      </c>
      <c r="Z97" s="102">
        <f t="shared" si="20"/>
        <v>421</v>
      </c>
      <c r="AA97" s="52">
        <f t="shared" si="61"/>
        <v>38508600</v>
      </c>
      <c r="AB97" s="41">
        <f t="shared" si="62"/>
        <v>55.687830687830683</v>
      </c>
      <c r="AC97" s="34" t="s">
        <v>44</v>
      </c>
      <c r="AD97" s="90">
        <f t="shared" si="63"/>
        <v>51.331111703545716</v>
      </c>
      <c r="AE97" s="17"/>
      <c r="AF97" s="2"/>
      <c r="AG97" s="2"/>
      <c r="AH97" s="55"/>
      <c r="AI97" s="2"/>
      <c r="AJ97" s="2"/>
      <c r="AK97" s="2"/>
    </row>
    <row r="98" spans="1:37" ht="90">
      <c r="A98" s="43"/>
      <c r="B98" s="39"/>
      <c r="C98" s="46" t="s">
        <v>233</v>
      </c>
      <c r="D98" s="47" t="s">
        <v>226</v>
      </c>
      <c r="E98" s="48">
        <v>343</v>
      </c>
      <c r="F98" s="77" t="s">
        <v>227</v>
      </c>
      <c r="G98" s="91">
        <v>97519000</v>
      </c>
      <c r="H98" s="101">
        <v>119</v>
      </c>
      <c r="I98" s="50">
        <v>10921000</v>
      </c>
      <c r="J98" s="51">
        <v>112</v>
      </c>
      <c r="K98" s="50">
        <v>43299000</v>
      </c>
      <c r="L98" s="33">
        <v>25</v>
      </c>
      <c r="M98" s="103" t="s">
        <v>229</v>
      </c>
      <c r="N98" s="51">
        <v>13</v>
      </c>
      <c r="O98" s="50">
        <v>10731000</v>
      </c>
      <c r="P98" s="51">
        <v>48</v>
      </c>
      <c r="Q98" s="50">
        <v>22538000</v>
      </c>
      <c r="R98" s="101">
        <v>2</v>
      </c>
      <c r="S98" s="50">
        <v>9950000</v>
      </c>
      <c r="T98" s="102">
        <f t="shared" si="57"/>
        <v>88</v>
      </c>
      <c r="U98" s="60">
        <f t="shared" si="58"/>
        <v>78.571428571428569</v>
      </c>
      <c r="V98" s="34" t="s">
        <v>44</v>
      </c>
      <c r="W98" s="52">
        <f t="shared" si="59"/>
        <v>43219000</v>
      </c>
      <c r="X98" s="60">
        <f t="shared" si="60"/>
        <v>99.815238227210784</v>
      </c>
      <c r="Y98" s="34" t="s">
        <v>44</v>
      </c>
      <c r="Z98" s="102">
        <f t="shared" si="20"/>
        <v>207</v>
      </c>
      <c r="AA98" s="52">
        <f t="shared" si="61"/>
        <v>54140000</v>
      </c>
      <c r="AB98" s="41">
        <f t="shared" si="62"/>
        <v>60.349854227405253</v>
      </c>
      <c r="AC98" s="34" t="s">
        <v>44</v>
      </c>
      <c r="AD98" s="90">
        <f t="shared" si="63"/>
        <v>55.517386355479445</v>
      </c>
      <c r="AE98" s="17"/>
      <c r="AF98" s="2"/>
      <c r="AG98" s="2"/>
      <c r="AH98" s="55"/>
      <c r="AI98" s="2"/>
      <c r="AJ98" s="2"/>
      <c r="AK98" s="2"/>
    </row>
    <row r="99" spans="1:37" ht="90">
      <c r="A99" s="43"/>
      <c r="B99" s="39"/>
      <c r="C99" s="46" t="s">
        <v>234</v>
      </c>
      <c r="D99" s="47" t="s">
        <v>226</v>
      </c>
      <c r="E99" s="48">
        <v>589</v>
      </c>
      <c r="F99" s="77" t="s">
        <v>227</v>
      </c>
      <c r="G99" s="91">
        <v>272397000</v>
      </c>
      <c r="H99" s="101">
        <v>200</v>
      </c>
      <c r="I99" s="50">
        <v>69615000</v>
      </c>
      <c r="J99" s="51">
        <v>196</v>
      </c>
      <c r="K99" s="50">
        <v>98961000</v>
      </c>
      <c r="L99" s="33">
        <v>55</v>
      </c>
      <c r="M99" s="103" t="s">
        <v>229</v>
      </c>
      <c r="N99" s="51">
        <v>56</v>
      </c>
      <c r="O99" s="50">
        <v>32018500</v>
      </c>
      <c r="P99" s="51">
        <v>50</v>
      </c>
      <c r="Q99" s="50">
        <v>23452500</v>
      </c>
      <c r="R99" s="101">
        <v>35</v>
      </c>
      <c r="S99" s="50">
        <v>35670000</v>
      </c>
      <c r="T99" s="102">
        <f t="shared" si="57"/>
        <v>196</v>
      </c>
      <c r="U99" s="60">
        <f t="shared" si="58"/>
        <v>100</v>
      </c>
      <c r="V99" s="34" t="s">
        <v>44</v>
      </c>
      <c r="W99" s="52">
        <f t="shared" si="59"/>
        <v>91141000</v>
      </c>
      <c r="X99" s="60">
        <f t="shared" si="60"/>
        <v>92.097897151403075</v>
      </c>
      <c r="Y99" s="34" t="s">
        <v>44</v>
      </c>
      <c r="Z99" s="102">
        <f t="shared" si="20"/>
        <v>396</v>
      </c>
      <c r="AA99" s="52">
        <f t="shared" si="61"/>
        <v>160756000</v>
      </c>
      <c r="AB99" s="41">
        <f t="shared" si="62"/>
        <v>67.232597623089987</v>
      </c>
      <c r="AC99" s="34" t="s">
        <v>44</v>
      </c>
      <c r="AD99" s="90">
        <f t="shared" si="63"/>
        <v>59.015334236426973</v>
      </c>
      <c r="AE99" s="17"/>
      <c r="AF99" s="2"/>
      <c r="AG99" s="2"/>
      <c r="AH99" s="55"/>
      <c r="AI99" s="2"/>
      <c r="AJ99" s="2"/>
      <c r="AK99" s="2"/>
    </row>
    <row r="100" spans="1:37" ht="90">
      <c r="A100" s="43"/>
      <c r="B100" s="39"/>
      <c r="C100" s="46" t="s">
        <v>235</v>
      </c>
      <c r="D100" s="47" t="s">
        <v>226</v>
      </c>
      <c r="E100" s="48">
        <v>309</v>
      </c>
      <c r="F100" s="77" t="s">
        <v>227</v>
      </c>
      <c r="G100" s="91">
        <v>143652600</v>
      </c>
      <c r="H100" s="101">
        <v>95</v>
      </c>
      <c r="I100" s="50">
        <v>16819000</v>
      </c>
      <c r="J100" s="51">
        <v>103</v>
      </c>
      <c r="K100" s="50">
        <v>63199800</v>
      </c>
      <c r="L100" s="33">
        <v>21</v>
      </c>
      <c r="M100" s="103" t="s">
        <v>229</v>
      </c>
      <c r="N100" s="51">
        <v>21</v>
      </c>
      <c r="O100" s="50">
        <v>5717500</v>
      </c>
      <c r="P100" s="51">
        <v>24</v>
      </c>
      <c r="Q100" s="50">
        <v>28559800</v>
      </c>
      <c r="R100" s="101">
        <v>19</v>
      </c>
      <c r="S100" s="50">
        <v>11000000</v>
      </c>
      <c r="T100" s="102">
        <f t="shared" si="57"/>
        <v>85</v>
      </c>
      <c r="U100" s="60">
        <f t="shared" si="58"/>
        <v>82.524271844660191</v>
      </c>
      <c r="V100" s="34" t="s">
        <v>44</v>
      </c>
      <c r="W100" s="52">
        <f t="shared" si="59"/>
        <v>45277300</v>
      </c>
      <c r="X100" s="60">
        <f t="shared" si="60"/>
        <v>71.641524182038552</v>
      </c>
      <c r="Y100" s="34" t="s">
        <v>44</v>
      </c>
      <c r="Z100" s="102">
        <f t="shared" si="20"/>
        <v>180</v>
      </c>
      <c r="AA100" s="52">
        <f t="shared" si="61"/>
        <v>62096300</v>
      </c>
      <c r="AB100" s="41">
        <f t="shared" si="62"/>
        <v>58.252427184466015</v>
      </c>
      <c r="AC100" s="34" t="s">
        <v>44</v>
      </c>
      <c r="AD100" s="90">
        <f t="shared" si="63"/>
        <v>43.226715005506335</v>
      </c>
      <c r="AE100" s="17"/>
      <c r="AF100" s="2"/>
      <c r="AG100" s="2"/>
      <c r="AH100" s="55"/>
      <c r="AI100" s="2"/>
      <c r="AJ100" s="2"/>
      <c r="AK100" s="2"/>
    </row>
    <row r="101" spans="1:37" ht="90">
      <c r="A101" s="43"/>
      <c r="B101" s="39"/>
      <c r="C101" s="46" t="s">
        <v>236</v>
      </c>
      <c r="D101" s="47" t="s">
        <v>226</v>
      </c>
      <c r="E101" s="48">
        <v>1031</v>
      </c>
      <c r="F101" s="77" t="s">
        <v>227</v>
      </c>
      <c r="G101" s="91">
        <v>182713700</v>
      </c>
      <c r="H101" s="101">
        <v>329</v>
      </c>
      <c r="I101" s="50">
        <v>35712000</v>
      </c>
      <c r="J101" s="51">
        <v>343</v>
      </c>
      <c r="K101" s="50">
        <v>59911700</v>
      </c>
      <c r="L101" s="33">
        <v>68</v>
      </c>
      <c r="M101" s="103" t="s">
        <v>229</v>
      </c>
      <c r="N101" s="51">
        <v>56</v>
      </c>
      <c r="O101" s="50">
        <v>13080000</v>
      </c>
      <c r="P101" s="51">
        <v>66</v>
      </c>
      <c r="Q101" s="50">
        <v>27035000</v>
      </c>
      <c r="R101" s="101">
        <v>61</v>
      </c>
      <c r="S101" s="50">
        <v>19353000</v>
      </c>
      <c r="T101" s="102">
        <f t="shared" si="57"/>
        <v>251</v>
      </c>
      <c r="U101" s="60">
        <f t="shared" si="58"/>
        <v>73.177842565597672</v>
      </c>
      <c r="V101" s="34" t="s">
        <v>44</v>
      </c>
      <c r="W101" s="52">
        <f t="shared" si="59"/>
        <v>59468000</v>
      </c>
      <c r="X101" s="60">
        <f t="shared" si="60"/>
        <v>99.259410098528335</v>
      </c>
      <c r="Y101" s="34" t="s">
        <v>44</v>
      </c>
      <c r="Z101" s="102">
        <f t="shared" si="20"/>
        <v>580</v>
      </c>
      <c r="AA101" s="52">
        <f t="shared" si="61"/>
        <v>95180000</v>
      </c>
      <c r="AB101" s="41">
        <f t="shared" si="62"/>
        <v>56.256062075654697</v>
      </c>
      <c r="AC101" s="34" t="s">
        <v>44</v>
      </c>
      <c r="AD101" s="90">
        <f t="shared" si="63"/>
        <v>52.092426566809166</v>
      </c>
      <c r="AE101" s="17"/>
      <c r="AF101" s="2"/>
      <c r="AG101" s="2"/>
      <c r="AH101" s="55"/>
      <c r="AI101" s="2"/>
      <c r="AJ101" s="2"/>
      <c r="AK101" s="2"/>
    </row>
    <row r="102" spans="1:37" ht="90">
      <c r="A102" s="43"/>
      <c r="B102" s="39"/>
      <c r="C102" s="46" t="s">
        <v>237</v>
      </c>
      <c r="D102" s="47" t="s">
        <v>226</v>
      </c>
      <c r="E102" s="48">
        <v>501</v>
      </c>
      <c r="F102" s="77" t="s">
        <v>227</v>
      </c>
      <c r="G102" s="91">
        <v>148841200</v>
      </c>
      <c r="H102" s="101">
        <v>167</v>
      </c>
      <c r="I102" s="50">
        <v>33170000</v>
      </c>
      <c r="J102" s="51">
        <v>196</v>
      </c>
      <c r="K102" s="50">
        <v>57423600</v>
      </c>
      <c r="L102" s="33">
        <v>24</v>
      </c>
      <c r="M102" s="103" t="s">
        <v>229</v>
      </c>
      <c r="N102" s="51">
        <v>68</v>
      </c>
      <c r="O102" s="50">
        <v>13480000</v>
      </c>
      <c r="P102" s="51">
        <v>32</v>
      </c>
      <c r="Q102" s="50">
        <v>6112500</v>
      </c>
      <c r="R102" s="101">
        <v>72</v>
      </c>
      <c r="S102" s="50">
        <v>25397050</v>
      </c>
      <c r="T102" s="102">
        <f t="shared" si="57"/>
        <v>196</v>
      </c>
      <c r="U102" s="60">
        <f t="shared" si="58"/>
        <v>100</v>
      </c>
      <c r="V102" s="34" t="s">
        <v>44</v>
      </c>
      <c r="W102" s="52">
        <f t="shared" si="59"/>
        <v>44989550</v>
      </c>
      <c r="X102" s="60">
        <f t="shared" si="60"/>
        <v>78.346794697650452</v>
      </c>
      <c r="Y102" s="34" t="s">
        <v>44</v>
      </c>
      <c r="Z102" s="102">
        <f t="shared" si="20"/>
        <v>363</v>
      </c>
      <c r="AA102" s="52">
        <f t="shared" si="61"/>
        <v>78159550</v>
      </c>
      <c r="AB102" s="41">
        <f t="shared" si="62"/>
        <v>72.455089820359291</v>
      </c>
      <c r="AC102" s="34" t="s">
        <v>44</v>
      </c>
      <c r="AD102" s="90">
        <f t="shared" si="63"/>
        <v>52.512039677186152</v>
      </c>
      <c r="AE102" s="17"/>
      <c r="AF102" s="2"/>
      <c r="AG102" s="2"/>
      <c r="AH102" s="55"/>
      <c r="AI102" s="2"/>
      <c r="AJ102" s="2"/>
      <c r="AK102" s="2"/>
    </row>
    <row r="103" spans="1:37" ht="90">
      <c r="A103" s="43"/>
      <c r="B103" s="39"/>
      <c r="C103" s="46" t="s">
        <v>238</v>
      </c>
      <c r="D103" s="47" t="s">
        <v>226</v>
      </c>
      <c r="E103" s="48">
        <v>336</v>
      </c>
      <c r="F103" s="77" t="s">
        <v>227</v>
      </c>
      <c r="G103" s="91">
        <v>133317000</v>
      </c>
      <c r="H103" s="101">
        <v>110</v>
      </c>
      <c r="I103" s="50">
        <v>29012000</v>
      </c>
      <c r="J103" s="51">
        <v>112</v>
      </c>
      <c r="K103" s="50">
        <v>52152500</v>
      </c>
      <c r="L103" s="33">
        <v>16</v>
      </c>
      <c r="M103" s="103" t="s">
        <v>229</v>
      </c>
      <c r="N103" s="51">
        <v>13</v>
      </c>
      <c r="O103" s="50">
        <v>10257500</v>
      </c>
      <c r="P103" s="51">
        <v>60</v>
      </c>
      <c r="Q103" s="50">
        <v>6797500</v>
      </c>
      <c r="R103" s="101">
        <v>20</v>
      </c>
      <c r="S103" s="50">
        <v>28250000</v>
      </c>
      <c r="T103" s="102">
        <f t="shared" si="57"/>
        <v>109</v>
      </c>
      <c r="U103" s="60">
        <f t="shared" si="58"/>
        <v>97.321428571428569</v>
      </c>
      <c r="V103" s="34" t="s">
        <v>44</v>
      </c>
      <c r="W103" s="52">
        <f t="shared" si="59"/>
        <v>45305000</v>
      </c>
      <c r="X103" s="60">
        <f t="shared" si="60"/>
        <v>86.87023632615886</v>
      </c>
      <c r="Y103" s="34" t="s">
        <v>44</v>
      </c>
      <c r="Z103" s="102">
        <f t="shared" si="20"/>
        <v>219</v>
      </c>
      <c r="AA103" s="52">
        <f t="shared" si="61"/>
        <v>74317000</v>
      </c>
      <c r="AB103" s="41">
        <f t="shared" si="62"/>
        <v>65.178571428571431</v>
      </c>
      <c r="AC103" s="34" t="s">
        <v>44</v>
      </c>
      <c r="AD103" s="90">
        <f t="shared" si="63"/>
        <v>55.744578710892092</v>
      </c>
      <c r="AE103" s="17"/>
      <c r="AF103" s="2"/>
      <c r="AG103" s="2"/>
      <c r="AH103" s="55"/>
      <c r="AI103" s="2"/>
      <c r="AJ103" s="2"/>
      <c r="AK103" s="2"/>
    </row>
    <row r="104" spans="1:37" ht="90">
      <c r="A104" s="43"/>
      <c r="B104" s="39"/>
      <c r="C104" s="46" t="s">
        <v>239</v>
      </c>
      <c r="D104" s="47" t="s">
        <v>226</v>
      </c>
      <c r="E104" s="48">
        <v>1114</v>
      </c>
      <c r="F104" s="77" t="s">
        <v>227</v>
      </c>
      <c r="G104" s="91">
        <v>119007000</v>
      </c>
      <c r="H104" s="101">
        <v>318</v>
      </c>
      <c r="I104" s="50">
        <v>25798000</v>
      </c>
      <c r="J104" s="51">
        <v>371</v>
      </c>
      <c r="K104" s="50">
        <v>46384500</v>
      </c>
      <c r="L104" s="33">
        <v>75</v>
      </c>
      <c r="M104" s="103" t="s">
        <v>229</v>
      </c>
      <c r="N104" s="51">
        <v>74</v>
      </c>
      <c r="O104" s="50">
        <v>14772500</v>
      </c>
      <c r="P104" s="51">
        <v>73</v>
      </c>
      <c r="Q104" s="50">
        <v>9817500</v>
      </c>
      <c r="R104" s="101">
        <v>73</v>
      </c>
      <c r="S104" s="50">
        <v>17625000</v>
      </c>
      <c r="T104" s="102">
        <f t="shared" si="57"/>
        <v>295</v>
      </c>
      <c r="U104" s="60">
        <f t="shared" si="58"/>
        <v>79.514824797843659</v>
      </c>
      <c r="V104" s="34" t="s">
        <v>44</v>
      </c>
      <c r="W104" s="52">
        <f t="shared" si="59"/>
        <v>42215000</v>
      </c>
      <c r="X104" s="60">
        <f t="shared" si="60"/>
        <v>91.011005831689459</v>
      </c>
      <c r="Y104" s="34" t="s">
        <v>44</v>
      </c>
      <c r="Z104" s="102">
        <f t="shared" si="20"/>
        <v>613</v>
      </c>
      <c r="AA104" s="52">
        <f t="shared" si="61"/>
        <v>68013000</v>
      </c>
      <c r="AB104" s="41">
        <f t="shared" si="62"/>
        <v>55.026929982046681</v>
      </c>
      <c r="AC104" s="34" t="s">
        <v>44</v>
      </c>
      <c r="AD104" s="90">
        <f t="shared" si="63"/>
        <v>57.150419723209552</v>
      </c>
      <c r="AE104" s="17"/>
      <c r="AF104" s="2"/>
      <c r="AG104" s="2"/>
      <c r="AH104" s="55"/>
      <c r="AI104" s="2"/>
      <c r="AJ104" s="2"/>
      <c r="AK104" s="2"/>
    </row>
    <row r="105" spans="1:37" ht="90">
      <c r="A105" s="43"/>
      <c r="B105" s="39"/>
      <c r="C105" s="46" t="s">
        <v>240</v>
      </c>
      <c r="D105" s="47" t="s">
        <v>226</v>
      </c>
      <c r="E105" s="48">
        <v>276</v>
      </c>
      <c r="F105" s="77" t="s">
        <v>227</v>
      </c>
      <c r="G105" s="91">
        <v>97637100</v>
      </c>
      <c r="H105" s="101">
        <v>55</v>
      </c>
      <c r="I105" s="50">
        <v>40271600</v>
      </c>
      <c r="J105" s="51">
        <v>88</v>
      </c>
      <c r="K105" s="50">
        <v>27187500</v>
      </c>
      <c r="L105" s="106">
        <v>7</v>
      </c>
      <c r="M105" s="107" t="s">
        <v>229</v>
      </c>
      <c r="N105" s="108">
        <v>38</v>
      </c>
      <c r="O105" s="107">
        <v>11737500</v>
      </c>
      <c r="P105" s="108">
        <v>47</v>
      </c>
      <c r="Q105" s="107">
        <v>20777500</v>
      </c>
      <c r="R105" s="109">
        <v>66</v>
      </c>
      <c r="S105" s="107">
        <v>25257500</v>
      </c>
      <c r="T105" s="102">
        <f t="shared" si="57"/>
        <v>158</v>
      </c>
      <c r="U105" s="60">
        <f t="shared" si="58"/>
        <v>179.54545454545453</v>
      </c>
      <c r="V105" s="34" t="s">
        <v>44</v>
      </c>
      <c r="W105" s="52">
        <f t="shared" si="59"/>
        <v>57772500</v>
      </c>
      <c r="X105" s="60">
        <f t="shared" si="60"/>
        <v>212.49655172413796</v>
      </c>
      <c r="Y105" s="34" t="s">
        <v>44</v>
      </c>
      <c r="Z105" s="102">
        <f t="shared" si="20"/>
        <v>213</v>
      </c>
      <c r="AA105" s="52">
        <f t="shared" si="61"/>
        <v>98044100</v>
      </c>
      <c r="AB105" s="41">
        <f t="shared" si="62"/>
        <v>77.173913043478265</v>
      </c>
      <c r="AC105" s="34" t="s">
        <v>44</v>
      </c>
      <c r="AD105" s="90">
        <f t="shared" si="63"/>
        <v>100.41684974256712</v>
      </c>
      <c r="AE105" s="17"/>
      <c r="AF105" s="2"/>
      <c r="AG105" s="2"/>
      <c r="AH105" s="55"/>
      <c r="AI105" s="2"/>
      <c r="AJ105" s="2"/>
      <c r="AK105" s="2"/>
    </row>
    <row r="106" spans="1:37" ht="90">
      <c r="A106" s="43"/>
      <c r="B106" s="39"/>
      <c r="C106" s="46" t="s">
        <v>241</v>
      </c>
      <c r="D106" s="47" t="s">
        <v>226</v>
      </c>
      <c r="E106" s="48">
        <v>184</v>
      </c>
      <c r="F106" s="77" t="s">
        <v>227</v>
      </c>
      <c r="G106" s="91">
        <v>179460900</v>
      </c>
      <c r="H106" s="101">
        <v>62</v>
      </c>
      <c r="I106" s="50">
        <v>30685000</v>
      </c>
      <c r="J106" s="51">
        <v>61</v>
      </c>
      <c r="K106" s="50">
        <v>87947200</v>
      </c>
      <c r="L106" s="33">
        <v>17</v>
      </c>
      <c r="M106" s="103" t="s">
        <v>229</v>
      </c>
      <c r="N106" s="51">
        <v>16</v>
      </c>
      <c r="O106" s="50">
        <v>27030000</v>
      </c>
      <c r="P106" s="51">
        <v>16</v>
      </c>
      <c r="Q106" s="50">
        <v>25942500</v>
      </c>
      <c r="R106" s="112">
        <v>15</v>
      </c>
      <c r="S106" s="107">
        <v>16895800</v>
      </c>
      <c r="T106" s="102">
        <f t="shared" si="57"/>
        <v>64</v>
      </c>
      <c r="U106" s="60">
        <f t="shared" si="58"/>
        <v>104.91803278688525</v>
      </c>
      <c r="V106" s="34" t="s">
        <v>44</v>
      </c>
      <c r="W106" s="52">
        <f t="shared" si="59"/>
        <v>69868300</v>
      </c>
      <c r="X106" s="60">
        <f t="shared" si="60"/>
        <v>79.443461531464337</v>
      </c>
      <c r="Y106" s="34" t="s">
        <v>44</v>
      </c>
      <c r="Z106" s="102">
        <f t="shared" si="20"/>
        <v>126</v>
      </c>
      <c r="AA106" s="52">
        <f t="shared" si="61"/>
        <v>100553300</v>
      </c>
      <c r="AB106" s="41">
        <f t="shared" si="62"/>
        <v>68.478260869565219</v>
      </c>
      <c r="AC106" s="34" t="s">
        <v>44</v>
      </c>
      <c r="AD106" s="90">
        <f t="shared" si="63"/>
        <v>56.030756560342674</v>
      </c>
      <c r="AE106" s="17"/>
      <c r="AF106" s="2"/>
      <c r="AG106" s="2"/>
      <c r="AH106" s="55"/>
      <c r="AI106" s="2"/>
      <c r="AJ106" s="2"/>
      <c r="AK106" s="2"/>
    </row>
    <row r="107" spans="1:37" ht="90">
      <c r="A107" s="43"/>
      <c r="B107" s="39"/>
      <c r="C107" s="46" t="s">
        <v>242</v>
      </c>
      <c r="D107" s="47" t="s">
        <v>226</v>
      </c>
      <c r="E107" s="48">
        <v>1047</v>
      </c>
      <c r="F107" s="77" t="s">
        <v>227</v>
      </c>
      <c r="G107" s="91">
        <v>152316000</v>
      </c>
      <c r="H107" s="101">
        <v>349</v>
      </c>
      <c r="I107" s="50">
        <v>54775000</v>
      </c>
      <c r="J107" s="51">
        <v>349</v>
      </c>
      <c r="K107" s="50">
        <v>44950500</v>
      </c>
      <c r="L107" s="33">
        <v>91</v>
      </c>
      <c r="M107" s="103" t="s">
        <v>229</v>
      </c>
      <c r="N107" s="51">
        <v>102</v>
      </c>
      <c r="O107" s="50">
        <v>18759000</v>
      </c>
      <c r="P107" s="51">
        <v>68</v>
      </c>
      <c r="Q107" s="50">
        <v>16890000</v>
      </c>
      <c r="R107" s="112">
        <v>46</v>
      </c>
      <c r="S107" s="107">
        <v>8990000</v>
      </c>
      <c r="T107" s="102">
        <f t="shared" si="57"/>
        <v>307</v>
      </c>
      <c r="U107" s="60">
        <f t="shared" si="58"/>
        <v>87.96561604584528</v>
      </c>
      <c r="V107" s="34" t="s">
        <v>44</v>
      </c>
      <c r="W107" s="52">
        <f t="shared" si="59"/>
        <v>44639000</v>
      </c>
      <c r="X107" s="60">
        <f t="shared" si="60"/>
        <v>99.307015494822082</v>
      </c>
      <c r="Y107" s="34" t="s">
        <v>44</v>
      </c>
      <c r="Z107" s="102">
        <f t="shared" si="20"/>
        <v>656</v>
      </c>
      <c r="AA107" s="52">
        <f t="shared" si="61"/>
        <v>99414000</v>
      </c>
      <c r="AB107" s="41">
        <f t="shared" si="62"/>
        <v>62.655205348615098</v>
      </c>
      <c r="AC107" s="34" t="s">
        <v>44</v>
      </c>
      <c r="AD107" s="90">
        <f t="shared" si="63"/>
        <v>65.268258095012996</v>
      </c>
      <c r="AE107" s="17"/>
      <c r="AF107" s="2"/>
      <c r="AG107" s="2"/>
      <c r="AH107" s="55"/>
      <c r="AI107" s="2"/>
      <c r="AJ107" s="2"/>
      <c r="AK107" s="2"/>
    </row>
    <row r="108" spans="1:37" ht="90">
      <c r="A108" s="43"/>
      <c r="B108" s="39"/>
      <c r="C108" s="46" t="s">
        <v>243</v>
      </c>
      <c r="D108" s="47" t="s">
        <v>226</v>
      </c>
      <c r="E108" s="48">
        <v>429</v>
      </c>
      <c r="F108" s="77" t="s">
        <v>227</v>
      </c>
      <c r="G108" s="91">
        <v>146143000</v>
      </c>
      <c r="H108" s="101">
        <v>143</v>
      </c>
      <c r="I108" s="50">
        <v>57383000</v>
      </c>
      <c r="J108" s="51">
        <v>143</v>
      </c>
      <c r="K108" s="50">
        <v>44380000</v>
      </c>
      <c r="L108" s="33">
        <v>32</v>
      </c>
      <c r="M108" s="103" t="s">
        <v>229</v>
      </c>
      <c r="N108" s="48">
        <v>30</v>
      </c>
      <c r="O108" s="50">
        <v>5420000</v>
      </c>
      <c r="P108" s="48">
        <v>33</v>
      </c>
      <c r="Q108" s="50">
        <v>20400000</v>
      </c>
      <c r="R108" s="112">
        <v>48</v>
      </c>
      <c r="S108" s="107">
        <v>5420000</v>
      </c>
      <c r="T108" s="102">
        <f t="shared" si="57"/>
        <v>143</v>
      </c>
      <c r="U108" s="60">
        <f t="shared" si="58"/>
        <v>100</v>
      </c>
      <c r="V108" s="34" t="s">
        <v>44</v>
      </c>
      <c r="W108" s="52">
        <f t="shared" si="59"/>
        <v>31240000</v>
      </c>
      <c r="X108" s="60">
        <f t="shared" si="60"/>
        <v>70.392068499324026</v>
      </c>
      <c r="Y108" s="34" t="s">
        <v>44</v>
      </c>
      <c r="Z108" s="102">
        <f t="shared" si="20"/>
        <v>286</v>
      </c>
      <c r="AA108" s="52">
        <f t="shared" si="61"/>
        <v>88623000</v>
      </c>
      <c r="AB108" s="41">
        <f t="shared" si="62"/>
        <v>66.666666666666657</v>
      </c>
      <c r="AC108" s="34" t="s">
        <v>44</v>
      </c>
      <c r="AD108" s="90">
        <f t="shared" si="63"/>
        <v>60.641289695708998</v>
      </c>
      <c r="AE108" s="17"/>
      <c r="AF108" s="2"/>
      <c r="AG108" s="2"/>
      <c r="AH108" s="55"/>
      <c r="AI108" s="2"/>
      <c r="AJ108" s="2"/>
      <c r="AK108" s="2"/>
    </row>
    <row r="109" spans="1:37" ht="90">
      <c r="A109" s="43"/>
      <c r="B109" s="39"/>
      <c r="C109" s="46" t="s">
        <v>244</v>
      </c>
      <c r="D109" s="47" t="s">
        <v>226</v>
      </c>
      <c r="E109" s="48">
        <v>655</v>
      </c>
      <c r="F109" s="77" t="s">
        <v>227</v>
      </c>
      <c r="G109" s="91">
        <v>243108400</v>
      </c>
      <c r="H109" s="101">
        <v>216</v>
      </c>
      <c r="I109" s="50">
        <v>16340100</v>
      </c>
      <c r="J109" s="51">
        <v>218</v>
      </c>
      <c r="K109" s="50">
        <v>109884000</v>
      </c>
      <c r="L109" s="115">
        <v>69</v>
      </c>
      <c r="M109" s="116">
        <v>0</v>
      </c>
      <c r="N109" s="117">
        <v>51</v>
      </c>
      <c r="O109" s="107">
        <v>34780500</v>
      </c>
      <c r="P109" s="117">
        <v>63</v>
      </c>
      <c r="Q109" s="107">
        <v>36158600</v>
      </c>
      <c r="R109" s="118">
        <v>36</v>
      </c>
      <c r="S109" s="107">
        <v>32365000</v>
      </c>
      <c r="T109" s="102">
        <f t="shared" si="57"/>
        <v>219</v>
      </c>
      <c r="U109" s="60">
        <f t="shared" si="58"/>
        <v>100.45871559633028</v>
      </c>
      <c r="V109" s="34" t="s">
        <v>44</v>
      </c>
      <c r="W109" s="52">
        <f t="shared" si="59"/>
        <v>103304100</v>
      </c>
      <c r="X109" s="60">
        <f t="shared" si="60"/>
        <v>94.011958064868409</v>
      </c>
      <c r="Y109" s="34" t="s">
        <v>44</v>
      </c>
      <c r="Z109" s="102">
        <f t="shared" si="20"/>
        <v>435</v>
      </c>
      <c r="AA109" s="52">
        <f t="shared" si="61"/>
        <v>119644200</v>
      </c>
      <c r="AB109" s="41">
        <f t="shared" si="62"/>
        <v>66.412213740458014</v>
      </c>
      <c r="AC109" s="34" t="s">
        <v>44</v>
      </c>
      <c r="AD109" s="90">
        <f t="shared" si="63"/>
        <v>49.21434224403599</v>
      </c>
      <c r="AE109" s="17"/>
      <c r="AF109" s="2"/>
      <c r="AG109" s="2"/>
      <c r="AH109" s="55"/>
      <c r="AI109" s="2"/>
      <c r="AJ109" s="2"/>
      <c r="AK109" s="2"/>
    </row>
    <row r="110" spans="1:37" ht="90">
      <c r="A110" s="43"/>
      <c r="B110" s="39"/>
      <c r="C110" s="46" t="s">
        <v>245</v>
      </c>
      <c r="D110" s="47" t="s">
        <v>226</v>
      </c>
      <c r="E110" s="48">
        <v>438</v>
      </c>
      <c r="F110" s="77" t="s">
        <v>227</v>
      </c>
      <c r="G110" s="91">
        <v>121392500</v>
      </c>
      <c r="H110" s="101">
        <v>108</v>
      </c>
      <c r="I110" s="50">
        <v>15500000</v>
      </c>
      <c r="J110" s="51">
        <v>136</v>
      </c>
      <c r="K110" s="50">
        <v>51644500</v>
      </c>
      <c r="L110" s="33">
        <v>45</v>
      </c>
      <c r="M110" s="50">
        <v>0</v>
      </c>
      <c r="N110" s="51">
        <v>35</v>
      </c>
      <c r="O110" s="50">
        <v>11900000</v>
      </c>
      <c r="P110" s="51">
        <v>23</v>
      </c>
      <c r="Q110" s="50">
        <v>23872500</v>
      </c>
      <c r="R110" s="112">
        <v>14</v>
      </c>
      <c r="S110" s="78">
        <v>9590000</v>
      </c>
      <c r="T110" s="102">
        <f t="shared" si="57"/>
        <v>117</v>
      </c>
      <c r="U110" s="60">
        <f t="shared" si="58"/>
        <v>86.029411764705884</v>
      </c>
      <c r="V110" s="34" t="s">
        <v>44</v>
      </c>
      <c r="W110" s="52">
        <f t="shared" si="59"/>
        <v>45362500</v>
      </c>
      <c r="X110" s="60">
        <f t="shared" si="60"/>
        <v>87.836071604914366</v>
      </c>
      <c r="Y110" s="34" t="s">
        <v>44</v>
      </c>
      <c r="Z110" s="102">
        <f t="shared" si="20"/>
        <v>225</v>
      </c>
      <c r="AA110" s="52">
        <f t="shared" si="61"/>
        <v>60862500</v>
      </c>
      <c r="AB110" s="41">
        <f t="shared" si="62"/>
        <v>51.369863013698634</v>
      </c>
      <c r="AC110" s="34" t="s">
        <v>44</v>
      </c>
      <c r="AD110" s="90">
        <f t="shared" si="63"/>
        <v>50.136952447638862</v>
      </c>
      <c r="AE110" s="17"/>
      <c r="AF110" s="2"/>
      <c r="AG110" s="2"/>
      <c r="AH110" s="55"/>
      <c r="AI110" s="2"/>
      <c r="AJ110" s="2"/>
      <c r="AK110" s="2"/>
    </row>
    <row r="111" spans="1:37" ht="90">
      <c r="A111" s="43"/>
      <c r="B111" s="39"/>
      <c r="C111" s="46" t="s">
        <v>246</v>
      </c>
      <c r="D111" s="47" t="s">
        <v>226</v>
      </c>
      <c r="E111" s="48">
        <v>756</v>
      </c>
      <c r="F111" s="77" t="s">
        <v>227</v>
      </c>
      <c r="G111" s="91">
        <v>199867000</v>
      </c>
      <c r="H111" s="101">
        <v>225</v>
      </c>
      <c r="I111" s="50">
        <v>26831000</v>
      </c>
      <c r="J111" s="51">
        <v>242</v>
      </c>
      <c r="K111" s="50">
        <v>86363000</v>
      </c>
      <c r="L111" s="33">
        <v>61</v>
      </c>
      <c r="M111" s="103" t="s">
        <v>229</v>
      </c>
      <c r="N111" s="51">
        <v>61</v>
      </c>
      <c r="O111" s="50">
        <v>47597500</v>
      </c>
      <c r="P111" s="51">
        <v>61</v>
      </c>
      <c r="Q111" s="50">
        <v>16590000</v>
      </c>
      <c r="R111" s="112">
        <v>59</v>
      </c>
      <c r="S111" s="107">
        <v>20140000</v>
      </c>
      <c r="T111" s="102">
        <f t="shared" si="57"/>
        <v>242</v>
      </c>
      <c r="U111" s="60">
        <f t="shared" si="58"/>
        <v>100</v>
      </c>
      <c r="V111" s="34" t="s">
        <v>44</v>
      </c>
      <c r="W111" s="52">
        <f t="shared" si="59"/>
        <v>84327500</v>
      </c>
      <c r="X111" s="60">
        <f t="shared" si="60"/>
        <v>97.643087896437137</v>
      </c>
      <c r="Y111" s="34" t="s">
        <v>44</v>
      </c>
      <c r="Z111" s="102">
        <f t="shared" si="20"/>
        <v>467</v>
      </c>
      <c r="AA111" s="52">
        <f t="shared" si="61"/>
        <v>111158500</v>
      </c>
      <c r="AB111" s="41">
        <f t="shared" si="62"/>
        <v>61.772486772486765</v>
      </c>
      <c r="AC111" s="34" t="s">
        <v>44</v>
      </c>
      <c r="AD111" s="90">
        <f t="shared" si="63"/>
        <v>55.61623479613943</v>
      </c>
      <c r="AE111" s="17"/>
      <c r="AF111" s="2"/>
      <c r="AG111" s="2"/>
      <c r="AH111" s="55"/>
      <c r="AI111" s="2"/>
      <c r="AJ111" s="2"/>
      <c r="AK111" s="2"/>
    </row>
    <row r="112" spans="1:37" ht="90">
      <c r="A112" s="43"/>
      <c r="B112" s="39"/>
      <c r="C112" s="46" t="s">
        <v>247</v>
      </c>
      <c r="D112" s="47" t="s">
        <v>226</v>
      </c>
      <c r="E112" s="48">
        <v>567</v>
      </c>
      <c r="F112" s="77" t="s">
        <v>227</v>
      </c>
      <c r="G112" s="91">
        <v>110528700</v>
      </c>
      <c r="H112" s="101">
        <v>151</v>
      </c>
      <c r="I112" s="50">
        <v>19477500</v>
      </c>
      <c r="J112" s="51">
        <v>189</v>
      </c>
      <c r="K112" s="50">
        <v>50655600</v>
      </c>
      <c r="L112" s="33">
        <v>0</v>
      </c>
      <c r="M112" s="103" t="s">
        <v>229</v>
      </c>
      <c r="N112" s="51">
        <v>80</v>
      </c>
      <c r="O112" s="50">
        <v>6247500</v>
      </c>
      <c r="P112" s="51">
        <v>80</v>
      </c>
      <c r="Q112" s="50">
        <v>18502200</v>
      </c>
      <c r="R112" s="112">
        <v>29</v>
      </c>
      <c r="S112" s="107">
        <v>43221900</v>
      </c>
      <c r="T112" s="102">
        <f t="shared" si="57"/>
        <v>189</v>
      </c>
      <c r="U112" s="60">
        <f t="shared" si="58"/>
        <v>100</v>
      </c>
      <c r="V112" s="34" t="s">
        <v>44</v>
      </c>
      <c r="W112" s="52">
        <f t="shared" si="59"/>
        <v>67971600</v>
      </c>
      <c r="X112" s="60">
        <f t="shared" si="60"/>
        <v>134.18378224717503</v>
      </c>
      <c r="Y112" s="34" t="s">
        <v>44</v>
      </c>
      <c r="Z112" s="102">
        <f t="shared" si="20"/>
        <v>340</v>
      </c>
      <c r="AA112" s="52">
        <f t="shared" si="61"/>
        <v>87449100</v>
      </c>
      <c r="AB112" s="41">
        <f t="shared" si="62"/>
        <v>59.964726631393297</v>
      </c>
      <c r="AC112" s="34" t="s">
        <v>44</v>
      </c>
      <c r="AD112" s="90">
        <f t="shared" si="63"/>
        <v>79.11890757785082</v>
      </c>
      <c r="AE112" s="17"/>
      <c r="AF112" s="2"/>
      <c r="AG112" s="2"/>
      <c r="AH112" s="55"/>
      <c r="AI112" s="2"/>
      <c r="AJ112" s="2"/>
      <c r="AK112" s="2"/>
    </row>
    <row r="113" spans="1:37" ht="90">
      <c r="A113" s="43"/>
      <c r="B113" s="39"/>
      <c r="C113" s="46" t="s">
        <v>248</v>
      </c>
      <c r="D113" s="47" t="s">
        <v>226</v>
      </c>
      <c r="E113" s="48">
        <v>514</v>
      </c>
      <c r="F113" s="77" t="s">
        <v>227</v>
      </c>
      <c r="G113" s="91">
        <v>183521050</v>
      </c>
      <c r="H113" s="101">
        <v>156</v>
      </c>
      <c r="I113" s="50">
        <v>26847050</v>
      </c>
      <c r="J113" s="51">
        <v>171</v>
      </c>
      <c r="K113" s="50">
        <v>79692000</v>
      </c>
      <c r="L113" s="33">
        <v>47</v>
      </c>
      <c r="M113" s="103" t="s">
        <v>229</v>
      </c>
      <c r="N113" s="51">
        <v>66</v>
      </c>
      <c r="O113" s="50">
        <v>18124000</v>
      </c>
      <c r="P113" s="51">
        <v>66</v>
      </c>
      <c r="Q113" s="50">
        <v>24462000</v>
      </c>
      <c r="R113" s="101">
        <v>0</v>
      </c>
      <c r="S113" s="50">
        <v>15580000</v>
      </c>
      <c r="T113" s="102">
        <f t="shared" si="57"/>
        <v>179</v>
      </c>
      <c r="U113" s="60">
        <f t="shared" si="58"/>
        <v>104.67836257309942</v>
      </c>
      <c r="V113" s="34" t="s">
        <v>44</v>
      </c>
      <c r="W113" s="52">
        <f t="shared" si="59"/>
        <v>58166000</v>
      </c>
      <c r="X113" s="60">
        <f t="shared" si="60"/>
        <v>72.988505747126439</v>
      </c>
      <c r="Y113" s="34" t="s">
        <v>44</v>
      </c>
      <c r="Z113" s="102">
        <f t="shared" si="20"/>
        <v>335</v>
      </c>
      <c r="AA113" s="52">
        <f t="shared" si="61"/>
        <v>85013050</v>
      </c>
      <c r="AB113" s="41">
        <f t="shared" si="62"/>
        <v>65.175097276264594</v>
      </c>
      <c r="AC113" s="34" t="s">
        <v>44</v>
      </c>
      <c r="AD113" s="90">
        <f t="shared" si="63"/>
        <v>46.323323673224408</v>
      </c>
      <c r="AE113" s="17"/>
      <c r="AF113" s="2"/>
      <c r="AG113" s="2"/>
      <c r="AH113" s="55"/>
      <c r="AI113" s="2"/>
      <c r="AJ113" s="2"/>
      <c r="AK113" s="2"/>
    </row>
    <row r="114" spans="1:37" ht="90">
      <c r="A114" s="43"/>
      <c r="B114" s="39"/>
      <c r="C114" s="46" t="s">
        <v>249</v>
      </c>
      <c r="D114" s="47" t="s">
        <v>226</v>
      </c>
      <c r="E114" s="48">
        <v>275</v>
      </c>
      <c r="F114" s="77" t="s">
        <v>227</v>
      </c>
      <c r="G114" s="91">
        <v>69193000</v>
      </c>
      <c r="H114" s="101">
        <v>71</v>
      </c>
      <c r="I114" s="50">
        <v>23930000</v>
      </c>
      <c r="J114" s="51">
        <v>102</v>
      </c>
      <c r="K114" s="50">
        <v>22631500</v>
      </c>
      <c r="L114" s="33">
        <v>18</v>
      </c>
      <c r="M114" s="103" t="s">
        <v>229</v>
      </c>
      <c r="N114" s="51">
        <v>16</v>
      </c>
      <c r="O114" s="50">
        <v>9012500</v>
      </c>
      <c r="P114" s="51">
        <v>39</v>
      </c>
      <c r="Q114" s="50">
        <v>4665000</v>
      </c>
      <c r="R114" s="112">
        <v>29</v>
      </c>
      <c r="S114" s="107">
        <v>6015000</v>
      </c>
      <c r="T114" s="102">
        <f t="shared" si="57"/>
        <v>102</v>
      </c>
      <c r="U114" s="60">
        <f t="shared" si="58"/>
        <v>100</v>
      </c>
      <c r="V114" s="34" t="s">
        <v>44</v>
      </c>
      <c r="W114" s="52">
        <f t="shared" si="59"/>
        <v>19692500</v>
      </c>
      <c r="X114" s="60">
        <f t="shared" si="60"/>
        <v>87.01367562910103</v>
      </c>
      <c r="Y114" s="34" t="s">
        <v>44</v>
      </c>
      <c r="Z114" s="102">
        <f t="shared" si="20"/>
        <v>173</v>
      </c>
      <c r="AA114" s="52">
        <f t="shared" si="61"/>
        <v>43622500</v>
      </c>
      <c r="AB114" s="41">
        <f t="shared" si="62"/>
        <v>62.909090909090914</v>
      </c>
      <c r="AC114" s="34" t="s">
        <v>44</v>
      </c>
      <c r="AD114" s="90">
        <f t="shared" si="63"/>
        <v>63.044672148916803</v>
      </c>
      <c r="AE114" s="17"/>
      <c r="AF114" s="2"/>
      <c r="AG114" s="2"/>
      <c r="AH114" s="55"/>
      <c r="AI114" s="2"/>
      <c r="AJ114" s="2"/>
      <c r="AK114" s="2"/>
    </row>
    <row r="115" spans="1:37" ht="90">
      <c r="A115" s="43"/>
      <c r="B115" s="39"/>
      <c r="C115" s="46" t="s">
        <v>250</v>
      </c>
      <c r="D115" s="47" t="s">
        <v>251</v>
      </c>
      <c r="E115" s="48">
        <v>300</v>
      </c>
      <c r="F115" s="77" t="s">
        <v>227</v>
      </c>
      <c r="G115" s="91">
        <v>125000000</v>
      </c>
      <c r="H115" s="48">
        <v>325</v>
      </c>
      <c r="I115" s="50">
        <v>49100000</v>
      </c>
      <c r="J115" s="51">
        <v>3359</v>
      </c>
      <c r="K115" s="50">
        <v>60000000</v>
      </c>
      <c r="L115" s="33">
        <v>886</v>
      </c>
      <c r="M115" s="50"/>
      <c r="N115" s="51">
        <v>823</v>
      </c>
      <c r="O115" s="50"/>
      <c r="P115" s="51">
        <v>639</v>
      </c>
      <c r="Q115" s="50">
        <v>25800000</v>
      </c>
      <c r="R115" s="51">
        <v>1011</v>
      </c>
      <c r="S115" s="50">
        <f>32800000-Q115</f>
        <v>7000000</v>
      </c>
      <c r="T115" s="33">
        <f t="shared" si="57"/>
        <v>3359</v>
      </c>
      <c r="U115" s="34">
        <f t="shared" si="58"/>
        <v>100</v>
      </c>
      <c r="V115" s="34" t="s">
        <v>44</v>
      </c>
      <c r="W115" s="52">
        <f t="shared" si="59"/>
        <v>32800000</v>
      </c>
      <c r="X115" s="60">
        <f t="shared" si="60"/>
        <v>54.666666666666664</v>
      </c>
      <c r="Y115" s="34" t="s">
        <v>44</v>
      </c>
      <c r="Z115" s="33">
        <f t="shared" si="20"/>
        <v>3684</v>
      </c>
      <c r="AA115" s="52">
        <f t="shared" si="61"/>
        <v>81900000</v>
      </c>
      <c r="AB115" s="41">
        <f t="shared" si="62"/>
        <v>1228</v>
      </c>
      <c r="AC115" s="34" t="s">
        <v>44</v>
      </c>
      <c r="AD115" s="90">
        <f t="shared" si="63"/>
        <v>65.52</v>
      </c>
      <c r="AE115" s="17"/>
      <c r="AF115" s="2"/>
      <c r="AG115" s="2"/>
      <c r="AH115" s="55"/>
      <c r="AI115" s="2"/>
      <c r="AJ115" s="2"/>
      <c r="AK115" s="2"/>
    </row>
    <row r="116" spans="1:37" ht="90" customHeight="1">
      <c r="A116" s="43"/>
      <c r="B116" s="39"/>
      <c r="C116" s="46" t="s">
        <v>252</v>
      </c>
      <c r="D116" s="47" t="s">
        <v>253</v>
      </c>
      <c r="E116" s="48">
        <v>224</v>
      </c>
      <c r="F116" s="77" t="s">
        <v>227</v>
      </c>
      <c r="G116" s="91">
        <v>1562000</v>
      </c>
      <c r="H116" s="101">
        <v>180</v>
      </c>
      <c r="I116" s="50">
        <v>656000</v>
      </c>
      <c r="J116" s="51">
        <v>149</v>
      </c>
      <c r="K116" s="50">
        <v>680000</v>
      </c>
      <c r="L116" s="33">
        <v>32</v>
      </c>
      <c r="M116" s="103" t="s">
        <v>229</v>
      </c>
      <c r="N116" s="51">
        <v>41</v>
      </c>
      <c r="O116" s="50">
        <v>160000</v>
      </c>
      <c r="P116" s="51">
        <v>76</v>
      </c>
      <c r="Q116" s="50">
        <v>160000</v>
      </c>
      <c r="R116" s="101">
        <v>60</v>
      </c>
      <c r="S116" s="50">
        <v>320000</v>
      </c>
      <c r="T116" s="102">
        <f t="shared" si="57"/>
        <v>209</v>
      </c>
      <c r="U116" s="60">
        <f t="shared" si="58"/>
        <v>140.26845637583892</v>
      </c>
      <c r="V116" s="34" t="s">
        <v>44</v>
      </c>
      <c r="W116" s="52">
        <f t="shared" si="59"/>
        <v>640000</v>
      </c>
      <c r="X116" s="60">
        <f t="shared" si="60"/>
        <v>94.117647058823522</v>
      </c>
      <c r="Y116" s="34" t="s">
        <v>44</v>
      </c>
      <c r="Z116" s="102">
        <f t="shared" si="20"/>
        <v>389</v>
      </c>
      <c r="AA116" s="52">
        <f t="shared" si="61"/>
        <v>1296000</v>
      </c>
      <c r="AB116" s="41">
        <f t="shared" si="62"/>
        <v>173.66071428571428</v>
      </c>
      <c r="AC116" s="34" t="s">
        <v>44</v>
      </c>
      <c r="AD116" s="90">
        <f t="shared" si="63"/>
        <v>82.97055057618438</v>
      </c>
      <c r="AE116" s="17"/>
      <c r="AF116" s="2"/>
      <c r="AG116" s="2"/>
      <c r="AH116" s="55"/>
      <c r="AI116" s="2"/>
      <c r="AJ116" s="2"/>
      <c r="AK116" s="2"/>
    </row>
    <row r="117" spans="1:37" ht="90" customHeight="1">
      <c r="A117" s="43"/>
      <c r="B117" s="39"/>
      <c r="C117" s="46" t="s">
        <v>254</v>
      </c>
      <c r="D117" s="47" t="s">
        <v>253</v>
      </c>
      <c r="E117" s="48">
        <v>288</v>
      </c>
      <c r="F117" s="77" t="s">
        <v>227</v>
      </c>
      <c r="G117" s="91">
        <v>51400000</v>
      </c>
      <c r="H117" s="101">
        <v>87</v>
      </c>
      <c r="I117" s="50">
        <v>19555000</v>
      </c>
      <c r="J117" s="51">
        <v>96</v>
      </c>
      <c r="K117" s="50">
        <v>19555000</v>
      </c>
      <c r="L117" s="33">
        <v>21</v>
      </c>
      <c r="M117" s="103" t="s">
        <v>229</v>
      </c>
      <c r="N117" s="51">
        <v>17</v>
      </c>
      <c r="O117" s="50">
        <v>6720000</v>
      </c>
      <c r="P117" s="51">
        <v>17</v>
      </c>
      <c r="Q117" s="50">
        <v>4000000</v>
      </c>
      <c r="R117" s="101">
        <v>41</v>
      </c>
      <c r="S117" s="50">
        <v>8835000</v>
      </c>
      <c r="T117" s="102">
        <f t="shared" si="57"/>
        <v>96</v>
      </c>
      <c r="U117" s="60">
        <f t="shared" si="58"/>
        <v>100</v>
      </c>
      <c r="V117" s="34" t="s">
        <v>44</v>
      </c>
      <c r="W117" s="52">
        <f t="shared" si="59"/>
        <v>19555000</v>
      </c>
      <c r="X117" s="60">
        <f t="shared" si="60"/>
        <v>100</v>
      </c>
      <c r="Y117" s="34" t="s">
        <v>44</v>
      </c>
      <c r="Z117" s="102">
        <f t="shared" si="20"/>
        <v>183</v>
      </c>
      <c r="AA117" s="52">
        <f t="shared" si="61"/>
        <v>39110000</v>
      </c>
      <c r="AB117" s="41">
        <f t="shared" si="62"/>
        <v>63.541666666666664</v>
      </c>
      <c r="AC117" s="34" t="s">
        <v>44</v>
      </c>
      <c r="AD117" s="90">
        <f t="shared" si="63"/>
        <v>76.089494163424121</v>
      </c>
      <c r="AE117" s="17"/>
      <c r="AF117" s="2"/>
      <c r="AG117" s="2"/>
      <c r="AH117" s="55"/>
      <c r="AI117" s="2"/>
      <c r="AJ117" s="2"/>
      <c r="AK117" s="2"/>
    </row>
    <row r="118" spans="1:37" ht="90" customHeight="1">
      <c r="A118" s="43"/>
      <c r="B118" s="39"/>
      <c r="C118" s="46" t="s">
        <v>255</v>
      </c>
      <c r="D118" s="47" t="s">
        <v>253</v>
      </c>
      <c r="E118" s="48">
        <v>302</v>
      </c>
      <c r="F118" s="77" t="s">
        <v>227</v>
      </c>
      <c r="G118" s="91">
        <v>119010000</v>
      </c>
      <c r="H118" s="101">
        <v>88</v>
      </c>
      <c r="I118" s="50">
        <v>14980000</v>
      </c>
      <c r="J118" s="51">
        <v>107</v>
      </c>
      <c r="K118" s="50">
        <v>52015000</v>
      </c>
      <c r="L118" s="33">
        <v>19</v>
      </c>
      <c r="M118" s="103" t="s">
        <v>229</v>
      </c>
      <c r="N118" s="51">
        <v>13</v>
      </c>
      <c r="O118" s="50">
        <v>13460000</v>
      </c>
      <c r="P118" s="51">
        <v>38</v>
      </c>
      <c r="Q118" s="50">
        <v>5640000</v>
      </c>
      <c r="R118" s="101">
        <v>9</v>
      </c>
      <c r="S118" s="50">
        <v>13640000</v>
      </c>
      <c r="T118" s="102">
        <f t="shared" si="57"/>
        <v>79</v>
      </c>
      <c r="U118" s="60">
        <f t="shared" si="58"/>
        <v>73.831775700934571</v>
      </c>
      <c r="V118" s="34" t="s">
        <v>44</v>
      </c>
      <c r="W118" s="52">
        <f t="shared" si="59"/>
        <v>32740000</v>
      </c>
      <c r="X118" s="60">
        <f t="shared" si="60"/>
        <v>62.943381716812461</v>
      </c>
      <c r="Y118" s="34" t="s">
        <v>44</v>
      </c>
      <c r="Z118" s="102">
        <f t="shared" si="20"/>
        <v>167</v>
      </c>
      <c r="AA118" s="52">
        <f t="shared" si="61"/>
        <v>47720000</v>
      </c>
      <c r="AB118" s="41">
        <f t="shared" si="62"/>
        <v>55.298013245033118</v>
      </c>
      <c r="AC118" s="34" t="s">
        <v>44</v>
      </c>
      <c r="AD118" s="90">
        <f t="shared" si="63"/>
        <v>40.097470800773046</v>
      </c>
      <c r="AE118" s="17"/>
      <c r="AF118" s="2"/>
      <c r="AG118" s="2"/>
      <c r="AH118" s="55"/>
      <c r="AI118" s="2"/>
      <c r="AJ118" s="2"/>
      <c r="AK118" s="2"/>
    </row>
    <row r="119" spans="1:37" ht="90" customHeight="1">
      <c r="A119" s="43"/>
      <c r="B119" s="39"/>
      <c r="C119" s="46" t="s">
        <v>256</v>
      </c>
      <c r="D119" s="47" t="s">
        <v>253</v>
      </c>
      <c r="E119" s="48">
        <v>294</v>
      </c>
      <c r="F119" s="77" t="s">
        <v>227</v>
      </c>
      <c r="G119" s="91">
        <v>48322400</v>
      </c>
      <c r="H119" s="101">
        <v>104</v>
      </c>
      <c r="I119" s="50">
        <v>9129200</v>
      </c>
      <c r="J119" s="51">
        <v>98</v>
      </c>
      <c r="K119" s="50">
        <v>18835000</v>
      </c>
      <c r="L119" s="33">
        <v>26</v>
      </c>
      <c r="M119" s="103" t="s">
        <v>229</v>
      </c>
      <c r="N119" s="51">
        <v>26</v>
      </c>
      <c r="O119" s="50">
        <v>2690000</v>
      </c>
      <c r="P119" s="51">
        <v>30</v>
      </c>
      <c r="Q119" s="50">
        <v>4145000</v>
      </c>
      <c r="R119" s="101">
        <v>19</v>
      </c>
      <c r="S119" s="50">
        <v>1290000</v>
      </c>
      <c r="T119" s="102">
        <f t="shared" si="57"/>
        <v>101</v>
      </c>
      <c r="U119" s="60">
        <f t="shared" si="58"/>
        <v>103.0612244897959</v>
      </c>
      <c r="V119" s="34" t="s">
        <v>44</v>
      </c>
      <c r="W119" s="52">
        <f t="shared" si="59"/>
        <v>8125000</v>
      </c>
      <c r="X119" s="60">
        <f t="shared" si="60"/>
        <v>43.137775418104589</v>
      </c>
      <c r="Y119" s="34" t="s">
        <v>44</v>
      </c>
      <c r="Z119" s="102">
        <f t="shared" si="20"/>
        <v>205</v>
      </c>
      <c r="AA119" s="52">
        <f t="shared" si="61"/>
        <v>17254200</v>
      </c>
      <c r="AB119" s="41">
        <f t="shared" si="62"/>
        <v>69.72789115646259</v>
      </c>
      <c r="AC119" s="34" t="s">
        <v>44</v>
      </c>
      <c r="AD119" s="90">
        <f t="shared" si="63"/>
        <v>35.706421866463586</v>
      </c>
      <c r="AE119" s="17"/>
      <c r="AF119" s="2"/>
      <c r="AG119" s="2"/>
      <c r="AH119" s="55"/>
      <c r="AI119" s="2"/>
      <c r="AJ119" s="2"/>
      <c r="AK119" s="2"/>
    </row>
    <row r="120" spans="1:37" ht="90" customHeight="1">
      <c r="A120" s="43"/>
      <c r="B120" s="39"/>
      <c r="C120" s="46" t="s">
        <v>257</v>
      </c>
      <c r="D120" s="47" t="s">
        <v>253</v>
      </c>
      <c r="E120" s="48">
        <v>983</v>
      </c>
      <c r="F120" s="77" t="s">
        <v>227</v>
      </c>
      <c r="G120" s="91">
        <v>64852500</v>
      </c>
      <c r="H120" s="101">
        <v>335</v>
      </c>
      <c r="I120" s="50">
        <v>13123600</v>
      </c>
      <c r="J120" s="51">
        <v>327</v>
      </c>
      <c r="K120" s="50">
        <v>27608900</v>
      </c>
      <c r="L120" s="33">
        <v>82</v>
      </c>
      <c r="M120" s="103" t="s">
        <v>229</v>
      </c>
      <c r="N120" s="51">
        <v>64</v>
      </c>
      <c r="O120" s="50">
        <v>13600000</v>
      </c>
      <c r="P120" s="51">
        <v>81</v>
      </c>
      <c r="Q120" s="50">
        <v>4950000</v>
      </c>
      <c r="R120" s="101">
        <v>65</v>
      </c>
      <c r="S120" s="50">
        <v>7272500</v>
      </c>
      <c r="T120" s="102">
        <f t="shared" si="57"/>
        <v>292</v>
      </c>
      <c r="U120" s="60">
        <f t="shared" si="58"/>
        <v>89.296636085626915</v>
      </c>
      <c r="V120" s="34" t="s">
        <v>44</v>
      </c>
      <c r="W120" s="52">
        <f t="shared" si="59"/>
        <v>25822500</v>
      </c>
      <c r="X120" s="60">
        <f t="shared" si="60"/>
        <v>93.529622694131248</v>
      </c>
      <c r="Y120" s="34" t="s">
        <v>44</v>
      </c>
      <c r="Z120" s="102">
        <f t="shared" si="20"/>
        <v>627</v>
      </c>
      <c r="AA120" s="52">
        <f t="shared" si="61"/>
        <v>38946100</v>
      </c>
      <c r="AB120" s="41">
        <f t="shared" si="62"/>
        <v>63.784333672431337</v>
      </c>
      <c r="AC120" s="34" t="s">
        <v>44</v>
      </c>
      <c r="AD120" s="90">
        <f t="shared" si="63"/>
        <v>60.053351836860571</v>
      </c>
      <c r="AE120" s="17"/>
      <c r="AF120" s="2"/>
      <c r="AG120" s="2"/>
      <c r="AH120" s="55"/>
      <c r="AI120" s="2"/>
      <c r="AJ120" s="2"/>
      <c r="AK120" s="2"/>
    </row>
    <row r="121" spans="1:37" ht="90" customHeight="1">
      <c r="A121" s="43"/>
      <c r="B121" s="39"/>
      <c r="C121" s="46" t="s">
        <v>258</v>
      </c>
      <c r="D121" s="47" t="s">
        <v>253</v>
      </c>
      <c r="E121" s="48">
        <v>546</v>
      </c>
      <c r="F121" s="77" t="s">
        <v>227</v>
      </c>
      <c r="G121" s="91">
        <v>104426200</v>
      </c>
      <c r="H121" s="101">
        <v>182</v>
      </c>
      <c r="I121" s="50">
        <v>21480000</v>
      </c>
      <c r="J121" s="51">
        <v>187</v>
      </c>
      <c r="K121" s="50">
        <v>41323100</v>
      </c>
      <c r="L121" s="33">
        <v>36</v>
      </c>
      <c r="M121" s="103" t="s">
        <v>229</v>
      </c>
      <c r="N121" s="51">
        <v>54</v>
      </c>
      <c r="O121" s="50">
        <v>13440000</v>
      </c>
      <c r="P121" s="51">
        <v>38</v>
      </c>
      <c r="Q121" s="50">
        <v>11195100</v>
      </c>
      <c r="R121" s="101">
        <v>59</v>
      </c>
      <c r="S121" s="50">
        <v>14805600</v>
      </c>
      <c r="T121" s="102">
        <f t="shared" si="57"/>
        <v>187</v>
      </c>
      <c r="U121" s="60">
        <f t="shared" si="58"/>
        <v>100</v>
      </c>
      <c r="V121" s="34" t="s">
        <v>44</v>
      </c>
      <c r="W121" s="52">
        <f t="shared" si="59"/>
        <v>39440700</v>
      </c>
      <c r="X121" s="60">
        <f t="shared" si="60"/>
        <v>95.444678642212224</v>
      </c>
      <c r="Y121" s="34" t="s">
        <v>44</v>
      </c>
      <c r="Z121" s="102">
        <f t="shared" si="20"/>
        <v>369</v>
      </c>
      <c r="AA121" s="52">
        <f t="shared" si="61"/>
        <v>60920700</v>
      </c>
      <c r="AB121" s="41">
        <f t="shared" si="62"/>
        <v>67.582417582417591</v>
      </c>
      <c r="AC121" s="34" t="s">
        <v>44</v>
      </c>
      <c r="AD121" s="90">
        <f t="shared" si="63"/>
        <v>58.338520409629005</v>
      </c>
      <c r="AE121" s="17"/>
      <c r="AF121" s="2"/>
      <c r="AG121" s="2"/>
      <c r="AH121" s="55"/>
      <c r="AI121" s="2"/>
      <c r="AJ121" s="2"/>
      <c r="AK121" s="2"/>
    </row>
    <row r="122" spans="1:37" ht="90" customHeight="1">
      <c r="A122" s="43"/>
      <c r="B122" s="39"/>
      <c r="C122" s="46" t="s">
        <v>259</v>
      </c>
      <c r="D122" s="47" t="s">
        <v>253</v>
      </c>
      <c r="E122" s="48">
        <v>559</v>
      </c>
      <c r="F122" s="77" t="s">
        <v>227</v>
      </c>
      <c r="G122" s="91">
        <v>23046000</v>
      </c>
      <c r="H122" s="101">
        <v>105</v>
      </c>
      <c r="I122" s="50">
        <v>22830000</v>
      </c>
      <c r="J122" s="51">
        <v>107</v>
      </c>
      <c r="K122" s="50">
        <v>108000</v>
      </c>
      <c r="L122" s="33">
        <v>13</v>
      </c>
      <c r="M122" s="103" t="s">
        <v>229</v>
      </c>
      <c r="N122" s="51">
        <v>6</v>
      </c>
      <c r="O122" s="50">
        <v>108000</v>
      </c>
      <c r="P122" s="51">
        <v>41</v>
      </c>
      <c r="Q122" s="50">
        <v>0</v>
      </c>
      <c r="R122" s="101">
        <v>48</v>
      </c>
      <c r="S122" s="103" t="s">
        <v>229</v>
      </c>
      <c r="T122" s="102">
        <f t="shared" si="57"/>
        <v>108</v>
      </c>
      <c r="U122" s="60">
        <f t="shared" si="58"/>
        <v>100.93457943925233</v>
      </c>
      <c r="V122" s="34" t="s">
        <v>44</v>
      </c>
      <c r="W122" s="52">
        <f t="shared" si="59"/>
        <v>108000</v>
      </c>
      <c r="X122" s="60">
        <f t="shared" si="60"/>
        <v>100</v>
      </c>
      <c r="Y122" s="34" t="s">
        <v>44</v>
      </c>
      <c r="Z122" s="102">
        <f t="shared" si="20"/>
        <v>213</v>
      </c>
      <c r="AA122" s="52">
        <f t="shared" si="61"/>
        <v>22938000</v>
      </c>
      <c r="AB122" s="41">
        <f t="shared" si="62"/>
        <v>38.103756708407872</v>
      </c>
      <c r="AC122" s="34" t="s">
        <v>44</v>
      </c>
      <c r="AD122" s="90">
        <f t="shared" si="63"/>
        <v>99.531372038531629</v>
      </c>
      <c r="AE122" s="17"/>
      <c r="AF122" s="2"/>
      <c r="AG122" s="2"/>
      <c r="AH122" s="55"/>
      <c r="AI122" s="2"/>
      <c r="AJ122" s="2"/>
      <c r="AK122" s="2"/>
    </row>
    <row r="123" spans="1:37" ht="90" customHeight="1">
      <c r="A123" s="43"/>
      <c r="B123" s="39"/>
      <c r="C123" s="46" t="s">
        <v>260</v>
      </c>
      <c r="D123" s="47" t="s">
        <v>253</v>
      </c>
      <c r="E123" s="48">
        <v>1068</v>
      </c>
      <c r="F123" s="77" t="s">
        <v>227</v>
      </c>
      <c r="G123" s="91">
        <v>20529000</v>
      </c>
      <c r="H123" s="101">
        <v>347</v>
      </c>
      <c r="I123" s="50">
        <v>11190000</v>
      </c>
      <c r="J123" s="51">
        <v>356</v>
      </c>
      <c r="K123" s="50">
        <v>3664500</v>
      </c>
      <c r="L123" s="33">
        <v>71</v>
      </c>
      <c r="M123" s="103" t="s">
        <v>229</v>
      </c>
      <c r="N123" s="51">
        <v>88</v>
      </c>
      <c r="O123" s="50">
        <v>250000</v>
      </c>
      <c r="P123" s="51">
        <v>97</v>
      </c>
      <c r="Q123" s="50">
        <v>1330000</v>
      </c>
      <c r="R123" s="101">
        <v>66</v>
      </c>
      <c r="S123" s="50">
        <v>1197500</v>
      </c>
      <c r="T123" s="102">
        <f t="shared" si="57"/>
        <v>322</v>
      </c>
      <c r="U123" s="60">
        <f t="shared" si="58"/>
        <v>90.449438202247194</v>
      </c>
      <c r="V123" s="34" t="s">
        <v>44</v>
      </c>
      <c r="W123" s="52">
        <f t="shared" si="59"/>
        <v>2777500</v>
      </c>
      <c r="X123" s="60">
        <f t="shared" si="60"/>
        <v>75.794787829171781</v>
      </c>
      <c r="Y123" s="34" t="s">
        <v>44</v>
      </c>
      <c r="Z123" s="102">
        <f t="shared" si="20"/>
        <v>669</v>
      </c>
      <c r="AA123" s="52">
        <f t="shared" si="61"/>
        <v>13967500</v>
      </c>
      <c r="AB123" s="41">
        <f t="shared" si="62"/>
        <v>62.640449438202253</v>
      </c>
      <c r="AC123" s="34" t="s">
        <v>44</v>
      </c>
      <c r="AD123" s="90">
        <f t="shared" si="63"/>
        <v>68.037897608261488</v>
      </c>
      <c r="AE123" s="17"/>
      <c r="AF123" s="2"/>
      <c r="AG123" s="2"/>
      <c r="AH123" s="55"/>
      <c r="AI123" s="2"/>
      <c r="AJ123" s="2"/>
      <c r="AK123" s="2"/>
    </row>
    <row r="124" spans="1:37" ht="90" customHeight="1">
      <c r="A124" s="43"/>
      <c r="B124" s="39"/>
      <c r="C124" s="46" t="s">
        <v>261</v>
      </c>
      <c r="D124" s="47" t="s">
        <v>253</v>
      </c>
      <c r="E124" s="48">
        <v>264</v>
      </c>
      <c r="F124" s="77" t="s">
        <v>227</v>
      </c>
      <c r="G124" s="91">
        <v>133244000</v>
      </c>
      <c r="H124" s="101">
        <v>57</v>
      </c>
      <c r="I124" s="50">
        <v>4480000</v>
      </c>
      <c r="J124" s="51">
        <v>84</v>
      </c>
      <c r="K124" s="50">
        <v>62947000</v>
      </c>
      <c r="L124" s="106">
        <v>7</v>
      </c>
      <c r="M124" s="107" t="s">
        <v>229</v>
      </c>
      <c r="N124" s="108">
        <v>31</v>
      </c>
      <c r="O124" s="107">
        <v>22560000</v>
      </c>
      <c r="P124" s="108">
        <v>41</v>
      </c>
      <c r="Q124" s="107">
        <v>32580000</v>
      </c>
      <c r="R124" s="109">
        <v>51</v>
      </c>
      <c r="S124" s="107">
        <v>57520000</v>
      </c>
      <c r="T124" s="102">
        <f t="shared" si="57"/>
        <v>130</v>
      </c>
      <c r="U124" s="60">
        <f t="shared" si="58"/>
        <v>154.76190476190476</v>
      </c>
      <c r="V124" s="34" t="s">
        <v>44</v>
      </c>
      <c r="W124" s="52">
        <f t="shared" si="59"/>
        <v>112660000</v>
      </c>
      <c r="X124" s="60">
        <f t="shared" si="60"/>
        <v>178.97596390614325</v>
      </c>
      <c r="Y124" s="34" t="s">
        <v>44</v>
      </c>
      <c r="Z124" s="102">
        <f t="shared" si="20"/>
        <v>187</v>
      </c>
      <c r="AA124" s="52">
        <f t="shared" si="61"/>
        <v>117140000</v>
      </c>
      <c r="AB124" s="41">
        <f t="shared" si="62"/>
        <v>70.833333333333343</v>
      </c>
      <c r="AC124" s="34" t="s">
        <v>44</v>
      </c>
      <c r="AD124" s="90">
        <f t="shared" si="63"/>
        <v>87.913902314550754</v>
      </c>
      <c r="AE124" s="17"/>
      <c r="AF124" s="2"/>
      <c r="AG124" s="2"/>
      <c r="AH124" s="55"/>
      <c r="AI124" s="2"/>
      <c r="AJ124" s="2"/>
      <c r="AK124" s="2"/>
    </row>
    <row r="125" spans="1:37" ht="90" customHeight="1">
      <c r="A125" s="43"/>
      <c r="B125" s="39"/>
      <c r="C125" s="46" t="s">
        <v>262</v>
      </c>
      <c r="D125" s="47" t="s">
        <v>253</v>
      </c>
      <c r="E125" s="48">
        <v>177</v>
      </c>
      <c r="F125" s="77" t="s">
        <v>227</v>
      </c>
      <c r="G125" s="91">
        <v>12855000</v>
      </c>
      <c r="H125" s="101">
        <v>59</v>
      </c>
      <c r="I125" s="50">
        <v>9755000</v>
      </c>
      <c r="J125" s="51">
        <v>59</v>
      </c>
      <c r="K125" s="50">
        <v>600000</v>
      </c>
      <c r="L125" s="33">
        <v>13</v>
      </c>
      <c r="M125" s="103" t="s">
        <v>229</v>
      </c>
      <c r="N125" s="51">
        <v>18</v>
      </c>
      <c r="O125" s="50">
        <v>0</v>
      </c>
      <c r="P125" s="51">
        <v>0</v>
      </c>
      <c r="Q125" s="50">
        <v>0</v>
      </c>
      <c r="R125" s="112">
        <v>5</v>
      </c>
      <c r="S125" s="107">
        <v>600000</v>
      </c>
      <c r="T125" s="102">
        <f t="shared" si="57"/>
        <v>36</v>
      </c>
      <c r="U125" s="60">
        <f t="shared" si="58"/>
        <v>61.016949152542374</v>
      </c>
      <c r="V125" s="34" t="s">
        <v>44</v>
      </c>
      <c r="W125" s="52">
        <f t="shared" si="59"/>
        <v>600000</v>
      </c>
      <c r="X125" s="60">
        <f t="shared" si="60"/>
        <v>100</v>
      </c>
      <c r="Y125" s="34" t="s">
        <v>44</v>
      </c>
      <c r="Z125" s="102">
        <f t="shared" si="20"/>
        <v>95</v>
      </c>
      <c r="AA125" s="52">
        <f t="shared" si="61"/>
        <v>10355000</v>
      </c>
      <c r="AB125" s="41">
        <f t="shared" si="62"/>
        <v>53.672316384180796</v>
      </c>
      <c r="AC125" s="34" t="s">
        <v>44</v>
      </c>
      <c r="AD125" s="90">
        <f t="shared" si="63"/>
        <v>80.552314274601315</v>
      </c>
      <c r="AE125" s="17"/>
      <c r="AF125" s="2"/>
      <c r="AG125" s="2"/>
      <c r="AH125" s="55"/>
      <c r="AI125" s="2"/>
      <c r="AJ125" s="2"/>
      <c r="AK125" s="2"/>
    </row>
    <row r="126" spans="1:37" ht="90">
      <c r="A126" s="43"/>
      <c r="B126" s="39"/>
      <c r="C126" s="46" t="s">
        <v>263</v>
      </c>
      <c r="D126" s="47" t="s">
        <v>253</v>
      </c>
      <c r="E126" s="48">
        <v>1002</v>
      </c>
      <c r="F126" s="77" t="s">
        <v>227</v>
      </c>
      <c r="G126" s="91">
        <v>20211100</v>
      </c>
      <c r="H126" s="101">
        <v>341</v>
      </c>
      <c r="I126" s="50">
        <v>12531100</v>
      </c>
      <c r="J126" s="51">
        <v>334</v>
      </c>
      <c r="K126" s="50">
        <v>2160000</v>
      </c>
      <c r="L126" s="33">
        <v>97</v>
      </c>
      <c r="M126" s="103" t="s">
        <v>229</v>
      </c>
      <c r="N126" s="48">
        <v>96</v>
      </c>
      <c r="O126" s="50">
        <v>0</v>
      </c>
      <c r="P126" s="48">
        <v>95</v>
      </c>
      <c r="Q126" s="50">
        <v>320000</v>
      </c>
      <c r="R126" s="112">
        <v>43</v>
      </c>
      <c r="S126" s="107">
        <v>320000</v>
      </c>
      <c r="T126" s="102">
        <f t="shared" si="57"/>
        <v>331</v>
      </c>
      <c r="U126" s="60">
        <f t="shared" si="58"/>
        <v>99.101796407185631</v>
      </c>
      <c r="V126" s="34" t="s">
        <v>44</v>
      </c>
      <c r="W126" s="52">
        <f t="shared" si="59"/>
        <v>640000</v>
      </c>
      <c r="X126" s="60">
        <f t="shared" si="60"/>
        <v>29.629629629629626</v>
      </c>
      <c r="Y126" s="34" t="s">
        <v>44</v>
      </c>
      <c r="Z126" s="102">
        <f t="shared" si="20"/>
        <v>672</v>
      </c>
      <c r="AA126" s="52">
        <f t="shared" si="61"/>
        <v>13171100</v>
      </c>
      <c r="AB126" s="41">
        <f t="shared" si="62"/>
        <v>67.06586826347305</v>
      </c>
      <c r="AC126" s="34" t="s">
        <v>44</v>
      </c>
      <c r="AD126" s="90">
        <f t="shared" si="63"/>
        <v>65.167655397281692</v>
      </c>
      <c r="AE126" s="17"/>
      <c r="AF126" s="2"/>
      <c r="AG126" s="2"/>
      <c r="AH126" s="55"/>
      <c r="AI126" s="2"/>
      <c r="AJ126" s="2"/>
      <c r="AK126" s="2"/>
    </row>
    <row r="127" spans="1:37" ht="90" customHeight="1">
      <c r="A127" s="43"/>
      <c r="B127" s="39"/>
      <c r="C127" s="46" t="s">
        <v>264</v>
      </c>
      <c r="D127" s="47" t="s">
        <v>253</v>
      </c>
      <c r="E127" s="48">
        <v>411</v>
      </c>
      <c r="F127" s="77" t="s">
        <v>227</v>
      </c>
      <c r="G127" s="91">
        <v>43451200</v>
      </c>
      <c r="H127" s="101">
        <v>137</v>
      </c>
      <c r="I127" s="50">
        <v>20180000</v>
      </c>
      <c r="J127" s="51">
        <v>137</v>
      </c>
      <c r="K127" s="50">
        <v>11635600</v>
      </c>
      <c r="L127" s="33">
        <v>44</v>
      </c>
      <c r="M127" s="103" t="s">
        <v>229</v>
      </c>
      <c r="N127" s="51">
        <v>18</v>
      </c>
      <c r="O127" s="50">
        <v>950700</v>
      </c>
      <c r="P127" s="51">
        <v>43</v>
      </c>
      <c r="Q127" s="50">
        <v>6473777</v>
      </c>
      <c r="R127" s="112">
        <v>32</v>
      </c>
      <c r="S127" s="107">
        <v>3531223</v>
      </c>
      <c r="T127" s="102">
        <f t="shared" si="57"/>
        <v>137</v>
      </c>
      <c r="U127" s="60">
        <f t="shared" si="58"/>
        <v>100</v>
      </c>
      <c r="V127" s="34" t="s">
        <v>44</v>
      </c>
      <c r="W127" s="52">
        <f t="shared" si="59"/>
        <v>10955700</v>
      </c>
      <c r="X127" s="60">
        <f t="shared" si="60"/>
        <v>94.156725910137851</v>
      </c>
      <c r="Y127" s="34" t="s">
        <v>44</v>
      </c>
      <c r="Z127" s="102">
        <f t="shared" si="20"/>
        <v>274</v>
      </c>
      <c r="AA127" s="52">
        <f t="shared" si="61"/>
        <v>31135700</v>
      </c>
      <c r="AB127" s="41">
        <f t="shared" si="62"/>
        <v>66.666666666666657</v>
      </c>
      <c r="AC127" s="34" t="s">
        <v>44</v>
      </c>
      <c r="AD127" s="90">
        <f t="shared" si="63"/>
        <v>71.656709135766107</v>
      </c>
      <c r="AE127" s="17"/>
      <c r="AF127" s="2"/>
      <c r="AG127" s="2"/>
      <c r="AH127" s="55"/>
      <c r="AI127" s="2"/>
      <c r="AJ127" s="2"/>
      <c r="AK127" s="2"/>
    </row>
    <row r="128" spans="1:37" ht="90">
      <c r="A128" s="43"/>
      <c r="B128" s="39"/>
      <c r="C128" s="46" t="s">
        <v>265</v>
      </c>
      <c r="D128" s="47" t="s">
        <v>253</v>
      </c>
      <c r="E128" s="48">
        <v>397</v>
      </c>
      <c r="F128" s="77" t="s">
        <v>227</v>
      </c>
      <c r="G128" s="91">
        <v>32654000</v>
      </c>
      <c r="H128" s="101">
        <v>109</v>
      </c>
      <c r="I128" s="50">
        <v>17100000</v>
      </c>
      <c r="J128" s="51">
        <v>109</v>
      </c>
      <c r="K128" s="50">
        <v>5684000</v>
      </c>
      <c r="L128" s="33">
        <v>30</v>
      </c>
      <c r="M128" s="50">
        <v>0</v>
      </c>
      <c r="N128" s="51">
        <v>34</v>
      </c>
      <c r="O128" s="50">
        <v>510000</v>
      </c>
      <c r="P128" s="51">
        <v>36</v>
      </c>
      <c r="Q128" s="50">
        <v>170000</v>
      </c>
      <c r="R128" s="112">
        <v>27</v>
      </c>
      <c r="S128" s="78">
        <v>3770000</v>
      </c>
      <c r="T128" s="102">
        <f t="shared" si="57"/>
        <v>127</v>
      </c>
      <c r="U128" s="60">
        <f t="shared" si="58"/>
        <v>116.51376146788989</v>
      </c>
      <c r="V128" s="34" t="s">
        <v>44</v>
      </c>
      <c r="W128" s="52">
        <f t="shared" si="59"/>
        <v>4450000</v>
      </c>
      <c r="X128" s="60">
        <f t="shared" si="60"/>
        <v>78.289936664320905</v>
      </c>
      <c r="Y128" s="34" t="s">
        <v>44</v>
      </c>
      <c r="Z128" s="102">
        <f t="shared" si="20"/>
        <v>236</v>
      </c>
      <c r="AA128" s="52">
        <f t="shared" si="61"/>
        <v>21550000</v>
      </c>
      <c r="AB128" s="41">
        <f t="shared" si="62"/>
        <v>59.445843828715361</v>
      </c>
      <c r="AC128" s="34" t="s">
        <v>44</v>
      </c>
      <c r="AD128" s="90">
        <f t="shared" si="63"/>
        <v>65.994977644392733</v>
      </c>
      <c r="AE128" s="17"/>
      <c r="AF128" s="2"/>
      <c r="AG128" s="2"/>
      <c r="AH128" s="55"/>
      <c r="AI128" s="2"/>
      <c r="AJ128" s="2"/>
      <c r="AK128" s="2"/>
    </row>
    <row r="129" spans="1:37" ht="90" customHeight="1">
      <c r="A129" s="43"/>
      <c r="B129" s="39"/>
      <c r="C129" s="46" t="s">
        <v>266</v>
      </c>
      <c r="D129" s="47" t="s">
        <v>253</v>
      </c>
      <c r="E129" s="48">
        <v>490</v>
      </c>
      <c r="F129" s="77" t="s">
        <v>227</v>
      </c>
      <c r="G129" s="91">
        <v>36520000</v>
      </c>
      <c r="H129" s="101">
        <v>163</v>
      </c>
      <c r="I129" s="50">
        <v>15340000</v>
      </c>
      <c r="J129" s="51">
        <v>163</v>
      </c>
      <c r="K129" s="50">
        <v>7700000</v>
      </c>
      <c r="L129" s="33">
        <v>41</v>
      </c>
      <c r="M129" s="103" t="s">
        <v>229</v>
      </c>
      <c r="N129" s="51">
        <v>66</v>
      </c>
      <c r="O129" s="50">
        <v>140000</v>
      </c>
      <c r="P129" s="51">
        <v>66</v>
      </c>
      <c r="Q129" s="50">
        <v>3780000</v>
      </c>
      <c r="R129" s="101">
        <v>0</v>
      </c>
      <c r="S129" s="50">
        <v>2940000</v>
      </c>
      <c r="T129" s="102">
        <f t="shared" si="57"/>
        <v>173</v>
      </c>
      <c r="U129" s="60">
        <f t="shared" si="58"/>
        <v>106.13496932515338</v>
      </c>
      <c r="V129" s="34" t="s">
        <v>44</v>
      </c>
      <c r="W129" s="52">
        <f t="shared" si="59"/>
        <v>6860000</v>
      </c>
      <c r="X129" s="60">
        <f t="shared" si="60"/>
        <v>89.090909090909093</v>
      </c>
      <c r="Y129" s="34" t="s">
        <v>44</v>
      </c>
      <c r="Z129" s="102">
        <f t="shared" si="20"/>
        <v>336</v>
      </c>
      <c r="AA129" s="52">
        <f t="shared" si="61"/>
        <v>22200000</v>
      </c>
      <c r="AB129" s="41">
        <f t="shared" si="62"/>
        <v>68.571428571428569</v>
      </c>
      <c r="AC129" s="34" t="s">
        <v>44</v>
      </c>
      <c r="AD129" s="90">
        <f t="shared" si="63"/>
        <v>60.788608981380065</v>
      </c>
      <c r="AE129" s="17"/>
      <c r="AF129" s="2"/>
      <c r="AG129" s="2"/>
      <c r="AH129" s="55"/>
      <c r="AI129" s="2"/>
      <c r="AJ129" s="2"/>
      <c r="AK129" s="2"/>
    </row>
    <row r="130" spans="1:37" ht="105">
      <c r="A130" s="43"/>
      <c r="B130" s="39"/>
      <c r="C130" s="46" t="s">
        <v>267</v>
      </c>
      <c r="D130" s="47" t="s">
        <v>268</v>
      </c>
      <c r="E130" s="48">
        <v>459</v>
      </c>
      <c r="F130" s="77" t="s">
        <v>227</v>
      </c>
      <c r="G130" s="91">
        <v>42836200</v>
      </c>
      <c r="H130" s="101">
        <v>180</v>
      </c>
      <c r="I130" s="50">
        <v>15700000</v>
      </c>
      <c r="J130" s="51">
        <v>179</v>
      </c>
      <c r="K130" s="50">
        <v>27136200</v>
      </c>
      <c r="L130" s="33">
        <v>28</v>
      </c>
      <c r="M130" s="103" t="s">
        <v>229</v>
      </c>
      <c r="N130" s="51">
        <v>40</v>
      </c>
      <c r="O130" s="50">
        <v>7840000</v>
      </c>
      <c r="P130" s="51">
        <v>76</v>
      </c>
      <c r="Q130" s="50">
        <v>8897000</v>
      </c>
      <c r="R130" s="101">
        <v>50</v>
      </c>
      <c r="S130" s="50">
        <v>10220000</v>
      </c>
      <c r="T130" s="102">
        <f t="shared" si="57"/>
        <v>194</v>
      </c>
      <c r="U130" s="60">
        <f t="shared" si="58"/>
        <v>108.37988826815644</v>
      </c>
      <c r="V130" s="34" t="s">
        <v>44</v>
      </c>
      <c r="W130" s="52">
        <f t="shared" si="59"/>
        <v>26957000</v>
      </c>
      <c r="X130" s="60">
        <f t="shared" si="60"/>
        <v>99.339627508641598</v>
      </c>
      <c r="Y130" s="34" t="s">
        <v>44</v>
      </c>
      <c r="Z130" s="102">
        <f t="shared" si="20"/>
        <v>374</v>
      </c>
      <c r="AA130" s="52">
        <f t="shared" si="61"/>
        <v>42657000</v>
      </c>
      <c r="AB130" s="41">
        <f t="shared" si="62"/>
        <v>81.481481481481481</v>
      </c>
      <c r="AC130" s="34" t="s">
        <v>44</v>
      </c>
      <c r="AD130" s="90">
        <f t="shared" si="63"/>
        <v>99.58166223894743</v>
      </c>
      <c r="AE130" s="17"/>
      <c r="AF130" s="2"/>
      <c r="AG130" s="2"/>
      <c r="AH130" s="55"/>
      <c r="AI130" s="2"/>
      <c r="AJ130" s="2"/>
      <c r="AK130" s="2"/>
    </row>
    <row r="131" spans="1:37" ht="105">
      <c r="A131" s="43"/>
      <c r="B131" s="39"/>
      <c r="C131" s="46" t="s">
        <v>269</v>
      </c>
      <c r="D131" s="47" t="s">
        <v>268</v>
      </c>
      <c r="E131" s="48">
        <v>348</v>
      </c>
      <c r="F131" s="77" t="s">
        <v>227</v>
      </c>
      <c r="G131" s="91">
        <v>2793800</v>
      </c>
      <c r="H131" s="101">
        <v>145</v>
      </c>
      <c r="I131" s="50">
        <v>1100000</v>
      </c>
      <c r="J131" s="51">
        <v>116</v>
      </c>
      <c r="K131" s="50">
        <v>800000</v>
      </c>
      <c r="L131" s="33">
        <v>31</v>
      </c>
      <c r="M131" s="103" t="s">
        <v>229</v>
      </c>
      <c r="N131" s="51">
        <v>28</v>
      </c>
      <c r="O131" s="50">
        <v>0</v>
      </c>
      <c r="P131" s="51"/>
      <c r="Q131" s="50">
        <v>0</v>
      </c>
      <c r="R131" s="101">
        <v>29</v>
      </c>
      <c r="S131" s="50">
        <v>280000</v>
      </c>
      <c r="T131" s="102">
        <f t="shared" si="57"/>
        <v>88</v>
      </c>
      <c r="U131" s="60">
        <f t="shared" si="58"/>
        <v>75.862068965517238</v>
      </c>
      <c r="V131" s="34" t="s">
        <v>44</v>
      </c>
      <c r="W131" s="52">
        <f t="shared" si="59"/>
        <v>280000</v>
      </c>
      <c r="X131" s="60">
        <f t="shared" si="60"/>
        <v>35</v>
      </c>
      <c r="Y131" s="34" t="s">
        <v>44</v>
      </c>
      <c r="Z131" s="102">
        <f t="shared" si="20"/>
        <v>233</v>
      </c>
      <c r="AA131" s="52">
        <f t="shared" si="61"/>
        <v>1380000</v>
      </c>
      <c r="AB131" s="41">
        <f t="shared" si="62"/>
        <v>66.954022988505741</v>
      </c>
      <c r="AC131" s="34" t="s">
        <v>44</v>
      </c>
      <c r="AD131" s="90">
        <f t="shared" si="63"/>
        <v>49.395089125921679</v>
      </c>
      <c r="AE131" s="17"/>
      <c r="AF131" s="2"/>
      <c r="AG131" s="2"/>
      <c r="AH131" s="55"/>
      <c r="AI131" s="2"/>
      <c r="AJ131" s="2"/>
      <c r="AK131" s="2"/>
    </row>
    <row r="132" spans="1:37" ht="105">
      <c r="A132" s="43"/>
      <c r="B132" s="39"/>
      <c r="C132" s="46" t="s">
        <v>270</v>
      </c>
      <c r="D132" s="47" t="s">
        <v>268</v>
      </c>
      <c r="E132" s="48">
        <v>276</v>
      </c>
      <c r="F132" s="77" t="s">
        <v>227</v>
      </c>
      <c r="G132" s="91">
        <v>3570400</v>
      </c>
      <c r="H132" s="101">
        <v>87</v>
      </c>
      <c r="I132" s="50">
        <v>278400</v>
      </c>
      <c r="J132" s="51">
        <v>92</v>
      </c>
      <c r="K132" s="50">
        <v>1646000</v>
      </c>
      <c r="L132" s="33">
        <v>21</v>
      </c>
      <c r="M132" s="103" t="s">
        <v>229</v>
      </c>
      <c r="N132" s="51">
        <v>17</v>
      </c>
      <c r="O132" s="103" t="s">
        <v>229</v>
      </c>
      <c r="P132" s="51">
        <v>17</v>
      </c>
      <c r="Q132" s="50">
        <v>320000</v>
      </c>
      <c r="R132" s="101">
        <v>6</v>
      </c>
      <c r="S132" s="50">
        <v>686000</v>
      </c>
      <c r="T132" s="102">
        <f t="shared" si="57"/>
        <v>61</v>
      </c>
      <c r="U132" s="60">
        <f t="shared" si="58"/>
        <v>66.304347826086953</v>
      </c>
      <c r="V132" s="34" t="s">
        <v>44</v>
      </c>
      <c r="W132" s="52">
        <f t="shared" si="59"/>
        <v>1006000</v>
      </c>
      <c r="X132" s="60">
        <f t="shared" si="60"/>
        <v>61.117861482381528</v>
      </c>
      <c r="Y132" s="34" t="s">
        <v>44</v>
      </c>
      <c r="Z132" s="102">
        <f t="shared" si="20"/>
        <v>148</v>
      </c>
      <c r="AA132" s="52">
        <f t="shared" si="61"/>
        <v>1284400</v>
      </c>
      <c r="AB132" s="41">
        <f t="shared" si="62"/>
        <v>53.623188405797109</v>
      </c>
      <c r="AC132" s="34" t="s">
        <v>44</v>
      </c>
      <c r="AD132" s="90">
        <f t="shared" si="63"/>
        <v>35.973560385390989</v>
      </c>
      <c r="AE132" s="17"/>
      <c r="AF132" s="2"/>
      <c r="AG132" s="2"/>
      <c r="AH132" s="55"/>
      <c r="AI132" s="2"/>
      <c r="AJ132" s="2"/>
      <c r="AK132" s="2"/>
    </row>
    <row r="133" spans="1:37" ht="105">
      <c r="A133" s="43"/>
      <c r="B133" s="39"/>
      <c r="C133" s="46" t="s">
        <v>271</v>
      </c>
      <c r="D133" s="47" t="s">
        <v>268</v>
      </c>
      <c r="E133" s="48">
        <v>687</v>
      </c>
      <c r="F133" s="77" t="s">
        <v>227</v>
      </c>
      <c r="G133" s="91">
        <v>30719600</v>
      </c>
      <c r="H133" s="101">
        <v>232</v>
      </c>
      <c r="I133" s="50">
        <v>1440000</v>
      </c>
      <c r="J133" s="51">
        <v>229</v>
      </c>
      <c r="K133" s="50">
        <v>44208400</v>
      </c>
      <c r="L133" s="33">
        <v>64</v>
      </c>
      <c r="M133" s="103" t="s">
        <v>229</v>
      </c>
      <c r="N133" s="51">
        <v>43</v>
      </c>
      <c r="O133" s="50">
        <v>4660000</v>
      </c>
      <c r="P133" s="51">
        <v>62</v>
      </c>
      <c r="Q133" s="50">
        <v>3468000</v>
      </c>
      <c r="R133" s="101">
        <v>69</v>
      </c>
      <c r="S133" s="50">
        <v>28770000</v>
      </c>
      <c r="T133" s="102">
        <f t="shared" si="57"/>
        <v>238</v>
      </c>
      <c r="U133" s="60">
        <f t="shared" si="58"/>
        <v>103.93013100436681</v>
      </c>
      <c r="V133" s="34" t="s">
        <v>44</v>
      </c>
      <c r="W133" s="52">
        <f t="shared" si="59"/>
        <v>36898000</v>
      </c>
      <c r="X133" s="60">
        <f t="shared" si="60"/>
        <v>83.463776114946484</v>
      </c>
      <c r="Y133" s="34" t="s">
        <v>44</v>
      </c>
      <c r="Z133" s="102">
        <f t="shared" si="20"/>
        <v>470</v>
      </c>
      <c r="AA133" s="52">
        <f t="shared" si="61"/>
        <v>38338000</v>
      </c>
      <c r="AB133" s="41">
        <f t="shared" si="62"/>
        <v>68.413391557496368</v>
      </c>
      <c r="AC133" s="34" t="s">
        <v>44</v>
      </c>
      <c r="AD133" s="90">
        <f t="shared" si="63"/>
        <v>124.79980208075625</v>
      </c>
      <c r="AE133" s="17"/>
      <c r="AF133" s="2"/>
      <c r="AG133" s="2"/>
      <c r="AH133" s="55"/>
      <c r="AI133" s="2"/>
      <c r="AJ133" s="2"/>
      <c r="AK133" s="2"/>
    </row>
    <row r="134" spans="1:37" ht="105">
      <c r="A134" s="43"/>
      <c r="B134" s="39"/>
      <c r="C134" s="46" t="s">
        <v>272</v>
      </c>
      <c r="D134" s="47" t="s">
        <v>268</v>
      </c>
      <c r="E134" s="48">
        <v>320</v>
      </c>
      <c r="F134" s="77" t="s">
        <v>227</v>
      </c>
      <c r="G134" s="91">
        <v>1360000</v>
      </c>
      <c r="H134" s="101">
        <v>116</v>
      </c>
      <c r="I134" s="50">
        <v>400000</v>
      </c>
      <c r="J134" s="51">
        <v>102</v>
      </c>
      <c r="K134" s="50">
        <v>480000</v>
      </c>
      <c r="L134" s="33">
        <v>19</v>
      </c>
      <c r="M134" s="103" t="s">
        <v>229</v>
      </c>
      <c r="N134" s="51">
        <v>14</v>
      </c>
      <c r="O134" s="50">
        <v>0</v>
      </c>
      <c r="P134" s="51">
        <v>37</v>
      </c>
      <c r="Q134" s="50">
        <v>150000</v>
      </c>
      <c r="R134" s="101">
        <v>9</v>
      </c>
      <c r="S134" s="50">
        <v>0</v>
      </c>
      <c r="T134" s="102">
        <f t="shared" si="57"/>
        <v>79</v>
      </c>
      <c r="U134" s="60">
        <f t="shared" si="58"/>
        <v>77.450980392156865</v>
      </c>
      <c r="V134" s="34" t="s">
        <v>44</v>
      </c>
      <c r="W134" s="52">
        <f t="shared" si="59"/>
        <v>150000</v>
      </c>
      <c r="X134" s="60">
        <f t="shared" si="60"/>
        <v>31.25</v>
      </c>
      <c r="Y134" s="34" t="s">
        <v>44</v>
      </c>
      <c r="Z134" s="102">
        <f t="shared" si="20"/>
        <v>195</v>
      </c>
      <c r="AA134" s="52">
        <f t="shared" si="61"/>
        <v>550000</v>
      </c>
      <c r="AB134" s="41">
        <f t="shared" si="62"/>
        <v>60.9375</v>
      </c>
      <c r="AC134" s="34" t="s">
        <v>44</v>
      </c>
      <c r="AD134" s="90">
        <f t="shared" si="63"/>
        <v>40.441176470588239</v>
      </c>
      <c r="AE134" s="17"/>
      <c r="AF134" s="2"/>
      <c r="AG134" s="2"/>
      <c r="AH134" s="55"/>
      <c r="AI134" s="2"/>
      <c r="AJ134" s="2"/>
      <c r="AK134" s="2"/>
    </row>
    <row r="135" spans="1:37" ht="105">
      <c r="A135" s="43"/>
      <c r="B135" s="39"/>
      <c r="C135" s="46" t="s">
        <v>273</v>
      </c>
      <c r="D135" s="47" t="s">
        <v>268</v>
      </c>
      <c r="E135" s="48">
        <v>535</v>
      </c>
      <c r="F135" s="77" t="s">
        <v>227</v>
      </c>
      <c r="G135" s="91">
        <v>56332000</v>
      </c>
      <c r="H135" s="101">
        <v>199</v>
      </c>
      <c r="I135" s="50">
        <v>13521000</v>
      </c>
      <c r="J135" s="51">
        <v>178</v>
      </c>
      <c r="K135" s="50">
        <v>25435500</v>
      </c>
      <c r="L135" s="33">
        <v>58</v>
      </c>
      <c r="M135" s="103" t="s">
        <v>229</v>
      </c>
      <c r="N135" s="51">
        <v>48</v>
      </c>
      <c r="O135" s="50">
        <v>6033000</v>
      </c>
      <c r="P135" s="51">
        <v>37</v>
      </c>
      <c r="Q135" s="50">
        <v>5667500</v>
      </c>
      <c r="R135" s="101">
        <v>35</v>
      </c>
      <c r="S135" s="50">
        <v>12945000</v>
      </c>
      <c r="T135" s="102">
        <f t="shared" si="57"/>
        <v>178</v>
      </c>
      <c r="U135" s="60">
        <f t="shared" si="58"/>
        <v>100</v>
      </c>
      <c r="V135" s="34" t="s">
        <v>44</v>
      </c>
      <c r="W135" s="52">
        <f t="shared" si="59"/>
        <v>24645500</v>
      </c>
      <c r="X135" s="60">
        <f t="shared" si="60"/>
        <v>96.894104696192329</v>
      </c>
      <c r="Y135" s="34" t="s">
        <v>44</v>
      </c>
      <c r="Z135" s="102">
        <f t="shared" si="20"/>
        <v>377</v>
      </c>
      <c r="AA135" s="52">
        <f t="shared" si="61"/>
        <v>38166500</v>
      </c>
      <c r="AB135" s="41">
        <f t="shared" si="62"/>
        <v>70.467289719626166</v>
      </c>
      <c r="AC135" s="34" t="s">
        <v>44</v>
      </c>
      <c r="AD135" s="90">
        <f t="shared" si="63"/>
        <v>67.752787048214159</v>
      </c>
      <c r="AE135" s="17"/>
      <c r="AF135" s="2"/>
      <c r="AG135" s="2"/>
      <c r="AH135" s="55"/>
      <c r="AI135" s="2"/>
      <c r="AJ135" s="2"/>
      <c r="AK135" s="2"/>
    </row>
    <row r="136" spans="1:37" ht="105">
      <c r="A136" s="43"/>
      <c r="B136" s="39"/>
      <c r="C136" s="46" t="s">
        <v>274</v>
      </c>
      <c r="D136" s="47" t="s">
        <v>268</v>
      </c>
      <c r="E136" s="48">
        <v>279</v>
      </c>
      <c r="F136" s="77" t="s">
        <v>227</v>
      </c>
      <c r="G136" s="91">
        <v>2218300</v>
      </c>
      <c r="H136" s="101">
        <v>101</v>
      </c>
      <c r="I136" s="50">
        <v>1602500</v>
      </c>
      <c r="J136" s="51">
        <v>93</v>
      </c>
      <c r="K136" s="50">
        <v>295400</v>
      </c>
      <c r="L136" s="33">
        <v>26</v>
      </c>
      <c r="M136" s="103" t="s">
        <v>229</v>
      </c>
      <c r="N136" s="51">
        <v>26</v>
      </c>
      <c r="O136" s="50"/>
      <c r="P136" s="51">
        <v>28</v>
      </c>
      <c r="Q136" s="50">
        <v>295400</v>
      </c>
      <c r="R136" s="101">
        <v>21</v>
      </c>
      <c r="S136" s="50">
        <v>0</v>
      </c>
      <c r="T136" s="102">
        <f t="shared" si="57"/>
        <v>101</v>
      </c>
      <c r="U136" s="60">
        <f t="shared" si="58"/>
        <v>108.6021505376344</v>
      </c>
      <c r="V136" s="34" t="s">
        <v>44</v>
      </c>
      <c r="W136" s="52">
        <f t="shared" si="59"/>
        <v>295400</v>
      </c>
      <c r="X136" s="60">
        <f t="shared" si="60"/>
        <v>100</v>
      </c>
      <c r="Y136" s="34" t="s">
        <v>44</v>
      </c>
      <c r="Z136" s="102">
        <f t="shared" si="20"/>
        <v>202</v>
      </c>
      <c r="AA136" s="52">
        <f t="shared" si="61"/>
        <v>1897900</v>
      </c>
      <c r="AB136" s="41">
        <f t="shared" si="62"/>
        <v>72.401433691756267</v>
      </c>
      <c r="AC136" s="34" t="s">
        <v>44</v>
      </c>
      <c r="AD136" s="90">
        <f t="shared" si="63"/>
        <v>85.556507235270246</v>
      </c>
      <c r="AE136" s="17"/>
      <c r="AF136" s="2"/>
      <c r="AG136" s="2"/>
      <c r="AH136" s="55"/>
      <c r="AI136" s="2"/>
      <c r="AJ136" s="2"/>
      <c r="AK136" s="2"/>
    </row>
    <row r="137" spans="1:37" ht="105">
      <c r="A137" s="43"/>
      <c r="B137" s="39"/>
      <c r="C137" s="46" t="s">
        <v>275</v>
      </c>
      <c r="D137" s="47" t="s">
        <v>268</v>
      </c>
      <c r="E137" s="48">
        <v>938</v>
      </c>
      <c r="F137" s="77" t="s">
        <v>227</v>
      </c>
      <c r="G137" s="91">
        <v>6656500</v>
      </c>
      <c r="H137" s="101">
        <v>314</v>
      </c>
      <c r="I137" s="50">
        <v>360000</v>
      </c>
      <c r="J137" s="51">
        <v>312</v>
      </c>
      <c r="K137" s="50">
        <v>6178000</v>
      </c>
      <c r="L137" s="33">
        <v>83</v>
      </c>
      <c r="M137" s="103" t="s">
        <v>229</v>
      </c>
      <c r="N137" s="51">
        <v>60</v>
      </c>
      <c r="O137" s="50">
        <v>980000</v>
      </c>
      <c r="P137" s="51">
        <v>76</v>
      </c>
      <c r="Q137" s="50">
        <v>1960000</v>
      </c>
      <c r="R137" s="101">
        <v>68</v>
      </c>
      <c r="S137" s="50">
        <v>3105000</v>
      </c>
      <c r="T137" s="102">
        <f t="shared" si="57"/>
        <v>287</v>
      </c>
      <c r="U137" s="60">
        <f t="shared" si="58"/>
        <v>91.987179487179489</v>
      </c>
      <c r="V137" s="34" t="s">
        <v>44</v>
      </c>
      <c r="W137" s="52">
        <f t="shared" si="59"/>
        <v>6045000</v>
      </c>
      <c r="X137" s="60">
        <f t="shared" si="60"/>
        <v>97.84719974101651</v>
      </c>
      <c r="Y137" s="34" t="s">
        <v>44</v>
      </c>
      <c r="Z137" s="102">
        <f t="shared" si="20"/>
        <v>601</v>
      </c>
      <c r="AA137" s="52">
        <f t="shared" si="61"/>
        <v>6405000</v>
      </c>
      <c r="AB137" s="41">
        <f t="shared" si="62"/>
        <v>64.072494669509595</v>
      </c>
      <c r="AC137" s="34" t="s">
        <v>44</v>
      </c>
      <c r="AD137" s="90">
        <f t="shared" si="63"/>
        <v>96.221738150679798</v>
      </c>
      <c r="AE137" s="17"/>
      <c r="AF137" s="2"/>
      <c r="AG137" s="2"/>
      <c r="AH137" s="55"/>
      <c r="AI137" s="2"/>
      <c r="AJ137" s="2"/>
      <c r="AK137" s="2"/>
    </row>
    <row r="138" spans="1:37" ht="105">
      <c r="A138" s="43"/>
      <c r="B138" s="39"/>
      <c r="C138" s="46" t="s">
        <v>276</v>
      </c>
      <c r="D138" s="47" t="s">
        <v>268</v>
      </c>
      <c r="E138" s="48">
        <v>522</v>
      </c>
      <c r="F138" s="77" t="s">
        <v>227</v>
      </c>
      <c r="G138" s="91">
        <v>13938800</v>
      </c>
      <c r="H138" s="101">
        <v>174</v>
      </c>
      <c r="I138" s="50">
        <v>850000</v>
      </c>
      <c r="J138" s="51">
        <v>178</v>
      </c>
      <c r="K138" s="50">
        <v>6374400</v>
      </c>
      <c r="L138" s="33">
        <v>34</v>
      </c>
      <c r="M138" s="103" t="s">
        <v>229</v>
      </c>
      <c r="N138" s="51">
        <v>51</v>
      </c>
      <c r="O138" s="50">
        <v>0</v>
      </c>
      <c r="P138" s="51">
        <v>48</v>
      </c>
      <c r="Q138" s="50">
        <v>2374400</v>
      </c>
      <c r="R138" s="101">
        <v>45</v>
      </c>
      <c r="S138" s="50">
        <v>2240000</v>
      </c>
      <c r="T138" s="102">
        <f t="shared" si="57"/>
        <v>178</v>
      </c>
      <c r="U138" s="60">
        <f t="shared" si="58"/>
        <v>100</v>
      </c>
      <c r="V138" s="34" t="s">
        <v>44</v>
      </c>
      <c r="W138" s="52">
        <f t="shared" si="59"/>
        <v>4614400</v>
      </c>
      <c r="X138" s="60">
        <f t="shared" si="60"/>
        <v>72.389558232931734</v>
      </c>
      <c r="Y138" s="34" t="s">
        <v>44</v>
      </c>
      <c r="Z138" s="102">
        <f t="shared" si="20"/>
        <v>352</v>
      </c>
      <c r="AA138" s="52">
        <f t="shared" si="61"/>
        <v>5464400</v>
      </c>
      <c r="AB138" s="41">
        <f t="shared" si="62"/>
        <v>67.432950191570882</v>
      </c>
      <c r="AC138" s="34" t="s">
        <v>44</v>
      </c>
      <c r="AD138" s="90">
        <f t="shared" si="63"/>
        <v>39.202800814991242</v>
      </c>
      <c r="AE138" s="17"/>
      <c r="AF138" s="2"/>
      <c r="AG138" s="2"/>
      <c r="AH138" s="55"/>
      <c r="AI138" s="2"/>
      <c r="AJ138" s="2"/>
      <c r="AK138" s="2"/>
    </row>
    <row r="139" spans="1:37" ht="105">
      <c r="A139" s="43"/>
      <c r="B139" s="39"/>
      <c r="C139" s="46" t="s">
        <v>277</v>
      </c>
      <c r="D139" s="47" t="s">
        <v>268</v>
      </c>
      <c r="E139" s="48">
        <v>306</v>
      </c>
      <c r="F139" s="77" t="s">
        <v>227</v>
      </c>
      <c r="G139" s="91">
        <v>33440000</v>
      </c>
      <c r="H139" s="101">
        <v>101</v>
      </c>
      <c r="I139" s="50">
        <v>1440000</v>
      </c>
      <c r="J139" s="51">
        <v>102</v>
      </c>
      <c r="K139" s="50">
        <v>16000000</v>
      </c>
      <c r="L139" s="33">
        <v>15</v>
      </c>
      <c r="M139" s="103" t="s">
        <v>229</v>
      </c>
      <c r="N139" s="51">
        <v>15</v>
      </c>
      <c r="O139" s="50">
        <v>0</v>
      </c>
      <c r="P139" s="51">
        <v>35</v>
      </c>
      <c r="Q139" s="50">
        <v>160000</v>
      </c>
      <c r="R139" s="101">
        <v>41</v>
      </c>
      <c r="S139" s="103" t="s">
        <v>229</v>
      </c>
      <c r="T139" s="102">
        <f t="shared" si="57"/>
        <v>106</v>
      </c>
      <c r="U139" s="60">
        <f t="shared" si="58"/>
        <v>103.92156862745099</v>
      </c>
      <c r="V139" s="34" t="s">
        <v>44</v>
      </c>
      <c r="W139" s="52">
        <f t="shared" si="59"/>
        <v>160000</v>
      </c>
      <c r="X139" s="60">
        <f t="shared" si="60"/>
        <v>1</v>
      </c>
      <c r="Y139" s="34" t="s">
        <v>44</v>
      </c>
      <c r="Z139" s="102">
        <f t="shared" si="20"/>
        <v>207</v>
      </c>
      <c r="AA139" s="52">
        <f t="shared" si="61"/>
        <v>1600000</v>
      </c>
      <c r="AB139" s="41">
        <f t="shared" si="62"/>
        <v>67.64705882352942</v>
      </c>
      <c r="AC139" s="34" t="s">
        <v>44</v>
      </c>
      <c r="AD139" s="90">
        <f t="shared" si="63"/>
        <v>4.7846889952153111</v>
      </c>
      <c r="AE139" s="17"/>
      <c r="AF139" s="2"/>
      <c r="AG139" s="2"/>
      <c r="AH139" s="55"/>
      <c r="AI139" s="2"/>
      <c r="AJ139" s="2"/>
      <c r="AK139" s="2"/>
    </row>
    <row r="140" spans="1:37" ht="105">
      <c r="A140" s="43"/>
      <c r="B140" s="39"/>
      <c r="C140" s="46" t="s">
        <v>278</v>
      </c>
      <c r="D140" s="47" t="s">
        <v>268</v>
      </c>
      <c r="E140" s="48">
        <v>171</v>
      </c>
      <c r="F140" s="77" t="s">
        <v>227</v>
      </c>
      <c r="G140" s="91">
        <v>10148500</v>
      </c>
      <c r="H140" s="101">
        <v>72</v>
      </c>
      <c r="I140" s="50">
        <v>0</v>
      </c>
      <c r="J140" s="51">
        <v>80</v>
      </c>
      <c r="K140" s="50">
        <v>4894000</v>
      </c>
      <c r="L140" s="106">
        <v>23</v>
      </c>
      <c r="M140" s="107" t="s">
        <v>229</v>
      </c>
      <c r="N140" s="108">
        <v>44</v>
      </c>
      <c r="O140" s="107">
        <v>900</v>
      </c>
      <c r="P140" s="108">
        <v>62</v>
      </c>
      <c r="Q140" s="107">
        <v>2700000</v>
      </c>
      <c r="R140" s="109">
        <v>78</v>
      </c>
      <c r="S140" s="107">
        <v>3010000</v>
      </c>
      <c r="T140" s="102">
        <f t="shared" si="57"/>
        <v>207</v>
      </c>
      <c r="U140" s="60">
        <f t="shared" si="58"/>
        <v>258.75</v>
      </c>
      <c r="V140" s="34" t="s">
        <v>44</v>
      </c>
      <c r="W140" s="52">
        <f t="shared" si="59"/>
        <v>5710900</v>
      </c>
      <c r="X140" s="60">
        <f t="shared" si="60"/>
        <v>116.69186759297099</v>
      </c>
      <c r="Y140" s="34" t="s">
        <v>44</v>
      </c>
      <c r="Z140" s="102">
        <f t="shared" si="20"/>
        <v>279</v>
      </c>
      <c r="AA140" s="52">
        <f t="shared" si="61"/>
        <v>5710900</v>
      </c>
      <c r="AB140" s="41">
        <f t="shared" si="62"/>
        <v>163.15789473684211</v>
      </c>
      <c r="AC140" s="34" t="s">
        <v>44</v>
      </c>
      <c r="AD140" s="90">
        <f t="shared" si="63"/>
        <v>56.273340887815934</v>
      </c>
      <c r="AE140" s="17"/>
      <c r="AF140" s="2"/>
      <c r="AG140" s="2"/>
      <c r="AH140" s="55"/>
      <c r="AI140" s="2"/>
      <c r="AJ140" s="2"/>
      <c r="AK140" s="2"/>
    </row>
    <row r="141" spans="1:37" ht="105">
      <c r="A141" s="43"/>
      <c r="B141" s="39"/>
      <c r="C141" s="46" t="s">
        <v>279</v>
      </c>
      <c r="D141" s="47" t="s">
        <v>268</v>
      </c>
      <c r="E141" s="48">
        <v>168</v>
      </c>
      <c r="F141" s="77" t="s">
        <v>227</v>
      </c>
      <c r="G141" s="91">
        <v>4593900</v>
      </c>
      <c r="H141" s="101">
        <v>56</v>
      </c>
      <c r="I141" s="50">
        <v>995000</v>
      </c>
      <c r="J141" s="51">
        <v>56</v>
      </c>
      <c r="K141" s="50">
        <v>1511200</v>
      </c>
      <c r="L141" s="33">
        <v>12</v>
      </c>
      <c r="M141" s="103" t="s">
        <v>229</v>
      </c>
      <c r="N141" s="51">
        <v>27</v>
      </c>
      <c r="O141" s="50">
        <v>140000</v>
      </c>
      <c r="P141" s="51">
        <v>21</v>
      </c>
      <c r="Q141" s="50">
        <v>140000</v>
      </c>
      <c r="R141" s="112">
        <v>11</v>
      </c>
      <c r="S141" s="107">
        <v>951.2</v>
      </c>
      <c r="T141" s="102">
        <f t="shared" si="57"/>
        <v>71</v>
      </c>
      <c r="U141" s="60">
        <f t="shared" si="58"/>
        <v>126.78571428571428</v>
      </c>
      <c r="V141" s="34" t="s">
        <v>44</v>
      </c>
      <c r="W141" s="52">
        <f t="shared" si="59"/>
        <v>280951.2</v>
      </c>
      <c r="X141" s="60">
        <f t="shared" si="60"/>
        <v>18.591265219692961</v>
      </c>
      <c r="Y141" s="34" t="s">
        <v>44</v>
      </c>
      <c r="Z141" s="102">
        <f t="shared" si="20"/>
        <v>127</v>
      </c>
      <c r="AA141" s="52">
        <f t="shared" si="61"/>
        <v>1275951.2</v>
      </c>
      <c r="AB141" s="41">
        <f t="shared" si="62"/>
        <v>75.595238095238088</v>
      </c>
      <c r="AC141" s="34" t="s">
        <v>44</v>
      </c>
      <c r="AD141" s="90">
        <f t="shared" si="63"/>
        <v>27.77490149981497</v>
      </c>
      <c r="AE141" s="17"/>
      <c r="AF141" s="2"/>
      <c r="AG141" s="2"/>
      <c r="AH141" s="55"/>
      <c r="AI141" s="2"/>
      <c r="AJ141" s="2"/>
      <c r="AK141" s="2"/>
    </row>
    <row r="142" spans="1:37" ht="105">
      <c r="A142" s="43"/>
      <c r="B142" s="39"/>
      <c r="C142" s="46" t="s">
        <v>280</v>
      </c>
      <c r="D142" s="47" t="s">
        <v>268</v>
      </c>
      <c r="E142" s="48">
        <v>951</v>
      </c>
      <c r="F142" s="77" t="s">
        <v>227</v>
      </c>
      <c r="G142" s="91">
        <v>39280000</v>
      </c>
      <c r="H142" s="101">
        <v>340</v>
      </c>
      <c r="I142" s="50">
        <v>2320000</v>
      </c>
      <c r="J142" s="51">
        <v>317</v>
      </c>
      <c r="K142" s="50">
        <v>18480000</v>
      </c>
      <c r="L142" s="33">
        <v>89</v>
      </c>
      <c r="M142" s="103" t="s">
        <v>229</v>
      </c>
      <c r="N142" s="51">
        <v>95</v>
      </c>
      <c r="O142" s="50">
        <v>6720000</v>
      </c>
      <c r="P142" s="51">
        <v>93</v>
      </c>
      <c r="Q142" s="50">
        <v>5760000</v>
      </c>
      <c r="R142" s="112">
        <v>42</v>
      </c>
      <c r="S142" s="107">
        <v>6000000</v>
      </c>
      <c r="T142" s="102">
        <f t="shared" si="57"/>
        <v>319</v>
      </c>
      <c r="U142" s="60">
        <f t="shared" si="58"/>
        <v>100.63091482649841</v>
      </c>
      <c r="V142" s="34" t="s">
        <v>44</v>
      </c>
      <c r="W142" s="52">
        <f t="shared" si="59"/>
        <v>18480000</v>
      </c>
      <c r="X142" s="60">
        <f t="shared" si="60"/>
        <v>100</v>
      </c>
      <c r="Y142" s="34" t="s">
        <v>44</v>
      </c>
      <c r="Z142" s="102">
        <f t="shared" si="20"/>
        <v>659</v>
      </c>
      <c r="AA142" s="52">
        <f t="shared" si="61"/>
        <v>20800000</v>
      </c>
      <c r="AB142" s="41">
        <f t="shared" si="62"/>
        <v>69.295478443743434</v>
      </c>
      <c r="AC142" s="34" t="s">
        <v>44</v>
      </c>
      <c r="AD142" s="90">
        <f t="shared" si="63"/>
        <v>52.953156822810584</v>
      </c>
      <c r="AE142" s="17"/>
      <c r="AF142" s="2"/>
      <c r="AG142" s="2"/>
      <c r="AH142" s="55"/>
      <c r="AI142" s="2"/>
      <c r="AJ142" s="2"/>
      <c r="AK142" s="2"/>
    </row>
    <row r="143" spans="1:37" ht="105">
      <c r="A143" s="43"/>
      <c r="B143" s="39"/>
      <c r="C143" s="46" t="s">
        <v>281</v>
      </c>
      <c r="D143" s="47" t="s">
        <v>268</v>
      </c>
      <c r="E143" s="48">
        <v>595</v>
      </c>
      <c r="F143" s="77" t="s">
        <v>227</v>
      </c>
      <c r="G143" s="91">
        <v>53044000</v>
      </c>
      <c r="H143" s="101">
        <v>252</v>
      </c>
      <c r="I143" s="50">
        <v>0</v>
      </c>
      <c r="J143" s="51">
        <v>170</v>
      </c>
      <c r="K143" s="50">
        <v>27402000</v>
      </c>
      <c r="L143" s="115">
        <v>57</v>
      </c>
      <c r="M143" s="116">
        <v>0</v>
      </c>
      <c r="N143" s="117">
        <v>46</v>
      </c>
      <c r="O143" s="107">
        <v>9345500</v>
      </c>
      <c r="P143" s="117">
        <v>58</v>
      </c>
      <c r="Q143" s="107">
        <v>9349200</v>
      </c>
      <c r="R143" s="118">
        <v>39</v>
      </c>
      <c r="S143" s="107">
        <v>6930000</v>
      </c>
      <c r="T143" s="102">
        <f t="shared" si="57"/>
        <v>200</v>
      </c>
      <c r="U143" s="60">
        <f t="shared" si="58"/>
        <v>117.64705882352942</v>
      </c>
      <c r="V143" s="34" t="s">
        <v>44</v>
      </c>
      <c r="W143" s="52">
        <f t="shared" si="59"/>
        <v>25624700</v>
      </c>
      <c r="X143" s="60">
        <f t="shared" si="60"/>
        <v>93.513977081964811</v>
      </c>
      <c r="Y143" s="34" t="s">
        <v>44</v>
      </c>
      <c r="Z143" s="102">
        <f t="shared" si="20"/>
        <v>452</v>
      </c>
      <c r="AA143" s="52">
        <f t="shared" si="61"/>
        <v>25624700</v>
      </c>
      <c r="AB143" s="41">
        <f t="shared" si="62"/>
        <v>75.966386554621849</v>
      </c>
      <c r="AC143" s="34" t="s">
        <v>44</v>
      </c>
      <c r="AD143" s="90">
        <f t="shared" si="63"/>
        <v>48.308385491290252</v>
      </c>
      <c r="AE143" s="17"/>
      <c r="AF143" s="2"/>
      <c r="AG143" s="2"/>
      <c r="AH143" s="55"/>
      <c r="AI143" s="2"/>
      <c r="AJ143" s="2"/>
      <c r="AK143" s="2"/>
    </row>
    <row r="144" spans="1:37" ht="105">
      <c r="A144" s="43"/>
      <c r="B144" s="39"/>
      <c r="C144" s="46" t="s">
        <v>282</v>
      </c>
      <c r="D144" s="47" t="s">
        <v>268</v>
      </c>
      <c r="E144" s="48">
        <v>513</v>
      </c>
      <c r="F144" s="77" t="s">
        <v>227</v>
      </c>
      <c r="G144" s="91">
        <v>18669800</v>
      </c>
      <c r="H144" s="101">
        <v>168</v>
      </c>
      <c r="I144" s="50">
        <v>957800</v>
      </c>
      <c r="J144" s="51">
        <v>171</v>
      </c>
      <c r="K144" s="50">
        <v>8856000</v>
      </c>
      <c r="L144" s="33">
        <v>0</v>
      </c>
      <c r="M144" s="103" t="s">
        <v>229</v>
      </c>
      <c r="N144" s="51">
        <v>57</v>
      </c>
      <c r="O144" s="50">
        <v>0</v>
      </c>
      <c r="P144" s="51">
        <v>57</v>
      </c>
      <c r="Q144" s="50">
        <v>1920000</v>
      </c>
      <c r="R144" s="112">
        <v>57</v>
      </c>
      <c r="S144" s="107">
        <v>4320000</v>
      </c>
      <c r="T144" s="102">
        <f t="shared" si="57"/>
        <v>171</v>
      </c>
      <c r="U144" s="60">
        <f t="shared" si="58"/>
        <v>100</v>
      </c>
      <c r="V144" s="34" t="s">
        <v>44</v>
      </c>
      <c r="W144" s="52">
        <f t="shared" si="59"/>
        <v>6240000</v>
      </c>
      <c r="X144" s="60">
        <f t="shared" si="60"/>
        <v>70.460704607046068</v>
      </c>
      <c r="Y144" s="34" t="s">
        <v>44</v>
      </c>
      <c r="Z144" s="102">
        <f t="shared" si="20"/>
        <v>339</v>
      </c>
      <c r="AA144" s="52">
        <f t="shared" si="61"/>
        <v>7197800</v>
      </c>
      <c r="AB144" s="41">
        <f t="shared" si="62"/>
        <v>66.081871345029242</v>
      </c>
      <c r="AC144" s="34" t="s">
        <v>44</v>
      </c>
      <c r="AD144" s="90">
        <f t="shared" si="63"/>
        <v>38.55317143193821</v>
      </c>
      <c r="AE144" s="17"/>
      <c r="AF144" s="2"/>
      <c r="AG144" s="2"/>
      <c r="AH144" s="55"/>
      <c r="AI144" s="2"/>
      <c r="AJ144" s="2"/>
      <c r="AK144" s="2"/>
    </row>
    <row r="145" spans="1:37" ht="105">
      <c r="A145" s="43"/>
      <c r="B145" s="39"/>
      <c r="C145" s="46" t="s">
        <v>283</v>
      </c>
      <c r="D145" s="47" t="s">
        <v>268</v>
      </c>
      <c r="E145" s="48">
        <v>276</v>
      </c>
      <c r="F145" s="77" t="s">
        <v>227</v>
      </c>
      <c r="G145" s="91">
        <v>41330000</v>
      </c>
      <c r="H145" s="101">
        <v>92</v>
      </c>
      <c r="I145" s="50">
        <v>11280000</v>
      </c>
      <c r="J145" s="51">
        <v>92</v>
      </c>
      <c r="K145" s="50">
        <v>50005000</v>
      </c>
      <c r="L145" s="33">
        <v>16</v>
      </c>
      <c r="M145" s="103" t="s">
        <v>229</v>
      </c>
      <c r="N145" s="51">
        <v>30</v>
      </c>
      <c r="O145" s="50">
        <v>3080000</v>
      </c>
      <c r="P145" s="51">
        <v>23</v>
      </c>
      <c r="Q145" s="50">
        <v>350000</v>
      </c>
      <c r="R145" s="112">
        <v>23</v>
      </c>
      <c r="S145" s="107">
        <v>38948000</v>
      </c>
      <c r="T145" s="102">
        <f t="shared" si="57"/>
        <v>92</v>
      </c>
      <c r="U145" s="60">
        <f t="shared" si="58"/>
        <v>100</v>
      </c>
      <c r="V145" s="34" t="s">
        <v>44</v>
      </c>
      <c r="W145" s="52">
        <f t="shared" si="59"/>
        <v>42378000</v>
      </c>
      <c r="X145" s="60">
        <f t="shared" si="60"/>
        <v>84.747525247475252</v>
      </c>
      <c r="Y145" s="34" t="s">
        <v>44</v>
      </c>
      <c r="Z145" s="102">
        <f t="shared" si="20"/>
        <v>184</v>
      </c>
      <c r="AA145" s="52">
        <f t="shared" si="61"/>
        <v>53658000</v>
      </c>
      <c r="AB145" s="41">
        <f t="shared" si="62"/>
        <v>66.666666666666657</v>
      </c>
      <c r="AC145" s="34" t="s">
        <v>44</v>
      </c>
      <c r="AD145" s="90">
        <f t="shared" si="63"/>
        <v>129.82821195257682</v>
      </c>
      <c r="AE145" s="17"/>
      <c r="AF145" s="2"/>
      <c r="AG145" s="2"/>
      <c r="AH145" s="55"/>
      <c r="AI145" s="2"/>
      <c r="AJ145" s="2"/>
      <c r="AK145" s="2"/>
    </row>
    <row r="146" spans="1:37" ht="90">
      <c r="A146" s="43"/>
      <c r="B146" s="39"/>
      <c r="C146" s="46" t="s">
        <v>284</v>
      </c>
      <c r="D146" s="47" t="s">
        <v>285</v>
      </c>
      <c r="E146" s="48">
        <f>H146+J146+J146</f>
        <v>28948</v>
      </c>
      <c r="F146" s="77" t="s">
        <v>227</v>
      </c>
      <c r="G146" s="91">
        <v>473307500</v>
      </c>
      <c r="H146" s="48">
        <v>100</v>
      </c>
      <c r="I146" s="50">
        <v>16140000</v>
      </c>
      <c r="J146" s="51">
        <v>14424</v>
      </c>
      <c r="K146" s="50">
        <v>456927500</v>
      </c>
      <c r="L146" s="33">
        <v>2878</v>
      </c>
      <c r="M146" s="50">
        <v>0</v>
      </c>
      <c r="N146" s="51">
        <v>3534</v>
      </c>
      <c r="O146" s="50">
        <v>10800000</v>
      </c>
      <c r="P146" s="51">
        <v>2760</v>
      </c>
      <c r="Q146" s="50">
        <v>236584900</v>
      </c>
      <c r="R146" s="51">
        <v>3788</v>
      </c>
      <c r="S146" s="50">
        <f>404378500-O146-Q146</f>
        <v>156993600</v>
      </c>
      <c r="T146" s="33">
        <f t="shared" si="57"/>
        <v>12960</v>
      </c>
      <c r="U146" s="60">
        <f t="shared" si="58"/>
        <v>89.850249584026614</v>
      </c>
      <c r="V146" s="34" t="s">
        <v>44</v>
      </c>
      <c r="W146" s="52">
        <f t="shared" si="59"/>
        <v>404378500</v>
      </c>
      <c r="X146" s="60">
        <f t="shared" si="60"/>
        <v>88.499488430877989</v>
      </c>
      <c r="Y146" s="34" t="s">
        <v>44</v>
      </c>
      <c r="Z146" s="33">
        <f t="shared" si="20"/>
        <v>13060</v>
      </c>
      <c r="AA146" s="52">
        <f t="shared" si="61"/>
        <v>420518500</v>
      </c>
      <c r="AB146" s="41">
        <f t="shared" si="62"/>
        <v>45.115379300815256</v>
      </c>
      <c r="AC146" s="34" t="s">
        <v>44</v>
      </c>
      <c r="AD146" s="90">
        <f t="shared" si="63"/>
        <v>88.846785652033816</v>
      </c>
      <c r="AE146" s="17"/>
      <c r="AF146" s="2"/>
      <c r="AG146" s="2"/>
      <c r="AH146" s="55"/>
      <c r="AI146" s="2"/>
      <c r="AJ146" s="2"/>
      <c r="AK146" s="2"/>
    </row>
    <row r="147" spans="1:37" ht="90">
      <c r="A147" s="43"/>
      <c r="B147" s="39"/>
      <c r="C147" s="46" t="s">
        <v>286</v>
      </c>
      <c r="D147" s="47" t="s">
        <v>285</v>
      </c>
      <c r="E147" s="48">
        <v>1065</v>
      </c>
      <c r="F147" s="77" t="s">
        <v>227</v>
      </c>
      <c r="G147" s="91">
        <v>162398500</v>
      </c>
      <c r="H147" s="101">
        <v>876</v>
      </c>
      <c r="I147" s="50">
        <v>68615000</v>
      </c>
      <c r="J147" s="51">
        <v>826</v>
      </c>
      <c r="K147" s="50">
        <v>92063500</v>
      </c>
      <c r="L147" s="33">
        <v>174</v>
      </c>
      <c r="M147" s="103" t="s">
        <v>229</v>
      </c>
      <c r="N147" s="51">
        <v>167</v>
      </c>
      <c r="O147" s="50">
        <v>42585000</v>
      </c>
      <c r="P147" s="51">
        <v>273</v>
      </c>
      <c r="Q147" s="50">
        <v>27155000</v>
      </c>
      <c r="R147" s="101">
        <v>4</v>
      </c>
      <c r="S147" s="50">
        <v>21280000</v>
      </c>
      <c r="T147" s="102">
        <f t="shared" si="57"/>
        <v>618</v>
      </c>
      <c r="U147" s="60">
        <f t="shared" si="58"/>
        <v>74.818401937046005</v>
      </c>
      <c r="V147" s="34" t="s">
        <v>44</v>
      </c>
      <c r="W147" s="52">
        <f t="shared" si="59"/>
        <v>91020000</v>
      </c>
      <c r="X147" s="60">
        <f t="shared" si="60"/>
        <v>98.86654320116007</v>
      </c>
      <c r="Y147" s="34" t="s">
        <v>44</v>
      </c>
      <c r="Z147" s="102">
        <f t="shared" si="20"/>
        <v>1494</v>
      </c>
      <c r="AA147" s="52">
        <f t="shared" si="61"/>
        <v>159635000</v>
      </c>
      <c r="AB147" s="41">
        <f t="shared" si="62"/>
        <v>140.28169014084506</v>
      </c>
      <c r="AC147" s="34" t="s">
        <v>44</v>
      </c>
      <c r="AD147" s="90">
        <f t="shared" si="63"/>
        <v>98.298321720951847</v>
      </c>
      <c r="AE147" s="17"/>
      <c r="AF147" s="2"/>
      <c r="AG147" s="2"/>
      <c r="AH147" s="55"/>
      <c r="AI147" s="2"/>
      <c r="AJ147" s="2"/>
      <c r="AK147" s="2"/>
    </row>
    <row r="148" spans="1:37" ht="90">
      <c r="A148" s="43"/>
      <c r="B148" s="39"/>
      <c r="C148" s="46" t="s">
        <v>287</v>
      </c>
      <c r="D148" s="47" t="s">
        <v>285</v>
      </c>
      <c r="E148" s="48">
        <v>1812</v>
      </c>
      <c r="F148" s="77" t="s">
        <v>227</v>
      </c>
      <c r="G148" s="91">
        <v>225216350</v>
      </c>
      <c r="H148" s="101">
        <v>578</v>
      </c>
      <c r="I148" s="50">
        <v>56281250</v>
      </c>
      <c r="J148" s="51">
        <v>604</v>
      </c>
      <c r="K148" s="50">
        <v>83180000</v>
      </c>
      <c r="L148" s="33">
        <v>131</v>
      </c>
      <c r="M148" s="103" t="s">
        <v>229</v>
      </c>
      <c r="N148" s="51">
        <v>418</v>
      </c>
      <c r="O148" s="50">
        <v>32980000</v>
      </c>
      <c r="P148" s="51"/>
      <c r="Q148" s="50">
        <v>31335000</v>
      </c>
      <c r="R148" s="101">
        <v>34</v>
      </c>
      <c r="S148" s="50">
        <v>18495000</v>
      </c>
      <c r="T148" s="102">
        <f t="shared" si="57"/>
        <v>583</v>
      </c>
      <c r="U148" s="60">
        <f t="shared" si="58"/>
        <v>96.523178807947019</v>
      </c>
      <c r="V148" s="34" t="s">
        <v>44</v>
      </c>
      <c r="W148" s="52">
        <f t="shared" si="59"/>
        <v>82810000</v>
      </c>
      <c r="X148" s="60">
        <f t="shared" si="60"/>
        <v>99.555181534022594</v>
      </c>
      <c r="Y148" s="34" t="s">
        <v>44</v>
      </c>
      <c r="Z148" s="102">
        <f t="shared" si="20"/>
        <v>1161</v>
      </c>
      <c r="AA148" s="52">
        <f t="shared" si="61"/>
        <v>139091250</v>
      </c>
      <c r="AB148" s="41">
        <f t="shared" si="62"/>
        <v>64.072847682119203</v>
      </c>
      <c r="AC148" s="34" t="s">
        <v>44</v>
      </c>
      <c r="AD148" s="90">
        <f t="shared" si="63"/>
        <v>61.758948673131407</v>
      </c>
      <c r="AE148" s="17"/>
      <c r="AF148" s="2"/>
      <c r="AG148" s="2"/>
      <c r="AH148" s="55"/>
      <c r="AI148" s="2"/>
      <c r="AJ148" s="2"/>
      <c r="AK148" s="2"/>
    </row>
    <row r="149" spans="1:37" ht="90">
      <c r="A149" s="43"/>
      <c r="B149" s="39"/>
      <c r="C149" s="46" t="s">
        <v>288</v>
      </c>
      <c r="D149" s="47" t="s">
        <v>285</v>
      </c>
      <c r="E149" s="48">
        <v>1074</v>
      </c>
      <c r="F149" s="77" t="s">
        <v>227</v>
      </c>
      <c r="G149" s="91">
        <v>115619000</v>
      </c>
      <c r="H149" s="101">
        <v>425</v>
      </c>
      <c r="I149" s="50">
        <v>7595000</v>
      </c>
      <c r="J149" s="51">
        <v>358</v>
      </c>
      <c r="K149" s="50">
        <v>54048000</v>
      </c>
      <c r="L149" s="33">
        <v>45</v>
      </c>
      <c r="M149" s="103" t="s">
        <v>229</v>
      </c>
      <c r="N149" s="51">
        <v>319</v>
      </c>
      <c r="O149" s="50">
        <v>17920000</v>
      </c>
      <c r="P149" s="51">
        <v>319</v>
      </c>
      <c r="Q149" s="50">
        <v>12380000</v>
      </c>
      <c r="R149" s="101">
        <v>113</v>
      </c>
      <c r="S149" s="50">
        <v>23748000</v>
      </c>
      <c r="T149" s="102">
        <f t="shared" si="57"/>
        <v>796</v>
      </c>
      <c r="U149" s="60">
        <f t="shared" si="58"/>
        <v>222.34636871508383</v>
      </c>
      <c r="V149" s="34" t="s">
        <v>44</v>
      </c>
      <c r="W149" s="52">
        <f t="shared" si="59"/>
        <v>54048000</v>
      </c>
      <c r="X149" s="60">
        <f t="shared" si="60"/>
        <v>100</v>
      </c>
      <c r="Y149" s="34" t="s">
        <v>44</v>
      </c>
      <c r="Z149" s="102">
        <f t="shared" si="20"/>
        <v>1221</v>
      </c>
      <c r="AA149" s="52">
        <f t="shared" si="61"/>
        <v>61643000</v>
      </c>
      <c r="AB149" s="41">
        <f t="shared" si="62"/>
        <v>113.68715083798884</v>
      </c>
      <c r="AC149" s="34" t="s">
        <v>44</v>
      </c>
      <c r="AD149" s="90">
        <f t="shared" si="63"/>
        <v>53.315631513851528</v>
      </c>
      <c r="AE149" s="17"/>
      <c r="AF149" s="2"/>
      <c r="AG149" s="2"/>
      <c r="AH149" s="55"/>
      <c r="AI149" s="2"/>
      <c r="AJ149" s="2"/>
      <c r="AK149" s="2"/>
    </row>
    <row r="150" spans="1:37" ht="90">
      <c r="A150" s="43"/>
      <c r="B150" s="39"/>
      <c r="C150" s="46" t="s">
        <v>289</v>
      </c>
      <c r="D150" s="47" t="s">
        <v>285</v>
      </c>
      <c r="E150" s="48">
        <v>3306</v>
      </c>
      <c r="F150" s="77" t="s">
        <v>227</v>
      </c>
      <c r="G150" s="91">
        <v>219545000</v>
      </c>
      <c r="H150" s="101">
        <v>939</v>
      </c>
      <c r="I150" s="50">
        <v>58665000</v>
      </c>
      <c r="J150" s="51">
        <v>1102</v>
      </c>
      <c r="K150" s="50">
        <v>79910000</v>
      </c>
      <c r="L150" s="33">
        <v>234</v>
      </c>
      <c r="M150" s="103" t="s">
        <v>229</v>
      </c>
      <c r="N150" s="51">
        <v>157</v>
      </c>
      <c r="O150" s="50">
        <v>25600000</v>
      </c>
      <c r="P150" s="51">
        <v>381</v>
      </c>
      <c r="Q150" s="50">
        <v>28590000</v>
      </c>
      <c r="R150" s="101">
        <v>69</v>
      </c>
      <c r="S150" s="50">
        <v>25600000</v>
      </c>
      <c r="T150" s="102">
        <f t="shared" si="57"/>
        <v>841</v>
      </c>
      <c r="U150" s="60">
        <f t="shared" si="58"/>
        <v>76.31578947368422</v>
      </c>
      <c r="V150" s="34" t="s">
        <v>44</v>
      </c>
      <c r="W150" s="52">
        <f t="shared" si="59"/>
        <v>79790000</v>
      </c>
      <c r="X150" s="60">
        <f t="shared" si="60"/>
        <v>99.849831059942446</v>
      </c>
      <c r="Y150" s="34" t="s">
        <v>44</v>
      </c>
      <c r="Z150" s="102">
        <f t="shared" si="20"/>
        <v>1780</v>
      </c>
      <c r="AA150" s="52">
        <f t="shared" si="61"/>
        <v>138455000</v>
      </c>
      <c r="AB150" s="41">
        <f t="shared" si="62"/>
        <v>53.841500302480341</v>
      </c>
      <c r="AC150" s="34" t="s">
        <v>44</v>
      </c>
      <c r="AD150" s="90">
        <f t="shared" si="63"/>
        <v>63.064519802318429</v>
      </c>
      <c r="AE150" s="17"/>
      <c r="AF150" s="2"/>
      <c r="AG150" s="2"/>
      <c r="AH150" s="55"/>
      <c r="AI150" s="2"/>
      <c r="AJ150" s="2"/>
      <c r="AK150" s="2"/>
    </row>
    <row r="151" spans="1:37" ht="90">
      <c r="A151" s="43"/>
      <c r="B151" s="39"/>
      <c r="C151" s="46" t="s">
        <v>290</v>
      </c>
      <c r="D151" s="47" t="s">
        <v>285</v>
      </c>
      <c r="E151" s="48">
        <v>1413</v>
      </c>
      <c r="F151" s="77" t="s">
        <v>227</v>
      </c>
      <c r="G151" s="91">
        <v>247746000</v>
      </c>
      <c r="H151" s="101">
        <v>541</v>
      </c>
      <c r="I151" s="50">
        <v>63857000</v>
      </c>
      <c r="J151" s="51">
        <v>436</v>
      </c>
      <c r="K151" s="50">
        <v>91944500</v>
      </c>
      <c r="L151" s="33">
        <v>229</v>
      </c>
      <c r="M151" s="103" t="s">
        <v>229</v>
      </c>
      <c r="N151" s="51">
        <v>14</v>
      </c>
      <c r="O151" s="50">
        <v>37001000</v>
      </c>
      <c r="P151" s="51">
        <v>259</v>
      </c>
      <c r="Q151" s="50">
        <v>25950000</v>
      </c>
      <c r="R151" s="101">
        <v>48</v>
      </c>
      <c r="S151" s="50">
        <v>27700000</v>
      </c>
      <c r="T151" s="102">
        <f t="shared" si="57"/>
        <v>550</v>
      </c>
      <c r="U151" s="60">
        <f t="shared" si="58"/>
        <v>126.1467889908257</v>
      </c>
      <c r="V151" s="34" t="s">
        <v>44</v>
      </c>
      <c r="W151" s="52">
        <f t="shared" si="59"/>
        <v>90651000</v>
      </c>
      <c r="X151" s="60">
        <f t="shared" si="60"/>
        <v>98.593173055484556</v>
      </c>
      <c r="Y151" s="34" t="s">
        <v>44</v>
      </c>
      <c r="Z151" s="102">
        <f t="shared" si="20"/>
        <v>1091</v>
      </c>
      <c r="AA151" s="52">
        <f t="shared" si="61"/>
        <v>154508000</v>
      </c>
      <c r="AB151" s="41">
        <f t="shared" si="62"/>
        <v>77.21160651096956</v>
      </c>
      <c r="AC151" s="34" t="s">
        <v>44</v>
      </c>
      <c r="AD151" s="90">
        <f t="shared" si="63"/>
        <v>62.365487232891745</v>
      </c>
      <c r="AE151" s="17"/>
      <c r="AF151" s="2"/>
      <c r="AG151" s="2"/>
      <c r="AH151" s="55"/>
      <c r="AI151" s="2"/>
      <c r="AJ151" s="2"/>
      <c r="AK151" s="2"/>
    </row>
    <row r="152" spans="1:37" ht="90">
      <c r="A152" s="43"/>
      <c r="B152" s="39"/>
      <c r="C152" s="46" t="s">
        <v>291</v>
      </c>
      <c r="D152" s="47" t="s">
        <v>285</v>
      </c>
      <c r="E152" s="48">
        <v>2697</v>
      </c>
      <c r="F152" s="77" t="s">
        <v>227</v>
      </c>
      <c r="G152" s="91">
        <v>284509000</v>
      </c>
      <c r="H152" s="101">
        <v>787</v>
      </c>
      <c r="I152" s="50">
        <v>71720000</v>
      </c>
      <c r="J152" s="51">
        <v>894</v>
      </c>
      <c r="K152" s="50">
        <v>105784500</v>
      </c>
      <c r="L152" s="33">
        <v>144</v>
      </c>
      <c r="M152" s="103" t="s">
        <v>229</v>
      </c>
      <c r="N152" s="51">
        <v>223</v>
      </c>
      <c r="O152" s="50">
        <v>22077500</v>
      </c>
      <c r="P152" s="51">
        <v>324</v>
      </c>
      <c r="Q152" s="50">
        <v>40020000</v>
      </c>
      <c r="R152" s="101">
        <v>192</v>
      </c>
      <c r="S152" s="50">
        <v>38067000</v>
      </c>
      <c r="T152" s="102">
        <f t="shared" si="57"/>
        <v>883</v>
      </c>
      <c r="U152" s="60">
        <f t="shared" si="58"/>
        <v>98.769574944071593</v>
      </c>
      <c r="V152" s="34" t="s">
        <v>44</v>
      </c>
      <c r="W152" s="52">
        <f t="shared" si="59"/>
        <v>100164500</v>
      </c>
      <c r="X152" s="60">
        <f t="shared" si="60"/>
        <v>94.687312413444317</v>
      </c>
      <c r="Y152" s="34" t="s">
        <v>44</v>
      </c>
      <c r="Z152" s="102">
        <f t="shared" si="20"/>
        <v>1670</v>
      </c>
      <c r="AA152" s="52">
        <f t="shared" si="61"/>
        <v>171884500</v>
      </c>
      <c r="AB152" s="41">
        <f t="shared" si="62"/>
        <v>61.920652576937343</v>
      </c>
      <c r="AC152" s="34" t="s">
        <v>44</v>
      </c>
      <c r="AD152" s="90">
        <f t="shared" si="63"/>
        <v>60.414433286820454</v>
      </c>
      <c r="AE152" s="17"/>
      <c r="AF152" s="2"/>
      <c r="AG152" s="2"/>
      <c r="AH152" s="55"/>
      <c r="AI152" s="2"/>
      <c r="AJ152" s="2"/>
      <c r="AK152" s="2"/>
    </row>
    <row r="153" spans="1:37" ht="90">
      <c r="A153" s="43"/>
      <c r="B153" s="39"/>
      <c r="C153" s="46" t="s">
        <v>292</v>
      </c>
      <c r="D153" s="47" t="s">
        <v>285</v>
      </c>
      <c r="E153" s="48">
        <v>1512</v>
      </c>
      <c r="F153" s="77" t="s">
        <v>227</v>
      </c>
      <c r="G153" s="91">
        <v>99134750</v>
      </c>
      <c r="H153" s="101">
        <v>287</v>
      </c>
      <c r="I153" s="50">
        <v>41782750</v>
      </c>
      <c r="J153" s="51">
        <v>504</v>
      </c>
      <c r="K153" s="50">
        <v>28096000</v>
      </c>
      <c r="L153" s="33">
        <v>28</v>
      </c>
      <c r="M153" s="103" t="s">
        <v>229</v>
      </c>
      <c r="N153" s="51">
        <v>28</v>
      </c>
      <c r="O153" s="50">
        <v>7490000</v>
      </c>
      <c r="P153" s="51">
        <v>24</v>
      </c>
      <c r="Q153" s="50">
        <v>13894000</v>
      </c>
      <c r="R153" s="101">
        <v>20</v>
      </c>
      <c r="S153" s="50">
        <v>6002000</v>
      </c>
      <c r="T153" s="102">
        <f t="shared" si="57"/>
        <v>100</v>
      </c>
      <c r="U153" s="60">
        <f t="shared" si="58"/>
        <v>19.841269841269842</v>
      </c>
      <c r="V153" s="34" t="s">
        <v>44</v>
      </c>
      <c r="W153" s="52">
        <f t="shared" si="59"/>
        <v>27386000</v>
      </c>
      <c r="X153" s="60">
        <f t="shared" si="60"/>
        <v>97.472949886104786</v>
      </c>
      <c r="Y153" s="34" t="s">
        <v>44</v>
      </c>
      <c r="Z153" s="102">
        <f t="shared" si="20"/>
        <v>387</v>
      </c>
      <c r="AA153" s="52">
        <f t="shared" si="61"/>
        <v>69168750</v>
      </c>
      <c r="AB153" s="41">
        <f t="shared" si="62"/>
        <v>25.595238095238095</v>
      </c>
      <c r="AC153" s="34" t="s">
        <v>44</v>
      </c>
      <c r="AD153" s="90">
        <f t="shared" si="63"/>
        <v>69.772456177072115</v>
      </c>
      <c r="AE153" s="17"/>
      <c r="AF153" s="2"/>
      <c r="AG153" s="2"/>
      <c r="AH153" s="55"/>
      <c r="AI153" s="2"/>
      <c r="AJ153" s="2"/>
      <c r="AK153" s="2"/>
    </row>
    <row r="154" spans="1:37" ht="90">
      <c r="A154" s="43"/>
      <c r="B154" s="39"/>
      <c r="C154" s="46" t="s">
        <v>293</v>
      </c>
      <c r="D154" s="47" t="s">
        <v>285</v>
      </c>
      <c r="E154" s="48">
        <v>4412</v>
      </c>
      <c r="F154" s="77" t="s">
        <v>227</v>
      </c>
      <c r="G154" s="91">
        <v>139852400</v>
      </c>
      <c r="H154" s="101">
        <v>1203</v>
      </c>
      <c r="I154" s="50">
        <v>91827400</v>
      </c>
      <c r="J154" s="51">
        <v>1280</v>
      </c>
      <c r="K154" s="50">
        <v>21231000</v>
      </c>
      <c r="L154" s="33">
        <v>311</v>
      </c>
      <c r="M154" s="103" t="s">
        <v>229</v>
      </c>
      <c r="N154" s="51">
        <v>417</v>
      </c>
      <c r="O154" s="50">
        <v>6925000</v>
      </c>
      <c r="P154" s="51">
        <v>258</v>
      </c>
      <c r="Q154" s="50">
        <v>6737500</v>
      </c>
      <c r="R154" s="101">
        <v>289</v>
      </c>
      <c r="S154" s="50">
        <v>7300000</v>
      </c>
      <c r="T154" s="102">
        <f t="shared" si="57"/>
        <v>1275</v>
      </c>
      <c r="U154" s="60">
        <f t="shared" si="58"/>
        <v>99.609375</v>
      </c>
      <c r="V154" s="34" t="s">
        <v>44</v>
      </c>
      <c r="W154" s="52">
        <f t="shared" si="59"/>
        <v>20962500</v>
      </c>
      <c r="X154" s="60">
        <f t="shared" si="60"/>
        <v>98.735339833262685</v>
      </c>
      <c r="Y154" s="34" t="s">
        <v>44</v>
      </c>
      <c r="Z154" s="102">
        <f t="shared" si="20"/>
        <v>2478</v>
      </c>
      <c r="AA154" s="52">
        <f t="shared" si="61"/>
        <v>112789900</v>
      </c>
      <c r="AB154" s="41">
        <f t="shared" si="62"/>
        <v>56.165004533091569</v>
      </c>
      <c r="AC154" s="34" t="s">
        <v>44</v>
      </c>
      <c r="AD154" s="90">
        <f t="shared" si="63"/>
        <v>80.649241629031749</v>
      </c>
      <c r="AE154" s="17"/>
      <c r="AF154" s="2"/>
      <c r="AG154" s="2"/>
      <c r="AH154" s="55"/>
      <c r="AI154" s="2"/>
      <c r="AJ154" s="2"/>
      <c r="AK154" s="2"/>
    </row>
    <row r="155" spans="1:37" ht="90">
      <c r="A155" s="43"/>
      <c r="B155" s="39"/>
      <c r="C155" s="46" t="s">
        <v>294</v>
      </c>
      <c r="D155" s="47" t="s">
        <v>285</v>
      </c>
      <c r="E155" s="48">
        <v>2487</v>
      </c>
      <c r="F155" s="77" t="s">
        <v>227</v>
      </c>
      <c r="G155" s="91">
        <v>254564000</v>
      </c>
      <c r="H155" s="101">
        <v>829</v>
      </c>
      <c r="I155" s="50">
        <v>41595000</v>
      </c>
      <c r="J155" s="51">
        <v>733</v>
      </c>
      <c r="K155" s="50">
        <v>94456750</v>
      </c>
      <c r="L155" s="33">
        <v>152</v>
      </c>
      <c r="M155" s="103" t="s">
        <v>229</v>
      </c>
      <c r="N155" s="51">
        <v>170</v>
      </c>
      <c r="O155" s="50">
        <v>24170000</v>
      </c>
      <c r="P155" s="51">
        <v>184</v>
      </c>
      <c r="Q155" s="50">
        <v>28390750</v>
      </c>
      <c r="R155" s="101">
        <v>227</v>
      </c>
      <c r="S155" s="50">
        <v>38736000</v>
      </c>
      <c r="T155" s="102">
        <f t="shared" si="57"/>
        <v>733</v>
      </c>
      <c r="U155" s="60">
        <f t="shared" si="58"/>
        <v>100</v>
      </c>
      <c r="V155" s="34" t="s">
        <v>44</v>
      </c>
      <c r="W155" s="52">
        <f t="shared" si="59"/>
        <v>91296750</v>
      </c>
      <c r="X155" s="60">
        <f t="shared" si="60"/>
        <v>96.654553539053595</v>
      </c>
      <c r="Y155" s="34" t="s">
        <v>44</v>
      </c>
      <c r="Z155" s="102">
        <f t="shared" si="20"/>
        <v>1562</v>
      </c>
      <c r="AA155" s="52">
        <f t="shared" si="61"/>
        <v>132891750</v>
      </c>
      <c r="AB155" s="41">
        <f t="shared" si="62"/>
        <v>62.806594290309611</v>
      </c>
      <c r="AC155" s="34" t="s">
        <v>44</v>
      </c>
      <c r="AD155" s="90">
        <f t="shared" si="63"/>
        <v>52.203669804057128</v>
      </c>
      <c r="AE155" s="17"/>
      <c r="AF155" s="2"/>
      <c r="AG155" s="2"/>
      <c r="AH155" s="55"/>
      <c r="AI155" s="2"/>
      <c r="AJ155" s="2"/>
      <c r="AK155" s="2"/>
    </row>
    <row r="156" spans="1:37" ht="90">
      <c r="A156" s="43"/>
      <c r="B156" s="39"/>
      <c r="C156" s="46" t="s">
        <v>295</v>
      </c>
      <c r="D156" s="47" t="s">
        <v>285</v>
      </c>
      <c r="E156" s="48">
        <v>1542</v>
      </c>
      <c r="F156" s="77" t="s">
        <v>227</v>
      </c>
      <c r="G156" s="91">
        <v>211431000</v>
      </c>
      <c r="H156" s="101">
        <v>512</v>
      </c>
      <c r="I156" s="50">
        <v>39600000</v>
      </c>
      <c r="J156" s="51">
        <v>514</v>
      </c>
      <c r="K156" s="50">
        <v>85915500</v>
      </c>
      <c r="L156" s="33">
        <v>58</v>
      </c>
      <c r="M156" s="50"/>
      <c r="N156" s="51">
        <v>50</v>
      </c>
      <c r="O156" s="50">
        <v>8935500</v>
      </c>
      <c r="P156" s="51">
        <v>78</v>
      </c>
      <c r="Q156" s="50">
        <v>24860000</v>
      </c>
      <c r="R156" s="101">
        <v>94</v>
      </c>
      <c r="S156" s="50">
        <v>31520000</v>
      </c>
      <c r="T156" s="102">
        <f t="shared" si="57"/>
        <v>280</v>
      </c>
      <c r="U156" s="60">
        <f t="shared" si="58"/>
        <v>54.474708171206224</v>
      </c>
      <c r="V156" s="34" t="s">
        <v>44</v>
      </c>
      <c r="W156" s="52">
        <f t="shared" si="59"/>
        <v>65315500</v>
      </c>
      <c r="X156" s="60">
        <f t="shared" si="60"/>
        <v>76.022952785003866</v>
      </c>
      <c r="Y156" s="34" t="s">
        <v>44</v>
      </c>
      <c r="Z156" s="102">
        <f t="shared" si="20"/>
        <v>792</v>
      </c>
      <c r="AA156" s="52">
        <f t="shared" si="61"/>
        <v>104915500</v>
      </c>
      <c r="AB156" s="41">
        <f t="shared" si="62"/>
        <v>51.361867704280151</v>
      </c>
      <c r="AC156" s="34" t="s">
        <v>44</v>
      </c>
      <c r="AD156" s="90">
        <f t="shared" si="63"/>
        <v>49.621625967809827</v>
      </c>
      <c r="AE156" s="17"/>
      <c r="AF156" s="2"/>
      <c r="AG156" s="2"/>
      <c r="AH156" s="55"/>
      <c r="AI156" s="2"/>
      <c r="AJ156" s="2"/>
      <c r="AK156" s="2"/>
    </row>
    <row r="157" spans="1:37" ht="90">
      <c r="A157" s="43"/>
      <c r="B157" s="39"/>
      <c r="C157" s="46" t="s">
        <v>296</v>
      </c>
      <c r="D157" s="47" t="s">
        <v>285</v>
      </c>
      <c r="E157" s="48">
        <v>4894</v>
      </c>
      <c r="F157" s="77" t="s">
        <v>227</v>
      </c>
      <c r="G157" s="91">
        <v>281763000</v>
      </c>
      <c r="H157" s="101">
        <v>1119</v>
      </c>
      <c r="I157" s="50">
        <v>71621000</v>
      </c>
      <c r="J157" s="51">
        <v>1640</v>
      </c>
      <c r="K157" s="50">
        <v>102012500</v>
      </c>
      <c r="L157" s="33">
        <v>196</v>
      </c>
      <c r="M157" s="103" t="s">
        <v>229</v>
      </c>
      <c r="N157" s="51">
        <v>468</v>
      </c>
      <c r="O157" s="50">
        <v>40530000</v>
      </c>
      <c r="P157" s="51">
        <v>449</v>
      </c>
      <c r="Q157" s="50">
        <v>31840000</v>
      </c>
      <c r="R157" s="101">
        <v>233</v>
      </c>
      <c r="S157" s="50">
        <v>28550000</v>
      </c>
      <c r="T157" s="102">
        <f t="shared" si="57"/>
        <v>1346</v>
      </c>
      <c r="U157" s="60">
        <f t="shared" si="58"/>
        <v>82.073170731707307</v>
      </c>
      <c r="V157" s="34" t="s">
        <v>44</v>
      </c>
      <c r="W157" s="52">
        <f t="shared" si="59"/>
        <v>100920000</v>
      </c>
      <c r="X157" s="60">
        <f t="shared" si="60"/>
        <v>98.929052812155376</v>
      </c>
      <c r="Y157" s="34" t="s">
        <v>44</v>
      </c>
      <c r="Z157" s="102">
        <f t="shared" si="20"/>
        <v>2465</v>
      </c>
      <c r="AA157" s="52">
        <f t="shared" si="61"/>
        <v>172541000</v>
      </c>
      <c r="AB157" s="41">
        <f t="shared" si="62"/>
        <v>50.367797302819781</v>
      </c>
      <c r="AC157" s="34" t="s">
        <v>44</v>
      </c>
      <c r="AD157" s="90">
        <f t="shared" si="63"/>
        <v>61.236216252666239</v>
      </c>
      <c r="AE157" s="17"/>
      <c r="AF157" s="2"/>
      <c r="AG157" s="2"/>
      <c r="AH157" s="55"/>
      <c r="AI157" s="2"/>
      <c r="AJ157" s="2"/>
      <c r="AK157" s="2"/>
    </row>
    <row r="158" spans="1:37" ht="90">
      <c r="A158" s="43"/>
      <c r="B158" s="39"/>
      <c r="C158" s="46" t="s">
        <v>297</v>
      </c>
      <c r="D158" s="47" t="s">
        <v>285</v>
      </c>
      <c r="E158" s="48">
        <v>1263</v>
      </c>
      <c r="F158" s="77" t="s">
        <v>227</v>
      </c>
      <c r="G158" s="91">
        <v>158009250</v>
      </c>
      <c r="H158" s="101">
        <v>379</v>
      </c>
      <c r="I158" s="50">
        <v>41549250</v>
      </c>
      <c r="J158" s="51">
        <v>404</v>
      </c>
      <c r="K158" s="50">
        <v>55314500</v>
      </c>
      <c r="L158" s="106">
        <v>35</v>
      </c>
      <c r="M158" s="107" t="s">
        <v>229</v>
      </c>
      <c r="N158" s="108">
        <v>100</v>
      </c>
      <c r="O158" s="107">
        <v>21485500</v>
      </c>
      <c r="P158" s="108">
        <v>160</v>
      </c>
      <c r="Q158" s="107">
        <v>40205500</v>
      </c>
      <c r="R158" s="109">
        <v>213</v>
      </c>
      <c r="S158" s="107">
        <v>54715500</v>
      </c>
      <c r="T158" s="102">
        <f t="shared" si="57"/>
        <v>508</v>
      </c>
      <c r="U158" s="60">
        <f t="shared" si="58"/>
        <v>125.74257425742574</v>
      </c>
      <c r="V158" s="34" t="s">
        <v>44</v>
      </c>
      <c r="W158" s="52">
        <f t="shared" si="59"/>
        <v>116406500</v>
      </c>
      <c r="X158" s="60">
        <f t="shared" si="60"/>
        <v>210.44482007430241</v>
      </c>
      <c r="Y158" s="34" t="s">
        <v>44</v>
      </c>
      <c r="Z158" s="102">
        <f t="shared" si="20"/>
        <v>887</v>
      </c>
      <c r="AA158" s="52">
        <f t="shared" si="61"/>
        <v>157955750</v>
      </c>
      <c r="AB158" s="41">
        <f t="shared" si="62"/>
        <v>70.229612034837686</v>
      </c>
      <c r="AC158" s="34" t="s">
        <v>44</v>
      </c>
      <c r="AD158" s="90">
        <f t="shared" si="63"/>
        <v>99.966141222744881</v>
      </c>
      <c r="AE158" s="17"/>
      <c r="AF158" s="2"/>
      <c r="AG158" s="2"/>
      <c r="AH158" s="55"/>
      <c r="AI158" s="2"/>
      <c r="AJ158" s="2"/>
      <c r="AK158" s="2"/>
    </row>
    <row r="159" spans="1:37" ht="90">
      <c r="A159" s="43"/>
      <c r="B159" s="39"/>
      <c r="C159" s="46" t="s">
        <v>298</v>
      </c>
      <c r="D159" s="47" t="s">
        <v>285</v>
      </c>
      <c r="E159" s="48">
        <v>415</v>
      </c>
      <c r="F159" s="77" t="s">
        <v>227</v>
      </c>
      <c r="G159" s="91">
        <v>118935400</v>
      </c>
      <c r="H159" s="101">
        <v>206</v>
      </c>
      <c r="I159" s="50">
        <v>35127250</v>
      </c>
      <c r="J159" s="51">
        <v>209</v>
      </c>
      <c r="K159" s="50">
        <v>41522700</v>
      </c>
      <c r="L159" s="33">
        <v>28</v>
      </c>
      <c r="M159" s="103" t="s">
        <v>229</v>
      </c>
      <c r="N159" s="51">
        <v>44</v>
      </c>
      <c r="O159" s="50">
        <v>13590000</v>
      </c>
      <c r="P159" s="51">
        <v>55</v>
      </c>
      <c r="Q159" s="50">
        <v>18150000</v>
      </c>
      <c r="R159" s="112">
        <v>39</v>
      </c>
      <c r="S159" s="107">
        <v>7875000</v>
      </c>
      <c r="T159" s="102">
        <f t="shared" si="57"/>
        <v>166</v>
      </c>
      <c r="U159" s="60">
        <f t="shared" si="58"/>
        <v>79.425837320574161</v>
      </c>
      <c r="V159" s="34" t="s">
        <v>44</v>
      </c>
      <c r="W159" s="52">
        <f t="shared" si="59"/>
        <v>39615000</v>
      </c>
      <c r="X159" s="60">
        <f t="shared" si="60"/>
        <v>95.405645586630925</v>
      </c>
      <c r="Y159" s="34" t="s">
        <v>44</v>
      </c>
      <c r="Z159" s="102">
        <f t="shared" si="20"/>
        <v>372</v>
      </c>
      <c r="AA159" s="52">
        <f t="shared" si="61"/>
        <v>74742250</v>
      </c>
      <c r="AB159" s="41">
        <f t="shared" si="62"/>
        <v>89.638554216867476</v>
      </c>
      <c r="AC159" s="34" t="s">
        <v>44</v>
      </c>
      <c r="AD159" s="90">
        <f t="shared" si="63"/>
        <v>62.842728069187139</v>
      </c>
      <c r="AE159" s="17"/>
      <c r="AF159" s="2"/>
      <c r="AG159" s="2"/>
      <c r="AH159" s="55"/>
      <c r="AI159" s="2"/>
      <c r="AJ159" s="2"/>
      <c r="AK159" s="2"/>
    </row>
    <row r="160" spans="1:37" ht="90">
      <c r="A160" s="43"/>
      <c r="B160" s="39"/>
      <c r="C160" s="46" t="s">
        <v>299</v>
      </c>
      <c r="D160" s="47" t="s">
        <v>285</v>
      </c>
      <c r="E160" s="48">
        <v>4449</v>
      </c>
      <c r="F160" s="77" t="s">
        <v>227</v>
      </c>
      <c r="G160" s="91">
        <v>258742350</v>
      </c>
      <c r="H160" s="101">
        <v>1325</v>
      </c>
      <c r="I160" s="50">
        <v>65900000</v>
      </c>
      <c r="J160" s="51">
        <v>1425</v>
      </c>
      <c r="K160" s="50">
        <v>97500000</v>
      </c>
      <c r="L160" s="33">
        <v>209</v>
      </c>
      <c r="M160" s="103" t="s">
        <v>229</v>
      </c>
      <c r="N160" s="51">
        <v>288</v>
      </c>
      <c r="O160" s="50">
        <v>37410000</v>
      </c>
      <c r="P160" s="51">
        <v>494</v>
      </c>
      <c r="Q160" s="50">
        <v>32730000</v>
      </c>
      <c r="R160" s="112">
        <v>15</v>
      </c>
      <c r="S160" s="107">
        <v>22250000</v>
      </c>
      <c r="T160" s="102">
        <f t="shared" si="57"/>
        <v>1006</v>
      </c>
      <c r="U160" s="60">
        <f t="shared" si="58"/>
        <v>70.596491228070178</v>
      </c>
      <c r="V160" s="34" t="s">
        <v>44</v>
      </c>
      <c r="W160" s="52">
        <f t="shared" si="59"/>
        <v>92390000</v>
      </c>
      <c r="X160" s="60">
        <f t="shared" si="60"/>
        <v>94.758974358974356</v>
      </c>
      <c r="Y160" s="34" t="s">
        <v>44</v>
      </c>
      <c r="Z160" s="102">
        <f t="shared" si="20"/>
        <v>2331</v>
      </c>
      <c r="AA160" s="52">
        <f t="shared" si="61"/>
        <v>158290000</v>
      </c>
      <c r="AB160" s="41">
        <f t="shared" si="62"/>
        <v>52.393796358732303</v>
      </c>
      <c r="AC160" s="34" t="s">
        <v>44</v>
      </c>
      <c r="AD160" s="90">
        <f t="shared" si="63"/>
        <v>61.176687929131049</v>
      </c>
      <c r="AE160" s="17"/>
      <c r="AF160" s="2"/>
      <c r="AG160" s="2"/>
      <c r="AH160" s="55"/>
      <c r="AI160" s="2"/>
      <c r="AJ160" s="2"/>
      <c r="AK160" s="2"/>
    </row>
    <row r="161" spans="1:37" ht="90">
      <c r="A161" s="43"/>
      <c r="B161" s="39"/>
      <c r="C161" s="46" t="s">
        <v>300</v>
      </c>
      <c r="D161" s="47" t="s">
        <v>285</v>
      </c>
      <c r="E161" s="48">
        <v>548</v>
      </c>
      <c r="F161" s="77" t="s">
        <v>227</v>
      </c>
      <c r="G161" s="91">
        <v>237398200</v>
      </c>
      <c r="H161" s="101">
        <v>548</v>
      </c>
      <c r="I161" s="50">
        <v>83830000</v>
      </c>
      <c r="J161" s="51">
        <v>548</v>
      </c>
      <c r="K161" s="50">
        <v>76784100</v>
      </c>
      <c r="L161" s="33">
        <v>135</v>
      </c>
      <c r="M161" s="103" t="s">
        <v>229</v>
      </c>
      <c r="N161" s="48">
        <v>243</v>
      </c>
      <c r="O161" s="50">
        <v>23084100</v>
      </c>
      <c r="P161" s="48">
        <v>159</v>
      </c>
      <c r="Q161" s="50">
        <v>24690000</v>
      </c>
      <c r="R161" s="112">
        <v>11</v>
      </c>
      <c r="S161" s="107">
        <v>28980000</v>
      </c>
      <c r="T161" s="102">
        <f t="shared" si="57"/>
        <v>548</v>
      </c>
      <c r="U161" s="60">
        <f t="shared" si="58"/>
        <v>100</v>
      </c>
      <c r="V161" s="34" t="s">
        <v>44</v>
      </c>
      <c r="W161" s="52">
        <f t="shared" si="59"/>
        <v>76754100</v>
      </c>
      <c r="X161" s="60">
        <f t="shared" si="60"/>
        <v>99.960929411167157</v>
      </c>
      <c r="Y161" s="34" t="s">
        <v>44</v>
      </c>
      <c r="Z161" s="102">
        <f t="shared" si="20"/>
        <v>1096</v>
      </c>
      <c r="AA161" s="52">
        <f t="shared" si="61"/>
        <v>160584100</v>
      </c>
      <c r="AB161" s="41">
        <f t="shared" si="62"/>
        <v>200</v>
      </c>
      <c r="AC161" s="34" t="s">
        <v>44</v>
      </c>
      <c r="AD161" s="90">
        <f t="shared" si="63"/>
        <v>67.64335197149768</v>
      </c>
      <c r="AE161" s="17"/>
      <c r="AF161" s="2"/>
      <c r="AG161" s="2"/>
      <c r="AH161" s="55"/>
      <c r="AI161" s="2"/>
      <c r="AJ161" s="2"/>
      <c r="AK161" s="2"/>
    </row>
    <row r="162" spans="1:37" ht="90">
      <c r="A162" s="43"/>
      <c r="B162" s="39"/>
      <c r="C162" s="46" t="s">
        <v>301</v>
      </c>
      <c r="D162" s="47" t="s">
        <v>285</v>
      </c>
      <c r="E162" s="48">
        <v>2997</v>
      </c>
      <c r="F162" s="77" t="s">
        <v>227</v>
      </c>
      <c r="G162" s="91">
        <v>270888400</v>
      </c>
      <c r="H162" s="101">
        <v>941</v>
      </c>
      <c r="I162" s="50">
        <v>58695000</v>
      </c>
      <c r="J162" s="51">
        <v>814</v>
      </c>
      <c r="K162" s="50">
        <v>118528100</v>
      </c>
      <c r="L162" s="115">
        <v>248</v>
      </c>
      <c r="M162" s="116">
        <v>0</v>
      </c>
      <c r="N162" s="117">
        <v>120</v>
      </c>
      <c r="O162" s="107">
        <v>31491000</v>
      </c>
      <c r="P162" s="117">
        <v>242</v>
      </c>
      <c r="Q162" s="107">
        <v>39861400</v>
      </c>
      <c r="R162" s="118">
        <v>170</v>
      </c>
      <c r="S162" s="107">
        <v>36885000</v>
      </c>
      <c r="T162" s="102">
        <f t="shared" si="57"/>
        <v>780</v>
      </c>
      <c r="U162" s="60">
        <f t="shared" si="58"/>
        <v>95.823095823095827</v>
      </c>
      <c r="V162" s="34" t="s">
        <v>44</v>
      </c>
      <c r="W162" s="52">
        <f t="shared" si="59"/>
        <v>108237400</v>
      </c>
      <c r="X162" s="60">
        <f t="shared" si="60"/>
        <v>91.317923766600501</v>
      </c>
      <c r="Y162" s="34" t="s">
        <v>44</v>
      </c>
      <c r="Z162" s="102">
        <f t="shared" si="20"/>
        <v>1721</v>
      </c>
      <c r="AA162" s="52">
        <f t="shared" si="61"/>
        <v>166932400</v>
      </c>
      <c r="AB162" s="41">
        <f t="shared" si="62"/>
        <v>57.424090757424096</v>
      </c>
      <c r="AC162" s="34" t="s">
        <v>44</v>
      </c>
      <c r="AD162" s="90">
        <f t="shared" si="63"/>
        <v>61.624048870309686</v>
      </c>
      <c r="AE162" s="17"/>
      <c r="AF162" s="2"/>
      <c r="AG162" s="2"/>
      <c r="AH162" s="55"/>
      <c r="AI162" s="2"/>
      <c r="AJ162" s="2"/>
      <c r="AK162" s="2"/>
    </row>
    <row r="163" spans="1:37" ht="90">
      <c r="A163" s="43"/>
      <c r="B163" s="39"/>
      <c r="C163" s="46" t="s">
        <v>302</v>
      </c>
      <c r="D163" s="47" t="s">
        <v>285</v>
      </c>
      <c r="E163" s="48">
        <v>1949</v>
      </c>
      <c r="F163" s="77" t="s">
        <v>227</v>
      </c>
      <c r="G163" s="91">
        <v>191026000</v>
      </c>
      <c r="H163" s="101">
        <v>541</v>
      </c>
      <c r="I163" s="50">
        <v>55810000</v>
      </c>
      <c r="J163" s="51">
        <v>684</v>
      </c>
      <c r="K163" s="50">
        <v>67171000</v>
      </c>
      <c r="L163" s="33">
        <v>122</v>
      </c>
      <c r="M163" s="50">
        <v>0</v>
      </c>
      <c r="N163" s="51">
        <v>111</v>
      </c>
      <c r="O163" s="50">
        <v>22960000</v>
      </c>
      <c r="P163" s="51">
        <v>115</v>
      </c>
      <c r="Q163" s="119">
        <v>18160000</v>
      </c>
      <c r="R163" s="112">
        <v>198</v>
      </c>
      <c r="S163" s="78">
        <v>23160000</v>
      </c>
      <c r="T163" s="102">
        <f t="shared" si="57"/>
        <v>546</v>
      </c>
      <c r="U163" s="60">
        <f t="shared" si="58"/>
        <v>79.824561403508781</v>
      </c>
      <c r="V163" s="34" t="s">
        <v>44</v>
      </c>
      <c r="W163" s="52">
        <f>SUM(M163,O163,Q164,S163)</f>
        <v>72165000</v>
      </c>
      <c r="X163" s="60">
        <f t="shared" si="60"/>
        <v>107.43475607032798</v>
      </c>
      <c r="Y163" s="34" t="s">
        <v>44</v>
      </c>
      <c r="Z163" s="102">
        <f t="shared" si="20"/>
        <v>1087</v>
      </c>
      <c r="AA163" s="52">
        <f t="shared" si="61"/>
        <v>127975000</v>
      </c>
      <c r="AB163" s="41">
        <f t="shared" si="62"/>
        <v>55.772190867111334</v>
      </c>
      <c r="AC163" s="34" t="s">
        <v>44</v>
      </c>
      <c r="AD163" s="90">
        <f t="shared" si="63"/>
        <v>66.993498267251582</v>
      </c>
      <c r="AE163" s="17"/>
      <c r="AF163" s="2"/>
      <c r="AG163" s="2"/>
      <c r="AH163" s="55"/>
      <c r="AI163" s="2"/>
      <c r="AJ163" s="2"/>
      <c r="AK163" s="2"/>
    </row>
    <row r="164" spans="1:37" ht="90">
      <c r="A164" s="43"/>
      <c r="B164" s="39"/>
      <c r="C164" s="46" t="s">
        <v>303</v>
      </c>
      <c r="D164" s="47" t="s">
        <v>285</v>
      </c>
      <c r="E164" s="48">
        <v>2835</v>
      </c>
      <c r="F164" s="77" t="s">
        <v>227</v>
      </c>
      <c r="G164" s="91">
        <v>256607000</v>
      </c>
      <c r="H164" s="101">
        <v>558</v>
      </c>
      <c r="I164" s="50">
        <v>66877000</v>
      </c>
      <c r="J164" s="51">
        <v>895</v>
      </c>
      <c r="K164" s="50">
        <v>94246000</v>
      </c>
      <c r="L164" s="33">
        <v>149</v>
      </c>
      <c r="M164" s="103" t="s">
        <v>229</v>
      </c>
      <c r="N164" s="51">
        <v>223</v>
      </c>
      <c r="O164" s="50">
        <v>28390000</v>
      </c>
      <c r="P164" s="51">
        <v>223</v>
      </c>
      <c r="Q164" s="50">
        <v>26045000</v>
      </c>
      <c r="R164" s="112">
        <v>300</v>
      </c>
      <c r="S164" s="107">
        <v>39735000</v>
      </c>
      <c r="T164" s="102">
        <f t="shared" si="57"/>
        <v>895</v>
      </c>
      <c r="U164" s="60">
        <f t="shared" si="58"/>
        <v>100</v>
      </c>
      <c r="V164" s="34" t="s">
        <v>44</v>
      </c>
      <c r="W164" s="52">
        <f t="shared" ref="W164:W418" si="64">SUM(M164,O164,Q164,S164)</f>
        <v>94170000</v>
      </c>
      <c r="X164" s="60">
        <f t="shared" si="60"/>
        <v>99.919359972837043</v>
      </c>
      <c r="Y164" s="34" t="s">
        <v>44</v>
      </c>
      <c r="Z164" s="102">
        <f t="shared" si="20"/>
        <v>1453</v>
      </c>
      <c r="AA164" s="52">
        <f t="shared" si="61"/>
        <v>161047000</v>
      </c>
      <c r="AB164" s="41">
        <f t="shared" si="62"/>
        <v>51.252204585537918</v>
      </c>
      <c r="AC164" s="34" t="s">
        <v>44</v>
      </c>
      <c r="AD164" s="90">
        <f t="shared" si="63"/>
        <v>62.76017411839895</v>
      </c>
      <c r="AE164" s="17"/>
      <c r="AF164" s="2"/>
      <c r="AG164" s="2"/>
      <c r="AH164" s="55"/>
      <c r="AI164" s="2"/>
      <c r="AJ164" s="2"/>
      <c r="AK164" s="2"/>
    </row>
    <row r="165" spans="1:37" ht="90">
      <c r="A165" s="43"/>
      <c r="B165" s="39"/>
      <c r="C165" s="46" t="s">
        <v>304</v>
      </c>
      <c r="D165" s="47" t="s">
        <v>285</v>
      </c>
      <c r="E165" s="48">
        <v>2052</v>
      </c>
      <c r="F165" s="77" t="s">
        <v>227</v>
      </c>
      <c r="G165" s="91">
        <v>201489250</v>
      </c>
      <c r="H165" s="101">
        <v>514</v>
      </c>
      <c r="I165" s="50">
        <v>83844250</v>
      </c>
      <c r="J165" s="51">
        <v>684</v>
      </c>
      <c r="K165" s="50">
        <v>62197500</v>
      </c>
      <c r="L165" s="33">
        <v>171</v>
      </c>
      <c r="M165" s="103" t="s">
        <v>229</v>
      </c>
      <c r="N165" s="51">
        <v>171</v>
      </c>
      <c r="O165" s="50">
        <v>16720000</v>
      </c>
      <c r="P165" s="51">
        <v>171</v>
      </c>
      <c r="Q165" s="50">
        <v>14480000</v>
      </c>
      <c r="R165" s="101">
        <v>171</v>
      </c>
      <c r="S165" s="50">
        <v>25925000</v>
      </c>
      <c r="T165" s="102">
        <f t="shared" si="57"/>
        <v>684</v>
      </c>
      <c r="U165" s="60">
        <f t="shared" si="58"/>
        <v>100</v>
      </c>
      <c r="V165" s="34" t="s">
        <v>44</v>
      </c>
      <c r="W165" s="52">
        <f t="shared" si="64"/>
        <v>57125000</v>
      </c>
      <c r="X165" s="60">
        <f t="shared" si="60"/>
        <v>91.844527513163712</v>
      </c>
      <c r="Y165" s="34" t="s">
        <v>44</v>
      </c>
      <c r="Z165" s="102">
        <f t="shared" si="20"/>
        <v>1198</v>
      </c>
      <c r="AA165" s="52">
        <f t="shared" si="61"/>
        <v>140969250</v>
      </c>
      <c r="AB165" s="41">
        <f t="shared" si="62"/>
        <v>58.382066276803123</v>
      </c>
      <c r="AC165" s="34" t="s">
        <v>44</v>
      </c>
      <c r="AD165" s="90">
        <f t="shared" si="63"/>
        <v>69.963658110792508</v>
      </c>
      <c r="AE165" s="17"/>
      <c r="AF165" s="2"/>
      <c r="AG165" s="2"/>
      <c r="AH165" s="55"/>
      <c r="AI165" s="2"/>
      <c r="AJ165" s="2"/>
      <c r="AK165" s="2"/>
    </row>
    <row r="166" spans="1:37" ht="90">
      <c r="A166" s="43"/>
      <c r="B166" s="39"/>
      <c r="C166" s="46" t="s">
        <v>305</v>
      </c>
      <c r="D166" s="47" t="s">
        <v>285</v>
      </c>
      <c r="E166" s="48">
        <v>2.3380000000000001</v>
      </c>
      <c r="F166" s="77" t="s">
        <v>227</v>
      </c>
      <c r="G166" s="91">
        <v>86259400</v>
      </c>
      <c r="H166" s="101">
        <v>638</v>
      </c>
      <c r="I166" s="50">
        <v>21634200</v>
      </c>
      <c r="J166" s="51">
        <v>779</v>
      </c>
      <c r="K166" s="50">
        <v>32081000</v>
      </c>
      <c r="L166" s="33">
        <v>197</v>
      </c>
      <c r="M166" s="103" t="s">
        <v>229</v>
      </c>
      <c r="N166" s="51">
        <v>194</v>
      </c>
      <c r="O166" s="50">
        <v>11452500</v>
      </c>
      <c r="P166" s="51">
        <v>194</v>
      </c>
      <c r="Q166" s="50">
        <v>11372500</v>
      </c>
      <c r="R166" s="101">
        <v>194</v>
      </c>
      <c r="S166" s="50">
        <v>7792500</v>
      </c>
      <c r="T166" s="102">
        <f t="shared" si="57"/>
        <v>779</v>
      </c>
      <c r="U166" s="60">
        <f t="shared" si="58"/>
        <v>100</v>
      </c>
      <c r="V166" s="34" t="s">
        <v>44</v>
      </c>
      <c r="W166" s="52">
        <f t="shared" si="64"/>
        <v>30617500</v>
      </c>
      <c r="X166" s="60">
        <f t="shared" si="60"/>
        <v>95.438109784607718</v>
      </c>
      <c r="Y166" s="34" t="s">
        <v>44</v>
      </c>
      <c r="Z166" s="102">
        <f t="shared" si="20"/>
        <v>1417</v>
      </c>
      <c r="AA166" s="52">
        <f t="shared" si="61"/>
        <v>52251700</v>
      </c>
      <c r="AB166" s="41">
        <f t="shared" si="62"/>
        <v>60607.356715141148</v>
      </c>
      <c r="AC166" s="34" t="s">
        <v>44</v>
      </c>
      <c r="AD166" s="90">
        <f t="shared" si="63"/>
        <v>60.575079353670432</v>
      </c>
      <c r="AE166" s="17"/>
      <c r="AF166" s="2"/>
      <c r="AG166" s="2"/>
      <c r="AH166" s="55"/>
      <c r="AI166" s="2"/>
      <c r="AJ166" s="2"/>
      <c r="AK166" s="2"/>
    </row>
    <row r="167" spans="1:37" ht="90">
      <c r="A167" s="43"/>
      <c r="B167" s="39"/>
      <c r="C167" s="46" t="s">
        <v>306</v>
      </c>
      <c r="D167" s="47" t="s">
        <v>285</v>
      </c>
      <c r="E167" s="48">
        <v>1385</v>
      </c>
      <c r="F167" s="77" t="s">
        <v>227</v>
      </c>
      <c r="G167" s="91">
        <v>101866000</v>
      </c>
      <c r="H167" s="101">
        <v>455</v>
      </c>
      <c r="I167" s="50">
        <v>84225000</v>
      </c>
      <c r="J167" s="51">
        <v>465</v>
      </c>
      <c r="K167" s="50">
        <v>8820500</v>
      </c>
      <c r="L167" s="33">
        <v>48</v>
      </c>
      <c r="M167" s="103" t="s">
        <v>229</v>
      </c>
      <c r="N167" s="51">
        <v>107</v>
      </c>
      <c r="O167" s="50">
        <v>1260000</v>
      </c>
      <c r="P167" s="51">
        <v>155</v>
      </c>
      <c r="Q167" s="50">
        <v>4543750</v>
      </c>
      <c r="R167" s="112">
        <v>155</v>
      </c>
      <c r="S167" s="107">
        <v>2810000</v>
      </c>
      <c r="T167" s="102">
        <f t="shared" si="57"/>
        <v>465</v>
      </c>
      <c r="U167" s="60">
        <f t="shared" si="58"/>
        <v>100</v>
      </c>
      <c r="V167" s="34" t="s">
        <v>44</v>
      </c>
      <c r="W167" s="52">
        <f t="shared" si="64"/>
        <v>8613750</v>
      </c>
      <c r="X167" s="60">
        <f t="shared" si="60"/>
        <v>97.656028569808967</v>
      </c>
      <c r="Y167" s="34" t="s">
        <v>44</v>
      </c>
      <c r="Z167" s="102">
        <f t="shared" si="20"/>
        <v>920</v>
      </c>
      <c r="AA167" s="52">
        <f t="shared" si="61"/>
        <v>92838750</v>
      </c>
      <c r="AB167" s="41">
        <f t="shared" si="62"/>
        <v>66.4259927797834</v>
      </c>
      <c r="AC167" s="34" t="s">
        <v>44</v>
      </c>
      <c r="AD167" s="90">
        <f t="shared" si="63"/>
        <v>91.138112814874432</v>
      </c>
      <c r="AE167" s="17"/>
      <c r="AF167" s="2"/>
      <c r="AG167" s="2"/>
      <c r="AH167" s="55"/>
      <c r="AI167" s="2"/>
      <c r="AJ167" s="2"/>
      <c r="AK167" s="2"/>
    </row>
    <row r="168" spans="1:37" ht="120">
      <c r="A168" s="43"/>
      <c r="B168" s="39"/>
      <c r="C168" s="46" t="s">
        <v>307</v>
      </c>
      <c r="D168" s="47" t="s">
        <v>308</v>
      </c>
      <c r="E168" s="48">
        <f>H168+J168</f>
        <v>107733</v>
      </c>
      <c r="F168" s="77" t="s">
        <v>227</v>
      </c>
      <c r="G168" s="91">
        <v>105065000</v>
      </c>
      <c r="H168" s="101">
        <v>74167</v>
      </c>
      <c r="I168" s="50">
        <v>47761500</v>
      </c>
      <c r="J168" s="51">
        <v>33566</v>
      </c>
      <c r="K168" s="50">
        <v>55370000</v>
      </c>
      <c r="L168" s="102">
        <v>262</v>
      </c>
      <c r="M168" s="50">
        <v>0</v>
      </c>
      <c r="N168" s="101">
        <v>5543</v>
      </c>
      <c r="O168" s="50">
        <v>0</v>
      </c>
      <c r="P168" s="101">
        <v>26890</v>
      </c>
      <c r="Q168" s="50">
        <v>11685000</v>
      </c>
      <c r="R168" s="101">
        <v>717</v>
      </c>
      <c r="S168" s="50">
        <f>53790000-Q168</f>
        <v>42105000</v>
      </c>
      <c r="T168" s="102">
        <f t="shared" si="57"/>
        <v>33412</v>
      </c>
      <c r="U168" s="60">
        <f t="shared" si="58"/>
        <v>99.541202407197758</v>
      </c>
      <c r="V168" s="34" t="s">
        <v>44</v>
      </c>
      <c r="W168" s="52">
        <f t="shared" si="64"/>
        <v>53790000</v>
      </c>
      <c r="X168" s="60">
        <f t="shared" si="60"/>
        <v>97.146469207151881</v>
      </c>
      <c r="Y168" s="34" t="s">
        <v>44</v>
      </c>
      <c r="Z168" s="102">
        <f t="shared" si="20"/>
        <v>107579</v>
      </c>
      <c r="AA168" s="52">
        <f t="shared" si="61"/>
        <v>101551500</v>
      </c>
      <c r="AB168" s="41">
        <f t="shared" si="62"/>
        <v>99.85705401316217</v>
      </c>
      <c r="AC168" s="34" t="s">
        <v>44</v>
      </c>
      <c r="AD168" s="90">
        <f t="shared" si="63"/>
        <v>96.655879693523062</v>
      </c>
      <c r="AE168" s="17"/>
      <c r="AF168" s="2"/>
      <c r="AG168" s="2"/>
      <c r="AH168" s="55"/>
      <c r="AI168" s="2"/>
      <c r="AJ168" s="2"/>
      <c r="AK168" s="2"/>
    </row>
    <row r="169" spans="1:37" ht="120">
      <c r="A169" s="43"/>
      <c r="B169" s="39"/>
      <c r="C169" s="46" t="s">
        <v>309</v>
      </c>
      <c r="D169" s="47" t="s">
        <v>308</v>
      </c>
      <c r="E169" s="48">
        <v>6244</v>
      </c>
      <c r="F169" s="77" t="s">
        <v>227</v>
      </c>
      <c r="G169" s="91">
        <v>57965500</v>
      </c>
      <c r="H169" s="101">
        <v>2122</v>
      </c>
      <c r="I169" s="50">
        <v>36177000</v>
      </c>
      <c r="J169" s="51">
        <v>1902</v>
      </c>
      <c r="K169" s="50">
        <v>21082500</v>
      </c>
      <c r="L169" s="33">
        <v>60</v>
      </c>
      <c r="M169" s="103" t="s">
        <v>229</v>
      </c>
      <c r="N169" s="51">
        <v>581</v>
      </c>
      <c r="O169" s="50">
        <v>3067500</v>
      </c>
      <c r="P169" s="51">
        <v>1109</v>
      </c>
      <c r="Q169" s="50">
        <v>16845000</v>
      </c>
      <c r="R169" s="101">
        <v>93</v>
      </c>
      <c r="S169" s="50">
        <v>1120000</v>
      </c>
      <c r="T169" s="102">
        <f t="shared" si="57"/>
        <v>1843</v>
      </c>
      <c r="U169" s="60">
        <f t="shared" si="58"/>
        <v>96.898002103049421</v>
      </c>
      <c r="V169" s="34" t="s">
        <v>44</v>
      </c>
      <c r="W169" s="52">
        <f t="shared" si="64"/>
        <v>21032500</v>
      </c>
      <c r="X169" s="60">
        <f t="shared" si="60"/>
        <v>99.762836475750021</v>
      </c>
      <c r="Y169" s="34" t="s">
        <v>44</v>
      </c>
      <c r="Z169" s="102">
        <f t="shared" si="20"/>
        <v>3965</v>
      </c>
      <c r="AA169" s="52">
        <f t="shared" si="61"/>
        <v>57209500</v>
      </c>
      <c r="AB169" s="41">
        <f t="shared" si="62"/>
        <v>63.500960922485582</v>
      </c>
      <c r="AC169" s="34" t="s">
        <v>44</v>
      </c>
      <c r="AD169" s="90">
        <f t="shared" si="63"/>
        <v>98.695775935685887</v>
      </c>
      <c r="AE169" s="17"/>
      <c r="AF169" s="2"/>
      <c r="AG169" s="2"/>
      <c r="AH169" s="55"/>
      <c r="AI169" s="2"/>
      <c r="AJ169" s="2"/>
      <c r="AK169" s="2"/>
    </row>
    <row r="170" spans="1:37" ht="120">
      <c r="A170" s="43"/>
      <c r="B170" s="39"/>
      <c r="C170" s="46" t="s">
        <v>310</v>
      </c>
      <c r="D170" s="47" t="s">
        <v>308</v>
      </c>
      <c r="E170" s="48">
        <v>3171</v>
      </c>
      <c r="F170" s="77" t="s">
        <v>227</v>
      </c>
      <c r="G170" s="91">
        <v>157261850</v>
      </c>
      <c r="H170" s="101">
        <v>1057</v>
      </c>
      <c r="I170" s="50">
        <v>31353500</v>
      </c>
      <c r="J170" s="51">
        <v>1057</v>
      </c>
      <c r="K170" s="50">
        <v>56607500</v>
      </c>
      <c r="L170" s="33">
        <v>0</v>
      </c>
      <c r="M170" s="103" t="s">
        <v>229</v>
      </c>
      <c r="N170" s="51">
        <v>718</v>
      </c>
      <c r="O170" s="50">
        <v>9105000</v>
      </c>
      <c r="P170" s="51"/>
      <c r="Q170" s="50">
        <v>27350000</v>
      </c>
      <c r="R170" s="101">
        <v>314</v>
      </c>
      <c r="S170" s="50">
        <v>19392500</v>
      </c>
      <c r="T170" s="102">
        <f t="shared" si="57"/>
        <v>1032</v>
      </c>
      <c r="U170" s="60">
        <f t="shared" si="58"/>
        <v>97.634815515610214</v>
      </c>
      <c r="V170" s="34" t="s">
        <v>44</v>
      </c>
      <c r="W170" s="52">
        <f t="shared" si="64"/>
        <v>55847500</v>
      </c>
      <c r="X170" s="60">
        <f t="shared" si="60"/>
        <v>98.657421719736789</v>
      </c>
      <c r="Y170" s="34" t="s">
        <v>44</v>
      </c>
      <c r="Z170" s="102">
        <f t="shared" si="20"/>
        <v>2089</v>
      </c>
      <c r="AA170" s="52">
        <f t="shared" si="61"/>
        <v>87201000</v>
      </c>
      <c r="AB170" s="41">
        <f t="shared" si="62"/>
        <v>65.878271838536733</v>
      </c>
      <c r="AC170" s="34" t="s">
        <v>44</v>
      </c>
      <c r="AD170" s="90">
        <f t="shared" si="63"/>
        <v>55.449557537317538</v>
      </c>
      <c r="AE170" s="17"/>
      <c r="AF170" s="2"/>
      <c r="AG170" s="2"/>
      <c r="AH170" s="55"/>
      <c r="AI170" s="2"/>
      <c r="AJ170" s="2"/>
      <c r="AK170" s="2"/>
    </row>
    <row r="171" spans="1:37" ht="120">
      <c r="A171" s="43"/>
      <c r="B171" s="39"/>
      <c r="C171" s="46" t="s">
        <v>311</v>
      </c>
      <c r="D171" s="47" t="s">
        <v>308</v>
      </c>
      <c r="E171" s="48">
        <v>2265</v>
      </c>
      <c r="F171" s="77" t="s">
        <v>227</v>
      </c>
      <c r="G171" s="91">
        <v>118075900</v>
      </c>
      <c r="H171" s="101">
        <v>715</v>
      </c>
      <c r="I171" s="50">
        <v>30812500</v>
      </c>
      <c r="J171" s="51">
        <v>755</v>
      </c>
      <c r="K171" s="50">
        <v>43631700</v>
      </c>
      <c r="L171" s="33">
        <v>0</v>
      </c>
      <c r="M171" s="103" t="s">
        <v>229</v>
      </c>
      <c r="N171" s="51">
        <v>0</v>
      </c>
      <c r="O171" s="50">
        <v>0</v>
      </c>
      <c r="P171" s="51"/>
      <c r="Q171" s="50">
        <v>4405000</v>
      </c>
      <c r="R171" s="101">
        <v>527</v>
      </c>
      <c r="S171" s="50">
        <v>37641700</v>
      </c>
      <c r="T171" s="102">
        <f t="shared" si="57"/>
        <v>527</v>
      </c>
      <c r="U171" s="60">
        <f t="shared" si="58"/>
        <v>69.801324503311264</v>
      </c>
      <c r="V171" s="34" t="s">
        <v>44</v>
      </c>
      <c r="W171" s="52">
        <f t="shared" si="64"/>
        <v>42046700</v>
      </c>
      <c r="X171" s="60">
        <f t="shared" si="60"/>
        <v>96.367320090668017</v>
      </c>
      <c r="Y171" s="34" t="s">
        <v>44</v>
      </c>
      <c r="Z171" s="102">
        <f t="shared" si="20"/>
        <v>1242</v>
      </c>
      <c r="AA171" s="52">
        <f t="shared" si="61"/>
        <v>72859200</v>
      </c>
      <c r="AB171" s="41">
        <f t="shared" si="62"/>
        <v>54.834437086092713</v>
      </c>
      <c r="AC171" s="34" t="s">
        <v>44</v>
      </c>
      <c r="AD171" s="90">
        <f t="shared" si="63"/>
        <v>61.70539458094327</v>
      </c>
      <c r="AE171" s="17"/>
      <c r="AF171" s="2"/>
      <c r="AG171" s="2"/>
      <c r="AH171" s="55"/>
      <c r="AI171" s="2"/>
      <c r="AJ171" s="2"/>
      <c r="AK171" s="2"/>
    </row>
    <row r="172" spans="1:37" ht="120">
      <c r="A172" s="43"/>
      <c r="B172" s="39"/>
      <c r="C172" s="46" t="s">
        <v>312</v>
      </c>
      <c r="D172" s="47" t="s">
        <v>308</v>
      </c>
      <c r="E172" s="48">
        <v>8620</v>
      </c>
      <c r="F172" s="77" t="s">
        <v>227</v>
      </c>
      <c r="G172" s="91">
        <v>56269700</v>
      </c>
      <c r="H172" s="101">
        <v>1724</v>
      </c>
      <c r="I172" s="50">
        <v>11028000</v>
      </c>
      <c r="J172" s="51">
        <v>1724</v>
      </c>
      <c r="K172" s="50">
        <v>22494700</v>
      </c>
      <c r="L172" s="33">
        <v>79</v>
      </c>
      <c r="M172" s="103" t="s">
        <v>229</v>
      </c>
      <c r="N172" s="51">
        <v>84</v>
      </c>
      <c r="O172" s="50">
        <v>2200000</v>
      </c>
      <c r="P172" s="51">
        <v>1131</v>
      </c>
      <c r="Q172" s="50"/>
      <c r="R172" s="101">
        <v>652</v>
      </c>
      <c r="S172" s="50">
        <v>19160000</v>
      </c>
      <c r="T172" s="102">
        <f t="shared" si="57"/>
        <v>1946</v>
      </c>
      <c r="U172" s="60">
        <f t="shared" si="58"/>
        <v>112.87703016241299</v>
      </c>
      <c r="V172" s="34" t="s">
        <v>44</v>
      </c>
      <c r="W172" s="52">
        <f t="shared" si="64"/>
        <v>21360000</v>
      </c>
      <c r="X172" s="60">
        <f t="shared" si="60"/>
        <v>94.955700676159267</v>
      </c>
      <c r="Y172" s="34" t="s">
        <v>44</v>
      </c>
      <c r="Z172" s="102">
        <f t="shared" si="20"/>
        <v>3670</v>
      </c>
      <c r="AA172" s="52">
        <f t="shared" si="61"/>
        <v>32388000</v>
      </c>
      <c r="AB172" s="41">
        <f t="shared" si="62"/>
        <v>42.575406032482597</v>
      </c>
      <c r="AC172" s="34" t="s">
        <v>44</v>
      </c>
      <c r="AD172" s="90">
        <f t="shared" si="63"/>
        <v>57.55850839794774</v>
      </c>
      <c r="AE172" s="17"/>
      <c r="AF172" s="2"/>
      <c r="AG172" s="2"/>
      <c r="AH172" s="55"/>
      <c r="AI172" s="2"/>
      <c r="AJ172" s="2"/>
      <c r="AK172" s="2"/>
    </row>
    <row r="173" spans="1:37" ht="120">
      <c r="A173" s="43"/>
      <c r="B173" s="39"/>
      <c r="C173" s="46" t="s">
        <v>313</v>
      </c>
      <c r="D173" s="47" t="s">
        <v>308</v>
      </c>
      <c r="E173" s="48">
        <v>1791</v>
      </c>
      <c r="F173" s="77" t="s">
        <v>227</v>
      </c>
      <c r="G173" s="91">
        <v>187974000</v>
      </c>
      <c r="H173" s="101">
        <v>835</v>
      </c>
      <c r="I173" s="50">
        <v>47744000</v>
      </c>
      <c r="J173" s="51">
        <v>478</v>
      </c>
      <c r="K173" s="50">
        <v>70115000</v>
      </c>
      <c r="L173" s="33">
        <v>0</v>
      </c>
      <c r="M173" s="103" t="s">
        <v>229</v>
      </c>
      <c r="N173" s="51">
        <v>0</v>
      </c>
      <c r="O173" s="50">
        <v>0</v>
      </c>
      <c r="P173" s="51">
        <v>468</v>
      </c>
      <c r="Q173" s="50">
        <v>30410000</v>
      </c>
      <c r="R173" s="101">
        <v>10</v>
      </c>
      <c r="S173" s="50">
        <v>38700000</v>
      </c>
      <c r="T173" s="102">
        <f t="shared" si="57"/>
        <v>478</v>
      </c>
      <c r="U173" s="60">
        <f t="shared" si="58"/>
        <v>100</v>
      </c>
      <c r="V173" s="34" t="s">
        <v>44</v>
      </c>
      <c r="W173" s="52">
        <f t="shared" si="64"/>
        <v>69110000</v>
      </c>
      <c r="X173" s="60">
        <f t="shared" si="60"/>
        <v>98.566640519147114</v>
      </c>
      <c r="Y173" s="34" t="s">
        <v>44</v>
      </c>
      <c r="Z173" s="102">
        <f t="shared" si="20"/>
        <v>1313</v>
      </c>
      <c r="AA173" s="52">
        <f t="shared" si="61"/>
        <v>116854000</v>
      </c>
      <c r="AB173" s="41">
        <f t="shared" si="62"/>
        <v>73.310999441652712</v>
      </c>
      <c r="AC173" s="34" t="s">
        <v>44</v>
      </c>
      <c r="AD173" s="90">
        <f t="shared" si="63"/>
        <v>62.164980263227896</v>
      </c>
      <c r="AE173" s="17"/>
      <c r="AF173" s="2"/>
      <c r="AG173" s="2"/>
      <c r="AH173" s="55"/>
      <c r="AI173" s="2"/>
      <c r="AJ173" s="2"/>
      <c r="AK173" s="2"/>
    </row>
    <row r="174" spans="1:37" ht="120">
      <c r="A174" s="43"/>
      <c r="B174" s="39"/>
      <c r="C174" s="46" t="s">
        <v>314</v>
      </c>
      <c r="D174" s="47" t="s">
        <v>308</v>
      </c>
      <c r="E174" s="48">
        <v>5803</v>
      </c>
      <c r="F174" s="77" t="s">
        <v>227</v>
      </c>
      <c r="G174" s="91">
        <v>110901400</v>
      </c>
      <c r="H174" s="101">
        <v>1889</v>
      </c>
      <c r="I174" s="50">
        <v>20121200</v>
      </c>
      <c r="J174" s="51">
        <v>1950</v>
      </c>
      <c r="K174" s="50">
        <v>45355000</v>
      </c>
      <c r="L174" s="33">
        <v>21</v>
      </c>
      <c r="M174" s="103" t="s">
        <v>229</v>
      </c>
      <c r="N174" s="51">
        <v>905</v>
      </c>
      <c r="O174" s="50">
        <v>22077500</v>
      </c>
      <c r="P174" s="51">
        <v>527</v>
      </c>
      <c r="Q174" s="50">
        <v>17090000</v>
      </c>
      <c r="R174" s="101">
        <v>497</v>
      </c>
      <c r="S174" s="50">
        <v>5947500</v>
      </c>
      <c r="T174" s="102">
        <f t="shared" si="57"/>
        <v>1950</v>
      </c>
      <c r="U174" s="60">
        <f t="shared" si="58"/>
        <v>100</v>
      </c>
      <c r="V174" s="34" t="s">
        <v>44</v>
      </c>
      <c r="W174" s="52">
        <f t="shared" si="64"/>
        <v>45115000</v>
      </c>
      <c r="X174" s="60">
        <f t="shared" si="60"/>
        <v>99.470841142101193</v>
      </c>
      <c r="Y174" s="34" t="s">
        <v>44</v>
      </c>
      <c r="Z174" s="102">
        <f t="shared" si="20"/>
        <v>3839</v>
      </c>
      <c r="AA174" s="52">
        <f t="shared" si="61"/>
        <v>65236200</v>
      </c>
      <c r="AB174" s="41">
        <f t="shared" si="62"/>
        <v>66.155436843012239</v>
      </c>
      <c r="AC174" s="34" t="s">
        <v>44</v>
      </c>
      <c r="AD174" s="90">
        <f t="shared" si="63"/>
        <v>58.823603669565941</v>
      </c>
      <c r="AE174" s="17"/>
      <c r="AF174" s="2"/>
      <c r="AG174" s="2"/>
      <c r="AH174" s="55"/>
      <c r="AI174" s="2"/>
      <c r="AJ174" s="2"/>
      <c r="AK174" s="2"/>
    </row>
    <row r="175" spans="1:37" ht="120">
      <c r="A175" s="43"/>
      <c r="B175" s="39"/>
      <c r="C175" s="46" t="s">
        <v>315</v>
      </c>
      <c r="D175" s="47" t="s">
        <v>308</v>
      </c>
      <c r="E175" s="48">
        <v>3087</v>
      </c>
      <c r="F175" s="77" t="s">
        <v>227</v>
      </c>
      <c r="G175" s="91">
        <v>68140000</v>
      </c>
      <c r="H175" s="101">
        <v>828</v>
      </c>
      <c r="I175" s="50">
        <v>13130000</v>
      </c>
      <c r="J175" s="51">
        <v>1029</v>
      </c>
      <c r="K175" s="50">
        <v>26790000</v>
      </c>
      <c r="L175" s="33">
        <v>27</v>
      </c>
      <c r="M175" s="103" t="s">
        <v>229</v>
      </c>
      <c r="N175" s="51">
        <v>27</v>
      </c>
      <c r="O175" s="50">
        <v>3415000</v>
      </c>
      <c r="P175" s="51">
        <v>453</v>
      </c>
      <c r="Q175" s="50">
        <v>9990000</v>
      </c>
      <c r="R175" s="101">
        <v>565</v>
      </c>
      <c r="S175" s="50">
        <v>10900000</v>
      </c>
      <c r="T175" s="102">
        <f t="shared" si="57"/>
        <v>1072</v>
      </c>
      <c r="U175" s="60">
        <f t="shared" si="58"/>
        <v>104.17881438289602</v>
      </c>
      <c r="V175" s="34" t="s">
        <v>44</v>
      </c>
      <c r="W175" s="52">
        <f t="shared" si="64"/>
        <v>24305000</v>
      </c>
      <c r="X175" s="60">
        <f t="shared" si="60"/>
        <v>90.724150802538261</v>
      </c>
      <c r="Y175" s="34" t="s">
        <v>44</v>
      </c>
      <c r="Z175" s="102">
        <f t="shared" si="20"/>
        <v>1900</v>
      </c>
      <c r="AA175" s="52">
        <f t="shared" si="61"/>
        <v>37435000</v>
      </c>
      <c r="AB175" s="41">
        <f t="shared" si="62"/>
        <v>61.548428895367671</v>
      </c>
      <c r="AC175" s="34" t="s">
        <v>44</v>
      </c>
      <c r="AD175" s="90">
        <f t="shared" si="63"/>
        <v>54.938362195479897</v>
      </c>
      <c r="AE175" s="17"/>
      <c r="AF175" s="2"/>
      <c r="AG175" s="2"/>
      <c r="AH175" s="55"/>
      <c r="AI175" s="2"/>
      <c r="AJ175" s="2"/>
      <c r="AK175" s="2"/>
    </row>
    <row r="176" spans="1:37" ht="120">
      <c r="A176" s="43"/>
      <c r="B176" s="39"/>
      <c r="C176" s="46" t="s">
        <v>316</v>
      </c>
      <c r="D176" s="47" t="s">
        <v>308</v>
      </c>
      <c r="E176" s="48">
        <v>7456</v>
      </c>
      <c r="F176" s="77" t="s">
        <v>227</v>
      </c>
      <c r="G176" s="91">
        <v>188587500</v>
      </c>
      <c r="H176" s="101">
        <v>2508</v>
      </c>
      <c r="I176" s="50">
        <v>36340500</v>
      </c>
      <c r="J176" s="51">
        <v>2562</v>
      </c>
      <c r="K176" s="50">
        <v>128700500</v>
      </c>
      <c r="L176" s="33">
        <v>0</v>
      </c>
      <c r="M176" s="103" t="s">
        <v>229</v>
      </c>
      <c r="N176" s="51">
        <v>33</v>
      </c>
      <c r="O176" s="50">
        <v>14900000</v>
      </c>
      <c r="P176" s="51">
        <v>1741</v>
      </c>
      <c r="Q176" s="50">
        <v>18012500</v>
      </c>
      <c r="R176" s="101">
        <v>581</v>
      </c>
      <c r="S176" s="50">
        <v>91760900</v>
      </c>
      <c r="T176" s="102">
        <f t="shared" si="57"/>
        <v>2355</v>
      </c>
      <c r="U176" s="60">
        <f t="shared" si="58"/>
        <v>91.920374707259953</v>
      </c>
      <c r="V176" s="34" t="s">
        <v>44</v>
      </c>
      <c r="W176" s="52">
        <f t="shared" si="64"/>
        <v>124673400</v>
      </c>
      <c r="X176" s="60">
        <f t="shared" si="60"/>
        <v>96.870952327302547</v>
      </c>
      <c r="Y176" s="34" t="s">
        <v>44</v>
      </c>
      <c r="Z176" s="102">
        <f t="shared" si="20"/>
        <v>4863</v>
      </c>
      <c r="AA176" s="52">
        <f t="shared" si="61"/>
        <v>161013900</v>
      </c>
      <c r="AB176" s="41">
        <f t="shared" si="62"/>
        <v>65.222639484978544</v>
      </c>
      <c r="AC176" s="34" t="s">
        <v>44</v>
      </c>
      <c r="AD176" s="90">
        <f t="shared" si="63"/>
        <v>85.378882481606681</v>
      </c>
      <c r="AE176" s="17"/>
      <c r="AF176" s="2"/>
      <c r="AG176" s="2"/>
      <c r="AH176" s="55"/>
      <c r="AI176" s="2"/>
      <c r="AJ176" s="2"/>
      <c r="AK176" s="2"/>
    </row>
    <row r="177" spans="1:37" ht="120">
      <c r="A177" s="43"/>
      <c r="B177" s="39"/>
      <c r="C177" s="46" t="s">
        <v>317</v>
      </c>
      <c r="D177" s="47" t="s">
        <v>308</v>
      </c>
      <c r="E177" s="48">
        <v>5247</v>
      </c>
      <c r="F177" s="77" t="s">
        <v>227</v>
      </c>
      <c r="G177" s="91">
        <v>74671000</v>
      </c>
      <c r="H177" s="101">
        <v>1749</v>
      </c>
      <c r="I177" s="50">
        <v>9790000</v>
      </c>
      <c r="J177" s="51">
        <v>1583</v>
      </c>
      <c r="K177" s="50">
        <v>32440500</v>
      </c>
      <c r="L177" s="33">
        <v>0</v>
      </c>
      <c r="M177" s="103" t="s">
        <v>229</v>
      </c>
      <c r="N177" s="51">
        <v>326</v>
      </c>
      <c r="O177" s="50">
        <v>1050000</v>
      </c>
      <c r="P177" s="51">
        <v>525</v>
      </c>
      <c r="Q177" s="50">
        <v>9085500</v>
      </c>
      <c r="R177" s="101">
        <v>732</v>
      </c>
      <c r="S177" s="50">
        <v>17862500</v>
      </c>
      <c r="T177" s="102">
        <f t="shared" si="57"/>
        <v>1583</v>
      </c>
      <c r="U177" s="60">
        <f t="shared" si="58"/>
        <v>100</v>
      </c>
      <c r="V177" s="34" t="s">
        <v>44</v>
      </c>
      <c r="W177" s="52">
        <f t="shared" si="64"/>
        <v>27998000</v>
      </c>
      <c r="X177" s="60">
        <f t="shared" si="60"/>
        <v>86.305698124258257</v>
      </c>
      <c r="Y177" s="34" t="s">
        <v>44</v>
      </c>
      <c r="Z177" s="102">
        <f t="shared" si="20"/>
        <v>3332</v>
      </c>
      <c r="AA177" s="52">
        <f t="shared" si="61"/>
        <v>37788000</v>
      </c>
      <c r="AB177" s="41">
        <f t="shared" si="62"/>
        <v>63.502954068991798</v>
      </c>
      <c r="AC177" s="34" t="s">
        <v>44</v>
      </c>
      <c r="AD177" s="90">
        <f t="shared" si="63"/>
        <v>50.605991616557965</v>
      </c>
      <c r="AE177" s="17"/>
      <c r="AF177" s="2"/>
      <c r="AG177" s="2"/>
      <c r="AH177" s="55"/>
      <c r="AI177" s="2"/>
      <c r="AJ177" s="2"/>
      <c r="AK177" s="2"/>
    </row>
    <row r="178" spans="1:37" ht="120">
      <c r="A178" s="43"/>
      <c r="B178" s="39"/>
      <c r="C178" s="46" t="s">
        <v>318</v>
      </c>
      <c r="D178" s="47" t="s">
        <v>308</v>
      </c>
      <c r="E178" s="48">
        <v>2826</v>
      </c>
      <c r="F178" s="77" t="s">
        <v>227</v>
      </c>
      <c r="G178" s="91">
        <v>152408000</v>
      </c>
      <c r="H178" s="101">
        <v>942</v>
      </c>
      <c r="I178" s="50">
        <v>29999000</v>
      </c>
      <c r="J178" s="51">
        <v>942</v>
      </c>
      <c r="K178" s="50">
        <v>61204500</v>
      </c>
      <c r="L178" s="33">
        <v>0</v>
      </c>
      <c r="M178" s="103" t="s">
        <v>229</v>
      </c>
      <c r="N178" s="51">
        <v>0</v>
      </c>
      <c r="O178" s="50">
        <v>0</v>
      </c>
      <c r="P178" s="51">
        <v>388</v>
      </c>
      <c r="Q178" s="50">
        <v>19306000</v>
      </c>
      <c r="R178" s="101">
        <v>486</v>
      </c>
      <c r="S178" s="50">
        <v>31908500</v>
      </c>
      <c r="T178" s="102">
        <f t="shared" si="57"/>
        <v>874</v>
      </c>
      <c r="U178" s="60">
        <f t="shared" si="58"/>
        <v>92.781316348195332</v>
      </c>
      <c r="V178" s="34" t="s">
        <v>44</v>
      </c>
      <c r="W178" s="52">
        <f t="shared" si="64"/>
        <v>51214500</v>
      </c>
      <c r="X178" s="60">
        <f t="shared" si="60"/>
        <v>83.677670759502973</v>
      </c>
      <c r="Y178" s="34" t="s">
        <v>44</v>
      </c>
      <c r="Z178" s="102">
        <f t="shared" si="20"/>
        <v>1816</v>
      </c>
      <c r="AA178" s="52">
        <f t="shared" si="61"/>
        <v>81213500</v>
      </c>
      <c r="AB178" s="41">
        <f t="shared" si="62"/>
        <v>64.260438782731782</v>
      </c>
      <c r="AC178" s="34" t="s">
        <v>44</v>
      </c>
      <c r="AD178" s="90">
        <f t="shared" si="63"/>
        <v>53.28690095008136</v>
      </c>
      <c r="AE178" s="17"/>
      <c r="AF178" s="2"/>
      <c r="AG178" s="2"/>
      <c r="AH178" s="55"/>
      <c r="AI178" s="2"/>
      <c r="AJ178" s="2"/>
      <c r="AK178" s="2"/>
    </row>
    <row r="179" spans="1:37" ht="120">
      <c r="A179" s="43"/>
      <c r="B179" s="39"/>
      <c r="C179" s="46" t="s">
        <v>319</v>
      </c>
      <c r="D179" s="47" t="s">
        <v>308</v>
      </c>
      <c r="E179" s="48">
        <v>9891</v>
      </c>
      <c r="F179" s="77" t="s">
        <v>227</v>
      </c>
      <c r="G179" s="91">
        <v>346323500</v>
      </c>
      <c r="H179" s="101">
        <v>5907</v>
      </c>
      <c r="I179" s="50">
        <v>92562500</v>
      </c>
      <c r="J179" s="51">
        <v>2563</v>
      </c>
      <c r="K179" s="50">
        <v>124987000</v>
      </c>
      <c r="L179" s="33">
        <v>0</v>
      </c>
      <c r="M179" s="103" t="s">
        <v>229</v>
      </c>
      <c r="N179" s="51">
        <v>1800</v>
      </c>
      <c r="O179" s="50">
        <v>15930000</v>
      </c>
      <c r="P179" s="51">
        <v>3025</v>
      </c>
      <c r="Q179" s="50">
        <v>48690000</v>
      </c>
      <c r="R179" s="101">
        <v>996</v>
      </c>
      <c r="S179" s="50">
        <v>52204000</v>
      </c>
      <c r="T179" s="102">
        <f t="shared" si="57"/>
        <v>5821</v>
      </c>
      <c r="U179" s="60">
        <f t="shared" si="58"/>
        <v>227.11666016387048</v>
      </c>
      <c r="V179" s="34" t="s">
        <v>44</v>
      </c>
      <c r="W179" s="52">
        <f t="shared" si="64"/>
        <v>116824000</v>
      </c>
      <c r="X179" s="60">
        <f t="shared" si="60"/>
        <v>93.46892076775984</v>
      </c>
      <c r="Y179" s="34" t="s">
        <v>44</v>
      </c>
      <c r="Z179" s="102">
        <f t="shared" si="20"/>
        <v>11728</v>
      </c>
      <c r="AA179" s="52">
        <f t="shared" si="61"/>
        <v>209386500</v>
      </c>
      <c r="AB179" s="41">
        <f t="shared" si="62"/>
        <v>118.57243959154786</v>
      </c>
      <c r="AC179" s="34" t="s">
        <v>44</v>
      </c>
      <c r="AD179" s="90">
        <f t="shared" si="63"/>
        <v>60.459801312934289</v>
      </c>
      <c r="AE179" s="17"/>
      <c r="AF179" s="2"/>
      <c r="AG179" s="2"/>
      <c r="AH179" s="55"/>
      <c r="AI179" s="2"/>
      <c r="AJ179" s="2"/>
      <c r="AK179" s="2"/>
    </row>
    <row r="180" spans="1:37" ht="120">
      <c r="A180" s="43"/>
      <c r="B180" s="39"/>
      <c r="C180" s="46" t="s">
        <v>320</v>
      </c>
      <c r="D180" s="47" t="s">
        <v>308</v>
      </c>
      <c r="E180" s="48">
        <v>1890</v>
      </c>
      <c r="F180" s="77" t="s">
        <v>227</v>
      </c>
      <c r="G180" s="91">
        <v>180610800</v>
      </c>
      <c r="H180" s="101">
        <v>158</v>
      </c>
      <c r="I180" s="50">
        <v>34777400</v>
      </c>
      <c r="J180" s="51">
        <v>814</v>
      </c>
      <c r="K180" s="50">
        <v>66561500</v>
      </c>
      <c r="L180" s="106">
        <v>0</v>
      </c>
      <c r="M180" s="107" t="s">
        <v>229</v>
      </c>
      <c r="N180" s="108">
        <v>0</v>
      </c>
      <c r="O180" s="107">
        <v>340</v>
      </c>
      <c r="P180" s="108">
        <v>507</v>
      </c>
      <c r="Q180" s="107">
        <v>10640000</v>
      </c>
      <c r="R180" s="109">
        <v>563</v>
      </c>
      <c r="S180" s="107">
        <v>61390000</v>
      </c>
      <c r="T180" s="102">
        <f t="shared" si="57"/>
        <v>1070</v>
      </c>
      <c r="U180" s="60">
        <f t="shared" si="58"/>
        <v>131.44963144963145</v>
      </c>
      <c r="V180" s="34" t="s">
        <v>44</v>
      </c>
      <c r="W180" s="52">
        <f t="shared" si="64"/>
        <v>72030340</v>
      </c>
      <c r="X180" s="60">
        <f t="shared" si="60"/>
        <v>108.21622108876754</v>
      </c>
      <c r="Y180" s="34" t="s">
        <v>44</v>
      </c>
      <c r="Z180" s="102">
        <f t="shared" si="20"/>
        <v>1228</v>
      </c>
      <c r="AA180" s="52">
        <f t="shared" si="61"/>
        <v>106807740</v>
      </c>
      <c r="AB180" s="41">
        <f t="shared" si="62"/>
        <v>64.973544973544975</v>
      </c>
      <c r="AC180" s="34" t="s">
        <v>44</v>
      </c>
      <c r="AD180" s="90">
        <f t="shared" si="63"/>
        <v>59.136961909254595</v>
      </c>
      <c r="AE180" s="17"/>
      <c r="AF180" s="2"/>
      <c r="AG180" s="2"/>
      <c r="AH180" s="55"/>
      <c r="AI180" s="2"/>
      <c r="AJ180" s="2"/>
      <c r="AK180" s="2"/>
    </row>
    <row r="181" spans="1:37" ht="120">
      <c r="A181" s="43"/>
      <c r="B181" s="39"/>
      <c r="C181" s="46" t="s">
        <v>321</v>
      </c>
      <c r="D181" s="47" t="s">
        <v>308</v>
      </c>
      <c r="E181" s="48">
        <v>1366</v>
      </c>
      <c r="F181" s="77" t="s">
        <v>227</v>
      </c>
      <c r="G181" s="91">
        <v>101364600</v>
      </c>
      <c r="H181" s="101">
        <v>683</v>
      </c>
      <c r="I181" s="50">
        <v>17867000</v>
      </c>
      <c r="J181" s="51">
        <v>683</v>
      </c>
      <c r="K181" s="50">
        <v>40660200</v>
      </c>
      <c r="L181" s="33">
        <v>0</v>
      </c>
      <c r="M181" s="103" t="s">
        <v>229</v>
      </c>
      <c r="N181" s="51">
        <v>88</v>
      </c>
      <c r="O181" s="50">
        <v>7975000</v>
      </c>
      <c r="P181" s="51">
        <v>562</v>
      </c>
      <c r="Q181" s="50">
        <v>20627500</v>
      </c>
      <c r="R181" s="112">
        <v>0</v>
      </c>
      <c r="S181" s="107">
        <v>10875000</v>
      </c>
      <c r="T181" s="102">
        <f t="shared" si="57"/>
        <v>650</v>
      </c>
      <c r="U181" s="60">
        <f t="shared" si="58"/>
        <v>95.168374816983885</v>
      </c>
      <c r="V181" s="34" t="s">
        <v>44</v>
      </c>
      <c r="W181" s="52">
        <f t="shared" si="64"/>
        <v>39477500</v>
      </c>
      <c r="X181" s="60">
        <f t="shared" si="60"/>
        <v>97.09125877393619</v>
      </c>
      <c r="Y181" s="34" t="s">
        <v>44</v>
      </c>
      <c r="Z181" s="102">
        <f t="shared" si="20"/>
        <v>1333</v>
      </c>
      <c r="AA181" s="52">
        <f t="shared" si="61"/>
        <v>57344500</v>
      </c>
      <c r="AB181" s="41">
        <f t="shared" si="62"/>
        <v>97.584187408491957</v>
      </c>
      <c r="AC181" s="34" t="s">
        <v>44</v>
      </c>
      <c r="AD181" s="90">
        <f t="shared" si="63"/>
        <v>56.572511507962339</v>
      </c>
      <c r="AE181" s="17"/>
      <c r="AF181" s="2"/>
      <c r="AG181" s="2"/>
      <c r="AH181" s="55"/>
      <c r="AI181" s="2"/>
      <c r="AJ181" s="2"/>
      <c r="AK181" s="2"/>
    </row>
    <row r="182" spans="1:37" ht="120">
      <c r="A182" s="43"/>
      <c r="B182" s="39"/>
      <c r="C182" s="46" t="s">
        <v>322</v>
      </c>
      <c r="D182" s="47" t="s">
        <v>308</v>
      </c>
      <c r="E182" s="48">
        <v>10919</v>
      </c>
      <c r="F182" s="77" t="s">
        <v>227</v>
      </c>
      <c r="G182" s="91">
        <v>125848250</v>
      </c>
      <c r="H182" s="101">
        <v>3362</v>
      </c>
      <c r="I182" s="50">
        <v>31128500</v>
      </c>
      <c r="J182" s="51">
        <v>3568</v>
      </c>
      <c r="K182" s="50">
        <v>46440000</v>
      </c>
      <c r="L182" s="33">
        <v>0</v>
      </c>
      <c r="M182" s="103" t="s">
        <v>229</v>
      </c>
      <c r="N182" s="51">
        <v>815</v>
      </c>
      <c r="O182" s="50">
        <v>14530000</v>
      </c>
      <c r="P182" s="51">
        <v>845</v>
      </c>
      <c r="Q182" s="50">
        <v>31910000</v>
      </c>
      <c r="R182" s="112">
        <v>1042</v>
      </c>
      <c r="S182" s="50">
        <v>0</v>
      </c>
      <c r="T182" s="102">
        <f t="shared" si="57"/>
        <v>2702</v>
      </c>
      <c r="U182" s="60">
        <f t="shared" si="58"/>
        <v>75.728699551569505</v>
      </c>
      <c r="V182" s="34" t="s">
        <v>44</v>
      </c>
      <c r="W182" s="52">
        <f t="shared" si="64"/>
        <v>46440000</v>
      </c>
      <c r="X182" s="60">
        <f t="shared" si="60"/>
        <v>100</v>
      </c>
      <c r="Y182" s="34" t="s">
        <v>44</v>
      </c>
      <c r="Z182" s="102">
        <f t="shared" si="20"/>
        <v>6064</v>
      </c>
      <c r="AA182" s="52">
        <f t="shared" si="61"/>
        <v>77568500</v>
      </c>
      <c r="AB182" s="41">
        <f t="shared" si="62"/>
        <v>55.536221265683672</v>
      </c>
      <c r="AC182" s="34" t="s">
        <v>44</v>
      </c>
      <c r="AD182" s="90">
        <f t="shared" si="63"/>
        <v>61.636534477038815</v>
      </c>
      <c r="AE182" s="17"/>
      <c r="AF182" s="2"/>
      <c r="AG182" s="2"/>
      <c r="AH182" s="55"/>
      <c r="AI182" s="2"/>
      <c r="AJ182" s="2"/>
      <c r="AK182" s="2"/>
    </row>
    <row r="183" spans="1:37" ht="120">
      <c r="A183" s="43"/>
      <c r="B183" s="39"/>
      <c r="C183" s="46" t="s">
        <v>323</v>
      </c>
      <c r="D183" s="47" t="s">
        <v>308</v>
      </c>
      <c r="E183" s="48">
        <v>3467</v>
      </c>
      <c r="F183" s="77" t="s">
        <v>227</v>
      </c>
      <c r="G183" s="91">
        <v>200675000</v>
      </c>
      <c r="H183" s="101">
        <v>1035</v>
      </c>
      <c r="I183" s="50">
        <v>11455000</v>
      </c>
      <c r="J183" s="51">
        <v>1397</v>
      </c>
      <c r="K183" s="50">
        <v>94655000</v>
      </c>
      <c r="L183" s="33">
        <v>0</v>
      </c>
      <c r="M183" s="103" t="s">
        <v>229</v>
      </c>
      <c r="N183" s="51">
        <v>150</v>
      </c>
      <c r="O183" s="50">
        <v>8640000</v>
      </c>
      <c r="P183" s="51">
        <v>707</v>
      </c>
      <c r="Q183" s="50">
        <v>20160000</v>
      </c>
      <c r="R183" s="112">
        <v>540</v>
      </c>
      <c r="S183" s="107">
        <v>50745000</v>
      </c>
      <c r="T183" s="102">
        <f t="shared" si="57"/>
        <v>1397</v>
      </c>
      <c r="U183" s="60">
        <f t="shared" si="58"/>
        <v>100</v>
      </c>
      <c r="V183" s="34" t="s">
        <v>44</v>
      </c>
      <c r="W183" s="52">
        <f t="shared" si="64"/>
        <v>79545000</v>
      </c>
      <c r="X183" s="60">
        <f t="shared" si="60"/>
        <v>84.036765094289791</v>
      </c>
      <c r="Y183" s="34" t="s">
        <v>44</v>
      </c>
      <c r="Z183" s="102">
        <f t="shared" si="20"/>
        <v>2432</v>
      </c>
      <c r="AA183" s="52">
        <f t="shared" si="61"/>
        <v>91000000</v>
      </c>
      <c r="AB183" s="41">
        <f t="shared" si="62"/>
        <v>70.147101240265357</v>
      </c>
      <c r="AC183" s="34" t="s">
        <v>44</v>
      </c>
      <c r="AD183" s="90">
        <f t="shared" si="63"/>
        <v>45.346954030148254</v>
      </c>
      <c r="AE183" s="17"/>
      <c r="AF183" s="2"/>
      <c r="AG183" s="2"/>
      <c r="AH183" s="55"/>
      <c r="AI183" s="2"/>
      <c r="AJ183" s="2"/>
      <c r="AK183" s="2"/>
    </row>
    <row r="184" spans="1:37" ht="120">
      <c r="A184" s="43"/>
      <c r="B184" s="39"/>
      <c r="C184" s="46" t="s">
        <v>324</v>
      </c>
      <c r="D184" s="47" t="s">
        <v>308</v>
      </c>
      <c r="E184" s="48">
        <v>6425</v>
      </c>
      <c r="F184" s="77" t="s">
        <v>227</v>
      </c>
      <c r="G184" s="91">
        <v>183644750</v>
      </c>
      <c r="H184" s="101">
        <v>1661</v>
      </c>
      <c r="I184" s="50">
        <v>18334750</v>
      </c>
      <c r="J184" s="51">
        <v>2216</v>
      </c>
      <c r="K184" s="50">
        <v>81328800</v>
      </c>
      <c r="L184" s="115">
        <v>677</v>
      </c>
      <c r="M184" s="116">
        <v>0</v>
      </c>
      <c r="N184" s="117">
        <v>917</v>
      </c>
      <c r="O184" s="107">
        <v>31500000</v>
      </c>
      <c r="P184" s="117">
        <v>522</v>
      </c>
      <c r="Q184" s="107">
        <v>39074600</v>
      </c>
      <c r="R184" s="118">
        <v>0</v>
      </c>
      <c r="S184" s="107">
        <v>9030000</v>
      </c>
      <c r="T184" s="102">
        <f t="shared" si="57"/>
        <v>2116</v>
      </c>
      <c r="U184" s="60">
        <f t="shared" si="58"/>
        <v>95.487364620938635</v>
      </c>
      <c r="V184" s="34" t="s">
        <v>44</v>
      </c>
      <c r="W184" s="52">
        <f t="shared" si="64"/>
        <v>79604600</v>
      </c>
      <c r="X184" s="60">
        <f t="shared" si="60"/>
        <v>97.879963801261056</v>
      </c>
      <c r="Y184" s="34" t="s">
        <v>44</v>
      </c>
      <c r="Z184" s="102">
        <f t="shared" si="20"/>
        <v>3777</v>
      </c>
      <c r="AA184" s="52">
        <f t="shared" si="61"/>
        <v>97939350</v>
      </c>
      <c r="AB184" s="41">
        <f t="shared" si="62"/>
        <v>58.78599221789883</v>
      </c>
      <c r="AC184" s="34" t="s">
        <v>44</v>
      </c>
      <c r="AD184" s="90">
        <f t="shared" si="63"/>
        <v>53.33087387469557</v>
      </c>
      <c r="AE184" s="17"/>
      <c r="AF184" s="2"/>
      <c r="AG184" s="2"/>
      <c r="AH184" s="55"/>
      <c r="AI184" s="2"/>
      <c r="AJ184" s="2"/>
      <c r="AK184" s="2"/>
    </row>
    <row r="185" spans="1:37" ht="120">
      <c r="A185" s="43"/>
      <c r="B185" s="39"/>
      <c r="C185" s="46" t="s">
        <v>325</v>
      </c>
      <c r="D185" s="47" t="s">
        <v>308</v>
      </c>
      <c r="E185" s="48">
        <v>3175</v>
      </c>
      <c r="F185" s="77" t="s">
        <v>227</v>
      </c>
      <c r="G185" s="91">
        <v>84597000</v>
      </c>
      <c r="H185" s="101">
        <v>1277</v>
      </c>
      <c r="I185" s="50">
        <v>14710000</v>
      </c>
      <c r="J185" s="51">
        <v>1080</v>
      </c>
      <c r="K185" s="50">
        <v>33839000</v>
      </c>
      <c r="L185" s="33">
        <v>187</v>
      </c>
      <c r="M185" s="50">
        <v>0</v>
      </c>
      <c r="N185" s="51">
        <v>261</v>
      </c>
      <c r="O185" s="50">
        <v>720000</v>
      </c>
      <c r="P185" s="51">
        <v>270</v>
      </c>
      <c r="Q185" s="50">
        <v>8356000</v>
      </c>
      <c r="R185" s="112">
        <v>315</v>
      </c>
      <c r="S185" s="78">
        <v>15173000</v>
      </c>
      <c r="T185" s="102">
        <f t="shared" si="57"/>
        <v>1033</v>
      </c>
      <c r="U185" s="60">
        <f t="shared" si="58"/>
        <v>95.648148148148152</v>
      </c>
      <c r="V185" s="34" t="s">
        <v>44</v>
      </c>
      <c r="W185" s="52">
        <f t="shared" si="64"/>
        <v>24249000</v>
      </c>
      <c r="X185" s="60">
        <f t="shared" si="60"/>
        <v>71.659919028340084</v>
      </c>
      <c r="Y185" s="34" t="s">
        <v>44</v>
      </c>
      <c r="Z185" s="102">
        <f t="shared" si="20"/>
        <v>2310</v>
      </c>
      <c r="AA185" s="52">
        <f t="shared" si="61"/>
        <v>38959000</v>
      </c>
      <c r="AB185" s="41">
        <f t="shared" si="62"/>
        <v>72.755905511811022</v>
      </c>
      <c r="AC185" s="34" t="s">
        <v>44</v>
      </c>
      <c r="AD185" s="90">
        <f t="shared" si="63"/>
        <v>46.052460489142646</v>
      </c>
      <c r="AE185" s="17"/>
      <c r="AF185" s="2"/>
      <c r="AG185" s="2"/>
      <c r="AH185" s="55"/>
      <c r="AI185" s="2"/>
      <c r="AJ185" s="2"/>
      <c r="AK185" s="2"/>
    </row>
    <row r="186" spans="1:37" ht="120">
      <c r="A186" s="43"/>
      <c r="B186" s="39"/>
      <c r="C186" s="46" t="s">
        <v>326</v>
      </c>
      <c r="D186" s="47" t="s">
        <v>308</v>
      </c>
      <c r="E186" s="48">
        <v>7404</v>
      </c>
      <c r="F186" s="77" t="s">
        <v>227</v>
      </c>
      <c r="G186" s="91">
        <v>50090000</v>
      </c>
      <c r="H186" s="101">
        <v>2332</v>
      </c>
      <c r="I186" s="50">
        <v>15295000</v>
      </c>
      <c r="J186" s="51">
        <v>2468</v>
      </c>
      <c r="K186" s="50">
        <v>18300000</v>
      </c>
      <c r="L186" s="33">
        <v>411</v>
      </c>
      <c r="M186" s="103" t="s">
        <v>229</v>
      </c>
      <c r="N186" s="51">
        <v>617</v>
      </c>
      <c r="O186" s="50">
        <v>0</v>
      </c>
      <c r="P186" s="51">
        <v>617</v>
      </c>
      <c r="Q186" s="50">
        <v>8915000</v>
      </c>
      <c r="R186" s="112">
        <v>823</v>
      </c>
      <c r="S186" s="107">
        <v>9310000</v>
      </c>
      <c r="T186" s="102">
        <f t="shared" si="57"/>
        <v>2468</v>
      </c>
      <c r="U186" s="60">
        <f t="shared" si="58"/>
        <v>100</v>
      </c>
      <c r="V186" s="34" t="s">
        <v>44</v>
      </c>
      <c r="W186" s="52">
        <f t="shared" si="64"/>
        <v>18225000</v>
      </c>
      <c r="X186" s="60">
        <f t="shared" si="60"/>
        <v>99.590163934426229</v>
      </c>
      <c r="Y186" s="34" t="s">
        <v>44</v>
      </c>
      <c r="Z186" s="102">
        <f t="shared" si="20"/>
        <v>4800</v>
      </c>
      <c r="AA186" s="52">
        <f t="shared" si="61"/>
        <v>33520000</v>
      </c>
      <c r="AB186" s="41">
        <f t="shared" si="62"/>
        <v>64.829821717990271</v>
      </c>
      <c r="AC186" s="34" t="s">
        <v>44</v>
      </c>
      <c r="AD186" s="90">
        <f t="shared" si="63"/>
        <v>66.91954481932521</v>
      </c>
      <c r="AE186" s="17"/>
      <c r="AF186" s="2"/>
      <c r="AG186" s="2"/>
      <c r="AH186" s="55"/>
      <c r="AI186" s="2"/>
      <c r="AJ186" s="2"/>
      <c r="AK186" s="2"/>
    </row>
    <row r="187" spans="1:37" ht="120">
      <c r="A187" s="43"/>
      <c r="B187" s="39"/>
      <c r="C187" s="46" t="s">
        <v>327</v>
      </c>
      <c r="D187" s="47" t="s">
        <v>308</v>
      </c>
      <c r="E187" s="48">
        <v>4635</v>
      </c>
      <c r="F187" s="77" t="s">
        <v>227</v>
      </c>
      <c r="G187" s="91">
        <v>37456000</v>
      </c>
      <c r="H187" s="101">
        <v>1095</v>
      </c>
      <c r="I187" s="50">
        <v>10456000</v>
      </c>
      <c r="J187" s="51">
        <v>1520</v>
      </c>
      <c r="K187" s="50">
        <v>13500000</v>
      </c>
      <c r="L187" s="33">
        <v>380</v>
      </c>
      <c r="M187" s="103" t="s">
        <v>229</v>
      </c>
      <c r="N187" s="51">
        <v>380</v>
      </c>
      <c r="O187" s="50">
        <v>0</v>
      </c>
      <c r="P187" s="51">
        <v>380</v>
      </c>
      <c r="Q187" s="50">
        <v>0</v>
      </c>
      <c r="R187" s="101">
        <v>380</v>
      </c>
      <c r="S187" s="50">
        <v>11720000</v>
      </c>
      <c r="T187" s="102">
        <f t="shared" si="57"/>
        <v>1520</v>
      </c>
      <c r="U187" s="60">
        <f t="shared" si="58"/>
        <v>100</v>
      </c>
      <c r="V187" s="34" t="s">
        <v>44</v>
      </c>
      <c r="W187" s="52">
        <f t="shared" si="64"/>
        <v>11720000</v>
      </c>
      <c r="X187" s="60">
        <f t="shared" si="60"/>
        <v>86.81481481481481</v>
      </c>
      <c r="Y187" s="34" t="s">
        <v>44</v>
      </c>
      <c r="Z187" s="102">
        <f t="shared" si="20"/>
        <v>2615</v>
      </c>
      <c r="AA187" s="52">
        <f t="shared" si="61"/>
        <v>22176000</v>
      </c>
      <c r="AB187" s="41">
        <f t="shared" si="62"/>
        <v>56.418554476806904</v>
      </c>
      <c r="AC187" s="34" t="s">
        <v>44</v>
      </c>
      <c r="AD187" s="90">
        <f t="shared" si="63"/>
        <v>59.205467748825292</v>
      </c>
      <c r="AE187" s="17"/>
      <c r="AF187" s="2"/>
      <c r="AG187" s="2"/>
      <c r="AH187" s="55"/>
      <c r="AI187" s="2"/>
      <c r="AJ187" s="2"/>
      <c r="AK187" s="2"/>
    </row>
    <row r="188" spans="1:37" ht="120">
      <c r="A188" s="43"/>
      <c r="B188" s="39"/>
      <c r="C188" s="46" t="s">
        <v>328</v>
      </c>
      <c r="D188" s="47" t="s">
        <v>308</v>
      </c>
      <c r="E188" s="48">
        <v>3.1230000000000002</v>
      </c>
      <c r="F188" s="77" t="s">
        <v>227</v>
      </c>
      <c r="G188" s="91">
        <v>31798500</v>
      </c>
      <c r="H188" s="101">
        <v>943</v>
      </c>
      <c r="I188" s="50">
        <v>23839000</v>
      </c>
      <c r="J188" s="101">
        <v>1041</v>
      </c>
      <c r="K188" s="50">
        <v>37356250</v>
      </c>
      <c r="L188" s="33">
        <v>0</v>
      </c>
      <c r="M188" s="103" t="s">
        <v>229</v>
      </c>
      <c r="N188" s="51">
        <v>0</v>
      </c>
      <c r="O188" s="50">
        <v>0</v>
      </c>
      <c r="P188" s="51">
        <v>70</v>
      </c>
      <c r="Q188" s="50">
        <v>16082500</v>
      </c>
      <c r="R188" s="101">
        <v>71</v>
      </c>
      <c r="S188" s="50">
        <v>18020000</v>
      </c>
      <c r="T188" s="102">
        <f t="shared" si="57"/>
        <v>141</v>
      </c>
      <c r="U188" s="60">
        <f t="shared" si="58"/>
        <v>13.544668587896252</v>
      </c>
      <c r="V188" s="34" t="s">
        <v>44</v>
      </c>
      <c r="W188" s="52">
        <f t="shared" si="64"/>
        <v>34102500</v>
      </c>
      <c r="X188" s="60">
        <f t="shared" si="60"/>
        <v>91.289944788355356</v>
      </c>
      <c r="Y188" s="34" t="s">
        <v>44</v>
      </c>
      <c r="Z188" s="102">
        <f t="shared" si="20"/>
        <v>1084</v>
      </c>
      <c r="AA188" s="52">
        <f t="shared" si="61"/>
        <v>57941500</v>
      </c>
      <c r="AB188" s="41">
        <f t="shared" si="62"/>
        <v>34710.214537303873</v>
      </c>
      <c r="AC188" s="34" t="s">
        <v>44</v>
      </c>
      <c r="AD188" s="90">
        <f t="shared" si="63"/>
        <v>182.21456986964796</v>
      </c>
      <c r="AE188" s="17"/>
      <c r="AF188" s="2"/>
      <c r="AG188" s="2"/>
      <c r="AH188" s="55"/>
      <c r="AI188" s="2"/>
      <c r="AJ188" s="2"/>
      <c r="AK188" s="2"/>
    </row>
    <row r="189" spans="1:37" ht="120">
      <c r="A189" s="43"/>
      <c r="B189" s="39"/>
      <c r="C189" s="46" t="s">
        <v>329</v>
      </c>
      <c r="D189" s="47" t="s">
        <v>308</v>
      </c>
      <c r="E189" s="48">
        <v>1809</v>
      </c>
      <c r="F189" s="77" t="s">
        <v>227</v>
      </c>
      <c r="G189" s="91">
        <v>120067000</v>
      </c>
      <c r="H189" s="101">
        <v>767</v>
      </c>
      <c r="I189" s="50">
        <v>28657000</v>
      </c>
      <c r="J189" s="51">
        <v>521</v>
      </c>
      <c r="K189" s="50">
        <v>45705000</v>
      </c>
      <c r="L189" s="33">
        <v>84</v>
      </c>
      <c r="M189" s="103" t="s">
        <v>229</v>
      </c>
      <c r="N189" s="51">
        <v>115</v>
      </c>
      <c r="O189" s="50">
        <v>2987500</v>
      </c>
      <c r="P189" s="51">
        <v>161</v>
      </c>
      <c r="Q189" s="50">
        <v>16948750</v>
      </c>
      <c r="R189" s="112">
        <v>161</v>
      </c>
      <c r="S189" s="107">
        <v>15282500</v>
      </c>
      <c r="T189" s="102">
        <f t="shared" si="57"/>
        <v>521</v>
      </c>
      <c r="U189" s="60">
        <f t="shared" si="58"/>
        <v>100</v>
      </c>
      <c r="V189" s="34" t="s">
        <v>44</v>
      </c>
      <c r="W189" s="52">
        <f t="shared" si="64"/>
        <v>35218750</v>
      </c>
      <c r="X189" s="60">
        <f t="shared" si="60"/>
        <v>77.056667760638874</v>
      </c>
      <c r="Y189" s="34" t="s">
        <v>44</v>
      </c>
      <c r="Z189" s="102">
        <f t="shared" si="20"/>
        <v>1288</v>
      </c>
      <c r="AA189" s="52">
        <f t="shared" si="61"/>
        <v>63875750</v>
      </c>
      <c r="AB189" s="41">
        <f t="shared" si="62"/>
        <v>71.199557766721938</v>
      </c>
      <c r="AC189" s="34" t="s">
        <v>44</v>
      </c>
      <c r="AD189" s="90">
        <f t="shared" si="63"/>
        <v>53.200088284041414</v>
      </c>
      <c r="AE189" s="17"/>
      <c r="AF189" s="2"/>
      <c r="AG189" s="2"/>
      <c r="AH189" s="55"/>
      <c r="AI189" s="2"/>
      <c r="AJ189" s="2"/>
      <c r="AK189" s="2"/>
    </row>
    <row r="190" spans="1:37" ht="105">
      <c r="A190" s="43"/>
      <c r="B190" s="39"/>
      <c r="C190" s="46" t="s">
        <v>330</v>
      </c>
      <c r="D190" s="47" t="s">
        <v>331</v>
      </c>
      <c r="E190" s="48">
        <f>J190*2</f>
        <v>282576</v>
      </c>
      <c r="F190" s="77" t="s">
        <v>227</v>
      </c>
      <c r="G190" s="91">
        <f>K190+K190</f>
        <v>29350000</v>
      </c>
      <c r="H190" s="59"/>
      <c r="I190" s="58"/>
      <c r="J190" s="51">
        <v>141288</v>
      </c>
      <c r="K190" s="50">
        <v>14675000</v>
      </c>
      <c r="L190" s="33">
        <v>28583</v>
      </c>
      <c r="M190" s="50">
        <v>0</v>
      </c>
      <c r="N190" s="51">
        <v>37677</v>
      </c>
      <c r="O190" s="50">
        <v>0</v>
      </c>
      <c r="P190" s="51">
        <v>34295</v>
      </c>
      <c r="Q190" s="50">
        <v>0</v>
      </c>
      <c r="R190" s="51">
        <v>29159</v>
      </c>
      <c r="S190" s="50">
        <v>14005000</v>
      </c>
      <c r="T190" s="33">
        <f t="shared" si="57"/>
        <v>129714</v>
      </c>
      <c r="U190" s="60">
        <f t="shared" si="58"/>
        <v>91.808221505011048</v>
      </c>
      <c r="V190" s="34" t="s">
        <v>44</v>
      </c>
      <c r="W190" s="52">
        <f t="shared" si="64"/>
        <v>14005000</v>
      </c>
      <c r="X190" s="60">
        <f t="shared" si="60"/>
        <v>95.434412265758098</v>
      </c>
      <c r="Y190" s="34" t="s">
        <v>44</v>
      </c>
      <c r="Z190" s="34">
        <f t="shared" si="20"/>
        <v>129714</v>
      </c>
      <c r="AA190" s="52">
        <f t="shared" si="61"/>
        <v>14005000</v>
      </c>
      <c r="AB190" s="41">
        <f t="shared" si="62"/>
        <v>45.904110752505524</v>
      </c>
      <c r="AC190" s="34" t="s">
        <v>44</v>
      </c>
      <c r="AD190" s="90">
        <f t="shared" si="63"/>
        <v>47.717206132879049</v>
      </c>
      <c r="AE190" s="17"/>
      <c r="AF190" s="2"/>
      <c r="AG190" s="2"/>
      <c r="AH190" s="55"/>
      <c r="AI190" s="2"/>
      <c r="AJ190" s="2"/>
      <c r="AK190" s="2"/>
    </row>
    <row r="191" spans="1:37" ht="105">
      <c r="A191" s="43"/>
      <c r="B191" s="39"/>
      <c r="C191" s="46" t="s">
        <v>332</v>
      </c>
      <c r="D191" s="47" t="s">
        <v>331</v>
      </c>
      <c r="E191" s="48">
        <v>23188</v>
      </c>
      <c r="F191" s="77" t="s">
        <v>227</v>
      </c>
      <c r="G191" s="91">
        <v>19255500</v>
      </c>
      <c r="H191" s="101">
        <v>7843</v>
      </c>
      <c r="I191" s="50">
        <v>6428000</v>
      </c>
      <c r="J191" s="51">
        <v>9659</v>
      </c>
      <c r="K191" s="50">
        <v>12827500</v>
      </c>
      <c r="L191" s="33">
        <v>1608</v>
      </c>
      <c r="M191" s="103" t="s">
        <v>229</v>
      </c>
      <c r="N191" s="51">
        <v>2368</v>
      </c>
      <c r="O191" s="50">
        <v>2800000</v>
      </c>
      <c r="P191" s="51">
        <v>3391</v>
      </c>
      <c r="Q191" s="50">
        <v>3275000</v>
      </c>
      <c r="R191" s="101">
        <v>2289</v>
      </c>
      <c r="S191" s="50">
        <v>5462500</v>
      </c>
      <c r="T191" s="102">
        <f t="shared" si="57"/>
        <v>9656</v>
      </c>
      <c r="U191" s="60">
        <f t="shared" si="58"/>
        <v>99.96894088414949</v>
      </c>
      <c r="V191" s="34" t="s">
        <v>44</v>
      </c>
      <c r="W191" s="52">
        <f t="shared" si="64"/>
        <v>11537500</v>
      </c>
      <c r="X191" s="60">
        <f t="shared" si="60"/>
        <v>89.943480802962384</v>
      </c>
      <c r="Y191" s="34" t="s">
        <v>44</v>
      </c>
      <c r="Z191" s="102">
        <f t="shared" si="20"/>
        <v>17499</v>
      </c>
      <c r="AA191" s="52">
        <f t="shared" si="61"/>
        <v>17965500</v>
      </c>
      <c r="AB191" s="41">
        <f t="shared" si="62"/>
        <v>75.465758150767641</v>
      </c>
      <c r="AC191" s="34" t="s">
        <v>44</v>
      </c>
      <c r="AD191" s="90">
        <f t="shared" si="63"/>
        <v>93.300615408584562</v>
      </c>
      <c r="AE191" s="17"/>
      <c r="AF191" s="2"/>
      <c r="AG191" s="2"/>
      <c r="AH191" s="55"/>
      <c r="AI191" s="2"/>
      <c r="AJ191" s="2"/>
      <c r="AK191" s="2"/>
    </row>
    <row r="192" spans="1:37" ht="105">
      <c r="A192" s="43"/>
      <c r="B192" s="39"/>
      <c r="C192" s="46" t="s">
        <v>333</v>
      </c>
      <c r="D192" s="47" t="s">
        <v>331</v>
      </c>
      <c r="E192" s="48">
        <v>5343</v>
      </c>
      <c r="F192" s="77" t="s">
        <v>227</v>
      </c>
      <c r="G192" s="91">
        <v>70155150</v>
      </c>
      <c r="H192" s="101">
        <v>1781</v>
      </c>
      <c r="I192" s="50">
        <v>8872500</v>
      </c>
      <c r="J192" s="51">
        <v>4817</v>
      </c>
      <c r="K192" s="50">
        <v>29420000</v>
      </c>
      <c r="L192" s="33">
        <v>1151</v>
      </c>
      <c r="M192" s="103" t="s">
        <v>229</v>
      </c>
      <c r="N192" s="51">
        <v>1108</v>
      </c>
      <c r="O192" s="50">
        <v>9760000</v>
      </c>
      <c r="P192" s="51"/>
      <c r="Q192" s="50">
        <v>5600000</v>
      </c>
      <c r="R192" s="101">
        <v>973</v>
      </c>
      <c r="S192" s="50">
        <v>9007500</v>
      </c>
      <c r="T192" s="102">
        <f t="shared" si="57"/>
        <v>3232</v>
      </c>
      <c r="U192" s="60">
        <f t="shared" si="58"/>
        <v>67.095702719534984</v>
      </c>
      <c r="V192" s="34" t="s">
        <v>44</v>
      </c>
      <c r="W192" s="52">
        <f t="shared" si="64"/>
        <v>24367500</v>
      </c>
      <c r="X192" s="60">
        <f t="shared" si="60"/>
        <v>82.826308633582599</v>
      </c>
      <c r="Y192" s="34" t="s">
        <v>44</v>
      </c>
      <c r="Z192" s="102">
        <f t="shared" si="20"/>
        <v>5013</v>
      </c>
      <c r="AA192" s="52">
        <f t="shared" si="61"/>
        <v>33240000</v>
      </c>
      <c r="AB192" s="41">
        <f t="shared" si="62"/>
        <v>93.823694553621564</v>
      </c>
      <c r="AC192" s="34" t="s">
        <v>44</v>
      </c>
      <c r="AD192" s="90">
        <f t="shared" si="63"/>
        <v>47.380698352152336</v>
      </c>
      <c r="AE192" s="17"/>
      <c r="AF192" s="2"/>
      <c r="AG192" s="2"/>
      <c r="AH192" s="55"/>
      <c r="AI192" s="2"/>
      <c r="AJ192" s="2"/>
      <c r="AK192" s="2"/>
    </row>
    <row r="193" spans="1:37" ht="105">
      <c r="A193" s="43"/>
      <c r="B193" s="39"/>
      <c r="C193" s="46" t="s">
        <v>334</v>
      </c>
      <c r="D193" s="47" t="s">
        <v>331</v>
      </c>
      <c r="E193" s="48">
        <v>11793</v>
      </c>
      <c r="F193" s="77" t="s">
        <v>227</v>
      </c>
      <c r="G193" s="91">
        <v>132342200</v>
      </c>
      <c r="H193" s="101">
        <v>2836</v>
      </c>
      <c r="I193" s="50">
        <v>0</v>
      </c>
      <c r="J193" s="51">
        <v>3931</v>
      </c>
      <c r="K193" s="50">
        <v>66171100</v>
      </c>
      <c r="L193" s="33">
        <v>836</v>
      </c>
      <c r="M193" s="103" t="s">
        <v>229</v>
      </c>
      <c r="N193" s="51">
        <v>944</v>
      </c>
      <c r="O193" s="50">
        <v>6255000</v>
      </c>
      <c r="P193" s="51">
        <v>944</v>
      </c>
      <c r="Q193" s="50">
        <v>13340000</v>
      </c>
      <c r="R193" s="101">
        <v>1163</v>
      </c>
      <c r="S193" s="50">
        <v>45831100</v>
      </c>
      <c r="T193" s="102">
        <f t="shared" si="57"/>
        <v>3887</v>
      </c>
      <c r="U193" s="60">
        <f t="shared" si="58"/>
        <v>98.880691935894177</v>
      </c>
      <c r="V193" s="34" t="s">
        <v>44</v>
      </c>
      <c r="W193" s="52">
        <f t="shared" si="64"/>
        <v>65426100</v>
      </c>
      <c r="X193" s="60">
        <f t="shared" si="60"/>
        <v>98.874130851686004</v>
      </c>
      <c r="Y193" s="34" t="s">
        <v>44</v>
      </c>
      <c r="Z193" s="102">
        <f t="shared" si="20"/>
        <v>6723</v>
      </c>
      <c r="AA193" s="52">
        <f t="shared" si="61"/>
        <v>65426100</v>
      </c>
      <c r="AB193" s="41">
        <f t="shared" si="62"/>
        <v>57.008394810480787</v>
      </c>
      <c r="AC193" s="34" t="s">
        <v>44</v>
      </c>
      <c r="AD193" s="90">
        <f t="shared" si="63"/>
        <v>49.437065425843002</v>
      </c>
      <c r="AE193" s="17"/>
      <c r="AF193" s="2"/>
      <c r="AG193" s="2"/>
      <c r="AH193" s="55"/>
      <c r="AI193" s="2"/>
      <c r="AJ193" s="2"/>
      <c r="AK193" s="2"/>
    </row>
    <row r="194" spans="1:37" ht="105">
      <c r="A194" s="43"/>
      <c r="B194" s="39"/>
      <c r="C194" s="46" t="s">
        <v>335</v>
      </c>
      <c r="D194" s="47" t="s">
        <v>331</v>
      </c>
      <c r="E194" s="48">
        <v>15195</v>
      </c>
      <c r="F194" s="77" t="s">
        <v>227</v>
      </c>
      <c r="G194" s="91">
        <v>184676000</v>
      </c>
      <c r="H194" s="101">
        <v>5065</v>
      </c>
      <c r="I194" s="50">
        <v>10166000</v>
      </c>
      <c r="J194" s="51">
        <v>5065</v>
      </c>
      <c r="K194" s="50">
        <v>84477000</v>
      </c>
      <c r="L194" s="33">
        <v>1500</v>
      </c>
      <c r="M194" s="103" t="s">
        <v>229</v>
      </c>
      <c r="N194" s="51">
        <v>846</v>
      </c>
      <c r="O194" s="50">
        <v>24130000</v>
      </c>
      <c r="P194" s="51">
        <v>898</v>
      </c>
      <c r="Q194" s="50">
        <v>27800000</v>
      </c>
      <c r="R194" s="101">
        <v>1563</v>
      </c>
      <c r="S194" s="50">
        <v>30985000</v>
      </c>
      <c r="T194" s="102">
        <f t="shared" si="57"/>
        <v>4807</v>
      </c>
      <c r="U194" s="60">
        <f t="shared" si="58"/>
        <v>94.906219151036524</v>
      </c>
      <c r="V194" s="34" t="s">
        <v>44</v>
      </c>
      <c r="W194" s="52">
        <f t="shared" si="64"/>
        <v>82915000</v>
      </c>
      <c r="X194" s="60">
        <f t="shared" si="60"/>
        <v>98.150976005303221</v>
      </c>
      <c r="Y194" s="34" t="s">
        <v>44</v>
      </c>
      <c r="Z194" s="102">
        <f t="shared" si="20"/>
        <v>9872</v>
      </c>
      <c r="AA194" s="52">
        <f t="shared" si="61"/>
        <v>93081000</v>
      </c>
      <c r="AB194" s="41">
        <f t="shared" si="62"/>
        <v>64.968739717012184</v>
      </c>
      <c r="AC194" s="34" t="s">
        <v>44</v>
      </c>
      <c r="AD194" s="90">
        <f t="shared" si="63"/>
        <v>50.40232623621911</v>
      </c>
      <c r="AE194" s="17"/>
      <c r="AF194" s="2"/>
      <c r="AG194" s="2"/>
      <c r="AH194" s="55"/>
      <c r="AI194" s="2"/>
      <c r="AJ194" s="2"/>
      <c r="AK194" s="2"/>
    </row>
    <row r="195" spans="1:37" ht="105">
      <c r="A195" s="43"/>
      <c r="B195" s="39"/>
      <c r="C195" s="46" t="s">
        <v>336</v>
      </c>
      <c r="D195" s="47" t="s">
        <v>331</v>
      </c>
      <c r="E195" s="48">
        <v>12376</v>
      </c>
      <c r="F195" s="77" t="s">
        <v>227</v>
      </c>
      <c r="G195" s="91">
        <v>2400000</v>
      </c>
      <c r="H195" s="101">
        <v>2654</v>
      </c>
      <c r="I195" s="50">
        <v>600000</v>
      </c>
      <c r="J195" s="51">
        <v>4861</v>
      </c>
      <c r="K195" s="50">
        <v>900000</v>
      </c>
      <c r="L195" s="33">
        <v>694</v>
      </c>
      <c r="M195" s="103" t="s">
        <v>229</v>
      </c>
      <c r="N195" s="51">
        <v>628</v>
      </c>
      <c r="O195" s="50">
        <v>456000</v>
      </c>
      <c r="P195" s="51">
        <v>2239</v>
      </c>
      <c r="Q195" s="50">
        <v>456000</v>
      </c>
      <c r="R195" s="101">
        <v>760</v>
      </c>
      <c r="S195" s="50">
        <v>300000</v>
      </c>
      <c r="T195" s="102">
        <f t="shared" si="57"/>
        <v>4321</v>
      </c>
      <c r="U195" s="60">
        <f t="shared" si="58"/>
        <v>88.891174655420684</v>
      </c>
      <c r="V195" s="34" t="s">
        <v>44</v>
      </c>
      <c r="W195" s="52">
        <f t="shared" si="64"/>
        <v>1212000</v>
      </c>
      <c r="X195" s="60">
        <f t="shared" si="60"/>
        <v>134.66666666666666</v>
      </c>
      <c r="Y195" s="34" t="s">
        <v>44</v>
      </c>
      <c r="Z195" s="102">
        <f t="shared" si="20"/>
        <v>6975</v>
      </c>
      <c r="AA195" s="52">
        <f t="shared" si="61"/>
        <v>1812000</v>
      </c>
      <c r="AB195" s="41">
        <f t="shared" si="62"/>
        <v>56.359082094376213</v>
      </c>
      <c r="AC195" s="34" t="s">
        <v>44</v>
      </c>
      <c r="AD195" s="90">
        <f t="shared" si="63"/>
        <v>75.5</v>
      </c>
      <c r="AE195" s="17"/>
      <c r="AF195" s="2"/>
      <c r="AG195" s="2"/>
      <c r="AH195" s="55"/>
      <c r="AI195" s="2"/>
      <c r="AJ195" s="2"/>
      <c r="AK195" s="2"/>
    </row>
    <row r="196" spans="1:37" ht="105">
      <c r="A196" s="43"/>
      <c r="B196" s="39"/>
      <c r="C196" s="46" t="s">
        <v>337</v>
      </c>
      <c r="D196" s="47" t="s">
        <v>331</v>
      </c>
      <c r="E196" s="48">
        <v>22166</v>
      </c>
      <c r="F196" s="77" t="s">
        <v>227</v>
      </c>
      <c r="G196" s="91">
        <v>174578000</v>
      </c>
      <c r="H196" s="101">
        <v>3339</v>
      </c>
      <c r="I196" s="50">
        <v>40630000</v>
      </c>
      <c r="J196" s="51">
        <v>7391</v>
      </c>
      <c r="K196" s="50">
        <v>66834000</v>
      </c>
      <c r="L196" s="33">
        <v>1125</v>
      </c>
      <c r="M196" s="103" t="s">
        <v>229</v>
      </c>
      <c r="N196" s="51">
        <v>1184</v>
      </c>
      <c r="O196" s="50">
        <v>17279000</v>
      </c>
      <c r="P196" s="51">
        <v>2826</v>
      </c>
      <c r="Q196" s="50">
        <v>18422500</v>
      </c>
      <c r="R196" s="101">
        <v>2188</v>
      </c>
      <c r="S196" s="50">
        <v>30362500</v>
      </c>
      <c r="T196" s="102">
        <f t="shared" si="57"/>
        <v>7323</v>
      </c>
      <c r="U196" s="60">
        <f t="shared" si="58"/>
        <v>99.079962116087131</v>
      </c>
      <c r="V196" s="34" t="s">
        <v>44</v>
      </c>
      <c r="W196" s="52">
        <f t="shared" si="64"/>
        <v>66064000</v>
      </c>
      <c r="X196" s="60">
        <f t="shared" si="60"/>
        <v>98.847891791603075</v>
      </c>
      <c r="Y196" s="34" t="s">
        <v>44</v>
      </c>
      <c r="Z196" s="102">
        <f t="shared" si="20"/>
        <v>10662</v>
      </c>
      <c r="AA196" s="52">
        <f t="shared" si="61"/>
        <v>106694000</v>
      </c>
      <c r="AB196" s="41">
        <f t="shared" si="62"/>
        <v>48.100694757737074</v>
      </c>
      <c r="AC196" s="34" t="s">
        <v>44</v>
      </c>
      <c r="AD196" s="90">
        <f t="shared" si="63"/>
        <v>61.115375362302238</v>
      </c>
      <c r="AE196" s="17"/>
      <c r="AF196" s="2"/>
      <c r="AG196" s="2"/>
      <c r="AH196" s="55"/>
      <c r="AI196" s="2"/>
      <c r="AJ196" s="2"/>
      <c r="AK196" s="2"/>
    </row>
    <row r="197" spans="1:37" ht="105">
      <c r="A197" s="43"/>
      <c r="B197" s="39"/>
      <c r="C197" s="46" t="s">
        <v>338</v>
      </c>
      <c r="D197" s="47" t="s">
        <v>331</v>
      </c>
      <c r="E197" s="48">
        <v>17292</v>
      </c>
      <c r="F197" s="77" t="s">
        <v>227</v>
      </c>
      <c r="G197" s="91">
        <v>40305000</v>
      </c>
      <c r="H197" s="101">
        <v>2392</v>
      </c>
      <c r="I197" s="50">
        <v>2727500</v>
      </c>
      <c r="J197" s="51">
        <v>5764</v>
      </c>
      <c r="K197" s="50">
        <v>15275000</v>
      </c>
      <c r="L197" s="33">
        <v>224</v>
      </c>
      <c r="M197" s="103" t="s">
        <v>229</v>
      </c>
      <c r="N197" s="51">
        <v>224</v>
      </c>
      <c r="O197" s="50">
        <v>1370000</v>
      </c>
      <c r="P197" s="51">
        <v>984</v>
      </c>
      <c r="Q197" s="50">
        <v>2910000</v>
      </c>
      <c r="R197" s="101">
        <v>284</v>
      </c>
      <c r="S197" s="50">
        <v>1520000</v>
      </c>
      <c r="T197" s="102">
        <f t="shared" si="57"/>
        <v>1716</v>
      </c>
      <c r="U197" s="60">
        <f t="shared" si="58"/>
        <v>29.770992366412212</v>
      </c>
      <c r="V197" s="34" t="s">
        <v>44</v>
      </c>
      <c r="W197" s="52">
        <f t="shared" si="64"/>
        <v>5800000</v>
      </c>
      <c r="X197" s="60">
        <f t="shared" si="60"/>
        <v>37.97054009819967</v>
      </c>
      <c r="Y197" s="34" t="s">
        <v>44</v>
      </c>
      <c r="Z197" s="102">
        <f t="shared" si="20"/>
        <v>4108</v>
      </c>
      <c r="AA197" s="52">
        <f t="shared" si="61"/>
        <v>8527500</v>
      </c>
      <c r="AB197" s="41">
        <f t="shared" si="62"/>
        <v>23.756650474207728</v>
      </c>
      <c r="AC197" s="34" t="s">
        <v>44</v>
      </c>
      <c r="AD197" s="90">
        <f t="shared" si="63"/>
        <v>21.157424637141794</v>
      </c>
      <c r="AE197" s="17"/>
      <c r="AF197" s="2"/>
      <c r="AG197" s="2"/>
      <c r="AH197" s="55"/>
      <c r="AI197" s="2"/>
      <c r="AJ197" s="2"/>
      <c r="AK197" s="2"/>
    </row>
    <row r="198" spans="1:37" ht="105">
      <c r="A198" s="43"/>
      <c r="B198" s="39"/>
      <c r="C198" s="46" t="s">
        <v>339</v>
      </c>
      <c r="D198" s="47" t="s">
        <v>331</v>
      </c>
      <c r="E198" s="48">
        <v>38796</v>
      </c>
      <c r="F198" s="77" t="s">
        <v>227</v>
      </c>
      <c r="G198" s="91">
        <v>50512500</v>
      </c>
      <c r="H198" s="101">
        <v>12757</v>
      </c>
      <c r="I198" s="50">
        <v>0</v>
      </c>
      <c r="J198" s="51">
        <v>12926</v>
      </c>
      <c r="K198" s="50">
        <v>45837500</v>
      </c>
      <c r="L198" s="33">
        <v>3013</v>
      </c>
      <c r="M198" s="103" t="s">
        <v>229</v>
      </c>
      <c r="N198" s="51">
        <v>3247</v>
      </c>
      <c r="O198" s="50">
        <v>11510000</v>
      </c>
      <c r="P198" s="51">
        <v>2812</v>
      </c>
      <c r="Q198" s="50">
        <v>22120000</v>
      </c>
      <c r="R198" s="101">
        <v>3444</v>
      </c>
      <c r="S198" s="50">
        <v>3690000</v>
      </c>
      <c r="T198" s="102">
        <f t="shared" si="57"/>
        <v>12516</v>
      </c>
      <c r="U198" s="60">
        <f t="shared" si="58"/>
        <v>96.828098406312861</v>
      </c>
      <c r="V198" s="34" t="s">
        <v>44</v>
      </c>
      <c r="W198" s="52">
        <f t="shared" si="64"/>
        <v>37320000</v>
      </c>
      <c r="X198" s="60">
        <f t="shared" si="60"/>
        <v>81.418052904281424</v>
      </c>
      <c r="Y198" s="34" t="s">
        <v>44</v>
      </c>
      <c r="Z198" s="102">
        <f t="shared" si="20"/>
        <v>25273</v>
      </c>
      <c r="AA198" s="52">
        <f t="shared" si="61"/>
        <v>37320000</v>
      </c>
      <c r="AB198" s="41">
        <f t="shared" si="62"/>
        <v>65.143313743684914</v>
      </c>
      <c r="AC198" s="34" t="s">
        <v>44</v>
      </c>
      <c r="AD198" s="90">
        <f t="shared" si="63"/>
        <v>73.882702301410546</v>
      </c>
      <c r="AE198" s="17"/>
      <c r="AF198" s="2"/>
      <c r="AG198" s="2"/>
      <c r="AH198" s="55"/>
      <c r="AI198" s="2"/>
      <c r="AJ198" s="2"/>
      <c r="AK198" s="2"/>
    </row>
    <row r="199" spans="1:37" ht="105">
      <c r="A199" s="43"/>
      <c r="B199" s="39"/>
      <c r="C199" s="46" t="s">
        <v>340</v>
      </c>
      <c r="D199" s="47" t="s">
        <v>331</v>
      </c>
      <c r="E199" s="48">
        <v>22992</v>
      </c>
      <c r="F199" s="77" t="s">
        <v>227</v>
      </c>
      <c r="G199" s="91">
        <v>111010000</v>
      </c>
      <c r="H199" s="101">
        <v>7664</v>
      </c>
      <c r="I199" s="50">
        <v>11425000</v>
      </c>
      <c r="J199" s="51">
        <v>7380</v>
      </c>
      <c r="K199" s="50">
        <v>49117500</v>
      </c>
      <c r="L199" s="33">
        <v>240</v>
      </c>
      <c r="M199" s="103" t="s">
        <v>229</v>
      </c>
      <c r="N199" s="51">
        <v>1500</v>
      </c>
      <c r="O199" s="50">
        <v>11400000</v>
      </c>
      <c r="P199" s="51">
        <v>1550</v>
      </c>
      <c r="Q199" s="50">
        <v>11915500</v>
      </c>
      <c r="R199" s="101">
        <v>4090</v>
      </c>
      <c r="S199" s="50">
        <v>22726725</v>
      </c>
      <c r="T199" s="102">
        <f t="shared" si="57"/>
        <v>7380</v>
      </c>
      <c r="U199" s="60">
        <f t="shared" si="58"/>
        <v>100</v>
      </c>
      <c r="V199" s="34" t="s">
        <v>44</v>
      </c>
      <c r="W199" s="52">
        <f t="shared" si="64"/>
        <v>46042225</v>
      </c>
      <c r="X199" s="60">
        <f t="shared" si="60"/>
        <v>93.738942332162665</v>
      </c>
      <c r="Y199" s="34" t="s">
        <v>44</v>
      </c>
      <c r="Z199" s="102">
        <f t="shared" si="20"/>
        <v>15044</v>
      </c>
      <c r="AA199" s="52">
        <f t="shared" si="61"/>
        <v>57467225</v>
      </c>
      <c r="AB199" s="41">
        <f t="shared" si="62"/>
        <v>65.431454418928325</v>
      </c>
      <c r="AC199" s="34" t="s">
        <v>44</v>
      </c>
      <c r="AD199" s="90">
        <f t="shared" si="63"/>
        <v>51.767611026033691</v>
      </c>
      <c r="AE199" s="17"/>
      <c r="AF199" s="2"/>
      <c r="AG199" s="2"/>
      <c r="AH199" s="55"/>
      <c r="AI199" s="2"/>
      <c r="AJ199" s="2"/>
      <c r="AK199" s="2"/>
    </row>
    <row r="200" spans="1:37" ht="105">
      <c r="A200" s="43"/>
      <c r="B200" s="39"/>
      <c r="C200" s="46" t="s">
        <v>341</v>
      </c>
      <c r="D200" s="47" t="s">
        <v>331</v>
      </c>
      <c r="E200" s="48">
        <v>14139</v>
      </c>
      <c r="F200" s="77" t="s">
        <v>227</v>
      </c>
      <c r="G200" s="91">
        <v>169352500</v>
      </c>
      <c r="H200" s="101">
        <v>2089</v>
      </c>
      <c r="I200" s="50">
        <v>3752500</v>
      </c>
      <c r="J200" s="51">
        <v>4713</v>
      </c>
      <c r="K200" s="50">
        <v>82800000</v>
      </c>
      <c r="L200" s="33">
        <v>150</v>
      </c>
      <c r="M200" s="103" t="s">
        <v>229</v>
      </c>
      <c r="N200" s="51">
        <v>155</v>
      </c>
      <c r="O200" s="50">
        <v>7150000</v>
      </c>
      <c r="P200" s="51">
        <v>179</v>
      </c>
      <c r="Q200" s="50">
        <v>9470000</v>
      </c>
      <c r="R200" s="101">
        <v>184</v>
      </c>
      <c r="S200" s="50">
        <v>14980000</v>
      </c>
      <c r="T200" s="102">
        <f t="shared" si="57"/>
        <v>668</v>
      </c>
      <c r="U200" s="60">
        <f t="shared" si="58"/>
        <v>14.173562486738808</v>
      </c>
      <c r="V200" s="34" t="s">
        <v>44</v>
      </c>
      <c r="W200" s="52">
        <f t="shared" si="64"/>
        <v>31600000</v>
      </c>
      <c r="X200" s="60">
        <f t="shared" si="60"/>
        <v>38.164251207729464</v>
      </c>
      <c r="Y200" s="34" t="s">
        <v>44</v>
      </c>
      <c r="Z200" s="102">
        <f t="shared" si="20"/>
        <v>2757</v>
      </c>
      <c r="AA200" s="52">
        <f t="shared" si="61"/>
        <v>35352500</v>
      </c>
      <c r="AB200" s="41">
        <f t="shared" si="62"/>
        <v>19.499257373222999</v>
      </c>
      <c r="AC200" s="34" t="s">
        <v>44</v>
      </c>
      <c r="AD200" s="90">
        <f t="shared" si="63"/>
        <v>20.875097798969605</v>
      </c>
      <c r="AE200" s="17"/>
      <c r="AF200" s="2"/>
      <c r="AG200" s="2"/>
      <c r="AH200" s="55"/>
      <c r="AI200" s="2"/>
      <c r="AJ200" s="2"/>
      <c r="AK200" s="2"/>
    </row>
    <row r="201" spans="1:37" ht="105">
      <c r="A201" s="43"/>
      <c r="B201" s="39"/>
      <c r="C201" s="46" t="s">
        <v>342</v>
      </c>
      <c r="D201" s="47" t="s">
        <v>331</v>
      </c>
      <c r="E201" s="48">
        <v>43455</v>
      </c>
      <c r="F201" s="77" t="s">
        <v>227</v>
      </c>
      <c r="G201" s="91">
        <v>26613000</v>
      </c>
      <c r="H201" s="101">
        <v>7672</v>
      </c>
      <c r="I201" s="50">
        <v>4358000</v>
      </c>
      <c r="J201" s="51">
        <v>13973</v>
      </c>
      <c r="K201" s="50">
        <v>10947500</v>
      </c>
      <c r="L201" s="33">
        <v>1919</v>
      </c>
      <c r="M201" s="103" t="s">
        <v>229</v>
      </c>
      <c r="N201" s="51">
        <v>4294</v>
      </c>
      <c r="O201" s="50">
        <v>5047500</v>
      </c>
      <c r="P201" s="51">
        <v>3250</v>
      </c>
      <c r="Q201" s="50">
        <v>2747500</v>
      </c>
      <c r="R201" s="101">
        <v>3073</v>
      </c>
      <c r="S201" s="50">
        <v>2410000</v>
      </c>
      <c r="T201" s="102">
        <f t="shared" si="57"/>
        <v>12536</v>
      </c>
      <c r="U201" s="60">
        <f t="shared" si="58"/>
        <v>89.715880626923351</v>
      </c>
      <c r="V201" s="34" t="s">
        <v>44</v>
      </c>
      <c r="W201" s="52">
        <f t="shared" si="64"/>
        <v>10205000</v>
      </c>
      <c r="X201" s="60">
        <f t="shared" si="60"/>
        <v>93.21762959579813</v>
      </c>
      <c r="Y201" s="34" t="s">
        <v>44</v>
      </c>
      <c r="Z201" s="102">
        <f t="shared" si="20"/>
        <v>20208</v>
      </c>
      <c r="AA201" s="52">
        <f t="shared" si="61"/>
        <v>14563000</v>
      </c>
      <c r="AB201" s="41">
        <f t="shared" si="62"/>
        <v>46.5032792544011</v>
      </c>
      <c r="AC201" s="34" t="s">
        <v>44</v>
      </c>
      <c r="AD201" s="90">
        <f t="shared" si="63"/>
        <v>54.721376770751142</v>
      </c>
      <c r="AE201" s="17"/>
      <c r="AF201" s="2"/>
      <c r="AG201" s="2"/>
      <c r="AH201" s="55"/>
      <c r="AI201" s="2"/>
      <c r="AJ201" s="2"/>
      <c r="AK201" s="2"/>
    </row>
    <row r="202" spans="1:37" ht="105">
      <c r="A202" s="43"/>
      <c r="B202" s="39"/>
      <c r="C202" s="46" t="s">
        <v>343</v>
      </c>
      <c r="D202" s="47" t="s">
        <v>331</v>
      </c>
      <c r="E202" s="48">
        <v>9980</v>
      </c>
      <c r="F202" s="77" t="s">
        <v>227</v>
      </c>
      <c r="G202" s="91">
        <v>255196750</v>
      </c>
      <c r="H202" s="101">
        <v>3131</v>
      </c>
      <c r="I202" s="50">
        <v>62888000</v>
      </c>
      <c r="J202" s="51">
        <v>3335</v>
      </c>
      <c r="K202" s="50">
        <v>94441500</v>
      </c>
      <c r="L202" s="106">
        <v>680</v>
      </c>
      <c r="M202" s="107" t="s">
        <v>229</v>
      </c>
      <c r="N202" s="108">
        <v>1346</v>
      </c>
      <c r="O202" s="107">
        <v>25220000</v>
      </c>
      <c r="P202" s="108">
        <v>2301</v>
      </c>
      <c r="Q202" s="107">
        <v>50911000</v>
      </c>
      <c r="R202" s="109">
        <v>2.6629999999999998</v>
      </c>
      <c r="S202" s="107">
        <v>90043500</v>
      </c>
      <c r="T202" s="102">
        <f t="shared" si="57"/>
        <v>4329.6629999999996</v>
      </c>
      <c r="U202" s="60">
        <f t="shared" si="58"/>
        <v>129.82497751124436</v>
      </c>
      <c r="V202" s="34" t="s">
        <v>44</v>
      </c>
      <c r="W202" s="52">
        <f t="shared" si="64"/>
        <v>166174500</v>
      </c>
      <c r="X202" s="60">
        <f t="shared" si="60"/>
        <v>175.95495624275347</v>
      </c>
      <c r="Y202" s="34" t="s">
        <v>44</v>
      </c>
      <c r="Z202" s="102">
        <f t="shared" si="20"/>
        <v>7460.6629999999996</v>
      </c>
      <c r="AA202" s="52">
        <f t="shared" si="61"/>
        <v>229062500</v>
      </c>
      <c r="AB202" s="41">
        <f t="shared" si="62"/>
        <v>74.756142284569137</v>
      </c>
      <c r="AC202" s="34" t="s">
        <v>44</v>
      </c>
      <c r="AD202" s="90">
        <f t="shared" si="63"/>
        <v>89.759176008315151</v>
      </c>
      <c r="AE202" s="17"/>
      <c r="AF202" s="2"/>
      <c r="AG202" s="2"/>
      <c r="AH202" s="55"/>
      <c r="AI202" s="2"/>
      <c r="AJ202" s="2"/>
      <c r="AK202" s="2"/>
    </row>
    <row r="203" spans="1:37" ht="105">
      <c r="A203" s="43"/>
      <c r="B203" s="39"/>
      <c r="C203" s="46" t="s">
        <v>344</v>
      </c>
      <c r="D203" s="47" t="s">
        <v>331</v>
      </c>
      <c r="E203" s="48">
        <v>5544</v>
      </c>
      <c r="F203" s="77" t="s">
        <v>227</v>
      </c>
      <c r="G203" s="91">
        <v>94317500</v>
      </c>
      <c r="H203" s="101">
        <v>2869</v>
      </c>
      <c r="I203" s="50">
        <v>5730000</v>
      </c>
      <c r="J203" s="51">
        <v>2673</v>
      </c>
      <c r="K203" s="50">
        <v>44218750</v>
      </c>
      <c r="L203" s="33">
        <v>637</v>
      </c>
      <c r="M203" s="103" t="s">
        <v>229</v>
      </c>
      <c r="N203" s="51">
        <v>884</v>
      </c>
      <c r="O203" s="50">
        <v>12320000</v>
      </c>
      <c r="P203" s="51">
        <v>316</v>
      </c>
      <c r="Q203" s="50">
        <v>14590000</v>
      </c>
      <c r="R203" s="112">
        <v>175</v>
      </c>
      <c r="S203" s="107">
        <v>9777500</v>
      </c>
      <c r="T203" s="102">
        <f t="shared" si="57"/>
        <v>2012</v>
      </c>
      <c r="U203" s="60">
        <f t="shared" si="58"/>
        <v>75.271230826786379</v>
      </c>
      <c r="V203" s="34" t="s">
        <v>44</v>
      </c>
      <c r="W203" s="52">
        <f t="shared" si="64"/>
        <v>36687500</v>
      </c>
      <c r="X203" s="60">
        <f t="shared" si="60"/>
        <v>82.968197879858664</v>
      </c>
      <c r="Y203" s="34" t="s">
        <v>44</v>
      </c>
      <c r="Z203" s="102">
        <f t="shared" si="20"/>
        <v>4881</v>
      </c>
      <c r="AA203" s="52">
        <f t="shared" si="61"/>
        <v>42417500</v>
      </c>
      <c r="AB203" s="41">
        <f t="shared" si="62"/>
        <v>88.041125541125538</v>
      </c>
      <c r="AC203" s="34" t="s">
        <v>44</v>
      </c>
      <c r="AD203" s="90">
        <f t="shared" si="63"/>
        <v>44.973096191056804</v>
      </c>
      <c r="AE203" s="17"/>
      <c r="AF203" s="2"/>
      <c r="AG203" s="2"/>
      <c r="AH203" s="55"/>
      <c r="AI203" s="2"/>
      <c r="AJ203" s="2"/>
      <c r="AK203" s="2"/>
    </row>
    <row r="204" spans="1:37" ht="105">
      <c r="A204" s="43"/>
      <c r="B204" s="39"/>
      <c r="C204" s="46" t="s">
        <v>345</v>
      </c>
      <c r="D204" s="47" t="s">
        <v>331</v>
      </c>
      <c r="E204" s="48">
        <v>39258</v>
      </c>
      <c r="F204" s="77" t="s">
        <v>227</v>
      </c>
      <c r="G204" s="91">
        <v>154792000</v>
      </c>
      <c r="H204" s="101">
        <v>12931</v>
      </c>
      <c r="I204" s="50">
        <v>8244000</v>
      </c>
      <c r="J204" s="51">
        <v>13086</v>
      </c>
      <c r="K204" s="50">
        <v>104060000</v>
      </c>
      <c r="L204" s="33">
        <v>3312</v>
      </c>
      <c r="M204" s="103" t="s">
        <v>229</v>
      </c>
      <c r="N204" s="51">
        <v>3530</v>
      </c>
      <c r="O204" s="50">
        <v>17480000</v>
      </c>
      <c r="P204" s="51">
        <v>3738</v>
      </c>
      <c r="Q204" s="50">
        <v>25106500</v>
      </c>
      <c r="R204" s="112">
        <v>1866</v>
      </c>
      <c r="S204" s="107">
        <v>50920000</v>
      </c>
      <c r="T204" s="102">
        <f t="shared" si="57"/>
        <v>12446</v>
      </c>
      <c r="U204" s="60">
        <f t="shared" si="58"/>
        <v>95.109277090019873</v>
      </c>
      <c r="V204" s="34" t="s">
        <v>44</v>
      </c>
      <c r="W204" s="52">
        <f t="shared" si="64"/>
        <v>93506500</v>
      </c>
      <c r="X204" s="60">
        <f t="shared" si="60"/>
        <v>89.858254852969438</v>
      </c>
      <c r="Y204" s="34" t="s">
        <v>44</v>
      </c>
      <c r="Z204" s="102">
        <f t="shared" si="20"/>
        <v>25377</v>
      </c>
      <c r="AA204" s="52">
        <f t="shared" si="61"/>
        <v>101750500</v>
      </c>
      <c r="AB204" s="41">
        <f t="shared" si="62"/>
        <v>64.641601711753012</v>
      </c>
      <c r="AC204" s="34" t="s">
        <v>44</v>
      </c>
      <c r="AD204" s="90">
        <f t="shared" si="63"/>
        <v>65.733694247764745</v>
      </c>
      <c r="AE204" s="17"/>
      <c r="AF204" s="2"/>
      <c r="AG204" s="2"/>
      <c r="AH204" s="55"/>
      <c r="AI204" s="2"/>
      <c r="AJ204" s="2"/>
      <c r="AK204" s="2"/>
    </row>
    <row r="205" spans="1:37" ht="105">
      <c r="A205" s="43"/>
      <c r="B205" s="39"/>
      <c r="C205" s="46" t="s">
        <v>346</v>
      </c>
      <c r="D205" s="47" t="s">
        <v>331</v>
      </c>
      <c r="E205" s="48">
        <v>15891</v>
      </c>
      <c r="F205" s="77" t="s">
        <v>227</v>
      </c>
      <c r="G205" s="91">
        <v>44380000</v>
      </c>
      <c r="H205" s="101">
        <v>5297</v>
      </c>
      <c r="I205" s="50">
        <v>39180000</v>
      </c>
      <c r="J205" s="51">
        <v>6010</v>
      </c>
      <c r="K205" s="50">
        <v>2600000</v>
      </c>
      <c r="L205" s="33">
        <v>986</v>
      </c>
      <c r="M205" s="103" t="s">
        <v>229</v>
      </c>
      <c r="N205" s="48">
        <v>2205</v>
      </c>
      <c r="O205" s="50"/>
      <c r="P205" s="48">
        <v>1424</v>
      </c>
      <c r="Q205" s="50">
        <v>1950000</v>
      </c>
      <c r="R205" s="112">
        <v>1109</v>
      </c>
      <c r="S205" s="107">
        <v>420000</v>
      </c>
      <c r="T205" s="102">
        <f t="shared" si="57"/>
        <v>5724</v>
      </c>
      <c r="U205" s="60">
        <f t="shared" si="58"/>
        <v>95.241264559068213</v>
      </c>
      <c r="V205" s="34" t="s">
        <v>44</v>
      </c>
      <c r="W205" s="52">
        <f t="shared" si="64"/>
        <v>2370000</v>
      </c>
      <c r="X205" s="60">
        <f t="shared" si="60"/>
        <v>91.153846153846146</v>
      </c>
      <c r="Y205" s="34" t="s">
        <v>44</v>
      </c>
      <c r="Z205" s="102">
        <f t="shared" si="20"/>
        <v>11021</v>
      </c>
      <c r="AA205" s="52">
        <f t="shared" si="61"/>
        <v>41550000</v>
      </c>
      <c r="AB205" s="41">
        <f t="shared" si="62"/>
        <v>69.353722232710339</v>
      </c>
      <c r="AC205" s="34" t="s">
        <v>44</v>
      </c>
      <c r="AD205" s="90">
        <f t="shared" si="63"/>
        <v>93.623253717890947</v>
      </c>
      <c r="AE205" s="17"/>
      <c r="AF205" s="2"/>
      <c r="AG205" s="2"/>
      <c r="AH205" s="55"/>
      <c r="AI205" s="2"/>
      <c r="AJ205" s="2"/>
      <c r="AK205" s="2"/>
    </row>
    <row r="206" spans="1:37" ht="105">
      <c r="A206" s="43"/>
      <c r="B206" s="39"/>
      <c r="C206" s="46" t="s">
        <v>347</v>
      </c>
      <c r="D206" s="47" t="s">
        <v>331</v>
      </c>
      <c r="E206" s="48">
        <v>25759</v>
      </c>
      <c r="F206" s="77" t="s">
        <v>227</v>
      </c>
      <c r="G206" s="91">
        <v>96028000</v>
      </c>
      <c r="H206" s="101">
        <v>7026</v>
      </c>
      <c r="I206" s="50">
        <v>0</v>
      </c>
      <c r="J206" s="51">
        <v>8236</v>
      </c>
      <c r="K206" s="50">
        <v>48014000</v>
      </c>
      <c r="L206" s="115">
        <v>1775</v>
      </c>
      <c r="M206" s="116">
        <v>0</v>
      </c>
      <c r="N206" s="117">
        <v>2016</v>
      </c>
      <c r="O206" s="107">
        <v>11920000</v>
      </c>
      <c r="P206" s="117">
        <v>2620</v>
      </c>
      <c r="Q206" s="107">
        <v>19970800</v>
      </c>
      <c r="R206" s="118">
        <v>1560</v>
      </c>
      <c r="S206" s="107">
        <v>13327500</v>
      </c>
      <c r="T206" s="102">
        <f t="shared" si="57"/>
        <v>7971</v>
      </c>
      <c r="U206" s="60">
        <f t="shared" si="58"/>
        <v>96.782418649830021</v>
      </c>
      <c r="V206" s="34" t="s">
        <v>44</v>
      </c>
      <c r="W206" s="52">
        <f t="shared" si="64"/>
        <v>45218300</v>
      </c>
      <c r="X206" s="60">
        <f t="shared" si="60"/>
        <v>94.177323280709786</v>
      </c>
      <c r="Y206" s="34" t="s">
        <v>44</v>
      </c>
      <c r="Z206" s="102">
        <f t="shared" si="20"/>
        <v>14997</v>
      </c>
      <c r="AA206" s="52">
        <f t="shared" si="61"/>
        <v>45218300</v>
      </c>
      <c r="AB206" s="41">
        <f t="shared" si="62"/>
        <v>58.22042781163865</v>
      </c>
      <c r="AC206" s="34" t="s">
        <v>44</v>
      </c>
      <c r="AD206" s="90">
        <f t="shared" si="63"/>
        <v>47.088661640354893</v>
      </c>
      <c r="AE206" s="17"/>
      <c r="AF206" s="2"/>
      <c r="AG206" s="2"/>
      <c r="AH206" s="55"/>
      <c r="AI206" s="2"/>
      <c r="AJ206" s="2"/>
      <c r="AK206" s="2"/>
    </row>
    <row r="207" spans="1:37" ht="105">
      <c r="A207" s="43"/>
      <c r="B207" s="39"/>
      <c r="C207" s="46" t="s">
        <v>348</v>
      </c>
      <c r="D207" s="47" t="s">
        <v>331</v>
      </c>
      <c r="E207" s="48">
        <v>16933</v>
      </c>
      <c r="F207" s="77" t="s">
        <v>227</v>
      </c>
      <c r="G207" s="91">
        <v>23472000</v>
      </c>
      <c r="H207" s="101">
        <v>6336</v>
      </c>
      <c r="I207" s="50">
        <v>0</v>
      </c>
      <c r="J207" s="51">
        <v>5649</v>
      </c>
      <c r="K207" s="50">
        <v>11736000</v>
      </c>
      <c r="L207" s="33">
        <v>1286</v>
      </c>
      <c r="M207" s="50">
        <v>0</v>
      </c>
      <c r="N207" s="51">
        <v>1567</v>
      </c>
      <c r="O207" s="50">
        <v>680000</v>
      </c>
      <c r="P207" s="51">
        <v>1583</v>
      </c>
      <c r="Q207" s="50">
        <v>4890000</v>
      </c>
      <c r="R207" s="112">
        <v>762</v>
      </c>
      <c r="S207" s="78">
        <v>340000</v>
      </c>
      <c r="T207" s="102">
        <f t="shared" si="57"/>
        <v>5198</v>
      </c>
      <c r="U207" s="60">
        <f t="shared" si="58"/>
        <v>92.016286068330672</v>
      </c>
      <c r="V207" s="34" t="s">
        <v>44</v>
      </c>
      <c r="W207" s="52">
        <f t="shared" si="64"/>
        <v>5910000</v>
      </c>
      <c r="X207" s="60">
        <f t="shared" si="60"/>
        <v>50.357873210633954</v>
      </c>
      <c r="Y207" s="34" t="s">
        <v>44</v>
      </c>
      <c r="Z207" s="102">
        <f t="shared" si="20"/>
        <v>11534</v>
      </c>
      <c r="AA207" s="52">
        <f t="shared" si="61"/>
        <v>5910000</v>
      </c>
      <c r="AB207" s="41">
        <f t="shared" si="62"/>
        <v>68.115514084922935</v>
      </c>
      <c r="AC207" s="34" t="s">
        <v>44</v>
      </c>
      <c r="AD207" s="90">
        <f t="shared" si="63"/>
        <v>25.178936605316977</v>
      </c>
      <c r="AE207" s="17"/>
      <c r="AF207" s="2"/>
      <c r="AG207" s="2"/>
      <c r="AH207" s="55"/>
      <c r="AI207" s="2"/>
      <c r="AJ207" s="2"/>
      <c r="AK207" s="2"/>
    </row>
    <row r="208" spans="1:37" ht="105">
      <c r="A208" s="43"/>
      <c r="B208" s="39"/>
      <c r="C208" s="46" t="s">
        <v>349</v>
      </c>
      <c r="D208" s="47" t="s">
        <v>331</v>
      </c>
      <c r="E208" s="48">
        <v>23040</v>
      </c>
      <c r="F208" s="77" t="s">
        <v>227</v>
      </c>
      <c r="G208" s="91">
        <v>131636000</v>
      </c>
      <c r="H208" s="101">
        <v>5563</v>
      </c>
      <c r="I208" s="50">
        <v>3880000</v>
      </c>
      <c r="J208" s="51">
        <v>6065</v>
      </c>
      <c r="K208" s="50">
        <v>63878000</v>
      </c>
      <c r="L208" s="33">
        <v>1516</v>
      </c>
      <c r="M208" s="103" t="s">
        <v>229</v>
      </c>
      <c r="N208" s="51">
        <v>1516</v>
      </c>
      <c r="O208" s="50">
        <v>5661250</v>
      </c>
      <c r="P208" s="51">
        <v>1516</v>
      </c>
      <c r="Q208" s="50">
        <v>32472500</v>
      </c>
      <c r="R208" s="112">
        <v>1517</v>
      </c>
      <c r="S208" s="107">
        <v>25290000</v>
      </c>
      <c r="T208" s="102">
        <f t="shared" si="57"/>
        <v>6065</v>
      </c>
      <c r="U208" s="60">
        <f t="shared" si="58"/>
        <v>100</v>
      </c>
      <c r="V208" s="34" t="s">
        <v>44</v>
      </c>
      <c r="W208" s="52">
        <f t="shared" si="64"/>
        <v>63423750</v>
      </c>
      <c r="X208" s="60">
        <f t="shared" si="60"/>
        <v>99.288878800212913</v>
      </c>
      <c r="Y208" s="34" t="s">
        <v>44</v>
      </c>
      <c r="Z208" s="102">
        <f t="shared" si="20"/>
        <v>11628</v>
      </c>
      <c r="AA208" s="52">
        <f t="shared" si="61"/>
        <v>67303750</v>
      </c>
      <c r="AB208" s="41">
        <f t="shared" si="62"/>
        <v>50.468749999999993</v>
      </c>
      <c r="AC208" s="34" t="s">
        <v>44</v>
      </c>
      <c r="AD208" s="90">
        <f t="shared" si="63"/>
        <v>51.128680604090071</v>
      </c>
      <c r="AE208" s="17"/>
      <c r="AF208" s="2"/>
      <c r="AG208" s="2"/>
      <c r="AH208" s="55"/>
      <c r="AI208" s="2"/>
      <c r="AJ208" s="2"/>
      <c r="AK208" s="2"/>
    </row>
    <row r="209" spans="1:37" ht="105">
      <c r="A209" s="43"/>
      <c r="B209" s="39"/>
      <c r="C209" s="46" t="s">
        <v>350</v>
      </c>
      <c r="D209" s="47" t="s">
        <v>331</v>
      </c>
      <c r="E209" s="48">
        <v>23280</v>
      </c>
      <c r="F209" s="77" t="s">
        <v>227</v>
      </c>
      <c r="G209" s="91">
        <v>91427900</v>
      </c>
      <c r="H209" s="101">
        <v>6322</v>
      </c>
      <c r="I209" s="50">
        <v>9761500</v>
      </c>
      <c r="J209" s="51">
        <v>7760</v>
      </c>
      <c r="K209" s="50">
        <v>44883200</v>
      </c>
      <c r="L209" s="106">
        <v>1690</v>
      </c>
      <c r="M209" s="107" t="s">
        <v>229</v>
      </c>
      <c r="N209" s="108">
        <v>1940</v>
      </c>
      <c r="O209" s="107" t="s">
        <v>229</v>
      </c>
      <c r="P209" s="108">
        <v>1937</v>
      </c>
      <c r="Q209" s="107">
        <v>2860000</v>
      </c>
      <c r="R209" s="109">
        <v>2193</v>
      </c>
      <c r="S209" s="107">
        <v>35785700</v>
      </c>
      <c r="T209" s="102">
        <f t="shared" si="57"/>
        <v>7760</v>
      </c>
      <c r="U209" s="60">
        <f t="shared" si="58"/>
        <v>100</v>
      </c>
      <c r="V209" s="34" t="s">
        <v>44</v>
      </c>
      <c r="W209" s="52">
        <f t="shared" si="64"/>
        <v>38645700</v>
      </c>
      <c r="X209" s="60">
        <f t="shared" si="60"/>
        <v>86.102817980892638</v>
      </c>
      <c r="Y209" s="34" t="s">
        <v>44</v>
      </c>
      <c r="Z209" s="102">
        <f t="shared" si="20"/>
        <v>14082</v>
      </c>
      <c r="AA209" s="52">
        <f t="shared" si="61"/>
        <v>48407200</v>
      </c>
      <c r="AB209" s="41">
        <f t="shared" si="62"/>
        <v>60.489690721649481</v>
      </c>
      <c r="AC209" s="34" t="s">
        <v>44</v>
      </c>
      <c r="AD209" s="90">
        <f t="shared" si="63"/>
        <v>52.945763820453053</v>
      </c>
      <c r="AE209" s="17"/>
      <c r="AF209" s="2"/>
      <c r="AG209" s="2"/>
      <c r="AH209" s="55"/>
      <c r="AI209" s="2"/>
      <c r="AJ209" s="2"/>
      <c r="AK209" s="2"/>
    </row>
    <row r="210" spans="1:37" ht="105">
      <c r="A210" s="43"/>
      <c r="B210" s="39"/>
      <c r="C210" s="46" t="s">
        <v>351</v>
      </c>
      <c r="D210" s="47" t="s">
        <v>331</v>
      </c>
      <c r="E210" s="48">
        <v>19.324000000000002</v>
      </c>
      <c r="F210" s="77" t="s">
        <v>227</v>
      </c>
      <c r="G210" s="91">
        <v>156112000</v>
      </c>
      <c r="H210" s="101">
        <v>5.9980000000000002</v>
      </c>
      <c r="I210" s="50">
        <v>27323000</v>
      </c>
      <c r="J210" s="51">
        <v>645</v>
      </c>
      <c r="K210" s="50">
        <v>58894000</v>
      </c>
      <c r="L210" s="33">
        <v>0</v>
      </c>
      <c r="M210" s="103" t="s">
        <v>229</v>
      </c>
      <c r="N210" s="51">
        <v>215</v>
      </c>
      <c r="O210" s="50">
        <v>1190000</v>
      </c>
      <c r="P210" s="51">
        <v>215</v>
      </c>
      <c r="Q210" s="50">
        <v>11673000</v>
      </c>
      <c r="R210" s="101">
        <v>215</v>
      </c>
      <c r="S210" s="50">
        <v>29045000</v>
      </c>
      <c r="T210" s="102">
        <f t="shared" si="57"/>
        <v>645</v>
      </c>
      <c r="U210" s="60">
        <f t="shared" si="58"/>
        <v>100</v>
      </c>
      <c r="V210" s="34" t="s">
        <v>44</v>
      </c>
      <c r="W210" s="52">
        <f t="shared" si="64"/>
        <v>41908000</v>
      </c>
      <c r="X210" s="60">
        <f t="shared" si="60"/>
        <v>71.15835229395185</v>
      </c>
      <c r="Y210" s="34" t="s">
        <v>44</v>
      </c>
      <c r="Z210" s="102">
        <f t="shared" si="20"/>
        <v>650.99800000000005</v>
      </c>
      <c r="AA210" s="52">
        <f t="shared" si="61"/>
        <v>69231000</v>
      </c>
      <c r="AB210" s="41">
        <f t="shared" si="62"/>
        <v>3368.8573794245499</v>
      </c>
      <c r="AC210" s="34" t="s">
        <v>44</v>
      </c>
      <c r="AD210" s="90">
        <f t="shared" si="63"/>
        <v>44.347007276826893</v>
      </c>
      <c r="AE210" s="17"/>
      <c r="AF210" s="2"/>
      <c r="AG210" s="2"/>
      <c r="AH210" s="55"/>
      <c r="AI210" s="2"/>
      <c r="AJ210" s="2"/>
      <c r="AK210" s="2"/>
    </row>
    <row r="211" spans="1:37" ht="105">
      <c r="A211" s="43"/>
      <c r="B211" s="39"/>
      <c r="C211" s="46" t="s">
        <v>352</v>
      </c>
      <c r="D211" s="47" t="s">
        <v>331</v>
      </c>
      <c r="E211" s="48">
        <v>12192</v>
      </c>
      <c r="F211" s="77" t="s">
        <v>227</v>
      </c>
      <c r="G211" s="91">
        <v>120487900</v>
      </c>
      <c r="H211" s="101">
        <v>4524</v>
      </c>
      <c r="I211" s="50">
        <v>52877500</v>
      </c>
      <c r="J211" s="51">
        <v>3834</v>
      </c>
      <c r="K211" s="50">
        <v>33805200</v>
      </c>
      <c r="L211" s="33">
        <v>655</v>
      </c>
      <c r="M211" s="103" t="s">
        <v>229</v>
      </c>
      <c r="N211" s="51">
        <v>1059</v>
      </c>
      <c r="O211" s="50">
        <v>13530000</v>
      </c>
      <c r="P211" s="51">
        <v>1060</v>
      </c>
      <c r="Q211" s="50">
        <v>11693500</v>
      </c>
      <c r="R211" s="112">
        <v>1060</v>
      </c>
      <c r="S211" s="107">
        <v>5560000</v>
      </c>
      <c r="T211" s="102">
        <f t="shared" si="57"/>
        <v>3834</v>
      </c>
      <c r="U211" s="60">
        <f t="shared" si="58"/>
        <v>100</v>
      </c>
      <c r="V211" s="34" t="s">
        <v>44</v>
      </c>
      <c r="W211" s="52">
        <f t="shared" si="64"/>
        <v>30783500</v>
      </c>
      <c r="X211" s="60">
        <f t="shared" si="60"/>
        <v>91.061434335546011</v>
      </c>
      <c r="Y211" s="34" t="s">
        <v>44</v>
      </c>
      <c r="Z211" s="102">
        <f t="shared" si="20"/>
        <v>8358</v>
      </c>
      <c r="AA211" s="52">
        <f t="shared" si="61"/>
        <v>83661000</v>
      </c>
      <c r="AB211" s="41">
        <f t="shared" si="62"/>
        <v>68.553149606299215</v>
      </c>
      <c r="AC211" s="34" t="s">
        <v>44</v>
      </c>
      <c r="AD211" s="90">
        <f t="shared" si="63"/>
        <v>69.435188097725998</v>
      </c>
      <c r="AE211" s="17"/>
      <c r="AF211" s="2"/>
      <c r="AG211" s="2"/>
      <c r="AH211" s="55"/>
      <c r="AI211" s="2"/>
      <c r="AJ211" s="2"/>
      <c r="AK211" s="2"/>
    </row>
    <row r="212" spans="1:37" ht="105">
      <c r="A212" s="43"/>
      <c r="B212" s="39"/>
      <c r="C212" s="46" t="s">
        <v>353</v>
      </c>
      <c r="D212" s="47" t="s">
        <v>354</v>
      </c>
      <c r="E212" s="48">
        <f>J212*2</f>
        <v>59074</v>
      </c>
      <c r="F212" s="77" t="s">
        <v>227</v>
      </c>
      <c r="G212" s="91">
        <f>K212*2</f>
        <v>39080000</v>
      </c>
      <c r="H212" s="120"/>
      <c r="I212" s="58"/>
      <c r="J212" s="51">
        <v>29537</v>
      </c>
      <c r="K212" s="50">
        <v>19540000</v>
      </c>
      <c r="L212" s="33">
        <v>8345</v>
      </c>
      <c r="M212" s="50">
        <v>0</v>
      </c>
      <c r="N212" s="51">
        <v>7065</v>
      </c>
      <c r="O212" s="50">
        <v>5047500</v>
      </c>
      <c r="P212" s="51">
        <v>5081</v>
      </c>
      <c r="Q212" s="50">
        <v>0</v>
      </c>
      <c r="R212" s="101">
        <v>5320</v>
      </c>
      <c r="S212" s="50">
        <f>16405000-O212</f>
        <v>11357500</v>
      </c>
      <c r="T212" s="102">
        <f t="shared" si="57"/>
        <v>25811</v>
      </c>
      <c r="U212" s="60">
        <f t="shared" si="58"/>
        <v>87.385313335816093</v>
      </c>
      <c r="V212" s="34" t="s">
        <v>44</v>
      </c>
      <c r="W212" s="52">
        <f t="shared" si="64"/>
        <v>16405000</v>
      </c>
      <c r="X212" s="60">
        <f t="shared" si="60"/>
        <v>83.955987717502552</v>
      </c>
      <c r="Y212" s="34" t="s">
        <v>44</v>
      </c>
      <c r="Z212" s="102">
        <f t="shared" si="20"/>
        <v>25811</v>
      </c>
      <c r="AA212" s="52">
        <f t="shared" si="61"/>
        <v>16405000</v>
      </c>
      <c r="AB212" s="41">
        <f t="shared" si="62"/>
        <v>43.692656667908047</v>
      </c>
      <c r="AC212" s="34" t="s">
        <v>44</v>
      </c>
      <c r="AD212" s="90">
        <f t="shared" si="63"/>
        <v>41.977993858751276</v>
      </c>
      <c r="AE212" s="17"/>
      <c r="AF212" s="2"/>
      <c r="AG212" s="2"/>
      <c r="AH212" s="55"/>
      <c r="AI212" s="2"/>
      <c r="AJ212" s="2"/>
      <c r="AK212" s="2"/>
    </row>
    <row r="213" spans="1:37" ht="105">
      <c r="A213" s="43"/>
      <c r="B213" s="39"/>
      <c r="C213" s="46" t="s">
        <v>355</v>
      </c>
      <c r="D213" s="47" t="s">
        <v>354</v>
      </c>
      <c r="E213" s="48">
        <v>4588</v>
      </c>
      <c r="F213" s="77" t="s">
        <v>227</v>
      </c>
      <c r="G213" s="91">
        <v>42010000</v>
      </c>
      <c r="H213" s="101">
        <v>1711</v>
      </c>
      <c r="I213" s="50">
        <v>22600000</v>
      </c>
      <c r="J213" s="51">
        <v>1674</v>
      </c>
      <c r="K213" s="50">
        <v>19410000</v>
      </c>
      <c r="L213" s="33">
        <v>444</v>
      </c>
      <c r="M213" s="103" t="s">
        <v>229</v>
      </c>
      <c r="N213" s="51">
        <v>530</v>
      </c>
      <c r="O213" s="50">
        <v>4480000</v>
      </c>
      <c r="P213" s="51">
        <v>425</v>
      </c>
      <c r="Q213" s="50">
        <v>3360000</v>
      </c>
      <c r="R213" s="101">
        <v>289</v>
      </c>
      <c r="S213" s="50">
        <v>7740000</v>
      </c>
      <c r="T213" s="102">
        <f t="shared" si="57"/>
        <v>1688</v>
      </c>
      <c r="U213" s="60">
        <f t="shared" si="58"/>
        <v>100.83632019115889</v>
      </c>
      <c r="V213" s="34" t="s">
        <v>44</v>
      </c>
      <c r="W213" s="52">
        <f t="shared" si="64"/>
        <v>15580000</v>
      </c>
      <c r="X213" s="60">
        <f t="shared" si="60"/>
        <v>80.26790314270994</v>
      </c>
      <c r="Y213" s="34" t="s">
        <v>44</v>
      </c>
      <c r="Z213" s="102">
        <f t="shared" si="20"/>
        <v>3399</v>
      </c>
      <c r="AA213" s="52">
        <f t="shared" si="61"/>
        <v>38180000</v>
      </c>
      <c r="AB213" s="41">
        <f t="shared" si="62"/>
        <v>74.08456843940715</v>
      </c>
      <c r="AC213" s="34" t="s">
        <v>44</v>
      </c>
      <c r="AD213" s="90">
        <f t="shared" si="63"/>
        <v>90.883123065936672</v>
      </c>
      <c r="AE213" s="17"/>
      <c r="AF213" s="2"/>
      <c r="AG213" s="2"/>
      <c r="AH213" s="55"/>
      <c r="AI213" s="2"/>
      <c r="AJ213" s="2"/>
      <c r="AK213" s="2"/>
    </row>
    <row r="214" spans="1:37" ht="105">
      <c r="A214" s="43"/>
      <c r="B214" s="39"/>
      <c r="C214" s="46" t="s">
        <v>356</v>
      </c>
      <c r="D214" s="47" t="s">
        <v>354</v>
      </c>
      <c r="E214" s="48">
        <v>1542</v>
      </c>
      <c r="F214" s="77" t="s">
        <v>227</v>
      </c>
      <c r="G214" s="91">
        <v>133836200</v>
      </c>
      <c r="H214" s="101">
        <v>514</v>
      </c>
      <c r="I214" s="50">
        <v>54009000</v>
      </c>
      <c r="J214" s="51">
        <v>626</v>
      </c>
      <c r="K214" s="50">
        <v>38292500</v>
      </c>
      <c r="L214" s="33">
        <v>102</v>
      </c>
      <c r="M214" s="103" t="s">
        <v>229</v>
      </c>
      <c r="N214" s="51">
        <v>202</v>
      </c>
      <c r="O214" s="50">
        <v>13440000</v>
      </c>
      <c r="P214" s="51"/>
      <c r="Q214" s="50">
        <v>10080000</v>
      </c>
      <c r="R214" s="101">
        <v>153</v>
      </c>
      <c r="S214" s="50">
        <v>14522500</v>
      </c>
      <c r="T214" s="102">
        <f t="shared" si="57"/>
        <v>457</v>
      </c>
      <c r="U214" s="60">
        <f t="shared" si="58"/>
        <v>73.003194888178911</v>
      </c>
      <c r="V214" s="34" t="s">
        <v>44</v>
      </c>
      <c r="W214" s="52">
        <f t="shared" si="64"/>
        <v>38042500</v>
      </c>
      <c r="X214" s="60">
        <f t="shared" si="60"/>
        <v>99.347130639159104</v>
      </c>
      <c r="Y214" s="34" t="s">
        <v>44</v>
      </c>
      <c r="Z214" s="102">
        <f t="shared" si="20"/>
        <v>971</v>
      </c>
      <c r="AA214" s="52">
        <f t="shared" si="61"/>
        <v>92051500</v>
      </c>
      <c r="AB214" s="41">
        <f t="shared" si="62"/>
        <v>62.970168612191955</v>
      </c>
      <c r="AC214" s="34" t="s">
        <v>44</v>
      </c>
      <c r="AD214" s="90">
        <f t="shared" si="63"/>
        <v>68.779224156095282</v>
      </c>
      <c r="AE214" s="17"/>
      <c r="AF214" s="2"/>
      <c r="AG214" s="2"/>
      <c r="AH214" s="55"/>
      <c r="AI214" s="2"/>
      <c r="AJ214" s="2"/>
      <c r="AK214" s="2"/>
    </row>
    <row r="215" spans="1:37" ht="105">
      <c r="A215" s="43"/>
      <c r="B215" s="39"/>
      <c r="C215" s="46" t="s">
        <v>357</v>
      </c>
      <c r="D215" s="47" t="s">
        <v>354</v>
      </c>
      <c r="E215" s="48">
        <v>1773</v>
      </c>
      <c r="F215" s="77" t="s">
        <v>227</v>
      </c>
      <c r="G215" s="91">
        <v>53809000</v>
      </c>
      <c r="H215" s="101">
        <v>775</v>
      </c>
      <c r="I215" s="50">
        <v>20350000</v>
      </c>
      <c r="J215" s="51">
        <v>923</v>
      </c>
      <c r="K215" s="50">
        <v>16729500</v>
      </c>
      <c r="L215" s="33">
        <v>180</v>
      </c>
      <c r="M215" s="103" t="s">
        <v>229</v>
      </c>
      <c r="N215" s="51">
        <v>180</v>
      </c>
      <c r="O215" s="50">
        <v>5120000</v>
      </c>
      <c r="P215" s="51">
        <v>180</v>
      </c>
      <c r="Q215" s="50">
        <v>2560000</v>
      </c>
      <c r="R215" s="101">
        <v>375</v>
      </c>
      <c r="S215" s="50">
        <v>8889500</v>
      </c>
      <c r="T215" s="102">
        <f t="shared" si="57"/>
        <v>915</v>
      </c>
      <c r="U215" s="60">
        <f t="shared" si="58"/>
        <v>99.133261105092103</v>
      </c>
      <c r="V215" s="34" t="s">
        <v>44</v>
      </c>
      <c r="W215" s="52">
        <f t="shared" si="64"/>
        <v>16569500</v>
      </c>
      <c r="X215" s="60">
        <f t="shared" si="60"/>
        <v>99.04360560686213</v>
      </c>
      <c r="Y215" s="34" t="s">
        <v>44</v>
      </c>
      <c r="Z215" s="102">
        <f t="shared" si="20"/>
        <v>1690</v>
      </c>
      <c r="AA215" s="52">
        <f t="shared" si="61"/>
        <v>36919500</v>
      </c>
      <c r="AB215" s="41">
        <f t="shared" si="62"/>
        <v>95.318668922729827</v>
      </c>
      <c r="AC215" s="34" t="s">
        <v>44</v>
      </c>
      <c r="AD215" s="90">
        <f t="shared" si="63"/>
        <v>68.61212808266275</v>
      </c>
      <c r="AE215" s="17"/>
      <c r="AF215" s="2"/>
      <c r="AG215" s="2"/>
      <c r="AH215" s="55"/>
      <c r="AI215" s="2"/>
      <c r="AJ215" s="2"/>
      <c r="AK215" s="2"/>
    </row>
    <row r="216" spans="1:37" ht="105">
      <c r="A216" s="43"/>
      <c r="B216" s="39"/>
      <c r="C216" s="46" t="s">
        <v>358</v>
      </c>
      <c r="D216" s="47" t="s">
        <v>354</v>
      </c>
      <c r="E216" s="48">
        <v>4545</v>
      </c>
      <c r="F216" s="77" t="s">
        <v>227</v>
      </c>
      <c r="G216" s="91">
        <v>116540000</v>
      </c>
      <c r="H216" s="101">
        <v>1033</v>
      </c>
      <c r="I216" s="50">
        <v>35010000</v>
      </c>
      <c r="J216" s="51">
        <v>1515</v>
      </c>
      <c r="K216" s="50">
        <v>39445000</v>
      </c>
      <c r="L216" s="33">
        <v>391</v>
      </c>
      <c r="M216" s="103" t="s">
        <v>229</v>
      </c>
      <c r="N216" s="51"/>
      <c r="O216" s="50">
        <v>13200000</v>
      </c>
      <c r="P216" s="51"/>
      <c r="Q216" s="50">
        <v>10140000</v>
      </c>
      <c r="R216" s="101">
        <v>277</v>
      </c>
      <c r="S216" s="50">
        <v>14715000</v>
      </c>
      <c r="T216" s="102">
        <f t="shared" si="57"/>
        <v>668</v>
      </c>
      <c r="U216" s="60">
        <f t="shared" si="58"/>
        <v>44.092409240924091</v>
      </c>
      <c r="V216" s="34" t="s">
        <v>44</v>
      </c>
      <c r="W216" s="52">
        <f t="shared" si="64"/>
        <v>38055000</v>
      </c>
      <c r="X216" s="60">
        <f t="shared" si="60"/>
        <v>96.476105970338438</v>
      </c>
      <c r="Y216" s="34" t="s">
        <v>44</v>
      </c>
      <c r="Z216" s="102">
        <f t="shared" si="20"/>
        <v>1701</v>
      </c>
      <c r="AA216" s="52">
        <f t="shared" si="61"/>
        <v>73065000</v>
      </c>
      <c r="AB216" s="41">
        <f t="shared" si="62"/>
        <v>37.425742574257427</v>
      </c>
      <c r="AC216" s="34" t="s">
        <v>44</v>
      </c>
      <c r="AD216" s="90">
        <f t="shared" si="63"/>
        <v>62.695211944396775</v>
      </c>
      <c r="AE216" s="17"/>
      <c r="AF216" s="2"/>
      <c r="AG216" s="2"/>
      <c r="AH216" s="55"/>
      <c r="AI216" s="2"/>
      <c r="AJ216" s="2"/>
      <c r="AK216" s="2"/>
    </row>
    <row r="217" spans="1:37" ht="105">
      <c r="A217" s="43"/>
      <c r="B217" s="39"/>
      <c r="C217" s="46" t="s">
        <v>359</v>
      </c>
      <c r="D217" s="47" t="s">
        <v>354</v>
      </c>
      <c r="E217" s="48">
        <v>3495</v>
      </c>
      <c r="F217" s="77" t="s">
        <v>227</v>
      </c>
      <c r="G217" s="91">
        <v>59375500</v>
      </c>
      <c r="H217" s="101">
        <v>733</v>
      </c>
      <c r="I217" s="50">
        <v>51335500</v>
      </c>
      <c r="J217" s="51">
        <v>1381</v>
      </c>
      <c r="K217" s="50">
        <v>4020000</v>
      </c>
      <c r="L217" s="33">
        <v>211</v>
      </c>
      <c r="M217" s="103" t="s">
        <v>229</v>
      </c>
      <c r="N217" s="51">
        <v>163</v>
      </c>
      <c r="O217" s="50">
        <v>0</v>
      </c>
      <c r="P217" s="51">
        <v>395</v>
      </c>
      <c r="Q217" s="50">
        <v>4020000</v>
      </c>
      <c r="R217" s="101">
        <v>79</v>
      </c>
      <c r="S217" s="50">
        <v>0</v>
      </c>
      <c r="T217" s="102">
        <f t="shared" si="57"/>
        <v>848</v>
      </c>
      <c r="U217" s="60">
        <f t="shared" si="58"/>
        <v>61.404779145546705</v>
      </c>
      <c r="V217" s="34" t="s">
        <v>44</v>
      </c>
      <c r="W217" s="52">
        <f t="shared" si="64"/>
        <v>4020000</v>
      </c>
      <c r="X217" s="60">
        <f t="shared" si="60"/>
        <v>100</v>
      </c>
      <c r="Y217" s="34" t="s">
        <v>44</v>
      </c>
      <c r="Z217" s="102">
        <f t="shared" si="20"/>
        <v>1581</v>
      </c>
      <c r="AA217" s="52">
        <f t="shared" si="61"/>
        <v>55355500</v>
      </c>
      <c r="AB217" s="41">
        <f t="shared" si="62"/>
        <v>45.236051502145926</v>
      </c>
      <c r="AC217" s="34" t="s">
        <v>44</v>
      </c>
      <c r="AD217" s="90">
        <f t="shared" si="63"/>
        <v>93.229530698688862</v>
      </c>
      <c r="AE217" s="17"/>
      <c r="AF217" s="2"/>
      <c r="AG217" s="2"/>
      <c r="AH217" s="55"/>
      <c r="AI217" s="2"/>
      <c r="AJ217" s="2"/>
      <c r="AK217" s="2"/>
    </row>
    <row r="218" spans="1:37" ht="105">
      <c r="A218" s="43"/>
      <c r="B218" s="39"/>
      <c r="C218" s="46" t="s">
        <v>360</v>
      </c>
      <c r="D218" s="47" t="s">
        <v>354</v>
      </c>
      <c r="E218" s="48">
        <v>6574</v>
      </c>
      <c r="F218" s="77" t="s">
        <v>227</v>
      </c>
      <c r="G218" s="91">
        <v>88390000</v>
      </c>
      <c r="H218" s="101">
        <v>1026</v>
      </c>
      <c r="I218" s="50">
        <v>29420000</v>
      </c>
      <c r="J218" s="51">
        <v>2426</v>
      </c>
      <c r="K218" s="50">
        <v>29240000</v>
      </c>
      <c r="L218" s="33">
        <v>490</v>
      </c>
      <c r="M218" s="103" t="s">
        <v>229</v>
      </c>
      <c r="N218" s="51">
        <v>209</v>
      </c>
      <c r="O218" s="50">
        <v>11810000</v>
      </c>
      <c r="P218" s="51">
        <v>828</v>
      </c>
      <c r="Q218" s="50">
        <v>7740000</v>
      </c>
      <c r="R218" s="101">
        <v>895</v>
      </c>
      <c r="S218" s="50">
        <v>9350000</v>
      </c>
      <c r="T218" s="102">
        <f t="shared" si="57"/>
        <v>2422</v>
      </c>
      <c r="U218" s="60">
        <f t="shared" si="58"/>
        <v>99.835119538334709</v>
      </c>
      <c r="V218" s="34" t="s">
        <v>44</v>
      </c>
      <c r="W218" s="52">
        <f t="shared" si="64"/>
        <v>28900000</v>
      </c>
      <c r="X218" s="60">
        <f t="shared" si="60"/>
        <v>98.837209302325576</v>
      </c>
      <c r="Y218" s="34" t="s">
        <v>44</v>
      </c>
      <c r="Z218" s="102">
        <f t="shared" si="20"/>
        <v>3448</v>
      </c>
      <c r="AA218" s="52">
        <f t="shared" si="61"/>
        <v>58320000</v>
      </c>
      <c r="AB218" s="41">
        <f t="shared" si="62"/>
        <v>52.449041679342869</v>
      </c>
      <c r="AC218" s="34" t="s">
        <v>44</v>
      </c>
      <c r="AD218" s="90">
        <f t="shared" si="63"/>
        <v>65.980314515216648</v>
      </c>
      <c r="AE218" s="17"/>
      <c r="AF218" s="2"/>
      <c r="AG218" s="2"/>
      <c r="AH218" s="55"/>
      <c r="AI218" s="2"/>
      <c r="AJ218" s="2"/>
      <c r="AK218" s="2"/>
    </row>
    <row r="219" spans="1:37" ht="105">
      <c r="A219" s="43"/>
      <c r="B219" s="39"/>
      <c r="C219" s="46" t="s">
        <v>361</v>
      </c>
      <c r="D219" s="47" t="s">
        <v>354</v>
      </c>
      <c r="E219" s="48">
        <v>2265</v>
      </c>
      <c r="F219" s="77" t="s">
        <v>227</v>
      </c>
      <c r="G219" s="91">
        <v>106757500</v>
      </c>
      <c r="H219" s="101">
        <v>705</v>
      </c>
      <c r="I219" s="50">
        <v>33577500</v>
      </c>
      <c r="J219" s="51">
        <v>755</v>
      </c>
      <c r="K219" s="50">
        <v>36430000</v>
      </c>
      <c r="L219" s="33">
        <v>273</v>
      </c>
      <c r="M219" s="103" t="s">
        <v>229</v>
      </c>
      <c r="N219" s="51">
        <v>273</v>
      </c>
      <c r="O219" s="50">
        <v>12160000</v>
      </c>
      <c r="P219" s="51">
        <v>207</v>
      </c>
      <c r="Q219" s="50">
        <v>15035000</v>
      </c>
      <c r="R219" s="101">
        <v>200</v>
      </c>
      <c r="S219" s="50">
        <v>8955000</v>
      </c>
      <c r="T219" s="102">
        <f t="shared" si="57"/>
        <v>953</v>
      </c>
      <c r="U219" s="60">
        <f t="shared" si="58"/>
        <v>126.2251655629139</v>
      </c>
      <c r="V219" s="34" t="s">
        <v>44</v>
      </c>
      <c r="W219" s="52">
        <f t="shared" si="64"/>
        <v>36150000</v>
      </c>
      <c r="X219" s="60">
        <f t="shared" si="60"/>
        <v>99.23140269009059</v>
      </c>
      <c r="Y219" s="34" t="s">
        <v>44</v>
      </c>
      <c r="Z219" s="102">
        <f t="shared" si="20"/>
        <v>1658</v>
      </c>
      <c r="AA219" s="52">
        <f t="shared" si="61"/>
        <v>69727500</v>
      </c>
      <c r="AB219" s="41">
        <f t="shared" si="62"/>
        <v>73.200883002207505</v>
      </c>
      <c r="AC219" s="34" t="s">
        <v>44</v>
      </c>
      <c r="AD219" s="90">
        <f t="shared" si="63"/>
        <v>65.313912371496158</v>
      </c>
      <c r="AE219" s="17"/>
      <c r="AF219" s="2"/>
      <c r="AG219" s="2"/>
      <c r="AH219" s="55"/>
      <c r="AI219" s="2"/>
      <c r="AJ219" s="2"/>
      <c r="AK219" s="2"/>
    </row>
    <row r="220" spans="1:37" ht="105">
      <c r="A220" s="43"/>
      <c r="B220" s="39"/>
      <c r="C220" s="46" t="s">
        <v>362</v>
      </c>
      <c r="D220" s="47" t="s">
        <v>354</v>
      </c>
      <c r="E220" s="48">
        <v>11524</v>
      </c>
      <c r="F220" s="77" t="s">
        <v>227</v>
      </c>
      <c r="G220" s="91">
        <v>105359000</v>
      </c>
      <c r="H220" s="101">
        <v>2522</v>
      </c>
      <c r="I220" s="50">
        <v>25374000</v>
      </c>
      <c r="J220" s="51">
        <v>4238</v>
      </c>
      <c r="K220" s="50">
        <v>33515000</v>
      </c>
      <c r="L220" s="33">
        <v>940</v>
      </c>
      <c r="M220" s="103" t="s">
        <v>229</v>
      </c>
      <c r="N220" s="51">
        <v>950</v>
      </c>
      <c r="O220" s="50">
        <v>10980000</v>
      </c>
      <c r="P220" s="51">
        <v>997</v>
      </c>
      <c r="Q220" s="50">
        <v>8910000</v>
      </c>
      <c r="R220" s="101">
        <v>985</v>
      </c>
      <c r="S220" s="50">
        <v>13065000</v>
      </c>
      <c r="T220" s="102">
        <f t="shared" si="57"/>
        <v>3872</v>
      </c>
      <c r="U220" s="60">
        <f t="shared" si="58"/>
        <v>91.363850873053337</v>
      </c>
      <c r="V220" s="34" t="s">
        <v>44</v>
      </c>
      <c r="W220" s="52">
        <f t="shared" si="64"/>
        <v>32955000</v>
      </c>
      <c r="X220" s="60">
        <f t="shared" si="60"/>
        <v>98.329106370281963</v>
      </c>
      <c r="Y220" s="34" t="s">
        <v>44</v>
      </c>
      <c r="Z220" s="102">
        <f t="shared" si="20"/>
        <v>6394</v>
      </c>
      <c r="AA220" s="52">
        <f t="shared" si="61"/>
        <v>58329000</v>
      </c>
      <c r="AB220" s="41">
        <f t="shared" si="62"/>
        <v>55.484206872613676</v>
      </c>
      <c r="AC220" s="34" t="s">
        <v>44</v>
      </c>
      <c r="AD220" s="90">
        <f t="shared" si="63"/>
        <v>55.362142769008813</v>
      </c>
      <c r="AE220" s="17"/>
      <c r="AF220" s="2"/>
      <c r="AG220" s="2"/>
      <c r="AH220" s="55"/>
      <c r="AI220" s="2"/>
      <c r="AJ220" s="2"/>
      <c r="AK220" s="2"/>
    </row>
    <row r="221" spans="1:37" ht="105">
      <c r="A221" s="43"/>
      <c r="B221" s="39"/>
      <c r="C221" s="46" t="s">
        <v>363</v>
      </c>
      <c r="D221" s="47" t="s">
        <v>354</v>
      </c>
      <c r="E221" s="48">
        <v>3585</v>
      </c>
      <c r="F221" s="77" t="s">
        <v>227</v>
      </c>
      <c r="G221" s="91">
        <v>137457800</v>
      </c>
      <c r="H221" s="101">
        <v>1195</v>
      </c>
      <c r="I221" s="50">
        <v>47230000</v>
      </c>
      <c r="J221" s="51">
        <v>2417</v>
      </c>
      <c r="K221" s="50">
        <v>40187500</v>
      </c>
      <c r="L221" s="33">
        <v>155</v>
      </c>
      <c r="M221" s="103" t="s">
        <v>229</v>
      </c>
      <c r="N221" s="51">
        <v>628</v>
      </c>
      <c r="O221" s="50">
        <v>13710000</v>
      </c>
      <c r="P221" s="51">
        <v>525</v>
      </c>
      <c r="Q221" s="50">
        <v>10057500</v>
      </c>
      <c r="R221" s="101">
        <v>1109</v>
      </c>
      <c r="S221" s="50">
        <v>16370000</v>
      </c>
      <c r="T221" s="102">
        <f t="shared" si="57"/>
        <v>2417</v>
      </c>
      <c r="U221" s="60">
        <f t="shared" si="58"/>
        <v>100</v>
      </c>
      <c r="V221" s="34" t="s">
        <v>44</v>
      </c>
      <c r="W221" s="52">
        <f t="shared" si="64"/>
        <v>40137500</v>
      </c>
      <c r="X221" s="60">
        <f t="shared" si="60"/>
        <v>99.875583203732504</v>
      </c>
      <c r="Y221" s="34" t="s">
        <v>44</v>
      </c>
      <c r="Z221" s="102">
        <f t="shared" si="20"/>
        <v>3612</v>
      </c>
      <c r="AA221" s="52">
        <f t="shared" si="61"/>
        <v>87367500</v>
      </c>
      <c r="AB221" s="41">
        <f t="shared" si="62"/>
        <v>100.75313807531381</v>
      </c>
      <c r="AC221" s="34" t="s">
        <v>44</v>
      </c>
      <c r="AD221" s="90">
        <f t="shared" si="63"/>
        <v>63.559506990509085</v>
      </c>
      <c r="AE221" s="17"/>
      <c r="AF221" s="2"/>
      <c r="AG221" s="2"/>
      <c r="AH221" s="55"/>
      <c r="AI221" s="2"/>
      <c r="AJ221" s="2"/>
      <c r="AK221" s="2"/>
    </row>
    <row r="222" spans="1:37" ht="105">
      <c r="A222" s="43"/>
      <c r="B222" s="39"/>
      <c r="C222" s="46" t="s">
        <v>364</v>
      </c>
      <c r="D222" s="47" t="s">
        <v>354</v>
      </c>
      <c r="E222" s="48">
        <v>4167</v>
      </c>
      <c r="F222" s="77" t="s">
        <v>227</v>
      </c>
      <c r="G222" s="91">
        <v>51575400</v>
      </c>
      <c r="H222" s="101">
        <v>1164</v>
      </c>
      <c r="I222" s="50">
        <v>21325400</v>
      </c>
      <c r="J222" s="51">
        <v>1389</v>
      </c>
      <c r="K222" s="50">
        <v>15125000</v>
      </c>
      <c r="L222" s="33">
        <v>210</v>
      </c>
      <c r="M222" s="103" t="s">
        <v>229</v>
      </c>
      <c r="N222" s="51">
        <v>230</v>
      </c>
      <c r="O222" s="50">
        <v>2880000</v>
      </c>
      <c r="P222" s="51">
        <v>379</v>
      </c>
      <c r="Q222" s="50">
        <v>4320000</v>
      </c>
      <c r="R222" s="101">
        <v>399</v>
      </c>
      <c r="S222" s="50">
        <v>6485000</v>
      </c>
      <c r="T222" s="102">
        <f t="shared" si="57"/>
        <v>1218</v>
      </c>
      <c r="U222" s="60">
        <f t="shared" si="58"/>
        <v>87.688984881209507</v>
      </c>
      <c r="V222" s="34" t="s">
        <v>44</v>
      </c>
      <c r="W222" s="52">
        <f t="shared" si="64"/>
        <v>13685000</v>
      </c>
      <c r="X222" s="60">
        <f t="shared" si="60"/>
        <v>90.47933884297521</v>
      </c>
      <c r="Y222" s="34" t="s">
        <v>44</v>
      </c>
      <c r="Z222" s="102">
        <f t="shared" si="20"/>
        <v>2382</v>
      </c>
      <c r="AA222" s="52">
        <f t="shared" si="61"/>
        <v>35010400</v>
      </c>
      <c r="AB222" s="41">
        <f t="shared" si="62"/>
        <v>57.163426925845926</v>
      </c>
      <c r="AC222" s="34" t="s">
        <v>44</v>
      </c>
      <c r="AD222" s="90">
        <f t="shared" si="63"/>
        <v>67.881974739895384</v>
      </c>
      <c r="AE222" s="17"/>
      <c r="AF222" s="2"/>
      <c r="AG222" s="2"/>
      <c r="AH222" s="55"/>
      <c r="AI222" s="2"/>
      <c r="AJ222" s="2"/>
      <c r="AK222" s="2"/>
    </row>
    <row r="223" spans="1:37" ht="105">
      <c r="A223" s="43"/>
      <c r="B223" s="39"/>
      <c r="C223" s="46" t="s">
        <v>365</v>
      </c>
      <c r="D223" s="47" t="s">
        <v>354</v>
      </c>
      <c r="E223" s="48">
        <v>7907</v>
      </c>
      <c r="F223" s="77" t="s">
        <v>227</v>
      </c>
      <c r="G223" s="91">
        <v>91280000</v>
      </c>
      <c r="H223" s="101">
        <v>2643</v>
      </c>
      <c r="I223" s="50">
        <v>30720000</v>
      </c>
      <c r="J223" s="51">
        <v>2650</v>
      </c>
      <c r="K223" s="50">
        <v>29000000</v>
      </c>
      <c r="L223" s="33">
        <v>732</v>
      </c>
      <c r="M223" s="103" t="s">
        <v>229</v>
      </c>
      <c r="N223" s="51">
        <v>629</v>
      </c>
      <c r="O223" s="50">
        <v>10640000</v>
      </c>
      <c r="P223" s="51">
        <v>671</v>
      </c>
      <c r="Q223" s="50">
        <v>9840000</v>
      </c>
      <c r="R223" s="101">
        <v>603</v>
      </c>
      <c r="S223" s="50">
        <v>6720000</v>
      </c>
      <c r="T223" s="102">
        <f t="shared" si="57"/>
        <v>2635</v>
      </c>
      <c r="U223" s="60">
        <f t="shared" si="58"/>
        <v>99.433962264150949</v>
      </c>
      <c r="V223" s="34" t="s">
        <v>44</v>
      </c>
      <c r="W223" s="52">
        <f t="shared" si="64"/>
        <v>27200000</v>
      </c>
      <c r="X223" s="60">
        <f t="shared" si="60"/>
        <v>93.793103448275858</v>
      </c>
      <c r="Y223" s="34" t="s">
        <v>44</v>
      </c>
      <c r="Z223" s="102">
        <f t="shared" si="20"/>
        <v>5278</v>
      </c>
      <c r="AA223" s="52">
        <f t="shared" si="61"/>
        <v>57920000</v>
      </c>
      <c r="AB223" s="41">
        <f t="shared" si="62"/>
        <v>66.75098014417604</v>
      </c>
      <c r="AC223" s="34" t="s">
        <v>44</v>
      </c>
      <c r="AD223" s="90">
        <f t="shared" si="63"/>
        <v>63.453111305872042</v>
      </c>
      <c r="AE223" s="17"/>
      <c r="AF223" s="2"/>
      <c r="AG223" s="2"/>
      <c r="AH223" s="55"/>
      <c r="AI223" s="2"/>
      <c r="AJ223" s="2"/>
      <c r="AK223" s="2"/>
    </row>
    <row r="224" spans="1:37" ht="105">
      <c r="A224" s="43"/>
      <c r="B224" s="39"/>
      <c r="C224" s="46" t="s">
        <v>366</v>
      </c>
      <c r="D224" s="47" t="s">
        <v>354</v>
      </c>
      <c r="E224" s="48">
        <v>520</v>
      </c>
      <c r="F224" s="77" t="s">
        <v>227</v>
      </c>
      <c r="G224" s="91">
        <v>59567900</v>
      </c>
      <c r="H224" s="101">
        <v>240</v>
      </c>
      <c r="I224" s="50">
        <v>14849000</v>
      </c>
      <c r="J224" s="51">
        <v>190</v>
      </c>
      <c r="K224" s="50">
        <v>22251200</v>
      </c>
      <c r="L224" s="106">
        <v>60</v>
      </c>
      <c r="M224" s="107" t="s">
        <v>229</v>
      </c>
      <c r="N224" s="108">
        <v>127</v>
      </c>
      <c r="O224" s="107">
        <v>7310000</v>
      </c>
      <c r="P224" s="108">
        <v>203</v>
      </c>
      <c r="Q224" s="107">
        <v>13960000</v>
      </c>
      <c r="R224" s="109">
        <v>298</v>
      </c>
      <c r="S224" s="107">
        <v>21800000</v>
      </c>
      <c r="T224" s="102">
        <f t="shared" si="57"/>
        <v>688</v>
      </c>
      <c r="U224" s="60">
        <f t="shared" si="58"/>
        <v>362.10526315789474</v>
      </c>
      <c r="V224" s="34" t="s">
        <v>44</v>
      </c>
      <c r="W224" s="52">
        <f t="shared" si="64"/>
        <v>43070000</v>
      </c>
      <c r="X224" s="60">
        <f t="shared" si="60"/>
        <v>193.56259437693248</v>
      </c>
      <c r="Y224" s="34" t="s">
        <v>44</v>
      </c>
      <c r="Z224" s="102">
        <f t="shared" si="20"/>
        <v>928</v>
      </c>
      <c r="AA224" s="52">
        <f t="shared" si="61"/>
        <v>57919000</v>
      </c>
      <c r="AB224" s="41">
        <f t="shared" si="62"/>
        <v>178.46153846153848</v>
      </c>
      <c r="AC224" s="34" t="s">
        <v>44</v>
      </c>
      <c r="AD224" s="90">
        <f t="shared" si="63"/>
        <v>97.231898388225872</v>
      </c>
      <c r="AE224" s="17"/>
      <c r="AF224" s="2"/>
      <c r="AG224" s="2"/>
      <c r="AH224" s="55"/>
      <c r="AI224" s="2"/>
      <c r="AJ224" s="2"/>
      <c r="AK224" s="2"/>
    </row>
    <row r="225" spans="1:37" ht="105">
      <c r="A225" s="43"/>
      <c r="B225" s="39"/>
      <c r="C225" s="46" t="s">
        <v>367</v>
      </c>
      <c r="D225" s="47" t="s">
        <v>354</v>
      </c>
      <c r="E225" s="48">
        <v>878</v>
      </c>
      <c r="F225" s="77" t="s">
        <v>227</v>
      </c>
      <c r="G225" s="91">
        <v>64974400</v>
      </c>
      <c r="H225" s="101">
        <v>292</v>
      </c>
      <c r="I225" s="50">
        <v>23959400</v>
      </c>
      <c r="J225" s="51">
        <v>292</v>
      </c>
      <c r="K225" s="50">
        <v>20025000</v>
      </c>
      <c r="L225" s="33">
        <v>83</v>
      </c>
      <c r="M225" s="103" t="s">
        <v>229</v>
      </c>
      <c r="N225" s="51">
        <v>50</v>
      </c>
      <c r="O225" s="50">
        <v>6960000</v>
      </c>
      <c r="P225" s="51">
        <v>140</v>
      </c>
      <c r="Q225" s="50">
        <v>6480000</v>
      </c>
      <c r="R225" s="112">
        <v>32</v>
      </c>
      <c r="S225" s="107">
        <v>6260000</v>
      </c>
      <c r="T225" s="102">
        <f t="shared" si="57"/>
        <v>305</v>
      </c>
      <c r="U225" s="60">
        <f t="shared" si="58"/>
        <v>104.45205479452055</v>
      </c>
      <c r="V225" s="34" t="s">
        <v>44</v>
      </c>
      <c r="W225" s="52">
        <f t="shared" si="64"/>
        <v>19700000</v>
      </c>
      <c r="X225" s="60">
        <f t="shared" si="60"/>
        <v>98.377028714107368</v>
      </c>
      <c r="Y225" s="34" t="s">
        <v>44</v>
      </c>
      <c r="Z225" s="102">
        <f t="shared" si="20"/>
        <v>597</v>
      </c>
      <c r="AA225" s="52">
        <f t="shared" si="61"/>
        <v>43659400</v>
      </c>
      <c r="AB225" s="41">
        <f t="shared" si="62"/>
        <v>67.995444191343964</v>
      </c>
      <c r="AC225" s="34" t="s">
        <v>44</v>
      </c>
      <c r="AD225" s="90">
        <f t="shared" si="63"/>
        <v>67.194772094855821</v>
      </c>
      <c r="AE225" s="17"/>
      <c r="AF225" s="2"/>
      <c r="AG225" s="2"/>
      <c r="AH225" s="55"/>
      <c r="AI225" s="2"/>
      <c r="AJ225" s="2"/>
      <c r="AK225" s="2"/>
    </row>
    <row r="226" spans="1:37" ht="105">
      <c r="A226" s="43"/>
      <c r="B226" s="39"/>
      <c r="C226" s="46" t="s">
        <v>368</v>
      </c>
      <c r="D226" s="47" t="s">
        <v>354</v>
      </c>
      <c r="E226" s="48">
        <v>10777</v>
      </c>
      <c r="F226" s="77" t="s">
        <v>227</v>
      </c>
      <c r="G226" s="91">
        <v>102816000</v>
      </c>
      <c r="H226" s="101">
        <v>2191</v>
      </c>
      <c r="I226" s="50">
        <v>30206000</v>
      </c>
      <c r="J226" s="51">
        <v>4282</v>
      </c>
      <c r="K226" s="50">
        <v>35925000</v>
      </c>
      <c r="L226" s="33">
        <v>771</v>
      </c>
      <c r="M226" s="103" t="s">
        <v>229</v>
      </c>
      <c r="N226" s="51">
        <v>628</v>
      </c>
      <c r="O226" s="50">
        <v>12320000</v>
      </c>
      <c r="P226" s="51">
        <v>485</v>
      </c>
      <c r="Q226" s="50">
        <v>11845000</v>
      </c>
      <c r="R226" s="112">
        <v>137</v>
      </c>
      <c r="S226" s="107">
        <v>9660000</v>
      </c>
      <c r="T226" s="102">
        <f t="shared" si="57"/>
        <v>2021</v>
      </c>
      <c r="U226" s="60">
        <f t="shared" si="58"/>
        <v>47.197571228397948</v>
      </c>
      <c r="V226" s="34" t="s">
        <v>44</v>
      </c>
      <c r="W226" s="52">
        <f t="shared" si="64"/>
        <v>33825000</v>
      </c>
      <c r="X226" s="60">
        <f t="shared" si="60"/>
        <v>94.154488517745307</v>
      </c>
      <c r="Y226" s="34" t="s">
        <v>44</v>
      </c>
      <c r="Z226" s="102">
        <f t="shared" si="20"/>
        <v>4212</v>
      </c>
      <c r="AA226" s="52">
        <f t="shared" si="61"/>
        <v>64031000</v>
      </c>
      <c r="AB226" s="41">
        <f t="shared" si="62"/>
        <v>39.0832328106152</v>
      </c>
      <c r="AC226" s="34" t="s">
        <v>44</v>
      </c>
      <c r="AD226" s="90">
        <f t="shared" si="63"/>
        <v>62.277272019919081</v>
      </c>
      <c r="AE226" s="17"/>
      <c r="AF226" s="2"/>
      <c r="AG226" s="2"/>
      <c r="AH226" s="55"/>
      <c r="AI226" s="2"/>
      <c r="AJ226" s="2"/>
      <c r="AK226" s="2"/>
    </row>
    <row r="227" spans="1:37" ht="105">
      <c r="A227" s="43"/>
      <c r="B227" s="39"/>
      <c r="C227" s="46" t="s">
        <v>369</v>
      </c>
      <c r="D227" s="47" t="s">
        <v>354</v>
      </c>
      <c r="E227" s="48">
        <v>2325</v>
      </c>
      <c r="F227" s="77" t="s">
        <v>227</v>
      </c>
      <c r="G227" s="91">
        <v>102305000</v>
      </c>
      <c r="H227" s="120">
        <v>775</v>
      </c>
      <c r="I227" s="58">
        <v>27030000</v>
      </c>
      <c r="J227" s="51">
        <v>825</v>
      </c>
      <c r="K227" s="50">
        <v>37637500</v>
      </c>
      <c r="L227" s="33">
        <v>389</v>
      </c>
      <c r="M227" s="103" t="s">
        <v>229</v>
      </c>
      <c r="N227" s="51">
        <v>532</v>
      </c>
      <c r="O227" s="50">
        <v>12760000</v>
      </c>
      <c r="P227" s="51">
        <v>169</v>
      </c>
      <c r="Q227" s="50">
        <v>12117500</v>
      </c>
      <c r="R227" s="112">
        <v>204</v>
      </c>
      <c r="S227" s="107">
        <v>12760000</v>
      </c>
      <c r="T227" s="102">
        <f t="shared" si="57"/>
        <v>1294</v>
      </c>
      <c r="U227" s="60">
        <f t="shared" si="58"/>
        <v>156.84848484848487</v>
      </c>
      <c r="V227" s="34" t="s">
        <v>44</v>
      </c>
      <c r="W227" s="52">
        <f t="shared" si="64"/>
        <v>37637500</v>
      </c>
      <c r="X227" s="60">
        <f t="shared" si="60"/>
        <v>100</v>
      </c>
      <c r="Y227" s="34" t="s">
        <v>44</v>
      </c>
      <c r="Z227" s="102">
        <f t="shared" si="20"/>
        <v>2069</v>
      </c>
      <c r="AA227" s="52">
        <f t="shared" si="61"/>
        <v>64667500</v>
      </c>
      <c r="AB227" s="41">
        <f t="shared" si="62"/>
        <v>88.989247311827953</v>
      </c>
      <c r="AC227" s="34" t="s">
        <v>44</v>
      </c>
      <c r="AD227" s="90">
        <f t="shared" si="63"/>
        <v>63.210498020624605</v>
      </c>
      <c r="AE227" s="17"/>
      <c r="AF227" s="2"/>
      <c r="AG227" s="2"/>
      <c r="AH227" s="55"/>
      <c r="AI227" s="2"/>
      <c r="AJ227" s="2"/>
      <c r="AK227" s="2"/>
    </row>
    <row r="228" spans="1:37" ht="105">
      <c r="A228" s="43"/>
      <c r="B228" s="39"/>
      <c r="C228" s="46" t="s">
        <v>370</v>
      </c>
      <c r="D228" s="47" t="s">
        <v>354</v>
      </c>
      <c r="E228" s="48">
        <v>8104</v>
      </c>
      <c r="F228" s="77" t="s">
        <v>227</v>
      </c>
      <c r="G228" s="91">
        <v>122125000</v>
      </c>
      <c r="H228" s="101">
        <v>1799</v>
      </c>
      <c r="I228" s="50">
        <v>47215000</v>
      </c>
      <c r="J228" s="51">
        <v>1106</v>
      </c>
      <c r="K228" s="50">
        <v>37170000</v>
      </c>
      <c r="L228" s="115">
        <v>492</v>
      </c>
      <c r="M228" s="116">
        <v>0</v>
      </c>
      <c r="N228" s="117">
        <v>421</v>
      </c>
      <c r="O228" s="107">
        <v>12270000</v>
      </c>
      <c r="P228" s="117">
        <v>131</v>
      </c>
      <c r="Q228" s="107">
        <v>13380000</v>
      </c>
      <c r="R228" s="118">
        <v>43</v>
      </c>
      <c r="S228" s="107">
        <v>9230000</v>
      </c>
      <c r="T228" s="102">
        <f t="shared" si="57"/>
        <v>1087</v>
      </c>
      <c r="U228" s="60">
        <f t="shared" si="58"/>
        <v>98.282097649186255</v>
      </c>
      <c r="V228" s="34" t="s">
        <v>44</v>
      </c>
      <c r="W228" s="52">
        <f t="shared" si="64"/>
        <v>34880000</v>
      </c>
      <c r="X228" s="60">
        <f t="shared" si="60"/>
        <v>93.839117567931126</v>
      </c>
      <c r="Y228" s="34" t="s">
        <v>44</v>
      </c>
      <c r="Z228" s="102">
        <f t="shared" si="20"/>
        <v>2886</v>
      </c>
      <c r="AA228" s="52">
        <f t="shared" si="61"/>
        <v>82095000</v>
      </c>
      <c r="AB228" s="41">
        <f t="shared" si="62"/>
        <v>35.612043435340574</v>
      </c>
      <c r="AC228" s="34" t="s">
        <v>44</v>
      </c>
      <c r="AD228" s="90">
        <f t="shared" si="63"/>
        <v>67.222108495394068</v>
      </c>
      <c r="AE228" s="17"/>
      <c r="AF228" s="2"/>
      <c r="AG228" s="2"/>
      <c r="AH228" s="55"/>
      <c r="AI228" s="2"/>
      <c r="AJ228" s="2"/>
      <c r="AK228" s="2"/>
    </row>
    <row r="229" spans="1:37" ht="105">
      <c r="A229" s="43"/>
      <c r="B229" s="39"/>
      <c r="C229" s="46" t="s">
        <v>371</v>
      </c>
      <c r="D229" s="47" t="s">
        <v>354</v>
      </c>
      <c r="E229" s="48">
        <v>3828</v>
      </c>
      <c r="F229" s="77" t="s">
        <v>227</v>
      </c>
      <c r="G229" s="91">
        <v>73925000</v>
      </c>
      <c r="H229" s="101">
        <v>1062</v>
      </c>
      <c r="I229" s="50">
        <v>28825000</v>
      </c>
      <c r="J229" s="51">
        <v>1271</v>
      </c>
      <c r="K229" s="50">
        <v>1025000</v>
      </c>
      <c r="L229" s="33">
        <v>325</v>
      </c>
      <c r="M229" s="50">
        <v>0</v>
      </c>
      <c r="N229" s="51">
        <v>326</v>
      </c>
      <c r="O229" s="50">
        <v>0</v>
      </c>
      <c r="P229" s="51">
        <v>321</v>
      </c>
      <c r="Q229" s="50">
        <v>0</v>
      </c>
      <c r="R229" s="112">
        <v>269</v>
      </c>
      <c r="S229" s="78">
        <v>1025000</v>
      </c>
      <c r="T229" s="102">
        <f t="shared" si="57"/>
        <v>1241</v>
      </c>
      <c r="U229" s="60">
        <f t="shared" si="58"/>
        <v>97.639653815892999</v>
      </c>
      <c r="V229" s="34" t="s">
        <v>44</v>
      </c>
      <c r="W229" s="52">
        <f t="shared" si="64"/>
        <v>1025000</v>
      </c>
      <c r="X229" s="60">
        <f t="shared" si="60"/>
        <v>100</v>
      </c>
      <c r="Y229" s="34" t="s">
        <v>44</v>
      </c>
      <c r="Z229" s="102">
        <f t="shared" si="20"/>
        <v>2303</v>
      </c>
      <c r="AA229" s="52">
        <f t="shared" si="61"/>
        <v>29850000</v>
      </c>
      <c r="AB229" s="41">
        <f t="shared" si="62"/>
        <v>60.161964472309307</v>
      </c>
      <c r="AC229" s="34" t="s">
        <v>44</v>
      </c>
      <c r="AD229" s="90">
        <f t="shared" si="63"/>
        <v>40.378762259046333</v>
      </c>
      <c r="AE229" s="17"/>
      <c r="AF229" s="2"/>
      <c r="AG229" s="2"/>
      <c r="AH229" s="55"/>
      <c r="AI229" s="2"/>
      <c r="AJ229" s="2"/>
      <c r="AK229" s="2"/>
    </row>
    <row r="230" spans="1:37" ht="105">
      <c r="A230" s="43"/>
      <c r="B230" s="39"/>
      <c r="C230" s="46" t="s">
        <v>372</v>
      </c>
      <c r="D230" s="47" t="s">
        <v>354</v>
      </c>
      <c r="E230" s="48">
        <v>8712</v>
      </c>
      <c r="F230" s="77" t="s">
        <v>227</v>
      </c>
      <c r="G230" s="91">
        <v>57170000</v>
      </c>
      <c r="H230" s="101">
        <v>2423</v>
      </c>
      <c r="I230" s="50">
        <v>22820000</v>
      </c>
      <c r="J230" s="51">
        <v>2904</v>
      </c>
      <c r="K230" s="50">
        <v>16940000</v>
      </c>
      <c r="L230" s="33">
        <v>726</v>
      </c>
      <c r="M230" s="103" t="s">
        <v>229</v>
      </c>
      <c r="N230" s="51">
        <v>726</v>
      </c>
      <c r="O230" s="50">
        <v>6160000</v>
      </c>
      <c r="P230" s="51">
        <v>726</v>
      </c>
      <c r="Q230" s="50">
        <v>4620000</v>
      </c>
      <c r="R230" s="112">
        <v>726</v>
      </c>
      <c r="S230" s="107">
        <v>6160000</v>
      </c>
      <c r="T230" s="102">
        <f t="shared" si="57"/>
        <v>2904</v>
      </c>
      <c r="U230" s="60">
        <f t="shared" si="58"/>
        <v>100</v>
      </c>
      <c r="V230" s="34" t="s">
        <v>44</v>
      </c>
      <c r="W230" s="52">
        <f t="shared" si="64"/>
        <v>16940000</v>
      </c>
      <c r="X230" s="60">
        <f t="shared" si="60"/>
        <v>100</v>
      </c>
      <c r="Y230" s="34" t="s">
        <v>44</v>
      </c>
      <c r="Z230" s="102">
        <f t="shared" si="20"/>
        <v>5327</v>
      </c>
      <c r="AA230" s="52">
        <f t="shared" si="61"/>
        <v>39760000</v>
      </c>
      <c r="AB230" s="41">
        <f t="shared" si="62"/>
        <v>61.145546372819105</v>
      </c>
      <c r="AC230" s="34" t="s">
        <v>44</v>
      </c>
      <c r="AD230" s="90">
        <f t="shared" si="63"/>
        <v>69.546965191534014</v>
      </c>
      <c r="AE230" s="17"/>
      <c r="AF230" s="2"/>
      <c r="AG230" s="2"/>
      <c r="AH230" s="55"/>
      <c r="AI230" s="2"/>
      <c r="AJ230" s="2"/>
      <c r="AK230" s="2"/>
    </row>
    <row r="231" spans="1:37" ht="105">
      <c r="A231" s="43"/>
      <c r="B231" s="39"/>
      <c r="C231" s="46" t="s">
        <v>373</v>
      </c>
      <c r="D231" s="47" t="s">
        <v>354</v>
      </c>
      <c r="E231" s="48">
        <v>4248</v>
      </c>
      <c r="F231" s="77" t="s">
        <v>227</v>
      </c>
      <c r="G231" s="91">
        <v>25295500</v>
      </c>
      <c r="H231" s="101">
        <v>1100</v>
      </c>
      <c r="I231" s="50">
        <v>19724300</v>
      </c>
      <c r="J231" s="51">
        <v>1228</v>
      </c>
      <c r="K231" s="50">
        <v>2785600</v>
      </c>
      <c r="L231" s="106">
        <v>469</v>
      </c>
      <c r="M231" s="107" t="s">
        <v>229</v>
      </c>
      <c r="N231" s="108">
        <v>259</v>
      </c>
      <c r="O231" s="107" t="s">
        <v>229</v>
      </c>
      <c r="P231" s="108">
        <v>240</v>
      </c>
      <c r="Q231" s="107">
        <v>2360000</v>
      </c>
      <c r="R231" s="109">
        <v>260</v>
      </c>
      <c r="S231" s="50">
        <v>305600</v>
      </c>
      <c r="T231" s="102">
        <f t="shared" si="57"/>
        <v>1228</v>
      </c>
      <c r="U231" s="60">
        <f t="shared" si="58"/>
        <v>100</v>
      </c>
      <c r="V231" s="34" t="s">
        <v>44</v>
      </c>
      <c r="W231" s="52">
        <f t="shared" si="64"/>
        <v>2665600</v>
      </c>
      <c r="X231" s="60">
        <f t="shared" si="60"/>
        <v>95.692130959218829</v>
      </c>
      <c r="Y231" s="34" t="s">
        <v>44</v>
      </c>
      <c r="Z231" s="102">
        <f t="shared" si="20"/>
        <v>2328</v>
      </c>
      <c r="AA231" s="52">
        <f t="shared" si="61"/>
        <v>22389900</v>
      </c>
      <c r="AB231" s="41">
        <f t="shared" si="62"/>
        <v>54.802259887005647</v>
      </c>
      <c r="AC231" s="34" t="s">
        <v>44</v>
      </c>
      <c r="AD231" s="90">
        <f t="shared" si="63"/>
        <v>88.513371943626339</v>
      </c>
      <c r="AE231" s="17"/>
      <c r="AF231" s="2"/>
      <c r="AG231" s="2"/>
      <c r="AH231" s="55"/>
      <c r="AI231" s="2"/>
      <c r="AJ231" s="2"/>
      <c r="AK231" s="2"/>
    </row>
    <row r="232" spans="1:37" ht="105">
      <c r="A232" s="43"/>
      <c r="B232" s="39"/>
      <c r="C232" s="46" t="s">
        <v>374</v>
      </c>
      <c r="D232" s="47" t="s">
        <v>354</v>
      </c>
      <c r="E232" s="48">
        <v>10</v>
      </c>
      <c r="F232" s="77" t="s">
        <v>227</v>
      </c>
      <c r="G232" s="91">
        <v>1650000</v>
      </c>
      <c r="H232" s="101"/>
      <c r="I232" s="50"/>
      <c r="J232" s="51">
        <v>5</v>
      </c>
      <c r="K232" s="50">
        <v>825000</v>
      </c>
      <c r="L232" s="33">
        <v>0</v>
      </c>
      <c r="M232" s="103" t="s">
        <v>229</v>
      </c>
      <c r="N232" s="51"/>
      <c r="O232" s="50">
        <v>0</v>
      </c>
      <c r="P232" s="51">
        <v>5</v>
      </c>
      <c r="Q232" s="50">
        <v>725000</v>
      </c>
      <c r="R232" s="101">
        <v>0</v>
      </c>
      <c r="S232" s="50">
        <v>0</v>
      </c>
      <c r="T232" s="102">
        <f t="shared" si="57"/>
        <v>5</v>
      </c>
      <c r="U232" s="60">
        <f t="shared" si="58"/>
        <v>100</v>
      </c>
      <c r="V232" s="34" t="s">
        <v>44</v>
      </c>
      <c r="W232" s="52">
        <f t="shared" si="64"/>
        <v>725000</v>
      </c>
      <c r="X232" s="60">
        <f t="shared" si="60"/>
        <v>87.878787878787875</v>
      </c>
      <c r="Y232" s="34" t="s">
        <v>44</v>
      </c>
      <c r="Z232" s="102">
        <f t="shared" si="20"/>
        <v>5</v>
      </c>
      <c r="AA232" s="52">
        <f t="shared" si="61"/>
        <v>725000</v>
      </c>
      <c r="AB232" s="41">
        <f t="shared" si="62"/>
        <v>50</v>
      </c>
      <c r="AC232" s="34" t="s">
        <v>44</v>
      </c>
      <c r="AD232" s="90">
        <f t="shared" si="63"/>
        <v>43.939393939393938</v>
      </c>
      <c r="AE232" s="17"/>
      <c r="AF232" s="2"/>
      <c r="AG232" s="2"/>
      <c r="AH232" s="55"/>
      <c r="AI232" s="2"/>
      <c r="AJ232" s="2"/>
      <c r="AK232" s="2"/>
    </row>
    <row r="233" spans="1:37" ht="105">
      <c r="A233" s="43"/>
      <c r="B233" s="39"/>
      <c r="C233" s="46" t="s">
        <v>375</v>
      </c>
      <c r="D233" s="47" t="s">
        <v>354</v>
      </c>
      <c r="E233" s="48">
        <v>3764</v>
      </c>
      <c r="F233" s="77" t="s">
        <v>227</v>
      </c>
      <c r="G233" s="91">
        <v>94769600</v>
      </c>
      <c r="H233" s="101">
        <v>1250</v>
      </c>
      <c r="I233" s="50">
        <v>62075000</v>
      </c>
      <c r="J233" s="51">
        <v>1257</v>
      </c>
      <c r="K233" s="50">
        <v>16347300</v>
      </c>
      <c r="L233" s="33">
        <v>214</v>
      </c>
      <c r="M233" s="103" t="s">
        <v>229</v>
      </c>
      <c r="N233" s="51">
        <v>347</v>
      </c>
      <c r="O233" s="50">
        <v>4820000</v>
      </c>
      <c r="P233" s="51">
        <v>348</v>
      </c>
      <c r="Q233" s="50">
        <v>5902750</v>
      </c>
      <c r="R233" s="112">
        <v>348</v>
      </c>
      <c r="S233" s="107">
        <v>4300000</v>
      </c>
      <c r="T233" s="102">
        <f t="shared" si="57"/>
        <v>1257</v>
      </c>
      <c r="U233" s="60">
        <f t="shared" si="58"/>
        <v>100</v>
      </c>
      <c r="V233" s="34" t="s">
        <v>44</v>
      </c>
      <c r="W233" s="52">
        <f t="shared" si="64"/>
        <v>15022750</v>
      </c>
      <c r="X233" s="60">
        <f t="shared" si="60"/>
        <v>91.89743872076734</v>
      </c>
      <c r="Y233" s="34" t="s">
        <v>44</v>
      </c>
      <c r="Z233" s="102">
        <f t="shared" si="20"/>
        <v>2507</v>
      </c>
      <c r="AA233" s="52">
        <f t="shared" si="61"/>
        <v>77097750</v>
      </c>
      <c r="AB233" s="41">
        <f t="shared" si="62"/>
        <v>66.604675876726887</v>
      </c>
      <c r="AC233" s="34" t="s">
        <v>44</v>
      </c>
      <c r="AD233" s="90">
        <f t="shared" si="63"/>
        <v>81.352828333136358</v>
      </c>
      <c r="AE233" s="17"/>
      <c r="AF233" s="2"/>
      <c r="AG233" s="2"/>
      <c r="AH233" s="55"/>
      <c r="AI233" s="2"/>
      <c r="AJ233" s="2"/>
      <c r="AK233" s="2"/>
    </row>
    <row r="234" spans="1:37" ht="105">
      <c r="A234" s="43"/>
      <c r="B234" s="39"/>
      <c r="C234" s="46" t="s">
        <v>376</v>
      </c>
      <c r="D234" s="47" t="s">
        <v>377</v>
      </c>
      <c r="E234" s="48">
        <f>J234*2</f>
        <v>122720</v>
      </c>
      <c r="F234" s="77" t="s">
        <v>227</v>
      </c>
      <c r="G234" s="91">
        <f>K234*2</f>
        <v>115470000</v>
      </c>
      <c r="H234" s="120"/>
      <c r="I234" s="58"/>
      <c r="J234" s="51">
        <v>61360</v>
      </c>
      <c r="K234" s="50">
        <v>57735000</v>
      </c>
      <c r="L234" s="33">
        <v>12969</v>
      </c>
      <c r="M234" s="50">
        <v>0</v>
      </c>
      <c r="N234" s="51">
        <v>17115</v>
      </c>
      <c r="O234" s="50">
        <v>0</v>
      </c>
      <c r="P234" s="51">
        <v>12980</v>
      </c>
      <c r="Q234" s="50">
        <v>0</v>
      </c>
      <c r="R234" s="101">
        <v>13880</v>
      </c>
      <c r="S234" s="50">
        <v>39195000</v>
      </c>
      <c r="T234" s="102">
        <f t="shared" si="57"/>
        <v>56944</v>
      </c>
      <c r="U234" s="60">
        <f t="shared" si="58"/>
        <v>92.803129074315521</v>
      </c>
      <c r="V234" s="34" t="s">
        <v>44</v>
      </c>
      <c r="W234" s="52">
        <f t="shared" si="64"/>
        <v>39195000</v>
      </c>
      <c r="X234" s="60">
        <f t="shared" si="60"/>
        <v>67.88776305533905</v>
      </c>
      <c r="Y234" s="34" t="s">
        <v>44</v>
      </c>
      <c r="Z234" s="102">
        <f t="shared" si="20"/>
        <v>56944</v>
      </c>
      <c r="AA234" s="52">
        <f t="shared" si="61"/>
        <v>39195000</v>
      </c>
      <c r="AB234" s="41">
        <f t="shared" si="62"/>
        <v>46.401564537157761</v>
      </c>
      <c r="AC234" s="34" t="s">
        <v>44</v>
      </c>
      <c r="AD234" s="90">
        <f t="shared" si="63"/>
        <v>33.943881527669525</v>
      </c>
      <c r="AE234" s="17"/>
      <c r="AF234" s="2"/>
      <c r="AG234" s="2"/>
      <c r="AH234" s="55"/>
      <c r="AI234" s="2"/>
      <c r="AJ234" s="2"/>
      <c r="AK234" s="2"/>
    </row>
    <row r="235" spans="1:37" ht="105">
      <c r="A235" s="43"/>
      <c r="B235" s="39"/>
      <c r="C235" s="46" t="s">
        <v>378</v>
      </c>
      <c r="D235" s="47" t="s">
        <v>377</v>
      </c>
      <c r="E235" s="48">
        <v>4841</v>
      </c>
      <c r="F235" s="77" t="s">
        <v>227</v>
      </c>
      <c r="G235" s="91">
        <v>11040000</v>
      </c>
      <c r="H235" s="101">
        <v>1237</v>
      </c>
      <c r="I235" s="50">
        <v>3360000</v>
      </c>
      <c r="J235" s="51">
        <v>1622</v>
      </c>
      <c r="K235" s="50">
        <v>3840000</v>
      </c>
      <c r="L235" s="106">
        <v>254</v>
      </c>
      <c r="M235" s="107" t="s">
        <v>229</v>
      </c>
      <c r="N235" s="108">
        <v>493</v>
      </c>
      <c r="O235" s="107">
        <v>1920000</v>
      </c>
      <c r="P235" s="108">
        <v>749</v>
      </c>
      <c r="Q235" s="107">
        <v>2880000</v>
      </c>
      <c r="R235" s="109">
        <v>1.02</v>
      </c>
      <c r="S235" s="107">
        <v>3840000</v>
      </c>
      <c r="T235" s="102">
        <f t="shared" si="57"/>
        <v>1497.02</v>
      </c>
      <c r="U235" s="60">
        <f t="shared" si="58"/>
        <v>92.294697903822438</v>
      </c>
      <c r="V235" s="34" t="s">
        <v>44</v>
      </c>
      <c r="W235" s="52">
        <f t="shared" si="64"/>
        <v>8640000</v>
      </c>
      <c r="X235" s="60">
        <f t="shared" si="60"/>
        <v>225</v>
      </c>
      <c r="Y235" s="34" t="s">
        <v>44</v>
      </c>
      <c r="Z235" s="102">
        <f t="shared" si="20"/>
        <v>2734.02</v>
      </c>
      <c r="AA235" s="52">
        <f t="shared" si="61"/>
        <v>12000000</v>
      </c>
      <c r="AB235" s="41">
        <f t="shared" si="62"/>
        <v>56.476347862011977</v>
      </c>
      <c r="AC235" s="34" t="s">
        <v>44</v>
      </c>
      <c r="AD235" s="90">
        <f t="shared" si="63"/>
        <v>108.69565217391303</v>
      </c>
      <c r="AE235" s="17"/>
      <c r="AF235" s="2"/>
      <c r="AG235" s="2"/>
      <c r="AH235" s="55"/>
      <c r="AI235" s="2"/>
      <c r="AJ235" s="2"/>
      <c r="AK235" s="2"/>
    </row>
    <row r="236" spans="1:37" ht="105">
      <c r="A236" s="43"/>
      <c r="B236" s="39"/>
      <c r="C236" s="46" t="s">
        <v>379</v>
      </c>
      <c r="D236" s="47" t="s">
        <v>377</v>
      </c>
      <c r="E236" s="48">
        <v>18936</v>
      </c>
      <c r="F236" s="77" t="s">
        <v>227</v>
      </c>
      <c r="G236" s="91">
        <v>29280000</v>
      </c>
      <c r="H236" s="101">
        <v>7364</v>
      </c>
      <c r="I236" s="50">
        <v>7110000</v>
      </c>
      <c r="J236" s="51">
        <v>6312</v>
      </c>
      <c r="K236" s="50">
        <v>9280000</v>
      </c>
      <c r="L236" s="33">
        <v>1609</v>
      </c>
      <c r="M236" s="103" t="s">
        <v>229</v>
      </c>
      <c r="N236" s="51">
        <v>2542</v>
      </c>
      <c r="O236" s="50">
        <v>3360000</v>
      </c>
      <c r="P236" s="51">
        <v>1669</v>
      </c>
      <c r="Q236" s="50">
        <v>2420000</v>
      </c>
      <c r="R236" s="112">
        <v>232</v>
      </c>
      <c r="S236" s="107">
        <v>2050000</v>
      </c>
      <c r="T236" s="102">
        <f t="shared" si="57"/>
        <v>6052</v>
      </c>
      <c r="U236" s="60">
        <f t="shared" si="58"/>
        <v>95.880861850443594</v>
      </c>
      <c r="V236" s="34" t="s">
        <v>44</v>
      </c>
      <c r="W236" s="52">
        <f t="shared" si="64"/>
        <v>7830000</v>
      </c>
      <c r="X236" s="60">
        <f t="shared" si="60"/>
        <v>84.375</v>
      </c>
      <c r="Y236" s="34" t="s">
        <v>44</v>
      </c>
      <c r="Z236" s="102">
        <f t="shared" si="20"/>
        <v>13416</v>
      </c>
      <c r="AA236" s="52">
        <f t="shared" si="61"/>
        <v>14940000</v>
      </c>
      <c r="AB236" s="41">
        <f t="shared" si="62"/>
        <v>70.849176172370093</v>
      </c>
      <c r="AC236" s="34" t="s">
        <v>44</v>
      </c>
      <c r="AD236" s="90">
        <f t="shared" si="63"/>
        <v>51.024590163934427</v>
      </c>
      <c r="AE236" s="17"/>
      <c r="AF236" s="2"/>
      <c r="AG236" s="2"/>
      <c r="AH236" s="55"/>
      <c r="AI236" s="2"/>
      <c r="AJ236" s="2"/>
      <c r="AK236" s="2"/>
    </row>
    <row r="237" spans="1:37" ht="120">
      <c r="A237" s="43"/>
      <c r="B237" s="39"/>
      <c r="C237" s="46" t="s">
        <v>380</v>
      </c>
      <c r="D237" s="47" t="s">
        <v>381</v>
      </c>
      <c r="E237" s="48">
        <f>J237*2</f>
        <v>9648</v>
      </c>
      <c r="F237" s="77" t="s">
        <v>227</v>
      </c>
      <c r="G237" s="91">
        <f>K237*2</f>
        <v>906801000</v>
      </c>
      <c r="H237" s="120"/>
      <c r="I237" s="58"/>
      <c r="J237" s="51">
        <v>4824</v>
      </c>
      <c r="K237" s="50">
        <v>453400500</v>
      </c>
      <c r="L237" s="33">
        <v>1516</v>
      </c>
      <c r="M237" s="50">
        <v>0</v>
      </c>
      <c r="N237" s="51">
        <v>1081</v>
      </c>
      <c r="O237" s="50">
        <v>0</v>
      </c>
      <c r="P237" s="51">
        <v>471</v>
      </c>
      <c r="Q237" s="50">
        <v>350258875</v>
      </c>
      <c r="R237" s="101">
        <v>1756</v>
      </c>
      <c r="S237" s="50">
        <f>374363875-Q237</f>
        <v>24105000</v>
      </c>
      <c r="T237" s="102">
        <f t="shared" si="57"/>
        <v>4824</v>
      </c>
      <c r="U237" s="60">
        <f t="shared" si="58"/>
        <v>100</v>
      </c>
      <c r="V237" s="34" t="s">
        <v>44</v>
      </c>
      <c r="W237" s="52">
        <f t="shared" si="64"/>
        <v>374363875</v>
      </c>
      <c r="X237" s="60">
        <f t="shared" si="60"/>
        <v>82.568033118622495</v>
      </c>
      <c r="Y237" s="34" t="s">
        <v>44</v>
      </c>
      <c r="Z237" s="102">
        <f t="shared" si="20"/>
        <v>4824</v>
      </c>
      <c r="AA237" s="52">
        <f t="shared" si="61"/>
        <v>374363875</v>
      </c>
      <c r="AB237" s="41">
        <f t="shared" si="62"/>
        <v>50</v>
      </c>
      <c r="AC237" s="34" t="s">
        <v>44</v>
      </c>
      <c r="AD237" s="90">
        <f t="shared" si="63"/>
        <v>41.284016559311247</v>
      </c>
      <c r="AE237" s="17"/>
      <c r="AF237" s="2"/>
      <c r="AG237" s="2"/>
      <c r="AH237" s="55"/>
      <c r="AI237" s="2"/>
      <c r="AJ237" s="2"/>
      <c r="AK237" s="2"/>
    </row>
    <row r="238" spans="1:37" ht="120">
      <c r="A238" s="43"/>
      <c r="B238" s="39"/>
      <c r="C238" s="46" t="s">
        <v>382</v>
      </c>
      <c r="D238" s="47" t="s">
        <v>381</v>
      </c>
      <c r="E238" s="48">
        <v>211</v>
      </c>
      <c r="F238" s="77" t="s">
        <v>227</v>
      </c>
      <c r="G238" s="91">
        <v>11040000</v>
      </c>
      <c r="H238" s="101">
        <v>53</v>
      </c>
      <c r="I238" s="50">
        <v>3360000</v>
      </c>
      <c r="J238" s="51">
        <v>71</v>
      </c>
      <c r="K238" s="50">
        <v>3840000</v>
      </c>
      <c r="L238" s="106">
        <v>17</v>
      </c>
      <c r="M238" s="107" t="s">
        <v>229</v>
      </c>
      <c r="N238" s="108">
        <v>29</v>
      </c>
      <c r="O238" s="107">
        <v>1900000</v>
      </c>
      <c r="P238" s="108">
        <v>52</v>
      </c>
      <c r="Q238" s="107">
        <v>2860000</v>
      </c>
      <c r="R238" s="109">
        <v>61</v>
      </c>
      <c r="S238" s="107">
        <v>3790000</v>
      </c>
      <c r="T238" s="102">
        <f t="shared" si="57"/>
        <v>159</v>
      </c>
      <c r="U238" s="60">
        <f t="shared" si="58"/>
        <v>223.94366197183101</v>
      </c>
      <c r="V238" s="34" t="s">
        <v>44</v>
      </c>
      <c r="W238" s="52">
        <f t="shared" si="64"/>
        <v>8550000</v>
      </c>
      <c r="X238" s="60">
        <f t="shared" si="60"/>
        <v>222.65625</v>
      </c>
      <c r="Y238" s="34" t="s">
        <v>44</v>
      </c>
      <c r="Z238" s="102">
        <f t="shared" si="20"/>
        <v>212</v>
      </c>
      <c r="AA238" s="52">
        <f t="shared" si="61"/>
        <v>11910000</v>
      </c>
      <c r="AB238" s="41">
        <f t="shared" si="62"/>
        <v>100.47393364928909</v>
      </c>
      <c r="AC238" s="34" t="s">
        <v>44</v>
      </c>
      <c r="AD238" s="90">
        <f t="shared" si="63"/>
        <v>107.88043478260869</v>
      </c>
      <c r="AE238" s="17"/>
      <c r="AF238" s="2"/>
      <c r="AG238" s="2"/>
      <c r="AH238" s="55"/>
      <c r="AI238" s="2"/>
      <c r="AJ238" s="2"/>
      <c r="AK238" s="2"/>
    </row>
    <row r="239" spans="1:37" ht="120">
      <c r="A239" s="43"/>
      <c r="B239" s="39"/>
      <c r="C239" s="46" t="s">
        <v>383</v>
      </c>
      <c r="D239" s="47" t="s">
        <v>381</v>
      </c>
      <c r="E239" s="48">
        <v>822</v>
      </c>
      <c r="F239" s="77" t="s">
        <v>227</v>
      </c>
      <c r="G239" s="91">
        <v>19200000</v>
      </c>
      <c r="H239" s="101">
        <v>350</v>
      </c>
      <c r="I239" s="50">
        <v>13680000</v>
      </c>
      <c r="J239" s="51">
        <v>274</v>
      </c>
      <c r="K239" s="50">
        <v>1920000</v>
      </c>
      <c r="L239" s="33">
        <v>136</v>
      </c>
      <c r="M239" s="103" t="s">
        <v>229</v>
      </c>
      <c r="N239" s="51">
        <v>75</v>
      </c>
      <c r="O239" s="50">
        <v>420000</v>
      </c>
      <c r="P239" s="51">
        <v>44</v>
      </c>
      <c r="Q239" s="50">
        <v>420000</v>
      </c>
      <c r="R239" s="112">
        <v>40</v>
      </c>
      <c r="S239" s="107">
        <v>420</v>
      </c>
      <c r="T239" s="102">
        <f t="shared" si="57"/>
        <v>295</v>
      </c>
      <c r="U239" s="60">
        <f t="shared" si="58"/>
        <v>107.66423357664235</v>
      </c>
      <c r="V239" s="34" t="s">
        <v>44</v>
      </c>
      <c r="W239" s="52">
        <f t="shared" si="64"/>
        <v>840420</v>
      </c>
      <c r="X239" s="60">
        <f t="shared" si="60"/>
        <v>43.771875000000001</v>
      </c>
      <c r="Y239" s="34" t="s">
        <v>44</v>
      </c>
      <c r="Z239" s="102">
        <f t="shared" si="20"/>
        <v>645</v>
      </c>
      <c r="AA239" s="52">
        <f t="shared" si="61"/>
        <v>14520420</v>
      </c>
      <c r="AB239" s="41">
        <f t="shared" si="62"/>
        <v>78.467153284671525</v>
      </c>
      <c r="AC239" s="34" t="s">
        <v>44</v>
      </c>
      <c r="AD239" s="90">
        <f t="shared" si="63"/>
        <v>75.627187500000005</v>
      </c>
      <c r="AE239" s="17"/>
      <c r="AF239" s="2"/>
      <c r="AG239" s="2"/>
      <c r="AH239" s="55"/>
      <c r="AI239" s="2"/>
      <c r="AJ239" s="2"/>
      <c r="AK239" s="2"/>
    </row>
    <row r="240" spans="1:37" ht="120">
      <c r="A240" s="43"/>
      <c r="B240" s="39"/>
      <c r="C240" s="46" t="s">
        <v>384</v>
      </c>
      <c r="D240" s="47" t="s">
        <v>385</v>
      </c>
      <c r="E240" s="48">
        <f>J240*2</f>
        <v>1154</v>
      </c>
      <c r="F240" s="77" t="s">
        <v>227</v>
      </c>
      <c r="G240" s="91">
        <f>K240*2</f>
        <v>10470000</v>
      </c>
      <c r="H240" s="120"/>
      <c r="I240" s="58"/>
      <c r="J240" s="51">
        <v>577</v>
      </c>
      <c r="K240" s="50">
        <v>5235000</v>
      </c>
      <c r="L240" s="33">
        <v>302</v>
      </c>
      <c r="M240" s="50">
        <v>0</v>
      </c>
      <c r="N240" s="51">
        <v>129</v>
      </c>
      <c r="O240" s="50">
        <v>0</v>
      </c>
      <c r="P240" s="51">
        <v>115</v>
      </c>
      <c r="Q240" s="50">
        <v>1570000</v>
      </c>
      <c r="R240" s="101">
        <v>26</v>
      </c>
      <c r="S240" s="50">
        <f>4965000-Q240</f>
        <v>3395000</v>
      </c>
      <c r="T240" s="102">
        <f t="shared" si="57"/>
        <v>572</v>
      </c>
      <c r="U240" s="60">
        <f t="shared" si="58"/>
        <v>99.13344887348353</v>
      </c>
      <c r="V240" s="34" t="s">
        <v>44</v>
      </c>
      <c r="W240" s="52">
        <f t="shared" si="64"/>
        <v>4965000</v>
      </c>
      <c r="X240" s="60">
        <f t="shared" si="60"/>
        <v>94.842406876790832</v>
      </c>
      <c r="Y240" s="34" t="s">
        <v>44</v>
      </c>
      <c r="Z240" s="102">
        <f t="shared" si="20"/>
        <v>572</v>
      </c>
      <c r="AA240" s="52">
        <f t="shared" si="61"/>
        <v>4965000</v>
      </c>
      <c r="AB240" s="41">
        <f t="shared" si="62"/>
        <v>49.566724436741765</v>
      </c>
      <c r="AC240" s="34" t="s">
        <v>44</v>
      </c>
      <c r="AD240" s="90">
        <f t="shared" si="63"/>
        <v>47.421203438395416</v>
      </c>
      <c r="AE240" s="17"/>
      <c r="AF240" s="2"/>
      <c r="AG240" s="2"/>
      <c r="AH240" s="55"/>
      <c r="AI240" s="2"/>
      <c r="AJ240" s="2"/>
      <c r="AK240" s="2"/>
    </row>
    <row r="241" spans="1:37" ht="120">
      <c r="A241" s="43"/>
      <c r="B241" s="39"/>
      <c r="C241" s="46" t="s">
        <v>386</v>
      </c>
      <c r="D241" s="47" t="s">
        <v>385</v>
      </c>
      <c r="E241" s="48">
        <v>69</v>
      </c>
      <c r="F241" s="77" t="s">
        <v>227</v>
      </c>
      <c r="G241" s="91">
        <v>21870000</v>
      </c>
      <c r="H241" s="101">
        <v>23</v>
      </c>
      <c r="I241" s="50">
        <v>15120000</v>
      </c>
      <c r="J241" s="51">
        <v>23</v>
      </c>
      <c r="K241" s="50">
        <v>6750000</v>
      </c>
      <c r="L241" s="33">
        <v>20</v>
      </c>
      <c r="M241" s="103" t="s">
        <v>229</v>
      </c>
      <c r="N241" s="51">
        <v>3</v>
      </c>
      <c r="O241" s="50">
        <v>0</v>
      </c>
      <c r="P241" s="51">
        <v>0</v>
      </c>
      <c r="Q241" s="50">
        <v>3150000</v>
      </c>
      <c r="R241" s="101">
        <v>0</v>
      </c>
      <c r="S241" s="50">
        <v>31550000</v>
      </c>
      <c r="T241" s="102">
        <f t="shared" si="57"/>
        <v>23</v>
      </c>
      <c r="U241" s="60">
        <f t="shared" si="58"/>
        <v>100</v>
      </c>
      <c r="V241" s="34" t="s">
        <v>44</v>
      </c>
      <c r="W241" s="52">
        <f t="shared" si="64"/>
        <v>34700000</v>
      </c>
      <c r="X241" s="60">
        <f t="shared" si="60"/>
        <v>514.07407407407413</v>
      </c>
      <c r="Y241" s="34" t="s">
        <v>44</v>
      </c>
      <c r="Z241" s="102">
        <f t="shared" si="20"/>
        <v>46</v>
      </c>
      <c r="AA241" s="52">
        <f t="shared" si="61"/>
        <v>49820000</v>
      </c>
      <c r="AB241" s="41">
        <f t="shared" si="62"/>
        <v>66.666666666666657</v>
      </c>
      <c r="AC241" s="34" t="s">
        <v>44</v>
      </c>
      <c r="AD241" s="90">
        <f t="shared" si="63"/>
        <v>227.80064014631915</v>
      </c>
      <c r="AE241" s="17"/>
      <c r="AF241" s="2"/>
      <c r="AG241" s="2"/>
      <c r="AH241" s="55"/>
      <c r="AI241" s="2"/>
      <c r="AJ241" s="2"/>
      <c r="AK241" s="2"/>
    </row>
    <row r="242" spans="1:37" ht="120">
      <c r="A242" s="43"/>
      <c r="B242" s="39"/>
      <c r="C242" s="46" t="s">
        <v>387</v>
      </c>
      <c r="D242" s="47" t="s">
        <v>385</v>
      </c>
      <c r="E242" s="48">
        <v>24</v>
      </c>
      <c r="F242" s="77" t="s">
        <v>227</v>
      </c>
      <c r="G242" s="91">
        <v>6240000</v>
      </c>
      <c r="H242" s="101">
        <v>8</v>
      </c>
      <c r="I242" s="50">
        <v>960000</v>
      </c>
      <c r="J242" s="51">
        <v>6</v>
      </c>
      <c r="K242" s="50">
        <v>2400000</v>
      </c>
      <c r="L242" s="33">
        <v>6</v>
      </c>
      <c r="M242" s="103" t="s">
        <v>229</v>
      </c>
      <c r="N242" s="51">
        <v>0</v>
      </c>
      <c r="O242" s="50">
        <v>0</v>
      </c>
      <c r="P242" s="51"/>
      <c r="Q242" s="50">
        <v>1600000</v>
      </c>
      <c r="R242" s="101">
        <v>17</v>
      </c>
      <c r="S242" s="50">
        <v>800000</v>
      </c>
      <c r="T242" s="102">
        <f t="shared" si="57"/>
        <v>23</v>
      </c>
      <c r="U242" s="60">
        <f t="shared" si="58"/>
        <v>383.33333333333337</v>
      </c>
      <c r="V242" s="34" t="s">
        <v>44</v>
      </c>
      <c r="W242" s="52">
        <f t="shared" si="64"/>
        <v>2400000</v>
      </c>
      <c r="X242" s="60">
        <f t="shared" si="60"/>
        <v>100</v>
      </c>
      <c r="Y242" s="34" t="s">
        <v>44</v>
      </c>
      <c r="Z242" s="102">
        <f t="shared" si="20"/>
        <v>31</v>
      </c>
      <c r="AA242" s="52">
        <f t="shared" si="61"/>
        <v>3360000</v>
      </c>
      <c r="AB242" s="41">
        <f t="shared" si="62"/>
        <v>129.16666666666669</v>
      </c>
      <c r="AC242" s="34" t="s">
        <v>44</v>
      </c>
      <c r="AD242" s="90">
        <f t="shared" si="63"/>
        <v>53.846153846153847</v>
      </c>
      <c r="AE242" s="17"/>
      <c r="AF242" s="2"/>
      <c r="AG242" s="2"/>
      <c r="AH242" s="55"/>
      <c r="AI242" s="2"/>
      <c r="AJ242" s="2"/>
      <c r="AK242" s="2"/>
    </row>
    <row r="243" spans="1:37" ht="120">
      <c r="A243" s="43"/>
      <c r="B243" s="39"/>
      <c r="C243" s="46" t="s">
        <v>388</v>
      </c>
      <c r="D243" s="47" t="s">
        <v>385</v>
      </c>
      <c r="E243" s="48">
        <v>51</v>
      </c>
      <c r="F243" s="77" t="s">
        <v>227</v>
      </c>
      <c r="G243" s="91">
        <v>13460000</v>
      </c>
      <c r="H243" s="101">
        <v>53</v>
      </c>
      <c r="I243" s="50">
        <v>2820000</v>
      </c>
      <c r="J243" s="51">
        <v>17</v>
      </c>
      <c r="K243" s="50">
        <v>5320000</v>
      </c>
      <c r="L243" s="33">
        <v>35</v>
      </c>
      <c r="M243" s="103" t="s">
        <v>229</v>
      </c>
      <c r="N243" s="51">
        <v>8</v>
      </c>
      <c r="O243" s="50">
        <v>1470000</v>
      </c>
      <c r="P243" s="51">
        <v>8</v>
      </c>
      <c r="Q243" s="50">
        <v>1470000</v>
      </c>
      <c r="R243" s="101">
        <v>2</v>
      </c>
      <c r="S243" s="50">
        <v>980000</v>
      </c>
      <c r="T243" s="102">
        <f t="shared" si="57"/>
        <v>53</v>
      </c>
      <c r="U243" s="60">
        <f t="shared" si="58"/>
        <v>311.76470588235293</v>
      </c>
      <c r="V243" s="34" t="s">
        <v>44</v>
      </c>
      <c r="W243" s="52">
        <f t="shared" si="64"/>
        <v>3920000</v>
      </c>
      <c r="X243" s="60">
        <f t="shared" si="60"/>
        <v>73.68421052631578</v>
      </c>
      <c r="Y243" s="34" t="s">
        <v>44</v>
      </c>
      <c r="Z243" s="102">
        <f t="shared" si="20"/>
        <v>106</v>
      </c>
      <c r="AA243" s="52">
        <f t="shared" si="61"/>
        <v>6740000</v>
      </c>
      <c r="AB243" s="41">
        <f t="shared" si="62"/>
        <v>207.84313725490199</v>
      </c>
      <c r="AC243" s="34" t="s">
        <v>44</v>
      </c>
      <c r="AD243" s="90">
        <f t="shared" si="63"/>
        <v>50.074294205052006</v>
      </c>
      <c r="AE243" s="17"/>
      <c r="AF243" s="2"/>
      <c r="AG243" s="2"/>
      <c r="AH243" s="55"/>
      <c r="AI243" s="2"/>
      <c r="AJ243" s="2"/>
      <c r="AK243" s="2"/>
    </row>
    <row r="244" spans="1:37" ht="120">
      <c r="A244" s="43"/>
      <c r="B244" s="39"/>
      <c r="C244" s="46" t="s">
        <v>389</v>
      </c>
      <c r="D244" s="47" t="s">
        <v>385</v>
      </c>
      <c r="E244" s="48">
        <v>30</v>
      </c>
      <c r="F244" s="77" t="s">
        <v>227</v>
      </c>
      <c r="G244" s="91">
        <v>20800000</v>
      </c>
      <c r="H244" s="101">
        <v>10</v>
      </c>
      <c r="I244" s="50">
        <v>5700000</v>
      </c>
      <c r="J244" s="51">
        <v>10</v>
      </c>
      <c r="K244" s="50">
        <v>9040000</v>
      </c>
      <c r="L244" s="33">
        <v>8</v>
      </c>
      <c r="M244" s="103" t="s">
        <v>229</v>
      </c>
      <c r="N244" s="51">
        <v>8</v>
      </c>
      <c r="O244" s="50">
        <v>1500000</v>
      </c>
      <c r="P244" s="51">
        <v>8</v>
      </c>
      <c r="Q244" s="50">
        <v>3160000</v>
      </c>
      <c r="R244" s="101">
        <v>8</v>
      </c>
      <c r="S244" s="50">
        <v>0</v>
      </c>
      <c r="T244" s="102">
        <f>AVERAGE(L244,N244,P244,R244)</f>
        <v>8</v>
      </c>
      <c r="U244" s="60">
        <f t="shared" si="58"/>
        <v>80</v>
      </c>
      <c r="V244" s="34" t="s">
        <v>44</v>
      </c>
      <c r="W244" s="52">
        <f t="shared" si="64"/>
        <v>4660000</v>
      </c>
      <c r="X244" s="60">
        <f t="shared" si="60"/>
        <v>51.548672566371678</v>
      </c>
      <c r="Y244" s="34" t="s">
        <v>44</v>
      </c>
      <c r="Z244" s="102">
        <f t="shared" si="20"/>
        <v>18</v>
      </c>
      <c r="AA244" s="52">
        <f t="shared" si="61"/>
        <v>10360000</v>
      </c>
      <c r="AB244" s="41">
        <f t="shared" si="62"/>
        <v>60</v>
      </c>
      <c r="AC244" s="34" t="s">
        <v>44</v>
      </c>
      <c r="AD244" s="90">
        <f t="shared" si="63"/>
        <v>49.807692307692307</v>
      </c>
      <c r="AE244" s="17"/>
      <c r="AF244" s="2"/>
      <c r="AG244" s="2"/>
      <c r="AH244" s="55"/>
      <c r="AI244" s="2"/>
      <c r="AJ244" s="2"/>
      <c r="AK244" s="2"/>
    </row>
    <row r="245" spans="1:37" ht="120">
      <c r="A245" s="43"/>
      <c r="B245" s="39"/>
      <c r="C245" s="46" t="s">
        <v>390</v>
      </c>
      <c r="D245" s="47" t="s">
        <v>385</v>
      </c>
      <c r="E245" s="48">
        <v>30</v>
      </c>
      <c r="F245" s="77" t="s">
        <v>227</v>
      </c>
      <c r="G245" s="91">
        <v>25340000</v>
      </c>
      <c r="H245" s="101">
        <v>10</v>
      </c>
      <c r="I245" s="50">
        <v>4620000</v>
      </c>
      <c r="J245" s="51">
        <v>20</v>
      </c>
      <c r="K245" s="50">
        <v>10360000</v>
      </c>
      <c r="L245" s="33">
        <v>5</v>
      </c>
      <c r="M245" s="103" t="s">
        <v>229</v>
      </c>
      <c r="N245" s="51">
        <v>5</v>
      </c>
      <c r="O245" s="50">
        <v>1820000</v>
      </c>
      <c r="P245" s="51">
        <v>5</v>
      </c>
      <c r="Q245" s="50">
        <v>2520000</v>
      </c>
      <c r="R245" s="101">
        <v>5</v>
      </c>
      <c r="S245" s="50">
        <v>4760000</v>
      </c>
      <c r="T245" s="102">
        <f t="shared" ref="T245:T416" si="65">SUM(L245,N245,P245,R245)</f>
        <v>20</v>
      </c>
      <c r="U245" s="60">
        <f t="shared" si="58"/>
        <v>100</v>
      </c>
      <c r="V245" s="34" t="s">
        <v>44</v>
      </c>
      <c r="W245" s="52">
        <f t="shared" si="64"/>
        <v>9100000</v>
      </c>
      <c r="X245" s="60">
        <f t="shared" si="60"/>
        <v>87.837837837837839</v>
      </c>
      <c r="Y245" s="34" t="s">
        <v>44</v>
      </c>
      <c r="Z245" s="102">
        <f t="shared" si="20"/>
        <v>30</v>
      </c>
      <c r="AA245" s="52">
        <f t="shared" si="61"/>
        <v>13720000</v>
      </c>
      <c r="AB245" s="41">
        <f t="shared" si="62"/>
        <v>100</v>
      </c>
      <c r="AC245" s="34" t="s">
        <v>44</v>
      </c>
      <c r="AD245" s="90">
        <f t="shared" si="63"/>
        <v>54.143646408839771</v>
      </c>
      <c r="AE245" s="17"/>
      <c r="AF245" s="2"/>
      <c r="AG245" s="2"/>
      <c r="AH245" s="55"/>
      <c r="AI245" s="2"/>
      <c r="AJ245" s="2"/>
      <c r="AK245" s="2"/>
    </row>
    <row r="246" spans="1:37" ht="120">
      <c r="A246" s="43"/>
      <c r="B246" s="39"/>
      <c r="C246" s="46" t="s">
        <v>391</v>
      </c>
      <c r="D246" s="47" t="s">
        <v>385</v>
      </c>
      <c r="E246" s="48">
        <v>84</v>
      </c>
      <c r="F246" s="77" t="s">
        <v>227</v>
      </c>
      <c r="G246" s="91">
        <v>8000000</v>
      </c>
      <c r="H246" s="101">
        <v>30</v>
      </c>
      <c r="I246" s="50">
        <v>1600000</v>
      </c>
      <c r="J246" s="51">
        <v>27</v>
      </c>
      <c r="K246" s="50">
        <v>4800000</v>
      </c>
      <c r="L246" s="33">
        <v>7</v>
      </c>
      <c r="M246" s="103" t="s">
        <v>229</v>
      </c>
      <c r="N246" s="51">
        <v>23</v>
      </c>
      <c r="O246" s="50">
        <v>1600000</v>
      </c>
      <c r="P246" s="51">
        <v>30</v>
      </c>
      <c r="Q246" s="50">
        <v>750000</v>
      </c>
      <c r="R246" s="101">
        <v>30</v>
      </c>
      <c r="S246" s="50">
        <v>0</v>
      </c>
      <c r="T246" s="102">
        <f t="shared" si="65"/>
        <v>90</v>
      </c>
      <c r="U246" s="60">
        <f t="shared" si="58"/>
        <v>333.33333333333337</v>
      </c>
      <c r="V246" s="34" t="s">
        <v>44</v>
      </c>
      <c r="W246" s="52">
        <f t="shared" si="64"/>
        <v>2350000</v>
      </c>
      <c r="X246" s="60">
        <f t="shared" si="60"/>
        <v>48.958333333333329</v>
      </c>
      <c r="Y246" s="34" t="s">
        <v>44</v>
      </c>
      <c r="Z246" s="102">
        <f t="shared" si="20"/>
        <v>120</v>
      </c>
      <c r="AA246" s="52">
        <f t="shared" si="61"/>
        <v>3950000</v>
      </c>
      <c r="AB246" s="41">
        <f t="shared" si="62"/>
        <v>142.85714285714286</v>
      </c>
      <c r="AC246" s="34" t="s">
        <v>44</v>
      </c>
      <c r="AD246" s="90">
        <f t="shared" si="63"/>
        <v>49.375</v>
      </c>
      <c r="AE246" s="17"/>
      <c r="AF246" s="2"/>
      <c r="AG246" s="2"/>
      <c r="AH246" s="55"/>
      <c r="AI246" s="2"/>
      <c r="AJ246" s="2"/>
      <c r="AK246" s="2"/>
    </row>
    <row r="247" spans="1:37" ht="120">
      <c r="A247" s="43"/>
      <c r="B247" s="39"/>
      <c r="C247" s="46" t="s">
        <v>392</v>
      </c>
      <c r="D247" s="47" t="s">
        <v>385</v>
      </c>
      <c r="E247" s="48">
        <v>120</v>
      </c>
      <c r="F247" s="77" t="s">
        <v>227</v>
      </c>
      <c r="G247" s="91">
        <v>25360000</v>
      </c>
      <c r="H247" s="101">
        <v>45</v>
      </c>
      <c r="I247" s="50">
        <v>7820000</v>
      </c>
      <c r="J247" s="51">
        <v>40</v>
      </c>
      <c r="K247" s="50">
        <v>8480000</v>
      </c>
      <c r="L247" s="33">
        <v>28</v>
      </c>
      <c r="M247" s="103" t="s">
        <v>229</v>
      </c>
      <c r="N247" s="51">
        <v>12</v>
      </c>
      <c r="O247" s="50">
        <v>560000</v>
      </c>
      <c r="P247" s="51">
        <v>7</v>
      </c>
      <c r="Q247" s="50">
        <v>4210000</v>
      </c>
      <c r="R247" s="101">
        <v>0</v>
      </c>
      <c r="S247" s="78">
        <v>2640000</v>
      </c>
      <c r="T247" s="102">
        <f t="shared" si="65"/>
        <v>47</v>
      </c>
      <c r="U247" s="60">
        <f t="shared" si="58"/>
        <v>117.5</v>
      </c>
      <c r="V247" s="34" t="s">
        <v>44</v>
      </c>
      <c r="W247" s="52">
        <f t="shared" si="64"/>
        <v>7410000</v>
      </c>
      <c r="X247" s="60">
        <f t="shared" si="60"/>
        <v>87.382075471698116</v>
      </c>
      <c r="Y247" s="34" t="s">
        <v>44</v>
      </c>
      <c r="Z247" s="102">
        <f t="shared" si="20"/>
        <v>92</v>
      </c>
      <c r="AA247" s="52">
        <f t="shared" si="61"/>
        <v>15230000</v>
      </c>
      <c r="AB247" s="41">
        <f t="shared" si="62"/>
        <v>76.666666666666671</v>
      </c>
      <c r="AC247" s="34" t="s">
        <v>44</v>
      </c>
      <c r="AD247" s="90">
        <f t="shared" si="63"/>
        <v>60.055205047318616</v>
      </c>
      <c r="AE247" s="17"/>
      <c r="AF247" s="2"/>
      <c r="AG247" s="2"/>
      <c r="AH247" s="55"/>
      <c r="AI247" s="2"/>
      <c r="AJ247" s="2"/>
      <c r="AK247" s="2"/>
    </row>
    <row r="248" spans="1:37" ht="120">
      <c r="A248" s="43"/>
      <c r="B248" s="39"/>
      <c r="C248" s="46" t="s">
        <v>393</v>
      </c>
      <c r="D248" s="47" t="s">
        <v>385</v>
      </c>
      <c r="E248" s="48">
        <v>21</v>
      </c>
      <c r="F248" s="77" t="s">
        <v>227</v>
      </c>
      <c r="G248" s="91">
        <v>9200000</v>
      </c>
      <c r="H248" s="101">
        <v>7</v>
      </c>
      <c r="I248" s="50">
        <v>500000</v>
      </c>
      <c r="J248" s="51">
        <v>7</v>
      </c>
      <c r="K248" s="50">
        <v>4350000</v>
      </c>
      <c r="L248" s="33">
        <v>0</v>
      </c>
      <c r="M248" s="103" t="s">
        <v>229</v>
      </c>
      <c r="N248" s="51">
        <v>3</v>
      </c>
      <c r="O248" s="50">
        <v>0</v>
      </c>
      <c r="P248" s="51">
        <v>1</v>
      </c>
      <c r="Q248" s="50">
        <v>0</v>
      </c>
      <c r="R248" s="112">
        <v>3</v>
      </c>
      <c r="S248" s="107">
        <v>4190000</v>
      </c>
      <c r="T248" s="102">
        <f t="shared" si="65"/>
        <v>7</v>
      </c>
      <c r="U248" s="60">
        <f t="shared" si="58"/>
        <v>100</v>
      </c>
      <c r="V248" s="34" t="s">
        <v>44</v>
      </c>
      <c r="W248" s="52">
        <f t="shared" si="64"/>
        <v>4190000</v>
      </c>
      <c r="X248" s="60">
        <f t="shared" si="60"/>
        <v>96.321839080459768</v>
      </c>
      <c r="Y248" s="34" t="s">
        <v>44</v>
      </c>
      <c r="Z248" s="102">
        <f t="shared" si="20"/>
        <v>14</v>
      </c>
      <c r="AA248" s="52">
        <f t="shared" si="61"/>
        <v>4690000</v>
      </c>
      <c r="AB248" s="41">
        <f t="shared" si="62"/>
        <v>66.666666666666657</v>
      </c>
      <c r="AC248" s="34" t="s">
        <v>44</v>
      </c>
      <c r="AD248" s="90">
        <f t="shared" si="63"/>
        <v>50.978260869565219</v>
      </c>
      <c r="AE248" s="17"/>
      <c r="AF248" s="2"/>
      <c r="AG248" s="2"/>
      <c r="AH248" s="55"/>
      <c r="AI248" s="2"/>
      <c r="AJ248" s="2"/>
      <c r="AK248" s="2"/>
    </row>
    <row r="249" spans="1:37" ht="120">
      <c r="A249" s="43"/>
      <c r="B249" s="39"/>
      <c r="C249" s="46" t="s">
        <v>394</v>
      </c>
      <c r="D249" s="47" t="s">
        <v>385</v>
      </c>
      <c r="E249" s="48">
        <v>70</v>
      </c>
      <c r="F249" s="77" t="s">
        <v>227</v>
      </c>
      <c r="G249" s="91">
        <v>16740000</v>
      </c>
      <c r="H249" s="101">
        <v>30</v>
      </c>
      <c r="I249" s="50">
        <v>0</v>
      </c>
      <c r="J249" s="51">
        <v>19</v>
      </c>
      <c r="K249" s="50">
        <v>8626800</v>
      </c>
      <c r="L249" s="115">
        <v>16</v>
      </c>
      <c r="M249" s="116">
        <v>0</v>
      </c>
      <c r="N249" s="117">
        <v>10</v>
      </c>
      <c r="O249" s="107">
        <v>2025000</v>
      </c>
      <c r="P249" s="117">
        <v>3</v>
      </c>
      <c r="Q249" s="107">
        <v>3318000</v>
      </c>
      <c r="R249" s="118">
        <v>3</v>
      </c>
      <c r="S249" s="107">
        <v>2774000</v>
      </c>
      <c r="T249" s="102">
        <f t="shared" si="65"/>
        <v>32</v>
      </c>
      <c r="U249" s="60">
        <f t="shared" si="58"/>
        <v>168.42105263157893</v>
      </c>
      <c r="V249" s="34" t="s">
        <v>44</v>
      </c>
      <c r="W249" s="52">
        <f t="shared" si="64"/>
        <v>8117000</v>
      </c>
      <c r="X249" s="60">
        <f t="shared" si="60"/>
        <v>94.090508647470671</v>
      </c>
      <c r="Y249" s="34" t="s">
        <v>44</v>
      </c>
      <c r="Z249" s="102">
        <f t="shared" si="20"/>
        <v>62</v>
      </c>
      <c r="AA249" s="52">
        <f t="shared" si="61"/>
        <v>8117000</v>
      </c>
      <c r="AB249" s="41">
        <f t="shared" si="62"/>
        <v>88.571428571428569</v>
      </c>
      <c r="AC249" s="34" t="s">
        <v>44</v>
      </c>
      <c r="AD249" s="90">
        <f t="shared" si="63"/>
        <v>48.488649940262846</v>
      </c>
      <c r="AE249" s="17"/>
      <c r="AF249" s="2"/>
      <c r="AG249" s="2"/>
      <c r="AH249" s="55"/>
      <c r="AI249" s="2"/>
      <c r="AJ249" s="2"/>
      <c r="AK249" s="2"/>
    </row>
    <row r="250" spans="1:37" ht="120">
      <c r="A250" s="43"/>
      <c r="B250" s="39"/>
      <c r="C250" s="46" t="s">
        <v>395</v>
      </c>
      <c r="D250" s="47" t="s">
        <v>385</v>
      </c>
      <c r="E250" s="48">
        <v>39</v>
      </c>
      <c r="F250" s="77" t="s">
        <v>227</v>
      </c>
      <c r="G250" s="91">
        <v>2730000</v>
      </c>
      <c r="H250" s="101">
        <v>13</v>
      </c>
      <c r="I250" s="50">
        <v>490000</v>
      </c>
      <c r="J250" s="51">
        <v>13</v>
      </c>
      <c r="K250" s="50">
        <v>1120000</v>
      </c>
      <c r="L250" s="33">
        <v>3</v>
      </c>
      <c r="M250" s="50">
        <v>0</v>
      </c>
      <c r="N250" s="51">
        <v>3</v>
      </c>
      <c r="O250" s="50">
        <v>0</v>
      </c>
      <c r="P250" s="51">
        <v>4</v>
      </c>
      <c r="Q250" s="50">
        <v>1120000</v>
      </c>
      <c r="R250" s="112">
        <v>3</v>
      </c>
      <c r="S250" s="50">
        <v>0</v>
      </c>
      <c r="T250" s="102">
        <f t="shared" si="65"/>
        <v>13</v>
      </c>
      <c r="U250" s="60">
        <f t="shared" si="58"/>
        <v>100</v>
      </c>
      <c r="V250" s="34" t="s">
        <v>44</v>
      </c>
      <c r="W250" s="52">
        <f t="shared" si="64"/>
        <v>1120000</v>
      </c>
      <c r="X250" s="60">
        <f t="shared" si="60"/>
        <v>100</v>
      </c>
      <c r="Y250" s="34" t="s">
        <v>44</v>
      </c>
      <c r="Z250" s="102">
        <f t="shared" si="20"/>
        <v>26</v>
      </c>
      <c r="AA250" s="52">
        <f t="shared" si="61"/>
        <v>1610000</v>
      </c>
      <c r="AB250" s="41">
        <f t="shared" si="62"/>
        <v>66.666666666666657</v>
      </c>
      <c r="AC250" s="34" t="s">
        <v>44</v>
      </c>
      <c r="AD250" s="90">
        <f t="shared" si="63"/>
        <v>58.974358974358978</v>
      </c>
      <c r="AE250" s="17"/>
      <c r="AF250" s="2"/>
      <c r="AG250" s="2"/>
      <c r="AH250" s="55"/>
      <c r="AI250" s="2"/>
      <c r="AJ250" s="2"/>
      <c r="AK250" s="2"/>
    </row>
    <row r="251" spans="1:37" ht="120">
      <c r="A251" s="43"/>
      <c r="B251" s="39"/>
      <c r="C251" s="46" t="s">
        <v>396</v>
      </c>
      <c r="D251" s="47" t="s">
        <v>385</v>
      </c>
      <c r="E251" s="48">
        <v>216</v>
      </c>
      <c r="F251" s="77" t="s">
        <v>227</v>
      </c>
      <c r="G251" s="91">
        <v>49946000</v>
      </c>
      <c r="H251" s="101">
        <v>89</v>
      </c>
      <c r="I251" s="50">
        <v>9470000</v>
      </c>
      <c r="J251" s="51">
        <v>89</v>
      </c>
      <c r="K251" s="50">
        <v>20208000</v>
      </c>
      <c r="L251" s="33">
        <v>23</v>
      </c>
      <c r="M251" s="103" t="s">
        <v>229</v>
      </c>
      <c r="N251" s="51">
        <v>23</v>
      </c>
      <c r="O251" s="50">
        <v>2880000</v>
      </c>
      <c r="P251" s="51">
        <v>23</v>
      </c>
      <c r="Q251" s="50">
        <v>9238750</v>
      </c>
      <c r="R251" s="112">
        <v>20</v>
      </c>
      <c r="S251" s="107">
        <v>8025000</v>
      </c>
      <c r="T251" s="102">
        <f t="shared" si="65"/>
        <v>89</v>
      </c>
      <c r="U251" s="60">
        <f t="shared" si="58"/>
        <v>100</v>
      </c>
      <c r="V251" s="34" t="s">
        <v>44</v>
      </c>
      <c r="W251" s="52">
        <f t="shared" si="64"/>
        <v>20143750</v>
      </c>
      <c r="X251" s="60">
        <f t="shared" si="60"/>
        <v>99.68205661124307</v>
      </c>
      <c r="Y251" s="34" t="s">
        <v>44</v>
      </c>
      <c r="Z251" s="102">
        <f t="shared" si="20"/>
        <v>178</v>
      </c>
      <c r="AA251" s="52">
        <f t="shared" si="61"/>
        <v>29613750</v>
      </c>
      <c r="AB251" s="41">
        <f t="shared" si="62"/>
        <v>82.407407407407405</v>
      </c>
      <c r="AC251" s="34" t="s">
        <v>44</v>
      </c>
      <c r="AD251" s="90">
        <f t="shared" si="63"/>
        <v>59.291534857646255</v>
      </c>
      <c r="AE251" s="17"/>
      <c r="AF251" s="2"/>
      <c r="AG251" s="2"/>
      <c r="AH251" s="55"/>
      <c r="AI251" s="2"/>
      <c r="AJ251" s="2"/>
      <c r="AK251" s="2"/>
    </row>
    <row r="252" spans="1:37" ht="120">
      <c r="A252" s="43"/>
      <c r="B252" s="39"/>
      <c r="C252" s="46" t="s">
        <v>397</v>
      </c>
      <c r="D252" s="47" t="s">
        <v>385</v>
      </c>
      <c r="E252" s="48">
        <v>96</v>
      </c>
      <c r="F252" s="77" t="s">
        <v>227</v>
      </c>
      <c r="G252" s="91">
        <v>5441750</v>
      </c>
      <c r="H252" s="101">
        <v>26</v>
      </c>
      <c r="I252" s="50">
        <v>3521750</v>
      </c>
      <c r="J252" s="51">
        <v>32</v>
      </c>
      <c r="K252" s="50">
        <v>2220000</v>
      </c>
      <c r="L252" s="106">
        <v>7</v>
      </c>
      <c r="M252" s="107" t="s">
        <v>229</v>
      </c>
      <c r="N252" s="108">
        <v>8</v>
      </c>
      <c r="O252" s="107" t="s">
        <v>229</v>
      </c>
      <c r="P252" s="108">
        <v>8</v>
      </c>
      <c r="Q252" s="107">
        <v>840000</v>
      </c>
      <c r="R252" s="109">
        <v>9</v>
      </c>
      <c r="S252" s="50">
        <v>1300000</v>
      </c>
      <c r="T252" s="102">
        <f t="shared" si="65"/>
        <v>32</v>
      </c>
      <c r="U252" s="60">
        <f t="shared" si="58"/>
        <v>100</v>
      </c>
      <c r="V252" s="34" t="s">
        <v>44</v>
      </c>
      <c r="W252" s="52">
        <f t="shared" si="64"/>
        <v>2140000</v>
      </c>
      <c r="X252" s="60">
        <f t="shared" si="60"/>
        <v>96.396396396396398</v>
      </c>
      <c r="Y252" s="34" t="s">
        <v>44</v>
      </c>
      <c r="Z252" s="102">
        <f t="shared" si="20"/>
        <v>58</v>
      </c>
      <c r="AA252" s="52">
        <f t="shared" si="61"/>
        <v>5661750</v>
      </c>
      <c r="AB252" s="41">
        <f t="shared" si="62"/>
        <v>60.416666666666664</v>
      </c>
      <c r="AC252" s="34" t="s">
        <v>44</v>
      </c>
      <c r="AD252" s="90">
        <f t="shared" si="63"/>
        <v>104.04281710846695</v>
      </c>
      <c r="AE252" s="17"/>
      <c r="AF252" s="2"/>
      <c r="AG252" s="2"/>
      <c r="AH252" s="55"/>
      <c r="AI252" s="2"/>
      <c r="AJ252" s="2"/>
      <c r="AK252" s="2"/>
    </row>
    <row r="253" spans="1:37" ht="120">
      <c r="A253" s="43"/>
      <c r="B253" s="39"/>
      <c r="C253" s="46" t="s">
        <v>398</v>
      </c>
      <c r="D253" s="47" t="s">
        <v>385</v>
      </c>
      <c r="E253" s="48">
        <v>40</v>
      </c>
      <c r="F253" s="77" t="s">
        <v>227</v>
      </c>
      <c r="G253" s="91">
        <v>4160000</v>
      </c>
      <c r="H253" s="101">
        <v>12</v>
      </c>
      <c r="I253" s="50"/>
      <c r="J253" s="51">
        <v>14</v>
      </c>
      <c r="K253" s="50">
        <v>1600000</v>
      </c>
      <c r="L253" s="33">
        <v>5</v>
      </c>
      <c r="M253" s="103" t="s">
        <v>229</v>
      </c>
      <c r="N253" s="51"/>
      <c r="O253" s="50">
        <v>0</v>
      </c>
      <c r="P253" s="51">
        <v>5</v>
      </c>
      <c r="Q253" s="50">
        <v>840000</v>
      </c>
      <c r="R253" s="101">
        <v>4</v>
      </c>
      <c r="S253" s="50">
        <v>140000</v>
      </c>
      <c r="T253" s="102">
        <f t="shared" si="65"/>
        <v>14</v>
      </c>
      <c r="U253" s="60">
        <f t="shared" si="58"/>
        <v>100</v>
      </c>
      <c r="V253" s="34" t="s">
        <v>44</v>
      </c>
      <c r="W253" s="52">
        <f t="shared" si="64"/>
        <v>980000</v>
      </c>
      <c r="X253" s="60">
        <f t="shared" si="60"/>
        <v>61.250000000000007</v>
      </c>
      <c r="Y253" s="34" t="s">
        <v>44</v>
      </c>
      <c r="Z253" s="102">
        <f t="shared" si="20"/>
        <v>26</v>
      </c>
      <c r="AA253" s="52">
        <f t="shared" si="61"/>
        <v>980000</v>
      </c>
      <c r="AB253" s="41">
        <f t="shared" si="62"/>
        <v>65</v>
      </c>
      <c r="AC253" s="34" t="s">
        <v>44</v>
      </c>
      <c r="AD253" s="90">
        <f t="shared" si="63"/>
        <v>23.557692307692307</v>
      </c>
      <c r="AE253" s="17"/>
      <c r="AF253" s="2"/>
      <c r="AG253" s="2"/>
      <c r="AH253" s="55"/>
      <c r="AI253" s="2"/>
      <c r="AJ253" s="2"/>
      <c r="AK253" s="2"/>
    </row>
    <row r="254" spans="1:37" ht="120">
      <c r="A254" s="43"/>
      <c r="B254" s="39"/>
      <c r="C254" s="46" t="s">
        <v>399</v>
      </c>
      <c r="D254" s="47" t="s">
        <v>385</v>
      </c>
      <c r="E254" s="121"/>
      <c r="F254" s="122" t="s">
        <v>227</v>
      </c>
      <c r="G254" s="123"/>
      <c r="H254" s="124"/>
      <c r="I254" s="125"/>
      <c r="J254" s="126"/>
      <c r="K254" s="125">
        <v>1600000</v>
      </c>
      <c r="L254" s="127"/>
      <c r="M254" s="128" t="s">
        <v>229</v>
      </c>
      <c r="N254" s="126"/>
      <c r="O254" s="125">
        <v>0</v>
      </c>
      <c r="P254" s="126"/>
      <c r="Q254" s="125"/>
      <c r="R254" s="124"/>
      <c r="S254" s="125"/>
      <c r="T254" s="102">
        <f t="shared" si="65"/>
        <v>0</v>
      </c>
      <c r="U254" s="60"/>
      <c r="V254" s="34" t="s">
        <v>44</v>
      </c>
      <c r="W254" s="52">
        <f t="shared" si="64"/>
        <v>0</v>
      </c>
      <c r="X254" s="60">
        <f t="shared" si="60"/>
        <v>0</v>
      </c>
      <c r="Y254" s="34" t="s">
        <v>44</v>
      </c>
      <c r="Z254" s="102">
        <f t="shared" si="20"/>
        <v>0</v>
      </c>
      <c r="AA254" s="52">
        <f t="shared" si="61"/>
        <v>0</v>
      </c>
      <c r="AB254" s="41" t="e">
        <f t="shared" si="62"/>
        <v>#DIV/0!</v>
      </c>
      <c r="AC254" s="34" t="s">
        <v>44</v>
      </c>
      <c r="AD254" s="90" t="e">
        <f t="shared" si="63"/>
        <v>#DIV/0!</v>
      </c>
      <c r="AE254" s="17"/>
      <c r="AF254" s="2"/>
      <c r="AG254" s="2"/>
      <c r="AH254" s="55"/>
      <c r="AI254" s="2"/>
      <c r="AJ254" s="2"/>
      <c r="AK254" s="2"/>
    </row>
    <row r="255" spans="1:37" ht="135">
      <c r="A255" s="43"/>
      <c r="B255" s="39"/>
      <c r="C255" s="46" t="s">
        <v>400</v>
      </c>
      <c r="D255" s="47" t="s">
        <v>401</v>
      </c>
      <c r="E255" s="48">
        <f>J255*2</f>
        <v>8208</v>
      </c>
      <c r="F255" s="77" t="s">
        <v>227</v>
      </c>
      <c r="G255" s="91">
        <f>K255*2</f>
        <v>24660000</v>
      </c>
      <c r="H255" s="120"/>
      <c r="I255" s="58"/>
      <c r="J255" s="51">
        <v>4104</v>
      </c>
      <c r="K255" s="50">
        <v>12330000</v>
      </c>
      <c r="L255" s="33">
        <v>391</v>
      </c>
      <c r="M255" s="50">
        <v>0</v>
      </c>
      <c r="N255" s="51">
        <v>620</v>
      </c>
      <c r="O255" s="50">
        <v>0</v>
      </c>
      <c r="P255" s="51">
        <v>1688</v>
      </c>
      <c r="Q255" s="50">
        <v>1770000</v>
      </c>
      <c r="R255" s="101">
        <v>1391</v>
      </c>
      <c r="S255" s="50">
        <f>11730000-Q255</f>
        <v>9960000</v>
      </c>
      <c r="T255" s="102">
        <f t="shared" si="65"/>
        <v>4090</v>
      </c>
      <c r="U255" s="60">
        <f t="shared" si="58"/>
        <v>99.658869395711505</v>
      </c>
      <c r="V255" s="34" t="s">
        <v>44</v>
      </c>
      <c r="W255" s="52">
        <f t="shared" si="64"/>
        <v>11730000</v>
      </c>
      <c r="X255" s="60">
        <f t="shared" si="60"/>
        <v>95.133819951338197</v>
      </c>
      <c r="Y255" s="34" t="s">
        <v>44</v>
      </c>
      <c r="Z255" s="102">
        <f t="shared" si="20"/>
        <v>4090</v>
      </c>
      <c r="AA255" s="52">
        <f t="shared" si="61"/>
        <v>11730000</v>
      </c>
      <c r="AB255" s="41">
        <f t="shared" si="62"/>
        <v>49.829434697855753</v>
      </c>
      <c r="AC255" s="34" t="s">
        <v>44</v>
      </c>
      <c r="AD255" s="90">
        <f t="shared" si="63"/>
        <v>47.566909975669098</v>
      </c>
      <c r="AE255" s="17"/>
      <c r="AF255" s="2"/>
      <c r="AG255" s="2"/>
      <c r="AH255" s="55"/>
      <c r="AI255" s="2"/>
      <c r="AJ255" s="2"/>
      <c r="AK255" s="2"/>
    </row>
    <row r="256" spans="1:37" ht="135">
      <c r="A256" s="43"/>
      <c r="B256" s="39"/>
      <c r="C256" s="46" t="s">
        <v>402</v>
      </c>
      <c r="D256" s="47" t="s">
        <v>401</v>
      </c>
      <c r="E256" s="48">
        <v>306</v>
      </c>
      <c r="F256" s="77" t="s">
        <v>227</v>
      </c>
      <c r="G256" s="91">
        <v>15040000</v>
      </c>
      <c r="H256" s="101">
        <v>49</v>
      </c>
      <c r="I256" s="50">
        <v>3200000</v>
      </c>
      <c r="J256" s="51">
        <v>222</v>
      </c>
      <c r="K256" s="50">
        <v>15040000</v>
      </c>
      <c r="L256" s="33">
        <v>8</v>
      </c>
      <c r="M256" s="103" t="s">
        <v>229</v>
      </c>
      <c r="N256" s="51">
        <v>24</v>
      </c>
      <c r="O256" s="50">
        <v>3360000</v>
      </c>
      <c r="P256" s="51">
        <v>72</v>
      </c>
      <c r="Q256" s="50">
        <v>3520000</v>
      </c>
      <c r="R256" s="101">
        <v>52</v>
      </c>
      <c r="S256" s="50">
        <v>7040000</v>
      </c>
      <c r="T256" s="102">
        <f t="shared" si="65"/>
        <v>156</v>
      </c>
      <c r="U256" s="60">
        <f t="shared" si="58"/>
        <v>70.270270270270274</v>
      </c>
      <c r="V256" s="34" t="s">
        <v>44</v>
      </c>
      <c r="W256" s="52">
        <f t="shared" si="64"/>
        <v>13920000</v>
      </c>
      <c r="X256" s="60">
        <f t="shared" si="60"/>
        <v>92.553191489361694</v>
      </c>
      <c r="Y256" s="34" t="s">
        <v>44</v>
      </c>
      <c r="Z256" s="102">
        <f t="shared" si="20"/>
        <v>205</v>
      </c>
      <c r="AA256" s="52">
        <f t="shared" si="61"/>
        <v>17120000</v>
      </c>
      <c r="AB256" s="41">
        <f t="shared" si="62"/>
        <v>66.993464052287578</v>
      </c>
      <c r="AC256" s="34" t="s">
        <v>44</v>
      </c>
      <c r="AD256" s="90">
        <f t="shared" si="63"/>
        <v>113.82978723404256</v>
      </c>
      <c r="AE256" s="17"/>
      <c r="AF256" s="2"/>
      <c r="AG256" s="2"/>
      <c r="AH256" s="55"/>
      <c r="AI256" s="2"/>
      <c r="AJ256" s="2"/>
      <c r="AK256" s="2"/>
    </row>
    <row r="257" spans="1:37" ht="135">
      <c r="A257" s="43"/>
      <c r="B257" s="39"/>
      <c r="C257" s="46" t="s">
        <v>403</v>
      </c>
      <c r="D257" s="47" t="s">
        <v>401</v>
      </c>
      <c r="E257" s="48">
        <v>152</v>
      </c>
      <c r="F257" s="77" t="s">
        <v>227</v>
      </c>
      <c r="G257" s="91">
        <v>20313800</v>
      </c>
      <c r="H257" s="101">
        <v>37</v>
      </c>
      <c r="I257" s="50">
        <v>8990000</v>
      </c>
      <c r="J257" s="51">
        <v>136</v>
      </c>
      <c r="K257" s="50">
        <v>4260000</v>
      </c>
      <c r="L257" s="33">
        <v>9</v>
      </c>
      <c r="M257" s="103" t="s">
        <v>229</v>
      </c>
      <c r="N257" s="51">
        <v>7</v>
      </c>
      <c r="O257" s="50">
        <v>0</v>
      </c>
      <c r="P257" s="51"/>
      <c r="Q257" s="50">
        <v>1600000</v>
      </c>
      <c r="R257" s="104">
        <v>63</v>
      </c>
      <c r="S257" s="105">
        <v>1852200</v>
      </c>
      <c r="T257" s="102">
        <f t="shared" si="65"/>
        <v>79</v>
      </c>
      <c r="U257" s="60">
        <f t="shared" si="58"/>
        <v>58.088235294117652</v>
      </c>
      <c r="V257" s="34" t="s">
        <v>44</v>
      </c>
      <c r="W257" s="52">
        <f t="shared" si="64"/>
        <v>3452200</v>
      </c>
      <c r="X257" s="60">
        <f t="shared" si="60"/>
        <v>81.037558685446015</v>
      </c>
      <c r="Y257" s="34" t="s">
        <v>44</v>
      </c>
      <c r="Z257" s="102">
        <f t="shared" si="20"/>
        <v>116</v>
      </c>
      <c r="AA257" s="52">
        <f t="shared" si="61"/>
        <v>12442200</v>
      </c>
      <c r="AB257" s="41">
        <f t="shared" si="62"/>
        <v>76.31578947368422</v>
      </c>
      <c r="AC257" s="34" t="s">
        <v>44</v>
      </c>
      <c r="AD257" s="90">
        <f t="shared" si="63"/>
        <v>61.249987693095335</v>
      </c>
      <c r="AE257" s="17"/>
      <c r="AF257" s="2"/>
      <c r="AG257" s="2"/>
      <c r="AH257" s="55"/>
      <c r="AI257" s="2"/>
      <c r="AJ257" s="2"/>
      <c r="AK257" s="2"/>
    </row>
    <row r="258" spans="1:37" ht="135">
      <c r="A258" s="43"/>
      <c r="B258" s="39"/>
      <c r="C258" s="46" t="s">
        <v>404</v>
      </c>
      <c r="D258" s="47" t="s">
        <v>401</v>
      </c>
      <c r="E258" s="48">
        <v>327</v>
      </c>
      <c r="F258" s="77" t="s">
        <v>227</v>
      </c>
      <c r="G258" s="91">
        <v>3680000</v>
      </c>
      <c r="H258" s="101">
        <v>33</v>
      </c>
      <c r="I258" s="50">
        <v>1600000</v>
      </c>
      <c r="J258" s="51">
        <v>109</v>
      </c>
      <c r="K258" s="50">
        <v>1040000</v>
      </c>
      <c r="L258" s="33">
        <v>3</v>
      </c>
      <c r="M258" s="103" t="s">
        <v>229</v>
      </c>
      <c r="N258" s="51">
        <v>0</v>
      </c>
      <c r="O258" s="50">
        <v>0</v>
      </c>
      <c r="P258" s="51">
        <v>0</v>
      </c>
      <c r="Q258" s="50">
        <v>0</v>
      </c>
      <c r="R258" s="101">
        <v>106</v>
      </c>
      <c r="S258" s="50">
        <v>1040000</v>
      </c>
      <c r="T258" s="102">
        <f t="shared" si="65"/>
        <v>109</v>
      </c>
      <c r="U258" s="60">
        <f t="shared" si="58"/>
        <v>100</v>
      </c>
      <c r="V258" s="34" t="s">
        <v>44</v>
      </c>
      <c r="W258" s="52">
        <f t="shared" si="64"/>
        <v>1040000</v>
      </c>
      <c r="X258" s="60">
        <f t="shared" si="60"/>
        <v>100</v>
      </c>
      <c r="Y258" s="34" t="s">
        <v>44</v>
      </c>
      <c r="Z258" s="102">
        <f t="shared" si="20"/>
        <v>142</v>
      </c>
      <c r="AA258" s="52">
        <f t="shared" si="61"/>
        <v>2640000</v>
      </c>
      <c r="AB258" s="41">
        <f t="shared" si="62"/>
        <v>43.425076452599384</v>
      </c>
      <c r="AC258" s="34" t="s">
        <v>44</v>
      </c>
      <c r="AD258" s="90">
        <f t="shared" si="63"/>
        <v>71.739130434782609</v>
      </c>
      <c r="AE258" s="17"/>
      <c r="AF258" s="2"/>
      <c r="AG258" s="2"/>
      <c r="AH258" s="55"/>
      <c r="AI258" s="2"/>
      <c r="AJ258" s="2"/>
      <c r="AK258" s="2"/>
    </row>
    <row r="259" spans="1:37" ht="135">
      <c r="A259" s="43"/>
      <c r="B259" s="39"/>
      <c r="C259" s="46" t="s">
        <v>405</v>
      </c>
      <c r="D259" s="47" t="s">
        <v>401</v>
      </c>
      <c r="E259" s="48">
        <v>804</v>
      </c>
      <c r="F259" s="77" t="s">
        <v>227</v>
      </c>
      <c r="G259" s="91">
        <v>17720000</v>
      </c>
      <c r="H259" s="101">
        <v>486</v>
      </c>
      <c r="I259" s="50">
        <v>5100000</v>
      </c>
      <c r="J259" s="51">
        <v>268</v>
      </c>
      <c r="K259" s="50">
        <v>6310000</v>
      </c>
      <c r="L259" s="33">
        <v>21</v>
      </c>
      <c r="M259" s="103" t="s">
        <v>229</v>
      </c>
      <c r="N259" s="51">
        <v>20</v>
      </c>
      <c r="O259" s="50">
        <v>2040000</v>
      </c>
      <c r="P259" s="51">
        <v>183</v>
      </c>
      <c r="Q259" s="50">
        <v>3820000</v>
      </c>
      <c r="R259" s="101">
        <v>48</v>
      </c>
      <c r="S259" s="50">
        <v>450000</v>
      </c>
      <c r="T259" s="102">
        <f t="shared" si="65"/>
        <v>272</v>
      </c>
      <c r="U259" s="60">
        <f t="shared" si="58"/>
        <v>101.49253731343283</v>
      </c>
      <c r="V259" s="34" t="s">
        <v>44</v>
      </c>
      <c r="W259" s="52">
        <f t="shared" si="64"/>
        <v>6310000</v>
      </c>
      <c r="X259" s="60">
        <f t="shared" si="60"/>
        <v>100</v>
      </c>
      <c r="Y259" s="34" t="s">
        <v>44</v>
      </c>
      <c r="Z259" s="102">
        <f t="shared" si="20"/>
        <v>758</v>
      </c>
      <c r="AA259" s="52">
        <f t="shared" si="61"/>
        <v>11410000</v>
      </c>
      <c r="AB259" s="41">
        <f t="shared" si="62"/>
        <v>94.278606965174134</v>
      </c>
      <c r="AC259" s="34" t="s">
        <v>44</v>
      </c>
      <c r="AD259" s="90">
        <f t="shared" si="63"/>
        <v>64.390519187358919</v>
      </c>
      <c r="AE259" s="17"/>
      <c r="AF259" s="2"/>
      <c r="AG259" s="2"/>
      <c r="AH259" s="55"/>
      <c r="AI259" s="2"/>
      <c r="AJ259" s="2"/>
      <c r="AK259" s="2"/>
    </row>
    <row r="260" spans="1:37" ht="135">
      <c r="A260" s="43"/>
      <c r="B260" s="39"/>
      <c r="C260" s="46" t="s">
        <v>406</v>
      </c>
      <c r="D260" s="47" t="s">
        <v>401</v>
      </c>
      <c r="E260" s="48">
        <v>616</v>
      </c>
      <c r="F260" s="77" t="s">
        <v>227</v>
      </c>
      <c r="G260" s="91">
        <v>21700000</v>
      </c>
      <c r="H260" s="101">
        <v>134</v>
      </c>
      <c r="I260" s="50">
        <v>1600000</v>
      </c>
      <c r="J260" s="51">
        <v>209</v>
      </c>
      <c r="K260" s="50">
        <v>10050000</v>
      </c>
      <c r="L260" s="33">
        <v>35</v>
      </c>
      <c r="M260" s="103" t="s">
        <v>229</v>
      </c>
      <c r="N260" s="51">
        <v>58</v>
      </c>
      <c r="O260" s="50">
        <v>0</v>
      </c>
      <c r="P260" s="51">
        <v>58</v>
      </c>
      <c r="Q260" s="50">
        <v>6690000</v>
      </c>
      <c r="R260" s="101">
        <v>49</v>
      </c>
      <c r="S260" s="50">
        <v>2560000</v>
      </c>
      <c r="T260" s="102">
        <f t="shared" si="65"/>
        <v>200</v>
      </c>
      <c r="U260" s="60">
        <f t="shared" si="58"/>
        <v>95.693779904306226</v>
      </c>
      <c r="V260" s="34" t="s">
        <v>44</v>
      </c>
      <c r="W260" s="52">
        <f t="shared" si="64"/>
        <v>9250000</v>
      </c>
      <c r="X260" s="60">
        <f t="shared" si="60"/>
        <v>92.039800995024876</v>
      </c>
      <c r="Y260" s="34" t="s">
        <v>44</v>
      </c>
      <c r="Z260" s="102">
        <f t="shared" si="20"/>
        <v>334</v>
      </c>
      <c r="AA260" s="52">
        <f t="shared" si="61"/>
        <v>10850000</v>
      </c>
      <c r="AB260" s="41">
        <f t="shared" si="62"/>
        <v>54.220779220779228</v>
      </c>
      <c r="AC260" s="34" t="s">
        <v>44</v>
      </c>
      <c r="AD260" s="90">
        <f t="shared" si="63"/>
        <v>50</v>
      </c>
      <c r="AE260" s="17"/>
      <c r="AF260" s="2"/>
      <c r="AG260" s="2"/>
      <c r="AH260" s="55"/>
      <c r="AI260" s="2"/>
      <c r="AJ260" s="2"/>
      <c r="AK260" s="2"/>
    </row>
    <row r="261" spans="1:37" ht="135">
      <c r="A261" s="43"/>
      <c r="B261" s="39"/>
      <c r="C261" s="46" t="s">
        <v>407</v>
      </c>
      <c r="D261" s="47" t="s">
        <v>401</v>
      </c>
      <c r="E261" s="48">
        <v>336</v>
      </c>
      <c r="F261" s="77" t="s">
        <v>227</v>
      </c>
      <c r="G261" s="91">
        <v>40029000</v>
      </c>
      <c r="H261" s="101">
        <v>11</v>
      </c>
      <c r="I261" s="50">
        <v>13449000</v>
      </c>
      <c r="J261" s="51">
        <v>112</v>
      </c>
      <c r="K261" s="50">
        <v>6900000</v>
      </c>
      <c r="L261" s="33">
        <v>1</v>
      </c>
      <c r="M261" s="103" t="s">
        <v>229</v>
      </c>
      <c r="N261" s="51">
        <v>1</v>
      </c>
      <c r="O261" s="50">
        <v>0</v>
      </c>
      <c r="P261" s="51">
        <v>0</v>
      </c>
      <c r="Q261" s="50">
        <v>0</v>
      </c>
      <c r="R261" s="101">
        <v>3</v>
      </c>
      <c r="S261" s="50">
        <v>5680000</v>
      </c>
      <c r="T261" s="102">
        <f t="shared" si="65"/>
        <v>5</v>
      </c>
      <c r="U261" s="60">
        <f t="shared" si="58"/>
        <v>4.4642857142857144</v>
      </c>
      <c r="V261" s="34" t="s">
        <v>44</v>
      </c>
      <c r="W261" s="52">
        <f t="shared" si="64"/>
        <v>5680000</v>
      </c>
      <c r="X261" s="60">
        <f t="shared" si="60"/>
        <v>82.318840579710141</v>
      </c>
      <c r="Y261" s="34" t="s">
        <v>44</v>
      </c>
      <c r="Z261" s="102">
        <f t="shared" si="20"/>
        <v>16</v>
      </c>
      <c r="AA261" s="52">
        <f t="shared" si="61"/>
        <v>19129000</v>
      </c>
      <c r="AB261" s="41">
        <f t="shared" si="62"/>
        <v>4.7619047619047619</v>
      </c>
      <c r="AC261" s="34" t="s">
        <v>44</v>
      </c>
      <c r="AD261" s="90">
        <f t="shared" si="63"/>
        <v>47.787853805990657</v>
      </c>
      <c r="AE261" s="17"/>
      <c r="AF261" s="2"/>
      <c r="AG261" s="2"/>
      <c r="AH261" s="55"/>
      <c r="AI261" s="2"/>
      <c r="AJ261" s="2"/>
      <c r="AK261" s="2"/>
    </row>
    <row r="262" spans="1:37" ht="135">
      <c r="A262" s="43"/>
      <c r="B262" s="39"/>
      <c r="C262" s="46" t="s">
        <v>408</v>
      </c>
      <c r="D262" s="47" t="s">
        <v>401</v>
      </c>
      <c r="E262" s="48">
        <v>1041</v>
      </c>
      <c r="F262" s="77" t="s">
        <v>227</v>
      </c>
      <c r="G262" s="91">
        <v>22810000</v>
      </c>
      <c r="H262" s="101">
        <v>313</v>
      </c>
      <c r="I262" s="50">
        <v>3040000</v>
      </c>
      <c r="J262" s="51">
        <v>347</v>
      </c>
      <c r="K262" s="50">
        <v>8440000</v>
      </c>
      <c r="L262" s="33">
        <v>17</v>
      </c>
      <c r="M262" s="103" t="s">
        <v>229</v>
      </c>
      <c r="N262" s="51">
        <v>15</v>
      </c>
      <c r="O262" s="50">
        <v>1040000</v>
      </c>
      <c r="P262" s="51">
        <v>47</v>
      </c>
      <c r="Q262" s="50">
        <v>720000</v>
      </c>
      <c r="R262" s="101">
        <v>28</v>
      </c>
      <c r="S262" s="50">
        <v>4260000</v>
      </c>
      <c r="T262" s="102">
        <f t="shared" si="65"/>
        <v>107</v>
      </c>
      <c r="U262" s="60">
        <f t="shared" si="58"/>
        <v>30.835734870317005</v>
      </c>
      <c r="V262" s="34" t="s">
        <v>44</v>
      </c>
      <c r="W262" s="52">
        <f t="shared" si="64"/>
        <v>6020000</v>
      </c>
      <c r="X262" s="60">
        <f t="shared" si="60"/>
        <v>71.327014218009481</v>
      </c>
      <c r="Y262" s="34" t="s">
        <v>44</v>
      </c>
      <c r="Z262" s="102">
        <f t="shared" si="20"/>
        <v>420</v>
      </c>
      <c r="AA262" s="52">
        <f t="shared" si="61"/>
        <v>9060000</v>
      </c>
      <c r="AB262" s="41">
        <f t="shared" si="62"/>
        <v>40.345821325648416</v>
      </c>
      <c r="AC262" s="34" t="s">
        <v>44</v>
      </c>
      <c r="AD262" s="90">
        <f t="shared" si="63"/>
        <v>39.719421306444538</v>
      </c>
      <c r="AE262" s="17"/>
      <c r="AF262" s="2"/>
      <c r="AG262" s="2"/>
      <c r="AH262" s="55"/>
      <c r="AI262" s="2"/>
      <c r="AJ262" s="2"/>
      <c r="AK262" s="2"/>
    </row>
    <row r="263" spans="1:37" ht="135">
      <c r="A263" s="43"/>
      <c r="B263" s="39"/>
      <c r="C263" s="46" t="s">
        <v>409</v>
      </c>
      <c r="D263" s="47" t="s">
        <v>401</v>
      </c>
      <c r="E263" s="48">
        <v>87</v>
      </c>
      <c r="F263" s="77" t="s">
        <v>227</v>
      </c>
      <c r="G263" s="91">
        <v>16240000</v>
      </c>
      <c r="H263" s="101">
        <v>29</v>
      </c>
      <c r="I263" s="50">
        <v>2800000</v>
      </c>
      <c r="J263" s="51">
        <v>209</v>
      </c>
      <c r="K263" s="50">
        <v>6720000</v>
      </c>
      <c r="L263" s="33">
        <v>45</v>
      </c>
      <c r="M263" s="103" t="s">
        <v>229</v>
      </c>
      <c r="N263" s="51">
        <v>47</v>
      </c>
      <c r="O263" s="50">
        <v>0</v>
      </c>
      <c r="P263" s="51">
        <v>35</v>
      </c>
      <c r="Q263" s="50">
        <v>0</v>
      </c>
      <c r="R263" s="101">
        <v>82</v>
      </c>
      <c r="S263" s="50">
        <v>3520000</v>
      </c>
      <c r="T263" s="102">
        <f t="shared" si="65"/>
        <v>209</v>
      </c>
      <c r="U263" s="60">
        <f t="shared" si="58"/>
        <v>100</v>
      </c>
      <c r="V263" s="34" t="s">
        <v>44</v>
      </c>
      <c r="W263" s="52">
        <f t="shared" si="64"/>
        <v>3520000</v>
      </c>
      <c r="X263" s="60">
        <f t="shared" si="60"/>
        <v>52.380952380952387</v>
      </c>
      <c r="Y263" s="34" t="s">
        <v>44</v>
      </c>
      <c r="Z263" s="102">
        <f t="shared" si="20"/>
        <v>238</v>
      </c>
      <c r="AA263" s="52">
        <f t="shared" si="61"/>
        <v>6320000</v>
      </c>
      <c r="AB263" s="41">
        <f t="shared" si="62"/>
        <v>273.56321839080459</v>
      </c>
      <c r="AC263" s="34" t="s">
        <v>44</v>
      </c>
      <c r="AD263" s="90">
        <f t="shared" si="63"/>
        <v>38.916256157635473</v>
      </c>
      <c r="AE263" s="17"/>
      <c r="AF263" s="2"/>
      <c r="AG263" s="2"/>
      <c r="AH263" s="55"/>
      <c r="AI263" s="2"/>
      <c r="AJ263" s="2"/>
      <c r="AK263" s="2"/>
    </row>
    <row r="264" spans="1:37" ht="135">
      <c r="A264" s="43"/>
      <c r="B264" s="39"/>
      <c r="C264" s="46" t="s">
        <v>410</v>
      </c>
      <c r="D264" s="47" t="s">
        <v>401</v>
      </c>
      <c r="E264" s="48">
        <v>345</v>
      </c>
      <c r="F264" s="77" t="s">
        <v>227</v>
      </c>
      <c r="G264" s="91">
        <v>11852800</v>
      </c>
      <c r="H264" s="101">
        <v>23</v>
      </c>
      <c r="I264" s="50">
        <v>4895000</v>
      </c>
      <c r="J264" s="51">
        <v>120</v>
      </c>
      <c r="K264" s="50">
        <v>3778900</v>
      </c>
      <c r="L264" s="33">
        <v>3</v>
      </c>
      <c r="M264" s="103" t="s">
        <v>229</v>
      </c>
      <c r="N264" s="51">
        <v>3</v>
      </c>
      <c r="O264" s="50">
        <v>1958900</v>
      </c>
      <c r="P264" s="51">
        <v>3</v>
      </c>
      <c r="Q264" s="50">
        <v>0</v>
      </c>
      <c r="R264" s="101">
        <v>3</v>
      </c>
      <c r="S264" s="50">
        <v>1400000</v>
      </c>
      <c r="T264" s="102">
        <f t="shared" si="65"/>
        <v>12</v>
      </c>
      <c r="U264" s="60">
        <f t="shared" si="58"/>
        <v>10</v>
      </c>
      <c r="V264" s="34" t="s">
        <v>44</v>
      </c>
      <c r="W264" s="52">
        <f t="shared" si="64"/>
        <v>3358900</v>
      </c>
      <c r="X264" s="60">
        <f t="shared" si="60"/>
        <v>88.885654555558489</v>
      </c>
      <c r="Y264" s="34" t="s">
        <v>44</v>
      </c>
      <c r="Z264" s="102">
        <f t="shared" si="20"/>
        <v>35</v>
      </c>
      <c r="AA264" s="52">
        <f t="shared" si="61"/>
        <v>8253900</v>
      </c>
      <c r="AB264" s="41">
        <f t="shared" si="62"/>
        <v>10.144927536231885</v>
      </c>
      <c r="AC264" s="34" t="s">
        <v>44</v>
      </c>
      <c r="AD264" s="90">
        <f t="shared" si="63"/>
        <v>69.636710313174945</v>
      </c>
      <c r="AE264" s="17"/>
      <c r="AF264" s="2"/>
      <c r="AG264" s="2"/>
      <c r="AH264" s="55"/>
      <c r="AI264" s="2"/>
      <c r="AJ264" s="2"/>
      <c r="AK264" s="2"/>
    </row>
    <row r="265" spans="1:37" ht="135">
      <c r="A265" s="43"/>
      <c r="B265" s="39"/>
      <c r="C265" s="46" t="s">
        <v>411</v>
      </c>
      <c r="D265" s="47" t="s">
        <v>401</v>
      </c>
      <c r="E265" s="48">
        <v>1161</v>
      </c>
      <c r="F265" s="77" t="s">
        <v>227</v>
      </c>
      <c r="G265" s="91">
        <v>16320000</v>
      </c>
      <c r="H265" s="101">
        <v>226</v>
      </c>
      <c r="I265" s="50">
        <v>3360000</v>
      </c>
      <c r="J265" s="51">
        <v>395</v>
      </c>
      <c r="K265" s="50">
        <v>6240000</v>
      </c>
      <c r="L265" s="33">
        <v>0</v>
      </c>
      <c r="M265" s="103" t="s">
        <v>229</v>
      </c>
      <c r="N265" s="51">
        <v>168</v>
      </c>
      <c r="O265" s="50">
        <v>2080000</v>
      </c>
      <c r="P265" s="51">
        <v>69</v>
      </c>
      <c r="Q265" s="50">
        <v>1680000</v>
      </c>
      <c r="R265" s="101">
        <v>28</v>
      </c>
      <c r="S265" s="50">
        <v>2160000</v>
      </c>
      <c r="T265" s="102">
        <f t="shared" si="65"/>
        <v>265</v>
      </c>
      <c r="U265" s="60">
        <f t="shared" si="58"/>
        <v>67.088607594936718</v>
      </c>
      <c r="V265" s="34" t="s">
        <v>44</v>
      </c>
      <c r="W265" s="52">
        <f t="shared" si="64"/>
        <v>5920000</v>
      </c>
      <c r="X265" s="60">
        <f t="shared" si="60"/>
        <v>94.871794871794862</v>
      </c>
      <c r="Y265" s="34" t="s">
        <v>44</v>
      </c>
      <c r="Z265" s="102">
        <f t="shared" si="20"/>
        <v>491</v>
      </c>
      <c r="AA265" s="52">
        <f t="shared" si="61"/>
        <v>9280000</v>
      </c>
      <c r="AB265" s="41">
        <f t="shared" si="62"/>
        <v>42.291128337639968</v>
      </c>
      <c r="AC265" s="34" t="s">
        <v>44</v>
      </c>
      <c r="AD265" s="90">
        <f t="shared" si="63"/>
        <v>56.862745098039213</v>
      </c>
      <c r="AE265" s="17"/>
      <c r="AF265" s="2"/>
      <c r="AG265" s="2"/>
      <c r="AH265" s="55"/>
      <c r="AI265" s="2"/>
      <c r="AJ265" s="2"/>
      <c r="AK265" s="2"/>
    </row>
    <row r="266" spans="1:37" ht="135">
      <c r="A266" s="43"/>
      <c r="B266" s="39"/>
      <c r="C266" s="46" t="s">
        <v>412</v>
      </c>
      <c r="D266" s="47" t="s">
        <v>401</v>
      </c>
      <c r="E266" s="48">
        <v>24</v>
      </c>
      <c r="F266" s="77" t="s">
        <v>227</v>
      </c>
      <c r="G266" s="91">
        <v>8190000</v>
      </c>
      <c r="H266" s="101">
        <v>3</v>
      </c>
      <c r="I266" s="50">
        <v>280000</v>
      </c>
      <c r="J266" s="51">
        <v>94</v>
      </c>
      <c r="K266" s="50">
        <v>3360000</v>
      </c>
      <c r="L266" s="106">
        <v>2</v>
      </c>
      <c r="M266" s="107" t="s">
        <v>229</v>
      </c>
      <c r="N266" s="108">
        <v>10</v>
      </c>
      <c r="O266" s="107">
        <v>420000</v>
      </c>
      <c r="P266" s="108">
        <v>19</v>
      </c>
      <c r="Q266" s="107">
        <v>700000</v>
      </c>
      <c r="R266" s="109">
        <v>37</v>
      </c>
      <c r="S266" s="107">
        <v>2940000</v>
      </c>
      <c r="T266" s="102">
        <f t="shared" si="65"/>
        <v>68</v>
      </c>
      <c r="U266" s="60">
        <f t="shared" si="58"/>
        <v>72.340425531914903</v>
      </c>
      <c r="V266" s="34" t="s">
        <v>44</v>
      </c>
      <c r="W266" s="52">
        <f t="shared" si="64"/>
        <v>4060000</v>
      </c>
      <c r="X266" s="60">
        <f t="shared" si="60"/>
        <v>120.83333333333333</v>
      </c>
      <c r="Y266" s="34" t="s">
        <v>44</v>
      </c>
      <c r="Z266" s="102">
        <f t="shared" si="20"/>
        <v>71</v>
      </c>
      <c r="AA266" s="52">
        <f t="shared" si="61"/>
        <v>4340000</v>
      </c>
      <c r="AB266" s="41">
        <f t="shared" si="62"/>
        <v>295.83333333333337</v>
      </c>
      <c r="AC266" s="34" t="s">
        <v>44</v>
      </c>
      <c r="AD266" s="90">
        <f t="shared" si="63"/>
        <v>52.991452991452995</v>
      </c>
      <c r="AE266" s="17"/>
      <c r="AF266" s="2"/>
      <c r="AG266" s="2"/>
      <c r="AH266" s="55"/>
      <c r="AI266" s="2"/>
      <c r="AJ266" s="2"/>
      <c r="AK266" s="2"/>
    </row>
    <row r="267" spans="1:37" ht="135">
      <c r="A267" s="43"/>
      <c r="B267" s="39"/>
      <c r="C267" s="46" t="s">
        <v>413</v>
      </c>
      <c r="D267" s="47" t="s">
        <v>401</v>
      </c>
      <c r="E267" s="48">
        <v>36</v>
      </c>
      <c r="F267" s="77" t="s">
        <v>227</v>
      </c>
      <c r="G267" s="91">
        <v>10400000</v>
      </c>
      <c r="H267" s="101">
        <v>12</v>
      </c>
      <c r="I267" s="50">
        <v>2200000</v>
      </c>
      <c r="J267" s="51">
        <v>12</v>
      </c>
      <c r="K267" s="50">
        <v>3520000</v>
      </c>
      <c r="L267" s="33">
        <v>4</v>
      </c>
      <c r="M267" s="103" t="s">
        <v>229</v>
      </c>
      <c r="N267" s="51">
        <v>2</v>
      </c>
      <c r="O267" s="50">
        <v>0</v>
      </c>
      <c r="P267" s="51">
        <v>1</v>
      </c>
      <c r="Q267" s="50">
        <v>300000</v>
      </c>
      <c r="R267" s="101">
        <v>8</v>
      </c>
      <c r="S267" s="50"/>
      <c r="T267" s="102">
        <f t="shared" si="65"/>
        <v>15</v>
      </c>
      <c r="U267" s="60">
        <f t="shared" si="58"/>
        <v>125</v>
      </c>
      <c r="V267" s="34" t="s">
        <v>44</v>
      </c>
      <c r="W267" s="52">
        <f t="shared" si="64"/>
        <v>300000</v>
      </c>
      <c r="X267" s="60">
        <f t="shared" si="60"/>
        <v>8.5227272727272716</v>
      </c>
      <c r="Y267" s="34" t="s">
        <v>44</v>
      </c>
      <c r="Z267" s="102">
        <f t="shared" si="20"/>
        <v>27</v>
      </c>
      <c r="AA267" s="52">
        <f t="shared" si="61"/>
        <v>2500000</v>
      </c>
      <c r="AB267" s="41">
        <f t="shared" si="62"/>
        <v>75</v>
      </c>
      <c r="AC267" s="34" t="s">
        <v>44</v>
      </c>
      <c r="AD267" s="90">
        <f t="shared" si="63"/>
        <v>24.03846153846154</v>
      </c>
      <c r="AE267" s="17"/>
      <c r="AF267" s="2"/>
      <c r="AG267" s="2"/>
      <c r="AH267" s="55"/>
      <c r="AI267" s="2"/>
      <c r="AJ267" s="2"/>
      <c r="AK267" s="2"/>
    </row>
    <row r="268" spans="1:37" ht="135">
      <c r="A268" s="43"/>
      <c r="B268" s="39"/>
      <c r="C268" s="46" t="s">
        <v>414</v>
      </c>
      <c r="D268" s="47" t="s">
        <v>401</v>
      </c>
      <c r="E268" s="48">
        <v>1053</v>
      </c>
      <c r="F268" s="77" t="s">
        <v>227</v>
      </c>
      <c r="G268" s="91">
        <v>4850000</v>
      </c>
      <c r="H268" s="101">
        <v>87</v>
      </c>
      <c r="I268" s="50">
        <v>1700000</v>
      </c>
      <c r="J268" s="51">
        <v>351</v>
      </c>
      <c r="K268" s="50">
        <v>1040000</v>
      </c>
      <c r="L268" s="33">
        <v>40</v>
      </c>
      <c r="M268" s="103" t="s">
        <v>229</v>
      </c>
      <c r="N268" s="51">
        <v>18</v>
      </c>
      <c r="O268" s="50">
        <v>70000</v>
      </c>
      <c r="P268" s="51">
        <v>148</v>
      </c>
      <c r="Q268" s="50">
        <v>630000</v>
      </c>
      <c r="R268" s="112">
        <v>167</v>
      </c>
      <c r="S268" s="50">
        <v>0</v>
      </c>
      <c r="T268" s="102">
        <f t="shared" si="65"/>
        <v>373</v>
      </c>
      <c r="U268" s="60">
        <f t="shared" si="58"/>
        <v>106.26780626780628</v>
      </c>
      <c r="V268" s="34" t="s">
        <v>44</v>
      </c>
      <c r="W268" s="52">
        <f t="shared" si="64"/>
        <v>700000</v>
      </c>
      <c r="X268" s="60">
        <f t="shared" si="60"/>
        <v>67.307692307692307</v>
      </c>
      <c r="Y268" s="34" t="s">
        <v>44</v>
      </c>
      <c r="Z268" s="102">
        <f t="shared" si="20"/>
        <v>460</v>
      </c>
      <c r="AA268" s="52">
        <f t="shared" si="61"/>
        <v>2400000</v>
      </c>
      <c r="AB268" s="41">
        <f t="shared" si="62"/>
        <v>43.684710351377021</v>
      </c>
      <c r="AC268" s="34" t="s">
        <v>44</v>
      </c>
      <c r="AD268" s="90">
        <f t="shared" si="63"/>
        <v>49.484536082474229</v>
      </c>
      <c r="AE268" s="17"/>
      <c r="AF268" s="2"/>
      <c r="AG268" s="2"/>
      <c r="AH268" s="55"/>
      <c r="AI268" s="2"/>
      <c r="AJ268" s="2"/>
      <c r="AK268" s="2"/>
    </row>
    <row r="269" spans="1:37" ht="135">
      <c r="A269" s="43"/>
      <c r="B269" s="39"/>
      <c r="C269" s="46" t="s">
        <v>415</v>
      </c>
      <c r="D269" s="47" t="s">
        <v>401</v>
      </c>
      <c r="E269" s="48">
        <v>436</v>
      </c>
      <c r="F269" s="77" t="s">
        <v>227</v>
      </c>
      <c r="G269" s="91">
        <v>9760000</v>
      </c>
      <c r="H269" s="101">
        <v>130</v>
      </c>
      <c r="I269" s="50">
        <v>3360000</v>
      </c>
      <c r="J269" s="51">
        <v>153</v>
      </c>
      <c r="K269" s="50">
        <v>3200000</v>
      </c>
      <c r="L269" s="33">
        <v>24</v>
      </c>
      <c r="M269" s="103" t="s">
        <v>229</v>
      </c>
      <c r="N269" s="51">
        <v>52</v>
      </c>
      <c r="O269" s="50">
        <v>960000</v>
      </c>
      <c r="P269" s="51">
        <v>3</v>
      </c>
      <c r="Q269" s="50">
        <v>1920000</v>
      </c>
      <c r="R269" s="112">
        <v>8</v>
      </c>
      <c r="S269" s="107">
        <v>300000</v>
      </c>
      <c r="T269" s="102">
        <f t="shared" si="65"/>
        <v>87</v>
      </c>
      <c r="U269" s="60">
        <f t="shared" si="58"/>
        <v>56.862745098039213</v>
      </c>
      <c r="V269" s="34" t="s">
        <v>44</v>
      </c>
      <c r="W269" s="52">
        <f t="shared" si="64"/>
        <v>3180000</v>
      </c>
      <c r="X269" s="60">
        <f t="shared" si="60"/>
        <v>99.375</v>
      </c>
      <c r="Y269" s="34" t="s">
        <v>44</v>
      </c>
      <c r="Z269" s="102">
        <f t="shared" si="20"/>
        <v>217</v>
      </c>
      <c r="AA269" s="52">
        <f t="shared" si="61"/>
        <v>6540000</v>
      </c>
      <c r="AB269" s="41">
        <f t="shared" si="62"/>
        <v>49.77064220183486</v>
      </c>
      <c r="AC269" s="34" t="s">
        <v>44</v>
      </c>
      <c r="AD269" s="90">
        <f t="shared" si="63"/>
        <v>67.008196721311478</v>
      </c>
      <c r="AE269" s="17"/>
      <c r="AF269" s="2"/>
      <c r="AG269" s="2"/>
      <c r="AH269" s="55"/>
      <c r="AI269" s="2"/>
      <c r="AJ269" s="2"/>
      <c r="AK269" s="2"/>
    </row>
    <row r="270" spans="1:37" ht="135">
      <c r="A270" s="43"/>
      <c r="B270" s="39"/>
      <c r="C270" s="46" t="s">
        <v>416</v>
      </c>
      <c r="D270" s="47" t="s">
        <v>401</v>
      </c>
      <c r="E270" s="48">
        <v>671</v>
      </c>
      <c r="F270" s="77" t="s">
        <v>227</v>
      </c>
      <c r="G270" s="91">
        <v>14560000</v>
      </c>
      <c r="H270" s="101">
        <v>89</v>
      </c>
      <c r="I270" s="50">
        <v>720000</v>
      </c>
      <c r="J270" s="51">
        <v>233</v>
      </c>
      <c r="K270" s="50">
        <v>15040000</v>
      </c>
      <c r="L270" s="115">
        <v>1</v>
      </c>
      <c r="M270" s="116">
        <v>0</v>
      </c>
      <c r="N270" s="117">
        <v>48</v>
      </c>
      <c r="O270" s="107">
        <v>1230000</v>
      </c>
      <c r="P270" s="117">
        <v>145</v>
      </c>
      <c r="Q270" s="107">
        <v>3000000</v>
      </c>
      <c r="R270" s="118">
        <v>71</v>
      </c>
      <c r="S270" s="107">
        <v>10670000</v>
      </c>
      <c r="T270" s="102">
        <f t="shared" si="65"/>
        <v>265</v>
      </c>
      <c r="U270" s="60">
        <f t="shared" si="58"/>
        <v>113.73390557939915</v>
      </c>
      <c r="V270" s="34" t="s">
        <v>44</v>
      </c>
      <c r="W270" s="52">
        <f t="shared" si="64"/>
        <v>14900000</v>
      </c>
      <c r="X270" s="60">
        <f t="shared" si="60"/>
        <v>99.069148936170208</v>
      </c>
      <c r="Y270" s="34" t="s">
        <v>44</v>
      </c>
      <c r="Z270" s="102">
        <f t="shared" si="20"/>
        <v>354</v>
      </c>
      <c r="AA270" s="52">
        <f t="shared" si="61"/>
        <v>15620000</v>
      </c>
      <c r="AB270" s="41">
        <f t="shared" si="62"/>
        <v>52.757078986587182</v>
      </c>
      <c r="AC270" s="34" t="s">
        <v>44</v>
      </c>
      <c r="AD270" s="90">
        <f t="shared" si="63"/>
        <v>107.28021978021978</v>
      </c>
      <c r="AE270" s="17"/>
      <c r="AF270" s="2"/>
      <c r="AG270" s="2"/>
      <c r="AH270" s="55"/>
      <c r="AI270" s="2"/>
      <c r="AJ270" s="2"/>
      <c r="AK270" s="2"/>
    </row>
    <row r="271" spans="1:37" ht="135">
      <c r="A271" s="43"/>
      <c r="B271" s="39"/>
      <c r="C271" s="46" t="s">
        <v>417</v>
      </c>
      <c r="D271" s="47" t="s">
        <v>401</v>
      </c>
      <c r="E271" s="48">
        <v>471</v>
      </c>
      <c r="F271" s="77" t="s">
        <v>227</v>
      </c>
      <c r="G271" s="91">
        <v>23360000</v>
      </c>
      <c r="H271" s="101">
        <v>136</v>
      </c>
      <c r="I271" s="50">
        <v>3450000</v>
      </c>
      <c r="J271" s="51">
        <v>160</v>
      </c>
      <c r="K271" s="50">
        <v>7000000</v>
      </c>
      <c r="L271" s="33">
        <v>31</v>
      </c>
      <c r="M271" s="50">
        <v>0</v>
      </c>
      <c r="N271" s="51">
        <v>22</v>
      </c>
      <c r="O271" s="50">
        <v>2800000</v>
      </c>
      <c r="P271" s="51">
        <v>29</v>
      </c>
      <c r="Q271" s="50">
        <v>2800000</v>
      </c>
      <c r="R271" s="112">
        <v>73</v>
      </c>
      <c r="S271" s="78">
        <v>1400000</v>
      </c>
      <c r="T271" s="102">
        <f t="shared" si="65"/>
        <v>155</v>
      </c>
      <c r="U271" s="60">
        <f t="shared" si="58"/>
        <v>96.875</v>
      </c>
      <c r="V271" s="34" t="s">
        <v>44</v>
      </c>
      <c r="W271" s="52">
        <f t="shared" si="64"/>
        <v>7000000</v>
      </c>
      <c r="X271" s="60">
        <f t="shared" si="60"/>
        <v>100</v>
      </c>
      <c r="Y271" s="34" t="s">
        <v>44</v>
      </c>
      <c r="Z271" s="102">
        <f t="shared" si="20"/>
        <v>291</v>
      </c>
      <c r="AA271" s="52">
        <f t="shared" si="61"/>
        <v>10450000</v>
      </c>
      <c r="AB271" s="41">
        <f t="shared" si="62"/>
        <v>61.783439490445858</v>
      </c>
      <c r="AC271" s="34" t="s">
        <v>44</v>
      </c>
      <c r="AD271" s="90">
        <f t="shared" si="63"/>
        <v>44.734589041095887</v>
      </c>
      <c r="AE271" s="17"/>
      <c r="AF271" s="2"/>
      <c r="AG271" s="2"/>
      <c r="AH271" s="55"/>
      <c r="AI271" s="2"/>
      <c r="AJ271" s="2"/>
      <c r="AK271" s="2"/>
    </row>
    <row r="272" spans="1:37" ht="135">
      <c r="A272" s="43"/>
      <c r="B272" s="39"/>
      <c r="C272" s="46" t="s">
        <v>418</v>
      </c>
      <c r="D272" s="47" t="s">
        <v>401</v>
      </c>
      <c r="E272" s="48">
        <v>1056</v>
      </c>
      <c r="F272" s="77" t="s">
        <v>227</v>
      </c>
      <c r="G272" s="91">
        <v>54000000</v>
      </c>
      <c r="H272" s="101">
        <v>34</v>
      </c>
      <c r="I272" s="50">
        <v>1400000</v>
      </c>
      <c r="J272" s="51">
        <v>352</v>
      </c>
      <c r="K272" s="50">
        <v>26300000</v>
      </c>
      <c r="L272" s="33">
        <v>50</v>
      </c>
      <c r="M272" s="103" t="s">
        <v>229</v>
      </c>
      <c r="N272" s="51">
        <v>49</v>
      </c>
      <c r="O272" s="50">
        <v>5550000</v>
      </c>
      <c r="P272" s="51">
        <v>51</v>
      </c>
      <c r="Q272" s="50">
        <v>4520000</v>
      </c>
      <c r="R272" s="112">
        <v>53</v>
      </c>
      <c r="S272" s="107">
        <v>6200000</v>
      </c>
      <c r="T272" s="102">
        <f t="shared" si="65"/>
        <v>203</v>
      </c>
      <c r="U272" s="60">
        <f t="shared" si="58"/>
        <v>57.67045454545454</v>
      </c>
      <c r="V272" s="34" t="s">
        <v>44</v>
      </c>
      <c r="W272" s="52">
        <f t="shared" si="64"/>
        <v>16270000</v>
      </c>
      <c r="X272" s="60">
        <f t="shared" si="60"/>
        <v>61.863117870722427</v>
      </c>
      <c r="Y272" s="34" t="s">
        <v>44</v>
      </c>
      <c r="Z272" s="102">
        <f t="shared" si="20"/>
        <v>237</v>
      </c>
      <c r="AA272" s="52">
        <f t="shared" si="61"/>
        <v>17670000</v>
      </c>
      <c r="AB272" s="41">
        <f t="shared" si="62"/>
        <v>22.443181818181817</v>
      </c>
      <c r="AC272" s="34" t="s">
        <v>44</v>
      </c>
      <c r="AD272" s="90">
        <f t="shared" si="63"/>
        <v>32.722222222222221</v>
      </c>
      <c r="AE272" s="17"/>
      <c r="AF272" s="2"/>
      <c r="AG272" s="2"/>
      <c r="AH272" s="55"/>
      <c r="AI272" s="2"/>
      <c r="AJ272" s="2"/>
      <c r="AK272" s="2"/>
    </row>
    <row r="273" spans="1:37" ht="135">
      <c r="A273" s="43"/>
      <c r="B273" s="39"/>
      <c r="C273" s="46" t="s">
        <v>419</v>
      </c>
      <c r="D273" s="47" t="s">
        <v>401</v>
      </c>
      <c r="E273" s="48">
        <v>68</v>
      </c>
      <c r="F273" s="77" t="s">
        <v>227</v>
      </c>
      <c r="G273" s="91">
        <v>23000000</v>
      </c>
      <c r="H273" s="101">
        <v>26</v>
      </c>
      <c r="I273" s="50">
        <v>0</v>
      </c>
      <c r="J273" s="51">
        <v>34</v>
      </c>
      <c r="K273" s="50">
        <v>11500000</v>
      </c>
      <c r="L273" s="106">
        <v>9</v>
      </c>
      <c r="M273" s="107" t="s">
        <v>229</v>
      </c>
      <c r="N273" s="108">
        <v>9</v>
      </c>
      <c r="O273" s="107" t="s">
        <v>229</v>
      </c>
      <c r="P273" s="108">
        <v>8</v>
      </c>
      <c r="Q273" s="107">
        <v>150000</v>
      </c>
      <c r="R273" s="109">
        <v>8</v>
      </c>
      <c r="S273" s="50">
        <v>910000</v>
      </c>
      <c r="T273" s="102">
        <f t="shared" si="65"/>
        <v>34</v>
      </c>
      <c r="U273" s="60">
        <f t="shared" si="58"/>
        <v>100</v>
      </c>
      <c r="V273" s="34" t="s">
        <v>44</v>
      </c>
      <c r="W273" s="52">
        <f t="shared" si="64"/>
        <v>1060000</v>
      </c>
      <c r="X273" s="60">
        <f t="shared" si="60"/>
        <v>9.2173913043478262</v>
      </c>
      <c r="Y273" s="34" t="s">
        <v>44</v>
      </c>
      <c r="Z273" s="102">
        <f t="shared" si="20"/>
        <v>60</v>
      </c>
      <c r="AA273" s="52">
        <f t="shared" si="61"/>
        <v>1060000</v>
      </c>
      <c r="AB273" s="41">
        <f t="shared" si="62"/>
        <v>88.235294117647058</v>
      </c>
      <c r="AC273" s="34" t="s">
        <v>44</v>
      </c>
      <c r="AD273" s="90">
        <f t="shared" si="63"/>
        <v>4.6086956521739131</v>
      </c>
      <c r="AE273" s="17"/>
      <c r="AF273" s="2"/>
      <c r="AG273" s="2"/>
      <c r="AH273" s="55"/>
      <c r="AI273" s="2"/>
      <c r="AJ273" s="2"/>
      <c r="AK273" s="2"/>
    </row>
    <row r="274" spans="1:37" ht="135">
      <c r="A274" s="43"/>
      <c r="B274" s="39"/>
      <c r="C274" s="46" t="s">
        <v>420</v>
      </c>
      <c r="D274" s="47" t="s">
        <v>401</v>
      </c>
      <c r="E274" s="48">
        <v>546</v>
      </c>
      <c r="F274" s="77" t="s">
        <v>227</v>
      </c>
      <c r="G274" s="91">
        <v>3900000</v>
      </c>
      <c r="H274" s="101">
        <v>35</v>
      </c>
      <c r="I274" s="50"/>
      <c r="J274" s="51">
        <v>182</v>
      </c>
      <c r="K274" s="50">
        <v>1600000</v>
      </c>
      <c r="L274" s="33">
        <v>8</v>
      </c>
      <c r="M274" s="103" t="s">
        <v>229</v>
      </c>
      <c r="N274" s="51">
        <v>58</v>
      </c>
      <c r="O274" s="50">
        <v>0</v>
      </c>
      <c r="P274" s="51">
        <v>58</v>
      </c>
      <c r="Q274" s="50">
        <v>640000</v>
      </c>
      <c r="R274" s="101">
        <v>58</v>
      </c>
      <c r="S274" s="50">
        <v>800000</v>
      </c>
      <c r="T274" s="102">
        <f t="shared" si="65"/>
        <v>182</v>
      </c>
      <c r="U274" s="60">
        <f t="shared" si="58"/>
        <v>100</v>
      </c>
      <c r="V274" s="34" t="s">
        <v>44</v>
      </c>
      <c r="W274" s="52">
        <f t="shared" si="64"/>
        <v>1440000</v>
      </c>
      <c r="X274" s="60">
        <f t="shared" si="60"/>
        <v>90</v>
      </c>
      <c r="Y274" s="34" t="s">
        <v>44</v>
      </c>
      <c r="Z274" s="102">
        <f t="shared" si="20"/>
        <v>217</v>
      </c>
      <c r="AA274" s="52">
        <f t="shared" si="61"/>
        <v>1440000</v>
      </c>
      <c r="AB274" s="41">
        <f t="shared" si="62"/>
        <v>39.743589743589745</v>
      </c>
      <c r="AC274" s="34" t="s">
        <v>44</v>
      </c>
      <c r="AD274" s="90">
        <f t="shared" si="63"/>
        <v>36.923076923076927</v>
      </c>
      <c r="AE274" s="17"/>
      <c r="AF274" s="2"/>
      <c r="AG274" s="2"/>
      <c r="AH274" s="55"/>
      <c r="AI274" s="2"/>
      <c r="AJ274" s="2"/>
      <c r="AK274" s="2"/>
    </row>
    <row r="275" spans="1:37" ht="135">
      <c r="A275" s="43"/>
      <c r="B275" s="39"/>
      <c r="C275" s="46" t="s">
        <v>421</v>
      </c>
      <c r="D275" s="47" t="s">
        <v>401</v>
      </c>
      <c r="E275" s="48">
        <v>320</v>
      </c>
      <c r="F275" s="77" t="s">
        <v>227</v>
      </c>
      <c r="G275" s="91">
        <v>28555000</v>
      </c>
      <c r="H275" s="101">
        <v>104</v>
      </c>
      <c r="I275" s="50">
        <v>8105000</v>
      </c>
      <c r="J275" s="51">
        <v>108</v>
      </c>
      <c r="K275" s="50">
        <v>10225000</v>
      </c>
      <c r="L275" s="33">
        <v>17</v>
      </c>
      <c r="M275" s="103" t="s">
        <v>229</v>
      </c>
      <c r="N275" s="51">
        <v>47</v>
      </c>
      <c r="O275" s="50">
        <v>820000</v>
      </c>
      <c r="P275" s="51">
        <v>22</v>
      </c>
      <c r="Q275" s="50">
        <v>8075000</v>
      </c>
      <c r="R275" s="112">
        <v>22</v>
      </c>
      <c r="S275" s="107">
        <v>1225200</v>
      </c>
      <c r="T275" s="102">
        <f t="shared" si="65"/>
        <v>108</v>
      </c>
      <c r="U275" s="60">
        <f t="shared" si="58"/>
        <v>100</v>
      </c>
      <c r="V275" s="34" t="s">
        <v>44</v>
      </c>
      <c r="W275" s="52">
        <f t="shared" si="64"/>
        <v>10120200</v>
      </c>
      <c r="X275" s="60">
        <f t="shared" si="60"/>
        <v>98.975061124694378</v>
      </c>
      <c r="Y275" s="34" t="s">
        <v>44</v>
      </c>
      <c r="Z275" s="102">
        <f t="shared" si="20"/>
        <v>212</v>
      </c>
      <c r="AA275" s="52">
        <f t="shared" si="61"/>
        <v>18225200</v>
      </c>
      <c r="AB275" s="41">
        <f t="shared" si="62"/>
        <v>66.25</v>
      </c>
      <c r="AC275" s="34" t="s">
        <v>44</v>
      </c>
      <c r="AD275" s="90">
        <f t="shared" si="63"/>
        <v>63.824899317107345</v>
      </c>
      <c r="AE275" s="17"/>
      <c r="AF275" s="2"/>
      <c r="AG275" s="2"/>
      <c r="AH275" s="55"/>
      <c r="AI275" s="2"/>
      <c r="AJ275" s="2"/>
      <c r="AK275" s="2"/>
    </row>
    <row r="276" spans="1:37" ht="120">
      <c r="A276" s="43"/>
      <c r="B276" s="39"/>
      <c r="C276" s="46" t="s">
        <v>422</v>
      </c>
      <c r="D276" s="47" t="s">
        <v>423</v>
      </c>
      <c r="E276" s="48">
        <f>J276*2</f>
        <v>8466</v>
      </c>
      <c r="F276" s="77" t="s">
        <v>227</v>
      </c>
      <c r="G276" s="91">
        <f>K276*2</f>
        <v>114975000</v>
      </c>
      <c r="H276" s="120"/>
      <c r="I276" s="58"/>
      <c r="J276" s="51">
        <v>4233</v>
      </c>
      <c r="K276" s="50">
        <v>57487500</v>
      </c>
      <c r="L276" s="33">
        <v>622</v>
      </c>
      <c r="M276" s="50">
        <v>0</v>
      </c>
      <c r="N276" s="51">
        <v>453</v>
      </c>
      <c r="O276" s="50">
        <v>0</v>
      </c>
      <c r="P276" s="51">
        <v>2007</v>
      </c>
      <c r="Q276" s="50">
        <v>1400000</v>
      </c>
      <c r="R276" s="101">
        <v>1138</v>
      </c>
      <c r="S276" s="50">
        <f>53301370-Q276</f>
        <v>51901370</v>
      </c>
      <c r="T276" s="102">
        <f t="shared" si="65"/>
        <v>4220</v>
      </c>
      <c r="U276" s="60">
        <f t="shared" si="58"/>
        <v>99.69288920387433</v>
      </c>
      <c r="V276" s="34" t="s">
        <v>44</v>
      </c>
      <c r="W276" s="52">
        <f t="shared" si="64"/>
        <v>53301370</v>
      </c>
      <c r="X276" s="60">
        <f t="shared" si="60"/>
        <v>92.718190911067623</v>
      </c>
      <c r="Y276" s="34" t="s">
        <v>44</v>
      </c>
      <c r="Z276" s="102">
        <f t="shared" si="20"/>
        <v>4220</v>
      </c>
      <c r="AA276" s="52">
        <f t="shared" si="61"/>
        <v>53301370</v>
      </c>
      <c r="AB276" s="41">
        <f t="shared" si="62"/>
        <v>49.846444601937165</v>
      </c>
      <c r="AC276" s="34" t="s">
        <v>44</v>
      </c>
      <c r="AD276" s="90">
        <f t="shared" si="63"/>
        <v>46.359095455533812</v>
      </c>
      <c r="AE276" s="17"/>
      <c r="AF276" s="2"/>
      <c r="AG276" s="2"/>
      <c r="AH276" s="55"/>
      <c r="AI276" s="2"/>
      <c r="AJ276" s="2"/>
      <c r="AK276" s="2"/>
    </row>
    <row r="277" spans="1:37" ht="120">
      <c r="A277" s="43"/>
      <c r="B277" s="39"/>
      <c r="C277" s="46" t="s">
        <v>424</v>
      </c>
      <c r="D277" s="47" t="s">
        <v>423</v>
      </c>
      <c r="E277" s="48">
        <v>700</v>
      </c>
      <c r="F277" s="77" t="s">
        <v>227</v>
      </c>
      <c r="G277" s="91">
        <v>15040000</v>
      </c>
      <c r="H277" s="101">
        <v>239</v>
      </c>
      <c r="I277" s="50">
        <v>2240000</v>
      </c>
      <c r="J277" s="51">
        <v>234</v>
      </c>
      <c r="K277" s="50">
        <v>12800000</v>
      </c>
      <c r="L277" s="33">
        <v>31</v>
      </c>
      <c r="M277" s="103" t="s">
        <v>229</v>
      </c>
      <c r="N277" s="51">
        <v>76</v>
      </c>
      <c r="O277" s="50">
        <v>800000</v>
      </c>
      <c r="P277" s="51">
        <v>131</v>
      </c>
      <c r="Q277" s="50">
        <v>8640000</v>
      </c>
      <c r="R277" s="101">
        <v>66</v>
      </c>
      <c r="S277" s="50">
        <v>1920000</v>
      </c>
      <c r="T277" s="102">
        <f t="shared" si="65"/>
        <v>304</v>
      </c>
      <c r="U277" s="60">
        <f t="shared" si="58"/>
        <v>129.91452991452991</v>
      </c>
      <c r="V277" s="34" t="s">
        <v>44</v>
      </c>
      <c r="W277" s="52">
        <f t="shared" si="64"/>
        <v>11360000</v>
      </c>
      <c r="X277" s="60">
        <f t="shared" si="60"/>
        <v>88.75</v>
      </c>
      <c r="Y277" s="34" t="s">
        <v>44</v>
      </c>
      <c r="Z277" s="102">
        <f t="shared" si="20"/>
        <v>543</v>
      </c>
      <c r="AA277" s="52">
        <f t="shared" si="61"/>
        <v>13600000</v>
      </c>
      <c r="AB277" s="41">
        <f t="shared" si="62"/>
        <v>77.571428571428569</v>
      </c>
      <c r="AC277" s="34" t="s">
        <v>44</v>
      </c>
      <c r="AD277" s="90">
        <f t="shared" si="63"/>
        <v>90.425531914893625</v>
      </c>
      <c r="AE277" s="17"/>
      <c r="AF277" s="2"/>
      <c r="AG277" s="2"/>
      <c r="AH277" s="55"/>
      <c r="AI277" s="2"/>
      <c r="AJ277" s="2"/>
      <c r="AK277" s="2"/>
    </row>
    <row r="278" spans="1:37" ht="120">
      <c r="A278" s="43"/>
      <c r="B278" s="39"/>
      <c r="C278" s="46" t="s">
        <v>425</v>
      </c>
      <c r="D278" s="47" t="s">
        <v>423</v>
      </c>
      <c r="E278" s="48">
        <v>432</v>
      </c>
      <c r="F278" s="77" t="s">
        <v>227</v>
      </c>
      <c r="G278" s="91">
        <v>1960000</v>
      </c>
      <c r="H278" s="101">
        <v>0</v>
      </c>
      <c r="I278" s="50">
        <v>0</v>
      </c>
      <c r="J278" s="51">
        <v>144</v>
      </c>
      <c r="K278" s="50">
        <v>980000</v>
      </c>
      <c r="L278" s="33">
        <v>8</v>
      </c>
      <c r="M278" s="103" t="s">
        <v>229</v>
      </c>
      <c r="N278" s="51">
        <v>3</v>
      </c>
      <c r="O278" s="50">
        <v>0</v>
      </c>
      <c r="P278" s="51"/>
      <c r="Q278" s="50">
        <v>0</v>
      </c>
      <c r="R278" s="101">
        <v>33</v>
      </c>
      <c r="S278" s="50">
        <v>980000</v>
      </c>
      <c r="T278" s="102">
        <f t="shared" si="65"/>
        <v>44</v>
      </c>
      <c r="U278" s="60">
        <f t="shared" si="58"/>
        <v>30.555555555555557</v>
      </c>
      <c r="V278" s="34" t="s">
        <v>44</v>
      </c>
      <c r="W278" s="52">
        <f t="shared" si="64"/>
        <v>980000</v>
      </c>
      <c r="X278" s="60">
        <f t="shared" si="60"/>
        <v>100</v>
      </c>
      <c r="Y278" s="34" t="s">
        <v>44</v>
      </c>
      <c r="Z278" s="102">
        <f t="shared" si="20"/>
        <v>44</v>
      </c>
      <c r="AA278" s="52">
        <f t="shared" si="61"/>
        <v>980000</v>
      </c>
      <c r="AB278" s="41">
        <f t="shared" si="62"/>
        <v>10.185185185185185</v>
      </c>
      <c r="AC278" s="34" t="s">
        <v>44</v>
      </c>
      <c r="AD278" s="90">
        <f t="shared" si="63"/>
        <v>50</v>
      </c>
      <c r="AE278" s="17"/>
      <c r="AF278" s="2"/>
      <c r="AG278" s="2"/>
      <c r="AH278" s="55"/>
      <c r="AI278" s="2"/>
      <c r="AJ278" s="2"/>
      <c r="AK278" s="2"/>
    </row>
    <row r="279" spans="1:37" ht="120">
      <c r="A279" s="43"/>
      <c r="B279" s="39"/>
      <c r="C279" s="46" t="s">
        <v>426</v>
      </c>
      <c r="D279" s="47" t="s">
        <v>423</v>
      </c>
      <c r="E279" s="48">
        <v>324</v>
      </c>
      <c r="F279" s="77" t="s">
        <v>227</v>
      </c>
      <c r="G279" s="91">
        <v>12110000</v>
      </c>
      <c r="H279" s="101">
        <v>309</v>
      </c>
      <c r="I279" s="50">
        <v>1790000</v>
      </c>
      <c r="J279" s="51">
        <v>126</v>
      </c>
      <c r="K279" s="50">
        <v>5160000</v>
      </c>
      <c r="L279" s="33">
        <v>40</v>
      </c>
      <c r="M279" s="103" t="s">
        <v>229</v>
      </c>
      <c r="N279" s="51">
        <v>0</v>
      </c>
      <c r="O279" s="50">
        <v>0</v>
      </c>
      <c r="P279" s="51"/>
      <c r="Q279" s="50"/>
      <c r="R279" s="101">
        <v>85</v>
      </c>
      <c r="S279" s="50">
        <v>5120000</v>
      </c>
      <c r="T279" s="102">
        <f t="shared" si="65"/>
        <v>125</v>
      </c>
      <c r="U279" s="60">
        <f t="shared" si="58"/>
        <v>99.206349206349216</v>
      </c>
      <c r="V279" s="34" t="s">
        <v>44</v>
      </c>
      <c r="W279" s="52">
        <f t="shared" si="64"/>
        <v>5120000</v>
      </c>
      <c r="X279" s="60">
        <f t="shared" si="60"/>
        <v>99.224806201550393</v>
      </c>
      <c r="Y279" s="34" t="s">
        <v>44</v>
      </c>
      <c r="Z279" s="102">
        <f t="shared" si="20"/>
        <v>434</v>
      </c>
      <c r="AA279" s="52">
        <f t="shared" si="61"/>
        <v>6910000</v>
      </c>
      <c r="AB279" s="41">
        <f t="shared" si="62"/>
        <v>133.95061728395061</v>
      </c>
      <c r="AC279" s="34" t="s">
        <v>44</v>
      </c>
      <c r="AD279" s="90">
        <f t="shared" si="63"/>
        <v>57.060280759702721</v>
      </c>
      <c r="AE279" s="17"/>
      <c r="AF279" s="2"/>
      <c r="AG279" s="2"/>
      <c r="AH279" s="55"/>
      <c r="AI279" s="2"/>
      <c r="AJ279" s="2"/>
      <c r="AK279" s="2"/>
    </row>
    <row r="280" spans="1:37" ht="120">
      <c r="A280" s="43"/>
      <c r="B280" s="39"/>
      <c r="C280" s="46" t="s">
        <v>427</v>
      </c>
      <c r="D280" s="47" t="s">
        <v>423</v>
      </c>
      <c r="E280" s="48">
        <v>705</v>
      </c>
      <c r="F280" s="77" t="s">
        <v>227</v>
      </c>
      <c r="G280" s="91">
        <v>10575000</v>
      </c>
      <c r="H280" s="101">
        <v>235</v>
      </c>
      <c r="I280" s="50">
        <v>2400000</v>
      </c>
      <c r="J280" s="51">
        <v>235</v>
      </c>
      <c r="K280" s="50">
        <v>3525000</v>
      </c>
      <c r="L280" s="33">
        <v>0</v>
      </c>
      <c r="M280" s="103" t="s">
        <v>229</v>
      </c>
      <c r="N280" s="51">
        <v>110</v>
      </c>
      <c r="O280" s="50"/>
      <c r="P280" s="51">
        <v>25</v>
      </c>
      <c r="Q280" s="50"/>
      <c r="R280" s="101">
        <v>61</v>
      </c>
      <c r="S280" s="50">
        <v>1200000</v>
      </c>
      <c r="T280" s="102">
        <f t="shared" si="65"/>
        <v>196</v>
      </c>
      <c r="U280" s="60">
        <f t="shared" si="58"/>
        <v>83.40425531914893</v>
      </c>
      <c r="V280" s="34" t="s">
        <v>44</v>
      </c>
      <c r="W280" s="52">
        <f t="shared" si="64"/>
        <v>1200000</v>
      </c>
      <c r="X280" s="60">
        <f t="shared" si="60"/>
        <v>34.042553191489361</v>
      </c>
      <c r="Y280" s="34" t="s">
        <v>44</v>
      </c>
      <c r="Z280" s="102">
        <f t="shared" si="20"/>
        <v>431</v>
      </c>
      <c r="AA280" s="52">
        <f t="shared" si="61"/>
        <v>3600000</v>
      </c>
      <c r="AB280" s="41">
        <f t="shared" si="62"/>
        <v>61.134751773049643</v>
      </c>
      <c r="AC280" s="34" t="s">
        <v>44</v>
      </c>
      <c r="AD280" s="90">
        <f t="shared" si="63"/>
        <v>34.042553191489361</v>
      </c>
      <c r="AE280" s="17"/>
      <c r="AF280" s="2"/>
      <c r="AG280" s="2"/>
      <c r="AH280" s="55"/>
      <c r="AI280" s="2"/>
      <c r="AJ280" s="2"/>
      <c r="AK280" s="2"/>
    </row>
    <row r="281" spans="1:37" ht="120">
      <c r="A281" s="43"/>
      <c r="B281" s="39"/>
      <c r="C281" s="46" t="s">
        <v>428</v>
      </c>
      <c r="D281" s="47" t="s">
        <v>423</v>
      </c>
      <c r="E281" s="48">
        <v>378</v>
      </c>
      <c r="F281" s="77" t="s">
        <v>227</v>
      </c>
      <c r="G281" s="91">
        <v>6060000</v>
      </c>
      <c r="H281" s="101">
        <v>154</v>
      </c>
      <c r="I281" s="50">
        <v>2020000</v>
      </c>
      <c r="J281" s="51">
        <v>112</v>
      </c>
      <c r="K281" s="50">
        <v>2020000</v>
      </c>
      <c r="L281" s="33">
        <v>10</v>
      </c>
      <c r="M281" s="50">
        <v>0</v>
      </c>
      <c r="N281" s="51">
        <v>21</v>
      </c>
      <c r="O281" s="50">
        <v>0</v>
      </c>
      <c r="P281" s="51">
        <v>38</v>
      </c>
      <c r="Q281" s="50">
        <v>2020000</v>
      </c>
      <c r="R281" s="101">
        <v>19</v>
      </c>
      <c r="S281" s="50">
        <v>0</v>
      </c>
      <c r="T281" s="102">
        <f t="shared" si="65"/>
        <v>88</v>
      </c>
      <c r="U281" s="60">
        <f t="shared" si="58"/>
        <v>78.571428571428569</v>
      </c>
      <c r="V281" s="34" t="s">
        <v>44</v>
      </c>
      <c r="W281" s="52">
        <f t="shared" si="64"/>
        <v>2020000</v>
      </c>
      <c r="X281" s="60">
        <f t="shared" si="60"/>
        <v>100</v>
      </c>
      <c r="Y281" s="34" t="s">
        <v>44</v>
      </c>
      <c r="Z281" s="102">
        <f t="shared" si="20"/>
        <v>242</v>
      </c>
      <c r="AA281" s="52">
        <f t="shared" si="61"/>
        <v>4040000</v>
      </c>
      <c r="AB281" s="41">
        <f t="shared" si="62"/>
        <v>64.021164021164026</v>
      </c>
      <c r="AC281" s="34" t="s">
        <v>44</v>
      </c>
      <c r="AD281" s="90">
        <f t="shared" si="63"/>
        <v>66.666666666666657</v>
      </c>
      <c r="AE281" s="17"/>
      <c r="AF281" s="2"/>
      <c r="AG281" s="2"/>
      <c r="AH281" s="55"/>
      <c r="AI281" s="2"/>
      <c r="AJ281" s="2"/>
      <c r="AK281" s="2"/>
    </row>
    <row r="282" spans="1:37" ht="120">
      <c r="A282" s="43"/>
      <c r="B282" s="39"/>
      <c r="C282" s="46" t="s">
        <v>429</v>
      </c>
      <c r="D282" s="47" t="s">
        <v>423</v>
      </c>
      <c r="E282" s="48">
        <v>730</v>
      </c>
      <c r="F282" s="77" t="s">
        <v>227</v>
      </c>
      <c r="G282" s="91">
        <v>11315000</v>
      </c>
      <c r="H282" s="101">
        <v>223</v>
      </c>
      <c r="I282" s="50">
        <v>3915000</v>
      </c>
      <c r="J282" s="51">
        <v>235</v>
      </c>
      <c r="K282" s="50">
        <v>3380000</v>
      </c>
      <c r="L282" s="33">
        <v>47</v>
      </c>
      <c r="M282" s="103" t="s">
        <v>229</v>
      </c>
      <c r="N282" s="51">
        <v>48</v>
      </c>
      <c r="O282" s="50">
        <v>1050000</v>
      </c>
      <c r="P282" s="51">
        <v>0</v>
      </c>
      <c r="Q282" s="50">
        <v>0</v>
      </c>
      <c r="R282" s="101">
        <v>135</v>
      </c>
      <c r="S282" s="50">
        <v>2250000</v>
      </c>
      <c r="T282" s="102">
        <f t="shared" si="65"/>
        <v>230</v>
      </c>
      <c r="U282" s="60">
        <f t="shared" si="58"/>
        <v>97.872340425531917</v>
      </c>
      <c r="V282" s="34" t="s">
        <v>44</v>
      </c>
      <c r="W282" s="52">
        <f t="shared" si="64"/>
        <v>3300000</v>
      </c>
      <c r="X282" s="60">
        <f t="shared" si="60"/>
        <v>97.633136094674555</v>
      </c>
      <c r="Y282" s="34" t="s">
        <v>44</v>
      </c>
      <c r="Z282" s="102">
        <f t="shared" si="20"/>
        <v>453</v>
      </c>
      <c r="AA282" s="52">
        <f t="shared" si="61"/>
        <v>7215000</v>
      </c>
      <c r="AB282" s="41">
        <f t="shared" si="62"/>
        <v>62.054794520547944</v>
      </c>
      <c r="AC282" s="34" t="s">
        <v>44</v>
      </c>
      <c r="AD282" s="90">
        <f t="shared" si="63"/>
        <v>63.764913831197525</v>
      </c>
      <c r="AE282" s="17"/>
      <c r="AF282" s="2"/>
      <c r="AG282" s="2"/>
      <c r="AH282" s="55"/>
      <c r="AI282" s="2"/>
      <c r="AJ282" s="2"/>
      <c r="AK282" s="2"/>
    </row>
    <row r="283" spans="1:37" ht="120">
      <c r="A283" s="43"/>
      <c r="B283" s="39"/>
      <c r="C283" s="46" t="s">
        <v>430</v>
      </c>
      <c r="D283" s="47" t="s">
        <v>423</v>
      </c>
      <c r="E283" s="48">
        <v>318</v>
      </c>
      <c r="F283" s="77" t="s">
        <v>227</v>
      </c>
      <c r="G283" s="91">
        <v>8990000</v>
      </c>
      <c r="H283" s="101">
        <v>100</v>
      </c>
      <c r="I283" s="50">
        <v>4750000</v>
      </c>
      <c r="J283" s="51">
        <v>106</v>
      </c>
      <c r="K283" s="50">
        <v>1920000</v>
      </c>
      <c r="L283" s="33">
        <v>13</v>
      </c>
      <c r="M283" s="103" t="s">
        <v>229</v>
      </c>
      <c r="N283" s="51">
        <v>6</v>
      </c>
      <c r="O283" s="50"/>
      <c r="P283" s="51">
        <v>22</v>
      </c>
      <c r="Q283" s="50">
        <v>890000</v>
      </c>
      <c r="R283" s="101">
        <v>22</v>
      </c>
      <c r="S283" s="50">
        <v>940000</v>
      </c>
      <c r="T283" s="102">
        <f t="shared" si="65"/>
        <v>63</v>
      </c>
      <c r="U283" s="60">
        <f t="shared" si="58"/>
        <v>59.433962264150942</v>
      </c>
      <c r="V283" s="34" t="s">
        <v>44</v>
      </c>
      <c r="W283" s="52">
        <f t="shared" si="64"/>
        <v>1830000</v>
      </c>
      <c r="X283" s="60">
        <f t="shared" si="60"/>
        <v>95.3125</v>
      </c>
      <c r="Y283" s="34" t="s">
        <v>44</v>
      </c>
      <c r="Z283" s="102">
        <f t="shared" si="20"/>
        <v>163</v>
      </c>
      <c r="AA283" s="52">
        <f t="shared" si="61"/>
        <v>6580000</v>
      </c>
      <c r="AB283" s="41">
        <f t="shared" si="62"/>
        <v>51.257861635220124</v>
      </c>
      <c r="AC283" s="34" t="s">
        <v>44</v>
      </c>
      <c r="AD283" s="90">
        <f t="shared" si="63"/>
        <v>73.192436040044498</v>
      </c>
      <c r="AE283" s="17"/>
      <c r="AF283" s="2"/>
      <c r="AG283" s="2"/>
      <c r="AH283" s="55"/>
      <c r="AI283" s="2"/>
      <c r="AJ283" s="2"/>
      <c r="AK283" s="2"/>
    </row>
    <row r="284" spans="1:37" ht="120">
      <c r="A284" s="43"/>
      <c r="B284" s="39"/>
      <c r="C284" s="46" t="s">
        <v>431</v>
      </c>
      <c r="D284" s="47" t="s">
        <v>423</v>
      </c>
      <c r="E284" s="48">
        <v>1365</v>
      </c>
      <c r="F284" s="77" t="s">
        <v>227</v>
      </c>
      <c r="G284" s="91">
        <v>7800000</v>
      </c>
      <c r="H284" s="101">
        <v>243</v>
      </c>
      <c r="I284" s="50">
        <v>2760000</v>
      </c>
      <c r="J284" s="51">
        <v>455</v>
      </c>
      <c r="K284" s="50">
        <v>1200000</v>
      </c>
      <c r="L284" s="33">
        <v>142</v>
      </c>
      <c r="M284" s="103" t="s">
        <v>229</v>
      </c>
      <c r="N284" s="51">
        <v>87</v>
      </c>
      <c r="O284" s="50">
        <v>0</v>
      </c>
      <c r="P284" s="51">
        <v>91</v>
      </c>
      <c r="Q284" s="50">
        <v>0</v>
      </c>
      <c r="R284" s="101">
        <v>63</v>
      </c>
      <c r="S284" s="50">
        <v>1200000</v>
      </c>
      <c r="T284" s="102">
        <f t="shared" si="65"/>
        <v>383</v>
      </c>
      <c r="U284" s="60">
        <f t="shared" si="58"/>
        <v>84.175824175824175</v>
      </c>
      <c r="V284" s="34" t="s">
        <v>44</v>
      </c>
      <c r="W284" s="52">
        <f t="shared" si="64"/>
        <v>1200000</v>
      </c>
      <c r="X284" s="60">
        <f t="shared" si="60"/>
        <v>100</v>
      </c>
      <c r="Y284" s="34" t="s">
        <v>44</v>
      </c>
      <c r="Z284" s="102">
        <f t="shared" si="20"/>
        <v>626</v>
      </c>
      <c r="AA284" s="52">
        <f t="shared" si="61"/>
        <v>3960000</v>
      </c>
      <c r="AB284" s="41">
        <f t="shared" si="62"/>
        <v>45.860805860805861</v>
      </c>
      <c r="AC284" s="34" t="s">
        <v>44</v>
      </c>
      <c r="AD284" s="90">
        <f t="shared" si="63"/>
        <v>50.769230769230766</v>
      </c>
      <c r="AE284" s="17"/>
      <c r="AF284" s="2"/>
      <c r="AG284" s="2"/>
      <c r="AH284" s="55"/>
      <c r="AI284" s="2"/>
      <c r="AJ284" s="2"/>
      <c r="AK284" s="2"/>
    </row>
    <row r="285" spans="1:37" ht="120">
      <c r="A285" s="43"/>
      <c r="B285" s="39"/>
      <c r="C285" s="46" t="s">
        <v>432</v>
      </c>
      <c r="D285" s="47" t="s">
        <v>423</v>
      </c>
      <c r="E285" s="48">
        <v>537</v>
      </c>
      <c r="F285" s="77" t="s">
        <v>227</v>
      </c>
      <c r="G285" s="91">
        <v>2820000</v>
      </c>
      <c r="H285" s="101">
        <v>179</v>
      </c>
      <c r="I285" s="50">
        <v>480000</v>
      </c>
      <c r="J285" s="51">
        <v>221</v>
      </c>
      <c r="K285" s="50">
        <v>1200000</v>
      </c>
      <c r="L285" s="33">
        <v>51</v>
      </c>
      <c r="M285" s="103" t="s">
        <v>229</v>
      </c>
      <c r="N285" s="51">
        <v>50</v>
      </c>
      <c r="O285" s="50"/>
      <c r="P285" s="51">
        <v>65</v>
      </c>
      <c r="Q285" s="50">
        <v>840000</v>
      </c>
      <c r="R285" s="101">
        <v>55</v>
      </c>
      <c r="S285" s="50">
        <v>0</v>
      </c>
      <c r="T285" s="102">
        <f t="shared" si="65"/>
        <v>221</v>
      </c>
      <c r="U285" s="60">
        <f t="shared" si="58"/>
        <v>100</v>
      </c>
      <c r="V285" s="34" t="s">
        <v>44</v>
      </c>
      <c r="W285" s="52">
        <f t="shared" si="64"/>
        <v>840000</v>
      </c>
      <c r="X285" s="60">
        <f t="shared" si="60"/>
        <v>70</v>
      </c>
      <c r="Y285" s="34" t="s">
        <v>44</v>
      </c>
      <c r="Z285" s="102">
        <f t="shared" si="20"/>
        <v>400</v>
      </c>
      <c r="AA285" s="52">
        <f t="shared" si="61"/>
        <v>1320000</v>
      </c>
      <c r="AB285" s="41">
        <f t="shared" si="62"/>
        <v>74.487895716945999</v>
      </c>
      <c r="AC285" s="34" t="s">
        <v>44</v>
      </c>
      <c r="AD285" s="90">
        <f t="shared" si="63"/>
        <v>46.808510638297875</v>
      </c>
      <c r="AE285" s="17"/>
      <c r="AF285" s="2"/>
      <c r="AG285" s="2"/>
      <c r="AH285" s="55"/>
      <c r="AI285" s="2"/>
      <c r="AJ285" s="2"/>
      <c r="AK285" s="2"/>
    </row>
    <row r="286" spans="1:37" ht="120">
      <c r="A286" s="43"/>
      <c r="B286" s="39"/>
      <c r="C286" s="46" t="s">
        <v>433</v>
      </c>
      <c r="D286" s="47" t="s">
        <v>423</v>
      </c>
      <c r="E286" s="48">
        <v>378</v>
      </c>
      <c r="F286" s="77" t="s">
        <v>227</v>
      </c>
      <c r="G286" s="91">
        <v>3165000</v>
      </c>
      <c r="H286" s="101">
        <v>133</v>
      </c>
      <c r="I286" s="50">
        <v>665000</v>
      </c>
      <c r="J286" s="51">
        <v>133</v>
      </c>
      <c r="K286" s="50">
        <v>1250000</v>
      </c>
      <c r="L286" s="33">
        <v>0</v>
      </c>
      <c r="M286" s="103" t="s">
        <v>229</v>
      </c>
      <c r="N286" s="51">
        <v>0</v>
      </c>
      <c r="O286" s="50">
        <v>0</v>
      </c>
      <c r="P286" s="51">
        <v>96</v>
      </c>
      <c r="Q286" s="50">
        <v>1250000</v>
      </c>
      <c r="R286" s="101"/>
      <c r="S286" s="103" t="s">
        <v>229</v>
      </c>
      <c r="T286" s="102">
        <f t="shared" si="65"/>
        <v>96</v>
      </c>
      <c r="U286" s="60">
        <f t="shared" si="58"/>
        <v>72.180451127819538</v>
      </c>
      <c r="V286" s="34" t="s">
        <v>44</v>
      </c>
      <c r="W286" s="52">
        <f t="shared" si="64"/>
        <v>1250000</v>
      </c>
      <c r="X286" s="60">
        <f t="shared" si="60"/>
        <v>100</v>
      </c>
      <c r="Y286" s="34" t="s">
        <v>44</v>
      </c>
      <c r="Z286" s="102">
        <f t="shared" si="20"/>
        <v>229</v>
      </c>
      <c r="AA286" s="52">
        <f t="shared" si="61"/>
        <v>1915000</v>
      </c>
      <c r="AB286" s="41">
        <f t="shared" si="62"/>
        <v>60.582010582010582</v>
      </c>
      <c r="AC286" s="34" t="s">
        <v>44</v>
      </c>
      <c r="AD286" s="90">
        <f t="shared" si="63"/>
        <v>60.505529225908376</v>
      </c>
      <c r="AE286" s="17"/>
      <c r="AF286" s="2"/>
      <c r="AG286" s="2"/>
      <c r="AH286" s="55"/>
      <c r="AI286" s="2"/>
      <c r="AJ286" s="2"/>
      <c r="AK286" s="2"/>
    </row>
    <row r="287" spans="1:37" ht="120">
      <c r="A287" s="43"/>
      <c r="B287" s="39"/>
      <c r="C287" s="46" t="s">
        <v>434</v>
      </c>
      <c r="D287" s="47" t="s">
        <v>423</v>
      </c>
      <c r="E287" s="48">
        <v>724</v>
      </c>
      <c r="F287" s="77" t="s">
        <v>227</v>
      </c>
      <c r="G287" s="91">
        <v>2560000</v>
      </c>
      <c r="H287" s="120">
        <v>386</v>
      </c>
      <c r="I287" s="58">
        <v>0</v>
      </c>
      <c r="J287" s="51">
        <v>176</v>
      </c>
      <c r="K287" s="50">
        <v>1280000</v>
      </c>
      <c r="L287" s="33">
        <v>88</v>
      </c>
      <c r="M287" s="103" t="s">
        <v>229</v>
      </c>
      <c r="N287" s="51">
        <v>96</v>
      </c>
      <c r="O287" s="50">
        <v>0</v>
      </c>
      <c r="P287" s="51">
        <v>105</v>
      </c>
      <c r="Q287" s="50">
        <v>1280000</v>
      </c>
      <c r="R287" s="101">
        <v>100</v>
      </c>
      <c r="S287" s="50">
        <v>0</v>
      </c>
      <c r="T287" s="102">
        <f t="shared" si="65"/>
        <v>389</v>
      </c>
      <c r="U287" s="60">
        <f t="shared" si="58"/>
        <v>221.02272727272728</v>
      </c>
      <c r="V287" s="34" t="s">
        <v>44</v>
      </c>
      <c r="W287" s="52">
        <f t="shared" si="64"/>
        <v>1280000</v>
      </c>
      <c r="X287" s="60">
        <f t="shared" si="60"/>
        <v>100</v>
      </c>
      <c r="Y287" s="34" t="s">
        <v>44</v>
      </c>
      <c r="Z287" s="102">
        <f t="shared" si="20"/>
        <v>775</v>
      </c>
      <c r="AA287" s="52">
        <f t="shared" si="61"/>
        <v>1280000</v>
      </c>
      <c r="AB287" s="41">
        <f t="shared" si="62"/>
        <v>107.04419889502763</v>
      </c>
      <c r="AC287" s="34" t="s">
        <v>44</v>
      </c>
      <c r="AD287" s="90">
        <f t="shared" si="63"/>
        <v>50</v>
      </c>
      <c r="AE287" s="17"/>
      <c r="AF287" s="2"/>
      <c r="AG287" s="2"/>
      <c r="AH287" s="55"/>
      <c r="AI287" s="2"/>
      <c r="AJ287" s="2"/>
      <c r="AK287" s="2"/>
    </row>
    <row r="288" spans="1:37" ht="120">
      <c r="A288" s="43"/>
      <c r="B288" s="39"/>
      <c r="C288" s="46" t="s">
        <v>435</v>
      </c>
      <c r="D288" s="47" t="s">
        <v>423</v>
      </c>
      <c r="E288" s="48">
        <v>315</v>
      </c>
      <c r="F288" s="77" t="s">
        <v>227</v>
      </c>
      <c r="G288" s="91">
        <v>17985000</v>
      </c>
      <c r="H288" s="101">
        <v>82</v>
      </c>
      <c r="I288" s="50">
        <v>2520000</v>
      </c>
      <c r="J288" s="51">
        <v>100</v>
      </c>
      <c r="K288" s="50">
        <v>7017500</v>
      </c>
      <c r="L288" s="33">
        <v>27</v>
      </c>
      <c r="M288" s="103" t="s">
        <v>229</v>
      </c>
      <c r="N288" s="51">
        <v>5</v>
      </c>
      <c r="O288" s="50">
        <v>230000</v>
      </c>
      <c r="P288" s="51">
        <v>79</v>
      </c>
      <c r="Q288" s="50">
        <v>3590000</v>
      </c>
      <c r="R288" s="112">
        <v>95</v>
      </c>
      <c r="S288" s="107">
        <v>6940000</v>
      </c>
      <c r="T288" s="102">
        <f t="shared" si="65"/>
        <v>206</v>
      </c>
      <c r="U288" s="60">
        <f t="shared" si="58"/>
        <v>206</v>
      </c>
      <c r="V288" s="34" t="s">
        <v>44</v>
      </c>
      <c r="W288" s="52">
        <f t="shared" si="64"/>
        <v>10760000</v>
      </c>
      <c r="X288" s="60">
        <f t="shared" si="60"/>
        <v>153.33095831848948</v>
      </c>
      <c r="Y288" s="34" t="s">
        <v>44</v>
      </c>
      <c r="Z288" s="102">
        <f t="shared" ref="Z288:Z534" si="66">SUM(H288,T288)</f>
        <v>288</v>
      </c>
      <c r="AA288" s="52">
        <f t="shared" si="61"/>
        <v>13280000</v>
      </c>
      <c r="AB288" s="41">
        <f t="shared" si="62"/>
        <v>91.428571428571431</v>
      </c>
      <c r="AC288" s="34" t="s">
        <v>44</v>
      </c>
      <c r="AD288" s="90">
        <f t="shared" si="63"/>
        <v>73.839310536558244</v>
      </c>
      <c r="AE288" s="17"/>
      <c r="AF288" s="2"/>
      <c r="AG288" s="2"/>
      <c r="AH288" s="55"/>
      <c r="AI288" s="2"/>
      <c r="AJ288" s="2"/>
      <c r="AK288" s="2"/>
    </row>
    <row r="289" spans="1:37" ht="120">
      <c r="A289" s="43"/>
      <c r="B289" s="39"/>
      <c r="C289" s="46" t="s">
        <v>436</v>
      </c>
      <c r="D289" s="47" t="s">
        <v>423</v>
      </c>
      <c r="E289" s="48">
        <v>218</v>
      </c>
      <c r="F289" s="77" t="s">
        <v>227</v>
      </c>
      <c r="G289" s="91">
        <v>7600000</v>
      </c>
      <c r="H289" s="101">
        <v>80</v>
      </c>
      <c r="I289" s="50">
        <v>2800000</v>
      </c>
      <c r="J289" s="51">
        <v>69</v>
      </c>
      <c r="K289" s="50">
        <v>2400000</v>
      </c>
      <c r="L289" s="33">
        <v>22</v>
      </c>
      <c r="M289" s="103" t="s">
        <v>229</v>
      </c>
      <c r="N289" s="51">
        <v>19</v>
      </c>
      <c r="O289" s="50">
        <v>980000</v>
      </c>
      <c r="P289" s="51">
        <v>21</v>
      </c>
      <c r="Q289" s="50">
        <v>710000</v>
      </c>
      <c r="R289" s="112">
        <v>21</v>
      </c>
      <c r="S289" s="107">
        <v>320000</v>
      </c>
      <c r="T289" s="102">
        <f t="shared" si="65"/>
        <v>83</v>
      </c>
      <c r="U289" s="60">
        <f t="shared" si="58"/>
        <v>120.28985507246377</v>
      </c>
      <c r="V289" s="34" t="s">
        <v>44</v>
      </c>
      <c r="W289" s="52">
        <f t="shared" si="64"/>
        <v>2010000</v>
      </c>
      <c r="X289" s="60">
        <f t="shared" si="60"/>
        <v>83.75</v>
      </c>
      <c r="Y289" s="34" t="s">
        <v>44</v>
      </c>
      <c r="Z289" s="102">
        <f t="shared" si="66"/>
        <v>163</v>
      </c>
      <c r="AA289" s="52">
        <f t="shared" si="61"/>
        <v>4810000</v>
      </c>
      <c r="AB289" s="41">
        <f t="shared" si="62"/>
        <v>74.77064220183486</v>
      </c>
      <c r="AC289" s="34" t="s">
        <v>44</v>
      </c>
      <c r="AD289" s="90">
        <f t="shared" si="63"/>
        <v>63.289473684210527</v>
      </c>
      <c r="AE289" s="17"/>
      <c r="AF289" s="2"/>
      <c r="AG289" s="2"/>
      <c r="AH289" s="55"/>
      <c r="AI289" s="2"/>
      <c r="AJ289" s="2"/>
      <c r="AK289" s="2"/>
    </row>
    <row r="290" spans="1:37" ht="120">
      <c r="A290" s="43"/>
      <c r="B290" s="39"/>
      <c r="C290" s="46" t="s">
        <v>437</v>
      </c>
      <c r="D290" s="47" t="s">
        <v>423</v>
      </c>
      <c r="E290" s="48">
        <v>1341</v>
      </c>
      <c r="F290" s="77" t="s">
        <v>227</v>
      </c>
      <c r="G290" s="91">
        <v>16360000</v>
      </c>
      <c r="H290" s="101">
        <v>417</v>
      </c>
      <c r="I290" s="50">
        <v>12060000</v>
      </c>
      <c r="J290" s="51">
        <v>460</v>
      </c>
      <c r="K290" s="50">
        <v>1760000</v>
      </c>
      <c r="L290" s="33">
        <v>119</v>
      </c>
      <c r="M290" s="103" t="s">
        <v>229</v>
      </c>
      <c r="N290" s="51">
        <v>52</v>
      </c>
      <c r="O290" s="50">
        <v>700000</v>
      </c>
      <c r="P290" s="51">
        <v>137</v>
      </c>
      <c r="Q290" s="50">
        <v>420000</v>
      </c>
      <c r="R290" s="112">
        <v>106</v>
      </c>
      <c r="S290" s="107">
        <v>280000</v>
      </c>
      <c r="T290" s="102">
        <f t="shared" si="65"/>
        <v>414</v>
      </c>
      <c r="U290" s="60">
        <f t="shared" si="58"/>
        <v>90</v>
      </c>
      <c r="V290" s="34" t="s">
        <v>44</v>
      </c>
      <c r="W290" s="52">
        <f t="shared" si="64"/>
        <v>1400000</v>
      </c>
      <c r="X290" s="60">
        <f t="shared" si="60"/>
        <v>79.545454545454547</v>
      </c>
      <c r="Y290" s="34" t="s">
        <v>44</v>
      </c>
      <c r="Z290" s="102">
        <f t="shared" si="66"/>
        <v>831</v>
      </c>
      <c r="AA290" s="52">
        <f t="shared" si="61"/>
        <v>13460000</v>
      </c>
      <c r="AB290" s="41">
        <f t="shared" si="62"/>
        <v>61.96868008948546</v>
      </c>
      <c r="AC290" s="34" t="s">
        <v>44</v>
      </c>
      <c r="AD290" s="90">
        <f t="shared" si="63"/>
        <v>82.27383863080685</v>
      </c>
      <c r="AE290" s="17"/>
      <c r="AF290" s="2"/>
      <c r="AG290" s="2"/>
      <c r="AH290" s="55"/>
      <c r="AI290" s="2"/>
      <c r="AJ290" s="2"/>
      <c r="AK290" s="2"/>
    </row>
    <row r="291" spans="1:37" ht="120">
      <c r="A291" s="43"/>
      <c r="B291" s="39"/>
      <c r="C291" s="46" t="s">
        <v>438</v>
      </c>
      <c r="D291" s="47" t="s">
        <v>423</v>
      </c>
      <c r="E291" s="48">
        <v>483</v>
      </c>
      <c r="F291" s="77" t="s">
        <v>227</v>
      </c>
      <c r="G291" s="91">
        <v>10640000</v>
      </c>
      <c r="H291" s="101">
        <v>156</v>
      </c>
      <c r="I291" s="50">
        <v>3360000</v>
      </c>
      <c r="J291" s="51">
        <v>156</v>
      </c>
      <c r="K291" s="50">
        <v>3640000</v>
      </c>
      <c r="L291" s="33">
        <v>24</v>
      </c>
      <c r="M291" s="103" t="s">
        <v>229</v>
      </c>
      <c r="N291" s="51">
        <v>38</v>
      </c>
      <c r="O291" s="50">
        <v>3640000</v>
      </c>
      <c r="P291" s="51">
        <v>88</v>
      </c>
      <c r="Q291" s="50">
        <v>0</v>
      </c>
      <c r="R291" s="101">
        <v>6</v>
      </c>
      <c r="S291" s="50">
        <v>0</v>
      </c>
      <c r="T291" s="102">
        <f t="shared" si="65"/>
        <v>156</v>
      </c>
      <c r="U291" s="60">
        <f t="shared" si="58"/>
        <v>100</v>
      </c>
      <c r="V291" s="34" t="s">
        <v>44</v>
      </c>
      <c r="W291" s="52">
        <f t="shared" si="64"/>
        <v>3640000</v>
      </c>
      <c r="X291" s="60">
        <f t="shared" si="60"/>
        <v>100</v>
      </c>
      <c r="Y291" s="34" t="s">
        <v>44</v>
      </c>
      <c r="Z291" s="102">
        <f t="shared" si="66"/>
        <v>312</v>
      </c>
      <c r="AA291" s="52">
        <f t="shared" si="61"/>
        <v>7000000</v>
      </c>
      <c r="AB291" s="41">
        <f t="shared" si="62"/>
        <v>64.596273291925471</v>
      </c>
      <c r="AC291" s="34" t="s">
        <v>44</v>
      </c>
      <c r="AD291" s="90">
        <f t="shared" si="63"/>
        <v>65.789473684210535</v>
      </c>
      <c r="AE291" s="17"/>
      <c r="AF291" s="2"/>
      <c r="AG291" s="2"/>
      <c r="AH291" s="55"/>
      <c r="AI291" s="2"/>
      <c r="AJ291" s="2"/>
      <c r="AK291" s="2"/>
    </row>
    <row r="292" spans="1:37" ht="120">
      <c r="A292" s="43"/>
      <c r="B292" s="39"/>
      <c r="C292" s="46" t="s">
        <v>439</v>
      </c>
      <c r="D292" s="47" t="s">
        <v>423</v>
      </c>
      <c r="E292" s="48">
        <v>757</v>
      </c>
      <c r="F292" s="77" t="s">
        <v>227</v>
      </c>
      <c r="G292" s="91">
        <v>8540000</v>
      </c>
      <c r="H292" s="101">
        <v>271</v>
      </c>
      <c r="I292" s="50">
        <v>4040000</v>
      </c>
      <c r="J292" s="51">
        <v>260</v>
      </c>
      <c r="K292" s="50">
        <v>2240000</v>
      </c>
      <c r="L292" s="115">
        <v>82</v>
      </c>
      <c r="M292" s="116">
        <v>0</v>
      </c>
      <c r="N292" s="117">
        <v>56</v>
      </c>
      <c r="O292" s="107" t="s">
        <v>229</v>
      </c>
      <c r="P292" s="117">
        <v>75</v>
      </c>
      <c r="Q292" s="107">
        <v>1050000</v>
      </c>
      <c r="R292" s="118">
        <v>57</v>
      </c>
      <c r="S292" s="107">
        <v>1050000</v>
      </c>
      <c r="T292" s="102">
        <f t="shared" si="65"/>
        <v>270</v>
      </c>
      <c r="U292" s="60">
        <f t="shared" si="58"/>
        <v>103.84615384615385</v>
      </c>
      <c r="V292" s="34" t="s">
        <v>44</v>
      </c>
      <c r="W292" s="52">
        <f t="shared" si="64"/>
        <v>2100000</v>
      </c>
      <c r="X292" s="60">
        <f t="shared" si="60"/>
        <v>93.75</v>
      </c>
      <c r="Y292" s="34" t="s">
        <v>44</v>
      </c>
      <c r="Z292" s="102">
        <f t="shared" si="66"/>
        <v>541</v>
      </c>
      <c r="AA292" s="52">
        <f t="shared" si="61"/>
        <v>6140000</v>
      </c>
      <c r="AB292" s="41">
        <f t="shared" si="62"/>
        <v>71.466314398943197</v>
      </c>
      <c r="AC292" s="34" t="s">
        <v>44</v>
      </c>
      <c r="AD292" s="90">
        <f t="shared" si="63"/>
        <v>71.896955503512885</v>
      </c>
      <c r="AE292" s="17"/>
      <c r="AF292" s="2"/>
      <c r="AG292" s="2"/>
      <c r="AH292" s="55"/>
      <c r="AI292" s="2"/>
      <c r="AJ292" s="2"/>
      <c r="AK292" s="2"/>
    </row>
    <row r="293" spans="1:37" ht="120">
      <c r="A293" s="43"/>
      <c r="B293" s="39"/>
      <c r="C293" s="46" t="s">
        <v>440</v>
      </c>
      <c r="D293" s="47" t="s">
        <v>423</v>
      </c>
      <c r="E293" s="48">
        <v>515</v>
      </c>
      <c r="F293" s="77" t="s">
        <v>227</v>
      </c>
      <c r="G293" s="91">
        <v>6535000</v>
      </c>
      <c r="H293" s="101">
        <v>149</v>
      </c>
      <c r="I293" s="50">
        <v>0</v>
      </c>
      <c r="J293" s="51">
        <v>169</v>
      </c>
      <c r="K293" s="50">
        <v>3225000</v>
      </c>
      <c r="L293" s="33">
        <v>48</v>
      </c>
      <c r="M293" s="50">
        <v>0</v>
      </c>
      <c r="N293" s="51">
        <v>44</v>
      </c>
      <c r="O293" s="50">
        <v>0</v>
      </c>
      <c r="P293" s="51">
        <v>38</v>
      </c>
      <c r="Q293" s="50">
        <v>460000</v>
      </c>
      <c r="R293" s="112">
        <v>33</v>
      </c>
      <c r="S293" s="78">
        <v>1920000</v>
      </c>
      <c r="T293" s="102">
        <f t="shared" si="65"/>
        <v>163</v>
      </c>
      <c r="U293" s="60">
        <f t="shared" si="58"/>
        <v>96.449704142011839</v>
      </c>
      <c r="V293" s="34" t="s">
        <v>44</v>
      </c>
      <c r="W293" s="52">
        <f t="shared" si="64"/>
        <v>2380000</v>
      </c>
      <c r="X293" s="60">
        <f t="shared" si="60"/>
        <v>73.798449612403104</v>
      </c>
      <c r="Y293" s="34" t="s">
        <v>44</v>
      </c>
      <c r="Z293" s="102">
        <f t="shared" si="66"/>
        <v>312</v>
      </c>
      <c r="AA293" s="52">
        <f t="shared" si="61"/>
        <v>2380000</v>
      </c>
      <c r="AB293" s="41">
        <f t="shared" si="62"/>
        <v>60.582524271844662</v>
      </c>
      <c r="AC293" s="34" t="s">
        <v>44</v>
      </c>
      <c r="AD293" s="90">
        <f t="shared" si="63"/>
        <v>36.41928079571538</v>
      </c>
      <c r="AE293" s="17"/>
      <c r="AF293" s="2"/>
      <c r="AG293" s="2"/>
      <c r="AH293" s="55"/>
      <c r="AI293" s="2"/>
      <c r="AJ293" s="2"/>
      <c r="AK293" s="2"/>
    </row>
    <row r="294" spans="1:37" ht="120">
      <c r="A294" s="43"/>
      <c r="B294" s="39"/>
      <c r="C294" s="46" t="s">
        <v>441</v>
      </c>
      <c r="D294" s="47" t="s">
        <v>423</v>
      </c>
      <c r="E294" s="48">
        <v>825</v>
      </c>
      <c r="F294" s="77" t="s">
        <v>227</v>
      </c>
      <c r="G294" s="91">
        <v>11698000</v>
      </c>
      <c r="H294" s="101">
        <v>135</v>
      </c>
      <c r="I294" s="50">
        <v>2038000</v>
      </c>
      <c r="J294" s="51">
        <v>263</v>
      </c>
      <c r="K294" s="50">
        <v>4795000</v>
      </c>
      <c r="L294" s="33">
        <v>65</v>
      </c>
      <c r="M294" s="103" t="s">
        <v>229</v>
      </c>
      <c r="N294" s="51">
        <v>65</v>
      </c>
      <c r="O294" s="50">
        <v>0</v>
      </c>
      <c r="P294" s="51">
        <v>65</v>
      </c>
      <c r="Q294" s="50">
        <v>2337500</v>
      </c>
      <c r="R294" s="112">
        <v>68</v>
      </c>
      <c r="S294" s="107">
        <v>2437500</v>
      </c>
      <c r="T294" s="102">
        <f t="shared" si="65"/>
        <v>263</v>
      </c>
      <c r="U294" s="60">
        <f t="shared" si="58"/>
        <v>100</v>
      </c>
      <c r="V294" s="34" t="s">
        <v>44</v>
      </c>
      <c r="W294" s="52">
        <f t="shared" si="64"/>
        <v>4775000</v>
      </c>
      <c r="X294" s="60">
        <f t="shared" si="60"/>
        <v>99.582898852971852</v>
      </c>
      <c r="Y294" s="34" t="s">
        <v>44</v>
      </c>
      <c r="Z294" s="102">
        <f t="shared" si="66"/>
        <v>398</v>
      </c>
      <c r="AA294" s="52">
        <f t="shared" si="61"/>
        <v>6813000</v>
      </c>
      <c r="AB294" s="41">
        <f t="shared" si="62"/>
        <v>48.242424242424242</v>
      </c>
      <c r="AC294" s="34" t="s">
        <v>44</v>
      </c>
      <c r="AD294" s="90">
        <f t="shared" si="63"/>
        <v>58.24072491024107</v>
      </c>
      <c r="AE294" s="17"/>
      <c r="AF294" s="2"/>
      <c r="AG294" s="2"/>
      <c r="AH294" s="55"/>
      <c r="AI294" s="2"/>
      <c r="AJ294" s="2"/>
      <c r="AK294" s="2"/>
    </row>
    <row r="295" spans="1:37" ht="150">
      <c r="A295" s="43"/>
      <c r="B295" s="39"/>
      <c r="C295" s="46" t="s">
        <v>442</v>
      </c>
      <c r="D295" s="47" t="s">
        <v>443</v>
      </c>
      <c r="E295" s="48">
        <f>23*3</f>
        <v>69</v>
      </c>
      <c r="F295" s="77" t="s">
        <v>62</v>
      </c>
      <c r="G295" s="50">
        <v>684180100</v>
      </c>
      <c r="H295" s="51">
        <v>23</v>
      </c>
      <c r="I295" s="50">
        <v>62995000</v>
      </c>
      <c r="J295" s="51">
        <v>23</v>
      </c>
      <c r="K295" s="50">
        <v>126657600</v>
      </c>
      <c r="L295" s="33">
        <v>23</v>
      </c>
      <c r="M295" s="50">
        <v>0</v>
      </c>
      <c r="N295" s="51">
        <v>23</v>
      </c>
      <c r="O295" s="50">
        <v>0</v>
      </c>
      <c r="P295" s="51">
        <v>23</v>
      </c>
      <c r="Q295" s="50">
        <v>17350000</v>
      </c>
      <c r="R295" s="51">
        <v>23</v>
      </c>
      <c r="S295" s="50">
        <f>110958422-Q295</f>
        <v>93608422</v>
      </c>
      <c r="T295" s="33">
        <f>AVERAGE(L295,N295,P295,R295)</f>
        <v>23</v>
      </c>
      <c r="U295" s="34">
        <f t="shared" si="58"/>
        <v>100</v>
      </c>
      <c r="V295" s="34" t="s">
        <v>44</v>
      </c>
      <c r="W295" s="52">
        <f t="shared" si="64"/>
        <v>110958422</v>
      </c>
      <c r="X295" s="60">
        <f t="shared" si="60"/>
        <v>87.605024885991838</v>
      </c>
      <c r="Y295" s="34" t="s">
        <v>44</v>
      </c>
      <c r="Z295" s="34">
        <f t="shared" si="66"/>
        <v>46</v>
      </c>
      <c r="AA295" s="52">
        <f t="shared" si="61"/>
        <v>173953422</v>
      </c>
      <c r="AB295" s="41">
        <f t="shared" si="62"/>
        <v>66.666666666666657</v>
      </c>
      <c r="AC295" s="34" t="s">
        <v>44</v>
      </c>
      <c r="AD295" s="90">
        <f t="shared" si="63"/>
        <v>25.425092311220393</v>
      </c>
      <c r="AE295" s="17"/>
      <c r="AF295" s="2"/>
      <c r="AG295" s="2"/>
      <c r="AH295" s="55"/>
      <c r="AI295" s="2"/>
      <c r="AJ295" s="2"/>
      <c r="AK295" s="2"/>
    </row>
    <row r="296" spans="1:37" ht="150">
      <c r="A296" s="43"/>
      <c r="B296" s="39"/>
      <c r="C296" s="46" t="s">
        <v>444</v>
      </c>
      <c r="D296" s="47" t="s">
        <v>443</v>
      </c>
      <c r="E296" s="48">
        <v>36</v>
      </c>
      <c r="F296" s="77" t="s">
        <v>62</v>
      </c>
      <c r="G296" s="91">
        <v>363845000</v>
      </c>
      <c r="H296" s="101">
        <v>12</v>
      </c>
      <c r="I296" s="50">
        <v>37830000</v>
      </c>
      <c r="J296" s="51">
        <v>12</v>
      </c>
      <c r="K296" s="50">
        <v>57255000</v>
      </c>
      <c r="L296" s="33">
        <v>3</v>
      </c>
      <c r="M296" s="103" t="s">
        <v>229</v>
      </c>
      <c r="N296" s="51">
        <v>3</v>
      </c>
      <c r="O296" s="50">
        <v>11600000</v>
      </c>
      <c r="P296" s="51">
        <v>3</v>
      </c>
      <c r="Q296" s="50">
        <v>20130000</v>
      </c>
      <c r="R296" s="101">
        <v>3</v>
      </c>
      <c r="S296" s="50">
        <v>4320000</v>
      </c>
      <c r="T296" s="102">
        <f t="shared" si="65"/>
        <v>12</v>
      </c>
      <c r="U296" s="60">
        <f t="shared" si="58"/>
        <v>100</v>
      </c>
      <c r="V296" s="34" t="s">
        <v>44</v>
      </c>
      <c r="W296" s="52">
        <f t="shared" si="64"/>
        <v>36050000</v>
      </c>
      <c r="X296" s="60">
        <f t="shared" si="60"/>
        <v>62.96393328093616</v>
      </c>
      <c r="Y296" s="34" t="s">
        <v>44</v>
      </c>
      <c r="Z296" s="102">
        <f t="shared" si="66"/>
        <v>24</v>
      </c>
      <c r="AA296" s="52">
        <f t="shared" si="61"/>
        <v>73880000</v>
      </c>
      <c r="AB296" s="41">
        <f t="shared" si="62"/>
        <v>66.666666666666657</v>
      </c>
      <c r="AC296" s="34" t="s">
        <v>44</v>
      </c>
      <c r="AD296" s="90">
        <f t="shared" si="63"/>
        <v>20.305349805549067</v>
      </c>
      <c r="AE296" s="17"/>
      <c r="AF296" s="2"/>
      <c r="AG296" s="2"/>
      <c r="AH296" s="55"/>
      <c r="AI296" s="2"/>
      <c r="AJ296" s="2"/>
      <c r="AK296" s="2"/>
    </row>
    <row r="297" spans="1:37" ht="150">
      <c r="A297" s="43"/>
      <c r="B297" s="39"/>
      <c r="C297" s="46" t="s">
        <v>445</v>
      </c>
      <c r="D297" s="47" t="s">
        <v>443</v>
      </c>
      <c r="E297" s="48">
        <v>12</v>
      </c>
      <c r="F297" s="77" t="s">
        <v>62</v>
      </c>
      <c r="G297" s="91">
        <v>446802500</v>
      </c>
      <c r="H297" s="101">
        <v>12</v>
      </c>
      <c r="I297" s="50">
        <v>37350000</v>
      </c>
      <c r="J297" s="51">
        <v>12</v>
      </c>
      <c r="K297" s="50">
        <v>15622500</v>
      </c>
      <c r="L297" s="33">
        <v>3</v>
      </c>
      <c r="M297" s="103" t="s">
        <v>229</v>
      </c>
      <c r="N297" s="51">
        <v>3</v>
      </c>
      <c r="O297" s="50">
        <v>4600000</v>
      </c>
      <c r="P297" s="51">
        <v>3</v>
      </c>
      <c r="Q297" s="50">
        <v>1150000</v>
      </c>
      <c r="R297" s="101">
        <v>3</v>
      </c>
      <c r="S297" s="50">
        <v>6150000</v>
      </c>
      <c r="T297" s="102">
        <f t="shared" si="65"/>
        <v>12</v>
      </c>
      <c r="U297" s="60">
        <f t="shared" si="58"/>
        <v>100</v>
      </c>
      <c r="V297" s="34" t="s">
        <v>44</v>
      </c>
      <c r="W297" s="52">
        <f t="shared" si="64"/>
        <v>11900000</v>
      </c>
      <c r="X297" s="60">
        <f t="shared" si="60"/>
        <v>76.17218755000799</v>
      </c>
      <c r="Y297" s="34" t="s">
        <v>44</v>
      </c>
      <c r="Z297" s="102">
        <f t="shared" si="66"/>
        <v>24</v>
      </c>
      <c r="AA297" s="52">
        <f t="shared" si="61"/>
        <v>49250000</v>
      </c>
      <c r="AB297" s="41">
        <f t="shared" si="62"/>
        <v>200</v>
      </c>
      <c r="AC297" s="34" t="s">
        <v>44</v>
      </c>
      <c r="AD297" s="90">
        <f t="shared" si="63"/>
        <v>11.022767330084321</v>
      </c>
      <c r="AE297" s="17"/>
      <c r="AF297" s="2"/>
      <c r="AG297" s="2"/>
      <c r="AH297" s="55"/>
      <c r="AI297" s="2"/>
      <c r="AJ297" s="2"/>
      <c r="AK297" s="2"/>
    </row>
    <row r="298" spans="1:37" ht="150">
      <c r="A298" s="43"/>
      <c r="B298" s="39"/>
      <c r="C298" s="46" t="s">
        <v>446</v>
      </c>
      <c r="D298" s="47" t="s">
        <v>443</v>
      </c>
      <c r="E298" s="48">
        <v>36</v>
      </c>
      <c r="F298" s="77" t="s">
        <v>62</v>
      </c>
      <c r="G298" s="91">
        <v>378540800</v>
      </c>
      <c r="H298" s="101">
        <v>12</v>
      </c>
      <c r="I298" s="50">
        <v>214987400</v>
      </c>
      <c r="J298" s="51">
        <v>12</v>
      </c>
      <c r="K298" s="50">
        <v>28657650</v>
      </c>
      <c r="L298" s="33">
        <v>0</v>
      </c>
      <c r="M298" s="103" t="s">
        <v>229</v>
      </c>
      <c r="N298" s="51">
        <v>3</v>
      </c>
      <c r="O298" s="50">
        <v>9200000</v>
      </c>
      <c r="P298" s="51">
        <v>3</v>
      </c>
      <c r="Q298" s="50"/>
      <c r="R298" s="101">
        <v>6</v>
      </c>
      <c r="S298" s="50">
        <v>19457650</v>
      </c>
      <c r="T298" s="102">
        <f t="shared" si="65"/>
        <v>12</v>
      </c>
      <c r="U298" s="60">
        <f t="shared" si="58"/>
        <v>100</v>
      </c>
      <c r="V298" s="34" t="s">
        <v>44</v>
      </c>
      <c r="W298" s="52">
        <f t="shared" si="64"/>
        <v>28657650</v>
      </c>
      <c r="X298" s="60">
        <f t="shared" si="60"/>
        <v>100</v>
      </c>
      <c r="Y298" s="34" t="s">
        <v>44</v>
      </c>
      <c r="Z298" s="102">
        <f t="shared" si="66"/>
        <v>24</v>
      </c>
      <c r="AA298" s="52">
        <f t="shared" si="61"/>
        <v>243645050</v>
      </c>
      <c r="AB298" s="41">
        <f t="shared" si="62"/>
        <v>66.666666666666657</v>
      </c>
      <c r="AC298" s="34" t="s">
        <v>44</v>
      </c>
      <c r="AD298" s="90">
        <f t="shared" si="63"/>
        <v>64.364277245676021</v>
      </c>
      <c r="AE298" s="17"/>
      <c r="AF298" s="2"/>
      <c r="AG298" s="2"/>
      <c r="AH298" s="55"/>
      <c r="AI298" s="2"/>
      <c r="AJ298" s="2"/>
      <c r="AK298" s="2"/>
    </row>
    <row r="299" spans="1:37" ht="150">
      <c r="A299" s="43"/>
      <c r="B299" s="39"/>
      <c r="C299" s="46" t="s">
        <v>447</v>
      </c>
      <c r="D299" s="47" t="s">
        <v>443</v>
      </c>
      <c r="E299" s="48">
        <v>36</v>
      </c>
      <c r="F299" s="77" t="s">
        <v>62</v>
      </c>
      <c r="G299" s="91">
        <v>490167000</v>
      </c>
      <c r="H299" s="101">
        <v>12</v>
      </c>
      <c r="I299" s="50">
        <v>51735000</v>
      </c>
      <c r="J299" s="51">
        <v>12</v>
      </c>
      <c r="K299" s="50">
        <v>39415000</v>
      </c>
      <c r="L299" s="33">
        <v>3</v>
      </c>
      <c r="M299" s="103" t="s">
        <v>229</v>
      </c>
      <c r="N299" s="51">
        <v>3</v>
      </c>
      <c r="O299" s="50">
        <v>21195000</v>
      </c>
      <c r="P299" s="51">
        <v>3</v>
      </c>
      <c r="Q299" s="50">
        <v>6933000</v>
      </c>
      <c r="R299" s="101">
        <v>3</v>
      </c>
      <c r="S299" s="50">
        <v>2625000</v>
      </c>
      <c r="T299" s="102">
        <f t="shared" si="65"/>
        <v>12</v>
      </c>
      <c r="U299" s="60">
        <f t="shared" si="58"/>
        <v>100</v>
      </c>
      <c r="V299" s="34" t="s">
        <v>44</v>
      </c>
      <c r="W299" s="52">
        <f t="shared" si="64"/>
        <v>30753000</v>
      </c>
      <c r="X299" s="60">
        <f t="shared" si="60"/>
        <v>78.023595078015987</v>
      </c>
      <c r="Y299" s="34" t="s">
        <v>44</v>
      </c>
      <c r="Z299" s="102">
        <f t="shared" si="66"/>
        <v>24</v>
      </c>
      <c r="AA299" s="52">
        <f t="shared" si="61"/>
        <v>82488000</v>
      </c>
      <c r="AB299" s="41">
        <f t="shared" si="62"/>
        <v>66.666666666666657</v>
      </c>
      <c r="AC299" s="34" t="s">
        <v>44</v>
      </c>
      <c r="AD299" s="90">
        <f t="shared" si="63"/>
        <v>16.828550269601994</v>
      </c>
      <c r="AE299" s="17"/>
      <c r="AF299" s="2"/>
      <c r="AG299" s="2"/>
      <c r="AH299" s="55"/>
      <c r="AI299" s="2"/>
      <c r="AJ299" s="2"/>
      <c r="AK299" s="2"/>
    </row>
    <row r="300" spans="1:37" ht="150">
      <c r="A300" s="43"/>
      <c r="B300" s="39"/>
      <c r="C300" s="46" t="s">
        <v>448</v>
      </c>
      <c r="D300" s="47" t="s">
        <v>443</v>
      </c>
      <c r="E300" s="48">
        <v>36</v>
      </c>
      <c r="F300" s="77" t="s">
        <v>62</v>
      </c>
      <c r="G300" s="91">
        <v>203253900</v>
      </c>
      <c r="H300" s="101">
        <v>12</v>
      </c>
      <c r="I300" s="50">
        <v>30883900</v>
      </c>
      <c r="J300" s="51">
        <v>12</v>
      </c>
      <c r="K300" s="50">
        <v>39735000</v>
      </c>
      <c r="L300" s="33">
        <v>3</v>
      </c>
      <c r="M300" s="103" t="s">
        <v>229</v>
      </c>
      <c r="N300" s="51">
        <v>3</v>
      </c>
      <c r="O300" s="50">
        <v>14217000</v>
      </c>
      <c r="P300" s="51">
        <v>3</v>
      </c>
      <c r="Q300" s="50">
        <v>3300000</v>
      </c>
      <c r="R300" s="101">
        <v>3</v>
      </c>
      <c r="S300" s="50">
        <v>4400000</v>
      </c>
      <c r="T300" s="102">
        <f t="shared" si="65"/>
        <v>12</v>
      </c>
      <c r="U300" s="60">
        <f t="shared" si="58"/>
        <v>100</v>
      </c>
      <c r="V300" s="34" t="s">
        <v>44</v>
      </c>
      <c r="W300" s="52">
        <f t="shared" si="64"/>
        <v>21917000</v>
      </c>
      <c r="X300" s="60">
        <f t="shared" si="60"/>
        <v>55.157921228136409</v>
      </c>
      <c r="Y300" s="34" t="s">
        <v>44</v>
      </c>
      <c r="Z300" s="102">
        <f t="shared" si="66"/>
        <v>24</v>
      </c>
      <c r="AA300" s="52">
        <f t="shared" si="61"/>
        <v>52800900</v>
      </c>
      <c r="AB300" s="41">
        <f t="shared" si="62"/>
        <v>66.666666666666657</v>
      </c>
      <c r="AC300" s="34" t="s">
        <v>44</v>
      </c>
      <c r="AD300" s="90">
        <f t="shared" si="63"/>
        <v>25.977804115935783</v>
      </c>
      <c r="AE300" s="17"/>
      <c r="AF300" s="2"/>
      <c r="AG300" s="2"/>
      <c r="AH300" s="55"/>
      <c r="AI300" s="2"/>
      <c r="AJ300" s="2"/>
      <c r="AK300" s="2"/>
    </row>
    <row r="301" spans="1:37" ht="150">
      <c r="A301" s="43"/>
      <c r="B301" s="39"/>
      <c r="C301" s="46" t="s">
        <v>449</v>
      </c>
      <c r="D301" s="47" t="s">
        <v>443</v>
      </c>
      <c r="E301" s="48">
        <v>36</v>
      </c>
      <c r="F301" s="77" t="s">
        <v>62</v>
      </c>
      <c r="G301" s="91">
        <v>461839900</v>
      </c>
      <c r="H301" s="101">
        <v>12</v>
      </c>
      <c r="I301" s="50">
        <v>38205900</v>
      </c>
      <c r="J301" s="51">
        <v>12</v>
      </c>
      <c r="K301" s="50">
        <v>50625750</v>
      </c>
      <c r="L301" s="33">
        <v>0</v>
      </c>
      <c r="M301" s="103" t="s">
        <v>229</v>
      </c>
      <c r="N301" s="51">
        <v>2</v>
      </c>
      <c r="O301" s="50">
        <v>13337000</v>
      </c>
      <c r="P301" s="51">
        <v>2</v>
      </c>
      <c r="Q301" s="50">
        <v>9825000</v>
      </c>
      <c r="R301" s="101">
        <v>5</v>
      </c>
      <c r="S301" s="50">
        <v>9952500</v>
      </c>
      <c r="T301" s="102">
        <f t="shared" si="65"/>
        <v>9</v>
      </c>
      <c r="U301" s="60">
        <f t="shared" si="58"/>
        <v>75</v>
      </c>
      <c r="V301" s="34" t="s">
        <v>44</v>
      </c>
      <c r="W301" s="52">
        <f t="shared" si="64"/>
        <v>33114500</v>
      </c>
      <c r="X301" s="60">
        <f t="shared" si="60"/>
        <v>65.410388981891629</v>
      </c>
      <c r="Y301" s="34" t="s">
        <v>44</v>
      </c>
      <c r="Z301" s="102">
        <f t="shared" si="66"/>
        <v>21</v>
      </c>
      <c r="AA301" s="52">
        <f t="shared" si="61"/>
        <v>71320400</v>
      </c>
      <c r="AB301" s="41">
        <f t="shared" si="62"/>
        <v>58.333333333333336</v>
      </c>
      <c r="AC301" s="34" t="s">
        <v>44</v>
      </c>
      <c r="AD301" s="90">
        <f t="shared" si="63"/>
        <v>15.442667469830996</v>
      </c>
      <c r="AE301" s="17"/>
      <c r="AF301" s="2"/>
      <c r="AG301" s="2"/>
      <c r="AH301" s="55"/>
      <c r="AI301" s="2"/>
      <c r="AJ301" s="2"/>
      <c r="AK301" s="2"/>
    </row>
    <row r="302" spans="1:37" ht="150">
      <c r="A302" s="43"/>
      <c r="B302" s="39"/>
      <c r="C302" s="46" t="s">
        <v>450</v>
      </c>
      <c r="D302" s="47" t="s">
        <v>443</v>
      </c>
      <c r="E302" s="48">
        <v>36</v>
      </c>
      <c r="F302" s="77" t="s">
        <v>62</v>
      </c>
      <c r="G302" s="91">
        <v>440149550</v>
      </c>
      <c r="H302" s="101">
        <v>12</v>
      </c>
      <c r="I302" s="50">
        <v>21800000</v>
      </c>
      <c r="J302" s="51">
        <v>12</v>
      </c>
      <c r="K302" s="50">
        <v>35287730</v>
      </c>
      <c r="L302" s="33">
        <v>3</v>
      </c>
      <c r="M302" s="103" t="s">
        <v>229</v>
      </c>
      <c r="N302" s="51">
        <v>3</v>
      </c>
      <c r="O302" s="50">
        <v>12400000</v>
      </c>
      <c r="P302" s="51">
        <v>3</v>
      </c>
      <c r="Q302" s="50"/>
      <c r="R302" s="101">
        <v>3</v>
      </c>
      <c r="S302" s="50">
        <v>6850000</v>
      </c>
      <c r="T302" s="102">
        <f t="shared" si="65"/>
        <v>12</v>
      </c>
      <c r="U302" s="60">
        <f t="shared" si="58"/>
        <v>100</v>
      </c>
      <c r="V302" s="34" t="s">
        <v>44</v>
      </c>
      <c r="W302" s="52">
        <f t="shared" si="64"/>
        <v>19250000</v>
      </c>
      <c r="X302" s="60">
        <f t="shared" si="60"/>
        <v>54.551539586139427</v>
      </c>
      <c r="Y302" s="34" t="s">
        <v>44</v>
      </c>
      <c r="Z302" s="102">
        <f t="shared" si="66"/>
        <v>24</v>
      </c>
      <c r="AA302" s="52">
        <f t="shared" si="61"/>
        <v>41050000</v>
      </c>
      <c r="AB302" s="41">
        <f t="shared" si="62"/>
        <v>66.666666666666657</v>
      </c>
      <c r="AC302" s="34" t="s">
        <v>44</v>
      </c>
      <c r="AD302" s="90">
        <f t="shared" si="63"/>
        <v>9.3263755466749885</v>
      </c>
      <c r="AE302" s="17"/>
      <c r="AF302" s="2"/>
      <c r="AG302" s="2"/>
      <c r="AH302" s="55"/>
      <c r="AI302" s="2"/>
      <c r="AJ302" s="2"/>
      <c r="AK302" s="2"/>
    </row>
    <row r="303" spans="1:37" ht="150">
      <c r="A303" s="43"/>
      <c r="B303" s="39"/>
      <c r="C303" s="46" t="s">
        <v>451</v>
      </c>
      <c r="D303" s="47" t="s">
        <v>443</v>
      </c>
      <c r="E303" s="48">
        <v>36</v>
      </c>
      <c r="F303" s="77" t="s">
        <v>62</v>
      </c>
      <c r="G303" s="91">
        <v>629121000</v>
      </c>
      <c r="H303" s="101">
        <v>12</v>
      </c>
      <c r="I303" s="50">
        <v>153101000</v>
      </c>
      <c r="J303" s="51">
        <v>12</v>
      </c>
      <c r="K303" s="50">
        <v>47688000</v>
      </c>
      <c r="L303" s="33">
        <v>3</v>
      </c>
      <c r="M303" s="103" t="s">
        <v>229</v>
      </c>
      <c r="N303" s="51">
        <v>3</v>
      </c>
      <c r="O303" s="50">
        <v>41225000</v>
      </c>
      <c r="P303" s="51">
        <v>3</v>
      </c>
      <c r="Q303" s="50">
        <v>6463000</v>
      </c>
      <c r="R303" s="101">
        <v>3</v>
      </c>
      <c r="S303" s="50">
        <v>0</v>
      </c>
      <c r="T303" s="102">
        <f t="shared" si="65"/>
        <v>12</v>
      </c>
      <c r="U303" s="60">
        <f t="shared" si="58"/>
        <v>100</v>
      </c>
      <c r="V303" s="34" t="s">
        <v>44</v>
      </c>
      <c r="W303" s="52">
        <f t="shared" si="64"/>
        <v>47688000</v>
      </c>
      <c r="X303" s="60">
        <f t="shared" si="60"/>
        <v>100</v>
      </c>
      <c r="Y303" s="34" t="s">
        <v>44</v>
      </c>
      <c r="Z303" s="102">
        <f t="shared" si="66"/>
        <v>24</v>
      </c>
      <c r="AA303" s="52">
        <f t="shared" si="61"/>
        <v>200789000</v>
      </c>
      <c r="AB303" s="41">
        <f t="shared" si="62"/>
        <v>66.666666666666657</v>
      </c>
      <c r="AC303" s="34" t="s">
        <v>44</v>
      </c>
      <c r="AD303" s="90">
        <f t="shared" si="63"/>
        <v>31.915799981243669</v>
      </c>
      <c r="AE303" s="17"/>
      <c r="AF303" s="2"/>
      <c r="AG303" s="2"/>
      <c r="AH303" s="55"/>
      <c r="AI303" s="2"/>
      <c r="AJ303" s="2"/>
      <c r="AK303" s="2"/>
    </row>
    <row r="304" spans="1:37" ht="150">
      <c r="A304" s="43"/>
      <c r="B304" s="39"/>
      <c r="C304" s="46" t="s">
        <v>452</v>
      </c>
      <c r="D304" s="47" t="s">
        <v>443</v>
      </c>
      <c r="E304" s="48">
        <v>36</v>
      </c>
      <c r="F304" s="77" t="s">
        <v>62</v>
      </c>
      <c r="G304" s="91">
        <v>290189400</v>
      </c>
      <c r="H304" s="101">
        <v>12</v>
      </c>
      <c r="I304" s="50">
        <v>28380000</v>
      </c>
      <c r="J304" s="51">
        <v>12</v>
      </c>
      <c r="K304" s="50">
        <v>40900850</v>
      </c>
      <c r="L304" s="33">
        <v>3</v>
      </c>
      <c r="M304" s="103" t="s">
        <v>229</v>
      </c>
      <c r="N304" s="51">
        <v>3</v>
      </c>
      <c r="O304" s="50">
        <v>5600000</v>
      </c>
      <c r="P304" s="51">
        <v>3</v>
      </c>
      <c r="Q304" s="50">
        <v>3160000</v>
      </c>
      <c r="R304" s="101">
        <v>4</v>
      </c>
      <c r="S304" s="50">
        <v>4480000</v>
      </c>
      <c r="T304" s="102">
        <f t="shared" si="65"/>
        <v>13</v>
      </c>
      <c r="U304" s="60">
        <f t="shared" si="58"/>
        <v>108.33333333333333</v>
      </c>
      <c r="V304" s="34" t="s">
        <v>44</v>
      </c>
      <c r="W304" s="52">
        <f t="shared" si="64"/>
        <v>13240000</v>
      </c>
      <c r="X304" s="60">
        <f t="shared" si="60"/>
        <v>32.37096539558469</v>
      </c>
      <c r="Y304" s="34" t="s">
        <v>44</v>
      </c>
      <c r="Z304" s="102">
        <f t="shared" si="66"/>
        <v>25</v>
      </c>
      <c r="AA304" s="52">
        <f t="shared" si="61"/>
        <v>41620000</v>
      </c>
      <c r="AB304" s="41">
        <f t="shared" si="62"/>
        <v>69.444444444444443</v>
      </c>
      <c r="AC304" s="34" t="s">
        <v>44</v>
      </c>
      <c r="AD304" s="90">
        <f t="shared" si="63"/>
        <v>14.342357095055849</v>
      </c>
      <c r="AE304" s="17"/>
      <c r="AF304" s="2"/>
      <c r="AG304" s="2"/>
      <c r="AH304" s="55"/>
      <c r="AI304" s="2"/>
      <c r="AJ304" s="2"/>
      <c r="AK304" s="2"/>
    </row>
    <row r="305" spans="1:37" ht="150">
      <c r="A305" s="43"/>
      <c r="B305" s="39"/>
      <c r="C305" s="46" t="s">
        <v>453</v>
      </c>
      <c r="D305" s="47" t="s">
        <v>443</v>
      </c>
      <c r="E305" s="48">
        <v>36</v>
      </c>
      <c r="F305" s="77" t="s">
        <v>62</v>
      </c>
      <c r="G305" s="91">
        <v>179101000</v>
      </c>
      <c r="H305" s="101">
        <v>12</v>
      </c>
      <c r="I305" s="50">
        <v>17425000</v>
      </c>
      <c r="J305" s="51">
        <v>12</v>
      </c>
      <c r="K305" s="50">
        <v>37270000</v>
      </c>
      <c r="L305" s="33">
        <v>3</v>
      </c>
      <c r="M305" s="103" t="s">
        <v>229</v>
      </c>
      <c r="N305" s="51">
        <v>3</v>
      </c>
      <c r="O305" s="50">
        <v>3875000</v>
      </c>
      <c r="P305" s="51">
        <v>3</v>
      </c>
      <c r="Q305" s="50">
        <v>4600000</v>
      </c>
      <c r="R305" s="101">
        <v>3</v>
      </c>
      <c r="S305" s="50">
        <v>6990000</v>
      </c>
      <c r="T305" s="102">
        <f t="shared" si="65"/>
        <v>12</v>
      </c>
      <c r="U305" s="60">
        <f t="shared" si="58"/>
        <v>100</v>
      </c>
      <c r="V305" s="34" t="s">
        <v>44</v>
      </c>
      <c r="W305" s="52">
        <f t="shared" si="64"/>
        <v>15465000</v>
      </c>
      <c r="X305" s="60">
        <f t="shared" si="60"/>
        <v>41.494499597531522</v>
      </c>
      <c r="Y305" s="34" t="s">
        <v>44</v>
      </c>
      <c r="Z305" s="102">
        <f t="shared" si="66"/>
        <v>24</v>
      </c>
      <c r="AA305" s="52">
        <f t="shared" si="61"/>
        <v>32890000</v>
      </c>
      <c r="AB305" s="41">
        <f t="shared" si="62"/>
        <v>66.666666666666657</v>
      </c>
      <c r="AC305" s="34" t="s">
        <v>44</v>
      </c>
      <c r="AD305" s="90">
        <f t="shared" si="63"/>
        <v>18.363939899833053</v>
      </c>
      <c r="AE305" s="17"/>
      <c r="AF305" s="2"/>
      <c r="AG305" s="2"/>
      <c r="AH305" s="55"/>
      <c r="AI305" s="2"/>
      <c r="AJ305" s="2"/>
      <c r="AK305" s="2"/>
    </row>
    <row r="306" spans="1:37" ht="150">
      <c r="A306" s="43"/>
      <c r="B306" s="39"/>
      <c r="C306" s="46" t="s">
        <v>454</v>
      </c>
      <c r="D306" s="47" t="s">
        <v>443</v>
      </c>
      <c r="E306" s="48">
        <v>36</v>
      </c>
      <c r="F306" s="77" t="s">
        <v>62</v>
      </c>
      <c r="G306" s="91">
        <v>651015000</v>
      </c>
      <c r="H306" s="101">
        <v>12</v>
      </c>
      <c r="I306" s="50">
        <v>45625000</v>
      </c>
      <c r="J306" s="51">
        <v>12</v>
      </c>
      <c r="K306" s="50">
        <v>69700000</v>
      </c>
      <c r="L306" s="33">
        <v>3</v>
      </c>
      <c r="M306" s="103" t="s">
        <v>229</v>
      </c>
      <c r="N306" s="51">
        <v>3</v>
      </c>
      <c r="O306" s="50">
        <v>27295000</v>
      </c>
      <c r="P306" s="51">
        <v>3</v>
      </c>
      <c r="Q306" s="50">
        <v>4335000</v>
      </c>
      <c r="R306" s="101">
        <v>3</v>
      </c>
      <c r="S306" s="50">
        <v>16080000</v>
      </c>
      <c r="T306" s="102">
        <f t="shared" si="65"/>
        <v>12</v>
      </c>
      <c r="U306" s="60">
        <f t="shared" si="58"/>
        <v>100</v>
      </c>
      <c r="V306" s="34" t="s">
        <v>44</v>
      </c>
      <c r="W306" s="52">
        <f t="shared" si="64"/>
        <v>47710000</v>
      </c>
      <c r="X306" s="60">
        <f t="shared" si="60"/>
        <v>68.450502152080333</v>
      </c>
      <c r="Y306" s="34" t="s">
        <v>44</v>
      </c>
      <c r="Z306" s="102">
        <f t="shared" si="66"/>
        <v>24</v>
      </c>
      <c r="AA306" s="52">
        <f t="shared" si="61"/>
        <v>93335000</v>
      </c>
      <c r="AB306" s="41">
        <f t="shared" si="62"/>
        <v>66.666666666666657</v>
      </c>
      <c r="AC306" s="34" t="s">
        <v>44</v>
      </c>
      <c r="AD306" s="90">
        <f t="shared" si="63"/>
        <v>14.336843237098993</v>
      </c>
      <c r="AE306" s="17"/>
      <c r="AF306" s="2"/>
      <c r="AG306" s="2"/>
      <c r="AH306" s="55"/>
      <c r="AI306" s="2"/>
      <c r="AJ306" s="2"/>
      <c r="AK306" s="2"/>
    </row>
    <row r="307" spans="1:37" ht="150">
      <c r="A307" s="43"/>
      <c r="B307" s="39"/>
      <c r="C307" s="46" t="s">
        <v>455</v>
      </c>
      <c r="D307" s="47" t="s">
        <v>443</v>
      </c>
      <c r="E307" s="48">
        <v>36</v>
      </c>
      <c r="F307" s="77" t="s">
        <v>62</v>
      </c>
      <c r="G307" s="91">
        <v>436482500</v>
      </c>
      <c r="H307" s="101">
        <v>12</v>
      </c>
      <c r="I307" s="50">
        <v>25095000</v>
      </c>
      <c r="J307" s="51">
        <v>12</v>
      </c>
      <c r="K307" s="50">
        <v>34510000</v>
      </c>
      <c r="L307" s="33">
        <v>3</v>
      </c>
      <c r="M307" s="103" t="s">
        <v>229</v>
      </c>
      <c r="N307" s="51">
        <v>3</v>
      </c>
      <c r="O307" s="50">
        <v>9255000</v>
      </c>
      <c r="P307" s="51">
        <v>3</v>
      </c>
      <c r="Q307" s="50">
        <v>12255000</v>
      </c>
      <c r="R307" s="101">
        <v>3</v>
      </c>
      <c r="S307" s="78">
        <v>16255000</v>
      </c>
      <c r="T307" s="102">
        <f t="shared" si="65"/>
        <v>12</v>
      </c>
      <c r="U307" s="60">
        <f t="shared" si="58"/>
        <v>100</v>
      </c>
      <c r="V307" s="34" t="s">
        <v>44</v>
      </c>
      <c r="W307" s="52">
        <f t="shared" si="64"/>
        <v>37765000</v>
      </c>
      <c r="X307" s="60">
        <f t="shared" si="60"/>
        <v>109.43204868154157</v>
      </c>
      <c r="Y307" s="34" t="s">
        <v>44</v>
      </c>
      <c r="Z307" s="102">
        <f t="shared" si="66"/>
        <v>24</v>
      </c>
      <c r="AA307" s="52">
        <f t="shared" si="61"/>
        <v>62860000</v>
      </c>
      <c r="AB307" s="41">
        <f t="shared" si="62"/>
        <v>66.666666666666657</v>
      </c>
      <c r="AC307" s="34" t="s">
        <v>44</v>
      </c>
      <c r="AD307" s="90">
        <f t="shared" si="63"/>
        <v>14.401493759772729</v>
      </c>
      <c r="AE307" s="17"/>
      <c r="AF307" s="2"/>
      <c r="AG307" s="2"/>
      <c r="AH307" s="55"/>
      <c r="AI307" s="2"/>
      <c r="AJ307" s="2"/>
      <c r="AK307" s="2"/>
    </row>
    <row r="308" spans="1:37" ht="150">
      <c r="A308" s="43"/>
      <c r="B308" s="39"/>
      <c r="C308" s="46" t="s">
        <v>456</v>
      </c>
      <c r="D308" s="47" t="s">
        <v>443</v>
      </c>
      <c r="E308" s="48">
        <v>36</v>
      </c>
      <c r="F308" s="77" t="s">
        <v>62</v>
      </c>
      <c r="G308" s="91">
        <v>407673140</v>
      </c>
      <c r="H308" s="101">
        <v>12</v>
      </c>
      <c r="I308" s="50">
        <v>33323600</v>
      </c>
      <c r="J308" s="51">
        <v>12</v>
      </c>
      <c r="K308" s="50">
        <v>34829915</v>
      </c>
      <c r="L308" s="33">
        <v>3</v>
      </c>
      <c r="M308" s="103" t="s">
        <v>229</v>
      </c>
      <c r="N308" s="51">
        <v>3</v>
      </c>
      <c r="O308" s="50">
        <v>1280000</v>
      </c>
      <c r="P308" s="51">
        <v>3</v>
      </c>
      <c r="Q308" s="50">
        <v>23735500</v>
      </c>
      <c r="R308" s="112">
        <v>3</v>
      </c>
      <c r="S308" s="107">
        <v>3840000</v>
      </c>
      <c r="T308" s="102">
        <f t="shared" si="65"/>
        <v>12</v>
      </c>
      <c r="U308" s="60">
        <f t="shared" si="58"/>
        <v>100</v>
      </c>
      <c r="V308" s="34" t="s">
        <v>44</v>
      </c>
      <c r="W308" s="52">
        <f t="shared" si="64"/>
        <v>28855500</v>
      </c>
      <c r="X308" s="60">
        <f t="shared" si="60"/>
        <v>82.846886074800935</v>
      </c>
      <c r="Y308" s="34" t="s">
        <v>44</v>
      </c>
      <c r="Z308" s="102">
        <f t="shared" si="66"/>
        <v>24</v>
      </c>
      <c r="AA308" s="52">
        <f t="shared" si="61"/>
        <v>62179100</v>
      </c>
      <c r="AB308" s="41">
        <f t="shared" si="62"/>
        <v>66.666666666666657</v>
      </c>
      <c r="AC308" s="34" t="s">
        <v>44</v>
      </c>
      <c r="AD308" s="90">
        <f t="shared" si="63"/>
        <v>15.252194441851136</v>
      </c>
      <c r="AE308" s="17"/>
      <c r="AF308" s="2"/>
      <c r="AG308" s="2"/>
      <c r="AH308" s="55"/>
      <c r="AI308" s="2"/>
      <c r="AJ308" s="2"/>
      <c r="AK308" s="2"/>
    </row>
    <row r="309" spans="1:37" ht="150">
      <c r="A309" s="43"/>
      <c r="B309" s="39"/>
      <c r="C309" s="46" t="s">
        <v>457</v>
      </c>
      <c r="D309" s="47" t="s">
        <v>443</v>
      </c>
      <c r="E309" s="48">
        <v>36</v>
      </c>
      <c r="F309" s="77" t="s">
        <v>62</v>
      </c>
      <c r="G309" s="91">
        <v>566149550</v>
      </c>
      <c r="H309" s="101">
        <v>12</v>
      </c>
      <c r="I309" s="50">
        <v>39165000</v>
      </c>
      <c r="J309" s="51">
        <v>12</v>
      </c>
      <c r="K309" s="50">
        <v>34298000</v>
      </c>
      <c r="L309" s="33">
        <v>3</v>
      </c>
      <c r="M309" s="103" t="s">
        <v>229</v>
      </c>
      <c r="N309" s="51">
        <v>3</v>
      </c>
      <c r="O309" s="50">
        <v>11225000</v>
      </c>
      <c r="P309" s="51">
        <v>3</v>
      </c>
      <c r="Q309" s="50">
        <v>3300000</v>
      </c>
      <c r="R309" s="112">
        <v>3</v>
      </c>
      <c r="S309" s="107">
        <v>3300000</v>
      </c>
      <c r="T309" s="102">
        <f t="shared" si="65"/>
        <v>12</v>
      </c>
      <c r="U309" s="60">
        <f t="shared" si="58"/>
        <v>100</v>
      </c>
      <c r="V309" s="34" t="s">
        <v>44</v>
      </c>
      <c r="W309" s="52">
        <f t="shared" si="64"/>
        <v>17825000</v>
      </c>
      <c r="X309" s="60">
        <f t="shared" si="60"/>
        <v>51.970960405854569</v>
      </c>
      <c r="Y309" s="34" t="s">
        <v>44</v>
      </c>
      <c r="Z309" s="102">
        <f t="shared" si="66"/>
        <v>24</v>
      </c>
      <c r="AA309" s="52">
        <f t="shared" si="61"/>
        <v>56990000</v>
      </c>
      <c r="AB309" s="41">
        <f t="shared" si="62"/>
        <v>66.666666666666657</v>
      </c>
      <c r="AC309" s="34" t="s">
        <v>44</v>
      </c>
      <c r="AD309" s="90">
        <f t="shared" si="63"/>
        <v>10.066244864099954</v>
      </c>
      <c r="AE309" s="17"/>
      <c r="AF309" s="2"/>
      <c r="AG309" s="2"/>
      <c r="AH309" s="55"/>
      <c r="AI309" s="2"/>
      <c r="AJ309" s="2"/>
      <c r="AK309" s="2"/>
    </row>
    <row r="310" spans="1:37" ht="150">
      <c r="A310" s="43"/>
      <c r="B310" s="39"/>
      <c r="C310" s="46" t="s">
        <v>458</v>
      </c>
      <c r="D310" s="47" t="s">
        <v>443</v>
      </c>
      <c r="E310" s="48">
        <v>36</v>
      </c>
      <c r="F310" s="77" t="s">
        <v>62</v>
      </c>
      <c r="G310" s="91">
        <v>457469400</v>
      </c>
      <c r="H310" s="101">
        <v>12</v>
      </c>
      <c r="I310" s="50">
        <v>254259400</v>
      </c>
      <c r="J310" s="51">
        <v>12</v>
      </c>
      <c r="K310" s="50">
        <v>30481500</v>
      </c>
      <c r="L310" s="33">
        <v>3</v>
      </c>
      <c r="M310" s="103" t="s">
        <v>229</v>
      </c>
      <c r="N310" s="51">
        <v>3</v>
      </c>
      <c r="O310" s="50">
        <v>3300000</v>
      </c>
      <c r="P310" s="51">
        <v>3</v>
      </c>
      <c r="Q310" s="50">
        <v>9740000</v>
      </c>
      <c r="R310" s="112">
        <v>1</v>
      </c>
      <c r="S310" s="107">
        <v>3300000</v>
      </c>
      <c r="T310" s="102">
        <f t="shared" si="65"/>
        <v>10</v>
      </c>
      <c r="U310" s="60">
        <f t="shared" si="58"/>
        <v>83.333333333333343</v>
      </c>
      <c r="V310" s="34" t="s">
        <v>44</v>
      </c>
      <c r="W310" s="52">
        <f t="shared" si="64"/>
        <v>16340000</v>
      </c>
      <c r="X310" s="60">
        <f t="shared" si="60"/>
        <v>53.606285779899288</v>
      </c>
      <c r="Y310" s="34" t="s">
        <v>44</v>
      </c>
      <c r="Z310" s="102">
        <f t="shared" si="66"/>
        <v>22</v>
      </c>
      <c r="AA310" s="52">
        <f t="shared" si="61"/>
        <v>270599400</v>
      </c>
      <c r="AB310" s="41">
        <f t="shared" si="62"/>
        <v>61.111111111111114</v>
      </c>
      <c r="AC310" s="34" t="s">
        <v>44</v>
      </c>
      <c r="AD310" s="90">
        <f t="shared" si="63"/>
        <v>59.151366189738596</v>
      </c>
      <c r="AE310" s="17"/>
      <c r="AF310" s="2"/>
      <c r="AG310" s="2"/>
      <c r="AH310" s="55"/>
      <c r="AI310" s="2"/>
      <c r="AJ310" s="2"/>
      <c r="AK310" s="2"/>
    </row>
    <row r="311" spans="1:37" ht="150">
      <c r="A311" s="43"/>
      <c r="B311" s="39"/>
      <c r="C311" s="46" t="s">
        <v>459</v>
      </c>
      <c r="D311" s="47" t="s">
        <v>443</v>
      </c>
      <c r="E311" s="48">
        <v>36</v>
      </c>
      <c r="F311" s="77" t="s">
        <v>62</v>
      </c>
      <c r="G311" s="91">
        <v>440927050</v>
      </c>
      <c r="H311" s="101">
        <v>12</v>
      </c>
      <c r="I311" s="50">
        <v>46060300</v>
      </c>
      <c r="J311" s="51">
        <v>12</v>
      </c>
      <c r="K311" s="50">
        <v>19254600</v>
      </c>
      <c r="L311" s="115">
        <v>3</v>
      </c>
      <c r="M311" s="116">
        <v>0</v>
      </c>
      <c r="N311" s="117">
        <v>3</v>
      </c>
      <c r="O311" s="107">
        <v>6285000</v>
      </c>
      <c r="P311" s="117">
        <v>3</v>
      </c>
      <c r="Q311" s="107">
        <v>5224800</v>
      </c>
      <c r="R311" s="118">
        <v>3</v>
      </c>
      <c r="S311" s="107">
        <v>3300000</v>
      </c>
      <c r="T311" s="102">
        <f t="shared" si="65"/>
        <v>12</v>
      </c>
      <c r="U311" s="60">
        <f t="shared" si="58"/>
        <v>100</v>
      </c>
      <c r="V311" s="34" t="s">
        <v>44</v>
      </c>
      <c r="W311" s="52">
        <f t="shared" si="64"/>
        <v>14809800</v>
      </c>
      <c r="X311" s="60">
        <f t="shared" si="60"/>
        <v>76.915646131314077</v>
      </c>
      <c r="Y311" s="34" t="s">
        <v>44</v>
      </c>
      <c r="Z311" s="102">
        <f t="shared" si="66"/>
        <v>24</v>
      </c>
      <c r="AA311" s="52">
        <f t="shared" si="61"/>
        <v>60870100</v>
      </c>
      <c r="AB311" s="41">
        <f t="shared" si="62"/>
        <v>66.666666666666657</v>
      </c>
      <c r="AC311" s="34" t="s">
        <v>44</v>
      </c>
      <c r="AD311" s="90">
        <f t="shared" si="63"/>
        <v>13.805027384915485</v>
      </c>
      <c r="AE311" s="17"/>
      <c r="AF311" s="2"/>
      <c r="AG311" s="2"/>
      <c r="AH311" s="55"/>
      <c r="AI311" s="2"/>
      <c r="AJ311" s="2"/>
      <c r="AK311" s="2"/>
    </row>
    <row r="312" spans="1:37" ht="150">
      <c r="A312" s="43"/>
      <c r="B312" s="39"/>
      <c r="C312" s="46" t="s">
        <v>460</v>
      </c>
      <c r="D312" s="47" t="s">
        <v>443</v>
      </c>
      <c r="E312" s="48">
        <v>36</v>
      </c>
      <c r="F312" s="77" t="s">
        <v>62</v>
      </c>
      <c r="G312" s="91">
        <v>415118000</v>
      </c>
      <c r="H312" s="101">
        <v>12</v>
      </c>
      <c r="I312" s="50">
        <v>17670000</v>
      </c>
      <c r="J312" s="51">
        <v>12</v>
      </c>
      <c r="K312" s="50">
        <v>38754300</v>
      </c>
      <c r="L312" s="33">
        <v>3</v>
      </c>
      <c r="M312" s="50">
        <v>0</v>
      </c>
      <c r="N312" s="51">
        <v>3</v>
      </c>
      <c r="O312" s="50">
        <v>12940000</v>
      </c>
      <c r="P312" s="51">
        <v>3</v>
      </c>
      <c r="Q312" s="50">
        <v>3630000</v>
      </c>
      <c r="R312" s="112">
        <v>3</v>
      </c>
      <c r="S312" s="78">
        <v>5860000</v>
      </c>
      <c r="T312" s="102">
        <f t="shared" si="65"/>
        <v>12</v>
      </c>
      <c r="U312" s="60">
        <f t="shared" si="58"/>
        <v>100</v>
      </c>
      <c r="V312" s="34" t="s">
        <v>44</v>
      </c>
      <c r="W312" s="52">
        <f t="shared" si="64"/>
        <v>22430000</v>
      </c>
      <c r="X312" s="60">
        <f t="shared" si="60"/>
        <v>57.877448437979787</v>
      </c>
      <c r="Y312" s="34" t="s">
        <v>44</v>
      </c>
      <c r="Z312" s="102">
        <f t="shared" si="66"/>
        <v>24</v>
      </c>
      <c r="AA312" s="52">
        <f t="shared" si="61"/>
        <v>40100000</v>
      </c>
      <c r="AB312" s="41">
        <f t="shared" si="62"/>
        <v>66.666666666666657</v>
      </c>
      <c r="AC312" s="34" t="s">
        <v>44</v>
      </c>
      <c r="AD312" s="90">
        <f t="shared" si="63"/>
        <v>9.6599039309304828</v>
      </c>
      <c r="AE312" s="17"/>
      <c r="AF312" s="2"/>
      <c r="AG312" s="2"/>
      <c r="AH312" s="55"/>
      <c r="AI312" s="2"/>
      <c r="AJ312" s="2"/>
      <c r="AK312" s="2"/>
    </row>
    <row r="313" spans="1:37" ht="150">
      <c r="A313" s="43"/>
      <c r="B313" s="39"/>
      <c r="C313" s="46" t="s">
        <v>461</v>
      </c>
      <c r="D313" s="47" t="s">
        <v>443</v>
      </c>
      <c r="E313" s="48">
        <v>24</v>
      </c>
      <c r="F313" s="77" t="s">
        <v>62</v>
      </c>
      <c r="G313" s="91">
        <v>399406040</v>
      </c>
      <c r="H313" s="101">
        <v>12</v>
      </c>
      <c r="I313" s="50">
        <v>31170000</v>
      </c>
      <c r="J313" s="51">
        <v>12</v>
      </c>
      <c r="K313" s="50">
        <v>42642340</v>
      </c>
      <c r="L313" s="33">
        <v>3</v>
      </c>
      <c r="M313" s="103" t="s">
        <v>229</v>
      </c>
      <c r="N313" s="51">
        <v>3</v>
      </c>
      <c r="O313" s="50">
        <v>16850000</v>
      </c>
      <c r="P313" s="51">
        <v>3</v>
      </c>
      <c r="Q313" s="50">
        <v>13984740</v>
      </c>
      <c r="R313" s="101">
        <v>3</v>
      </c>
      <c r="S313" s="50">
        <v>9934740</v>
      </c>
      <c r="T313" s="102">
        <f t="shared" si="65"/>
        <v>12</v>
      </c>
      <c r="U313" s="60">
        <f t="shared" si="58"/>
        <v>100</v>
      </c>
      <c r="V313" s="34" t="s">
        <v>44</v>
      </c>
      <c r="W313" s="52">
        <f t="shared" si="64"/>
        <v>40769480</v>
      </c>
      <c r="X313" s="60">
        <f t="shared" si="60"/>
        <v>95.60798023748228</v>
      </c>
      <c r="Y313" s="34" t="s">
        <v>44</v>
      </c>
      <c r="Z313" s="102">
        <f t="shared" si="66"/>
        <v>24</v>
      </c>
      <c r="AA313" s="52">
        <f t="shared" si="61"/>
        <v>71939480</v>
      </c>
      <c r="AB313" s="41">
        <f t="shared" si="62"/>
        <v>100</v>
      </c>
      <c r="AC313" s="34" t="s">
        <v>44</v>
      </c>
      <c r="AD313" s="90">
        <f t="shared" si="63"/>
        <v>18.011615447778407</v>
      </c>
      <c r="AE313" s="17"/>
      <c r="AF313" s="2"/>
      <c r="AG313" s="2"/>
      <c r="AH313" s="55"/>
      <c r="AI313" s="2"/>
      <c r="AJ313" s="2"/>
      <c r="AK313" s="2"/>
    </row>
    <row r="314" spans="1:37" ht="150">
      <c r="A314" s="43"/>
      <c r="B314" s="39"/>
      <c r="C314" s="46" t="s">
        <v>462</v>
      </c>
      <c r="D314" s="47" t="s">
        <v>443</v>
      </c>
      <c r="E314" s="48">
        <v>36</v>
      </c>
      <c r="F314" s="77" t="s">
        <v>62</v>
      </c>
      <c r="G314" s="91">
        <v>95000000</v>
      </c>
      <c r="H314" s="101">
        <v>12</v>
      </c>
      <c r="I314" s="50">
        <v>31550000</v>
      </c>
      <c r="J314" s="51">
        <v>12</v>
      </c>
      <c r="K314" s="50">
        <v>41360000</v>
      </c>
      <c r="L314" s="33">
        <v>3</v>
      </c>
      <c r="M314" s="103" t="s">
        <v>229</v>
      </c>
      <c r="N314" s="51">
        <v>3</v>
      </c>
      <c r="O314" s="50">
        <v>5850000</v>
      </c>
      <c r="P314" s="51">
        <v>3</v>
      </c>
      <c r="Q314" s="50">
        <v>3000000</v>
      </c>
      <c r="R314" s="101">
        <v>3</v>
      </c>
      <c r="S314" s="50">
        <v>8160000</v>
      </c>
      <c r="T314" s="102">
        <f t="shared" si="65"/>
        <v>12</v>
      </c>
      <c r="U314" s="60">
        <f t="shared" si="58"/>
        <v>100</v>
      </c>
      <c r="V314" s="34" t="s">
        <v>44</v>
      </c>
      <c r="W314" s="52">
        <f t="shared" si="64"/>
        <v>17010000</v>
      </c>
      <c r="X314" s="60">
        <f t="shared" si="60"/>
        <v>41.126692456479688</v>
      </c>
      <c r="Y314" s="34" t="s">
        <v>44</v>
      </c>
      <c r="Z314" s="102">
        <f t="shared" si="66"/>
        <v>24</v>
      </c>
      <c r="AA314" s="52">
        <f t="shared" si="61"/>
        <v>48560000</v>
      </c>
      <c r="AB314" s="41">
        <f t="shared" si="62"/>
        <v>66.666666666666657</v>
      </c>
      <c r="AC314" s="34" t="s">
        <v>44</v>
      </c>
      <c r="AD314" s="90">
        <f t="shared" si="63"/>
        <v>51.115789473684217</v>
      </c>
      <c r="AE314" s="17"/>
      <c r="AF314" s="2"/>
      <c r="AG314" s="2"/>
      <c r="AH314" s="55"/>
      <c r="AI314" s="2"/>
      <c r="AJ314" s="2"/>
      <c r="AK314" s="2"/>
    </row>
    <row r="315" spans="1:37" ht="150">
      <c r="A315" s="43"/>
      <c r="B315" s="39"/>
      <c r="C315" s="46" t="s">
        <v>463</v>
      </c>
      <c r="D315" s="47" t="s">
        <v>443</v>
      </c>
      <c r="E315" s="48">
        <v>24</v>
      </c>
      <c r="F315" s="77" t="s">
        <v>62</v>
      </c>
      <c r="G315" s="91">
        <v>399350000</v>
      </c>
      <c r="H315" s="101">
        <v>12</v>
      </c>
      <c r="I315" s="50">
        <v>74200000</v>
      </c>
      <c r="J315" s="51">
        <v>12</v>
      </c>
      <c r="K315" s="50">
        <v>35055000</v>
      </c>
      <c r="L315" s="33">
        <v>3</v>
      </c>
      <c r="M315" s="103" t="s">
        <v>229</v>
      </c>
      <c r="N315" s="51">
        <v>3</v>
      </c>
      <c r="O315" s="50">
        <v>10975000</v>
      </c>
      <c r="P315" s="51">
        <v>3</v>
      </c>
      <c r="Q315" s="50">
        <v>3475000</v>
      </c>
      <c r="R315" s="112">
        <v>3</v>
      </c>
      <c r="S315" s="107">
        <v>9650000</v>
      </c>
      <c r="T315" s="102">
        <f t="shared" si="65"/>
        <v>12</v>
      </c>
      <c r="U315" s="60">
        <f t="shared" si="58"/>
        <v>100</v>
      </c>
      <c r="V315" s="34" t="s">
        <v>44</v>
      </c>
      <c r="W315" s="52">
        <f t="shared" si="64"/>
        <v>24100000</v>
      </c>
      <c r="X315" s="60">
        <f t="shared" si="60"/>
        <v>68.749108543717014</v>
      </c>
      <c r="Y315" s="34" t="s">
        <v>44</v>
      </c>
      <c r="Z315" s="102">
        <f t="shared" si="66"/>
        <v>24</v>
      </c>
      <c r="AA315" s="52">
        <f t="shared" si="61"/>
        <v>98300000</v>
      </c>
      <c r="AB315" s="41">
        <f t="shared" si="62"/>
        <v>100</v>
      </c>
      <c r="AC315" s="34" t="s">
        <v>44</v>
      </c>
      <c r="AD315" s="90">
        <f t="shared" si="63"/>
        <v>24.61499937398272</v>
      </c>
      <c r="AE315" s="17"/>
      <c r="AF315" s="2"/>
      <c r="AG315" s="2"/>
      <c r="AH315" s="55"/>
      <c r="AI315" s="2"/>
      <c r="AJ315" s="2"/>
      <c r="AK315" s="2"/>
    </row>
    <row r="316" spans="1:37" ht="90">
      <c r="A316" s="43"/>
      <c r="B316" s="39"/>
      <c r="C316" s="46" t="s">
        <v>464</v>
      </c>
      <c r="D316" s="47" t="s">
        <v>465</v>
      </c>
      <c r="E316" s="48">
        <v>36</v>
      </c>
      <c r="F316" s="77" t="s">
        <v>62</v>
      </c>
      <c r="G316" s="50">
        <v>1470311350</v>
      </c>
      <c r="H316" s="51">
        <v>12</v>
      </c>
      <c r="I316" s="50">
        <v>77415000</v>
      </c>
      <c r="J316" s="51">
        <v>12</v>
      </c>
      <c r="K316" s="50">
        <v>1390138850</v>
      </c>
      <c r="L316" s="33">
        <v>3</v>
      </c>
      <c r="M316" s="50">
        <v>0</v>
      </c>
      <c r="N316" s="51">
        <v>3</v>
      </c>
      <c r="O316" s="50">
        <v>28847500</v>
      </c>
      <c r="P316" s="51">
        <v>3</v>
      </c>
      <c r="Q316" s="50">
        <f>917186590-O316</f>
        <v>888339090</v>
      </c>
      <c r="R316" s="51">
        <v>3</v>
      </c>
      <c r="S316" s="50">
        <f>1146891590-O316-Q316</f>
        <v>229705000</v>
      </c>
      <c r="T316" s="33">
        <f t="shared" si="65"/>
        <v>12</v>
      </c>
      <c r="U316" s="34">
        <f t="shared" si="58"/>
        <v>100</v>
      </c>
      <c r="V316" s="34" t="s">
        <v>44</v>
      </c>
      <c r="W316" s="52">
        <f t="shared" si="64"/>
        <v>1146891590</v>
      </c>
      <c r="X316" s="60">
        <f t="shared" si="60"/>
        <v>82.501945039518901</v>
      </c>
      <c r="Y316" s="34" t="s">
        <v>44</v>
      </c>
      <c r="Z316" s="34">
        <f t="shared" si="66"/>
        <v>24</v>
      </c>
      <c r="AA316" s="52">
        <f t="shared" si="61"/>
        <v>1224306590</v>
      </c>
      <c r="AB316" s="41">
        <f t="shared" si="62"/>
        <v>66.666666666666657</v>
      </c>
      <c r="AC316" s="34" t="s">
        <v>44</v>
      </c>
      <c r="AD316" s="90">
        <f t="shared" si="63"/>
        <v>83.268526084628263</v>
      </c>
      <c r="AE316" s="17"/>
      <c r="AF316" s="2"/>
      <c r="AG316" s="2"/>
      <c r="AH316" s="55"/>
      <c r="AI316" s="2"/>
      <c r="AJ316" s="2"/>
      <c r="AK316" s="2"/>
    </row>
    <row r="317" spans="1:37" ht="90">
      <c r="A317" s="43"/>
      <c r="B317" s="39"/>
      <c r="C317" s="46" t="s">
        <v>466</v>
      </c>
      <c r="D317" s="47" t="s">
        <v>465</v>
      </c>
      <c r="E317" s="48">
        <v>36</v>
      </c>
      <c r="F317" s="77" t="s">
        <v>62</v>
      </c>
      <c r="G317" s="91">
        <v>35915000</v>
      </c>
      <c r="H317" s="101">
        <v>12</v>
      </c>
      <c r="I317" s="50">
        <v>1322000</v>
      </c>
      <c r="J317" s="51">
        <v>12</v>
      </c>
      <c r="K317" s="50">
        <v>34480000</v>
      </c>
      <c r="L317" s="33">
        <v>3</v>
      </c>
      <c r="M317" s="103" t="s">
        <v>229</v>
      </c>
      <c r="N317" s="51">
        <v>3</v>
      </c>
      <c r="O317" s="50">
        <v>12225000</v>
      </c>
      <c r="P317" s="51">
        <v>3</v>
      </c>
      <c r="Q317" s="50">
        <v>9752500</v>
      </c>
      <c r="R317" s="101">
        <v>3</v>
      </c>
      <c r="S317" s="50">
        <v>11890000</v>
      </c>
      <c r="T317" s="102">
        <f t="shared" si="65"/>
        <v>12</v>
      </c>
      <c r="U317" s="60">
        <f t="shared" si="58"/>
        <v>100</v>
      </c>
      <c r="V317" s="34" t="s">
        <v>44</v>
      </c>
      <c r="W317" s="52">
        <f t="shared" si="64"/>
        <v>33867500</v>
      </c>
      <c r="X317" s="60">
        <f t="shared" si="60"/>
        <v>98.223607888631093</v>
      </c>
      <c r="Y317" s="34" t="s">
        <v>44</v>
      </c>
      <c r="Z317" s="102">
        <f t="shared" si="66"/>
        <v>24</v>
      </c>
      <c r="AA317" s="52">
        <f t="shared" si="61"/>
        <v>35189500</v>
      </c>
      <c r="AB317" s="41">
        <f t="shared" si="62"/>
        <v>66.666666666666657</v>
      </c>
      <c r="AC317" s="34" t="s">
        <v>44</v>
      </c>
      <c r="AD317" s="90">
        <f t="shared" si="63"/>
        <v>97.979952666016985</v>
      </c>
      <c r="AE317" s="17"/>
      <c r="AF317" s="2"/>
      <c r="AG317" s="2"/>
      <c r="AH317" s="55"/>
      <c r="AI317" s="2"/>
      <c r="AJ317" s="2"/>
      <c r="AK317" s="2"/>
    </row>
    <row r="318" spans="1:37" ht="90">
      <c r="A318" s="43"/>
      <c r="B318" s="39"/>
      <c r="C318" s="46" t="s">
        <v>467</v>
      </c>
      <c r="D318" s="47" t="s">
        <v>465</v>
      </c>
      <c r="E318" s="48">
        <v>36</v>
      </c>
      <c r="F318" s="77" t="s">
        <v>62</v>
      </c>
      <c r="G318" s="91">
        <v>33530000</v>
      </c>
      <c r="H318" s="101">
        <v>12</v>
      </c>
      <c r="I318" s="50">
        <v>30700000</v>
      </c>
      <c r="J318" s="51">
        <v>12</v>
      </c>
      <c r="K318" s="50">
        <v>875000</v>
      </c>
      <c r="L318" s="33">
        <v>3</v>
      </c>
      <c r="M318" s="103" t="s">
        <v>229</v>
      </c>
      <c r="N318" s="51">
        <v>3</v>
      </c>
      <c r="O318" s="50">
        <v>0</v>
      </c>
      <c r="P318" s="51">
        <v>3</v>
      </c>
      <c r="Q318" s="50">
        <v>810000</v>
      </c>
      <c r="R318" s="101">
        <v>3</v>
      </c>
      <c r="S318" s="50">
        <v>0</v>
      </c>
      <c r="T318" s="102">
        <f t="shared" si="65"/>
        <v>12</v>
      </c>
      <c r="U318" s="60">
        <f t="shared" si="58"/>
        <v>100</v>
      </c>
      <c r="V318" s="34" t="s">
        <v>44</v>
      </c>
      <c r="W318" s="52">
        <f t="shared" si="64"/>
        <v>810000</v>
      </c>
      <c r="X318" s="60">
        <f t="shared" si="60"/>
        <v>92.571428571428569</v>
      </c>
      <c r="Y318" s="34" t="s">
        <v>44</v>
      </c>
      <c r="Z318" s="102">
        <f t="shared" si="66"/>
        <v>24</v>
      </c>
      <c r="AA318" s="52">
        <f t="shared" si="61"/>
        <v>31510000</v>
      </c>
      <c r="AB318" s="41">
        <f t="shared" si="62"/>
        <v>66.666666666666657</v>
      </c>
      <c r="AC318" s="34" t="s">
        <v>44</v>
      </c>
      <c r="AD318" s="90">
        <f t="shared" si="63"/>
        <v>93.975544288696682</v>
      </c>
      <c r="AE318" s="17"/>
      <c r="AF318" s="2"/>
      <c r="AG318" s="2"/>
      <c r="AH318" s="55"/>
      <c r="AI318" s="2"/>
      <c r="AJ318" s="2"/>
      <c r="AK318" s="2"/>
    </row>
    <row r="319" spans="1:37" ht="90">
      <c r="A319" s="43"/>
      <c r="B319" s="39"/>
      <c r="C319" s="46" t="s">
        <v>468</v>
      </c>
      <c r="D319" s="47" t="s">
        <v>465</v>
      </c>
      <c r="E319" s="48">
        <v>36</v>
      </c>
      <c r="F319" s="77" t="s">
        <v>62</v>
      </c>
      <c r="G319" s="91">
        <v>123578000</v>
      </c>
      <c r="H319" s="101">
        <v>12</v>
      </c>
      <c r="I319" s="50">
        <v>72698000</v>
      </c>
      <c r="J319" s="51">
        <v>12</v>
      </c>
      <c r="K319" s="50">
        <v>25440000</v>
      </c>
      <c r="L319" s="33">
        <v>3</v>
      </c>
      <c r="M319" s="103" t="s">
        <v>229</v>
      </c>
      <c r="N319" s="51">
        <v>3</v>
      </c>
      <c r="O319" s="50">
        <v>3480000</v>
      </c>
      <c r="P319" s="51">
        <v>3</v>
      </c>
      <c r="Q319" s="50">
        <v>12200000</v>
      </c>
      <c r="R319" s="101">
        <v>3</v>
      </c>
      <c r="S319" s="50">
        <v>9760000</v>
      </c>
      <c r="T319" s="102">
        <f t="shared" si="65"/>
        <v>12</v>
      </c>
      <c r="U319" s="60">
        <f t="shared" si="58"/>
        <v>100</v>
      </c>
      <c r="V319" s="34" t="s">
        <v>44</v>
      </c>
      <c r="W319" s="52">
        <f t="shared" si="64"/>
        <v>25440000</v>
      </c>
      <c r="X319" s="60">
        <f t="shared" si="60"/>
        <v>100</v>
      </c>
      <c r="Y319" s="34" t="s">
        <v>44</v>
      </c>
      <c r="Z319" s="102">
        <f t="shared" si="66"/>
        <v>24</v>
      </c>
      <c r="AA319" s="52">
        <f t="shared" si="61"/>
        <v>98138000</v>
      </c>
      <c r="AB319" s="41">
        <f t="shared" si="62"/>
        <v>66.666666666666657</v>
      </c>
      <c r="AC319" s="34" t="s">
        <v>44</v>
      </c>
      <c r="AD319" s="90">
        <f t="shared" si="63"/>
        <v>79.413811519849816</v>
      </c>
      <c r="AE319" s="17"/>
      <c r="AF319" s="2"/>
      <c r="AG319" s="2"/>
      <c r="AH319" s="55"/>
      <c r="AI319" s="2"/>
      <c r="AJ319" s="2"/>
      <c r="AK319" s="2"/>
    </row>
    <row r="320" spans="1:37" ht="90">
      <c r="A320" s="43"/>
      <c r="B320" s="39"/>
      <c r="C320" s="46" t="s">
        <v>469</v>
      </c>
      <c r="D320" s="47" t="s">
        <v>465</v>
      </c>
      <c r="E320" s="48">
        <v>36</v>
      </c>
      <c r="F320" s="77" t="s">
        <v>62</v>
      </c>
      <c r="G320" s="91">
        <v>95445800</v>
      </c>
      <c r="H320" s="101">
        <v>12</v>
      </c>
      <c r="I320" s="50">
        <v>8490000</v>
      </c>
      <c r="J320" s="51">
        <v>12</v>
      </c>
      <c r="K320" s="50">
        <v>37082900</v>
      </c>
      <c r="L320" s="33">
        <v>3</v>
      </c>
      <c r="M320" s="103" t="s">
        <v>229</v>
      </c>
      <c r="N320" s="51">
        <v>3</v>
      </c>
      <c r="O320" s="50">
        <v>15692500</v>
      </c>
      <c r="P320" s="51">
        <v>3</v>
      </c>
      <c r="Q320" s="50">
        <v>10908000</v>
      </c>
      <c r="R320" s="101">
        <v>3</v>
      </c>
      <c r="S320" s="50">
        <v>8960000</v>
      </c>
      <c r="T320" s="102">
        <f t="shared" si="65"/>
        <v>12</v>
      </c>
      <c r="U320" s="60">
        <f t="shared" si="58"/>
        <v>100</v>
      </c>
      <c r="V320" s="34" t="s">
        <v>44</v>
      </c>
      <c r="W320" s="52">
        <f t="shared" si="64"/>
        <v>35560500</v>
      </c>
      <c r="X320" s="60">
        <f t="shared" si="60"/>
        <v>95.894603712223159</v>
      </c>
      <c r="Y320" s="34" t="s">
        <v>44</v>
      </c>
      <c r="Z320" s="102">
        <f t="shared" si="66"/>
        <v>24</v>
      </c>
      <c r="AA320" s="52">
        <f t="shared" si="61"/>
        <v>44050500</v>
      </c>
      <c r="AB320" s="41">
        <f t="shared" si="62"/>
        <v>66.666666666666657</v>
      </c>
      <c r="AC320" s="34" t="s">
        <v>44</v>
      </c>
      <c r="AD320" s="90">
        <f t="shared" si="63"/>
        <v>46.152371293446123</v>
      </c>
      <c r="AE320" s="17"/>
      <c r="AF320" s="2"/>
      <c r="AG320" s="2"/>
      <c r="AH320" s="55"/>
      <c r="AI320" s="2"/>
      <c r="AJ320" s="2"/>
      <c r="AK320" s="2"/>
    </row>
    <row r="321" spans="1:37" ht="90">
      <c r="A321" s="43"/>
      <c r="B321" s="39"/>
      <c r="C321" s="46" t="s">
        <v>470</v>
      </c>
      <c r="D321" s="47" t="s">
        <v>465</v>
      </c>
      <c r="E321" s="48">
        <v>36</v>
      </c>
      <c r="F321" s="77" t="s">
        <v>62</v>
      </c>
      <c r="G321" s="91">
        <v>136210000</v>
      </c>
      <c r="H321" s="101">
        <v>12</v>
      </c>
      <c r="I321" s="50">
        <v>21724000</v>
      </c>
      <c r="J321" s="51">
        <v>12</v>
      </c>
      <c r="K321" s="50">
        <v>57243000</v>
      </c>
      <c r="L321" s="33">
        <v>3</v>
      </c>
      <c r="M321" s="103" t="s">
        <v>229</v>
      </c>
      <c r="N321" s="51">
        <v>3</v>
      </c>
      <c r="O321" s="50">
        <v>25000</v>
      </c>
      <c r="P321" s="51">
        <v>3</v>
      </c>
      <c r="Q321" s="50">
        <v>30250000</v>
      </c>
      <c r="R321" s="101">
        <v>3</v>
      </c>
      <c r="S321" s="50">
        <v>26330000</v>
      </c>
      <c r="T321" s="102">
        <f t="shared" si="65"/>
        <v>12</v>
      </c>
      <c r="U321" s="60">
        <f t="shared" si="58"/>
        <v>100</v>
      </c>
      <c r="V321" s="34" t="s">
        <v>44</v>
      </c>
      <c r="W321" s="52">
        <f t="shared" si="64"/>
        <v>56605000</v>
      </c>
      <c r="X321" s="60">
        <f t="shared" si="60"/>
        <v>98.885453243191307</v>
      </c>
      <c r="Y321" s="34" t="s">
        <v>44</v>
      </c>
      <c r="Z321" s="102">
        <f t="shared" si="66"/>
        <v>24</v>
      </c>
      <c r="AA321" s="52">
        <f t="shared" si="61"/>
        <v>78329000</v>
      </c>
      <c r="AB321" s="41">
        <f t="shared" si="62"/>
        <v>66.666666666666657</v>
      </c>
      <c r="AC321" s="34" t="s">
        <v>44</v>
      </c>
      <c r="AD321" s="90">
        <f t="shared" si="63"/>
        <v>57.506056824021734</v>
      </c>
      <c r="AE321" s="17"/>
      <c r="AF321" s="2"/>
      <c r="AG321" s="2"/>
      <c r="AH321" s="55"/>
      <c r="AI321" s="2"/>
      <c r="AJ321" s="2"/>
      <c r="AK321" s="2"/>
    </row>
    <row r="322" spans="1:37" ht="90">
      <c r="A322" s="43"/>
      <c r="B322" s="39"/>
      <c r="C322" s="46" t="s">
        <v>471</v>
      </c>
      <c r="D322" s="47" t="s">
        <v>465</v>
      </c>
      <c r="E322" s="48">
        <v>36</v>
      </c>
      <c r="F322" s="77" t="s">
        <v>62</v>
      </c>
      <c r="G322" s="91">
        <v>234125000</v>
      </c>
      <c r="H322" s="101">
        <v>12</v>
      </c>
      <c r="I322" s="50">
        <v>22240000</v>
      </c>
      <c r="J322" s="51">
        <v>12</v>
      </c>
      <c r="K322" s="50">
        <v>105942500</v>
      </c>
      <c r="L322" s="33">
        <v>3</v>
      </c>
      <c r="M322" s="103" t="s">
        <v>229</v>
      </c>
      <c r="N322" s="51">
        <v>3</v>
      </c>
      <c r="O322" s="50">
        <v>12660000</v>
      </c>
      <c r="P322" s="51">
        <v>3</v>
      </c>
      <c r="Q322" s="50">
        <v>48276000</v>
      </c>
      <c r="R322" s="101">
        <v>3</v>
      </c>
      <c r="S322" s="50">
        <v>31848500</v>
      </c>
      <c r="T322" s="102">
        <f t="shared" si="65"/>
        <v>12</v>
      </c>
      <c r="U322" s="60">
        <f t="shared" si="58"/>
        <v>100</v>
      </c>
      <c r="V322" s="34" t="s">
        <v>44</v>
      </c>
      <c r="W322" s="52">
        <f t="shared" si="64"/>
        <v>92784500</v>
      </c>
      <c r="X322" s="60">
        <f t="shared" si="60"/>
        <v>87.580055218632751</v>
      </c>
      <c r="Y322" s="34" t="s">
        <v>44</v>
      </c>
      <c r="Z322" s="102">
        <f t="shared" si="66"/>
        <v>24</v>
      </c>
      <c r="AA322" s="52">
        <f t="shared" si="61"/>
        <v>115024500</v>
      </c>
      <c r="AB322" s="41">
        <f t="shared" si="62"/>
        <v>66.666666666666657</v>
      </c>
      <c r="AC322" s="34" t="s">
        <v>44</v>
      </c>
      <c r="AD322" s="90">
        <f t="shared" si="63"/>
        <v>49.129524826481578</v>
      </c>
      <c r="AE322" s="17"/>
      <c r="AF322" s="2"/>
      <c r="AG322" s="2"/>
      <c r="AH322" s="55"/>
      <c r="AI322" s="2"/>
      <c r="AJ322" s="2"/>
      <c r="AK322" s="2"/>
    </row>
    <row r="323" spans="1:37" ht="90">
      <c r="A323" s="43"/>
      <c r="B323" s="39"/>
      <c r="C323" s="46" t="s">
        <v>472</v>
      </c>
      <c r="D323" s="47" t="s">
        <v>465</v>
      </c>
      <c r="E323" s="48">
        <v>36</v>
      </c>
      <c r="F323" s="77" t="s">
        <v>62</v>
      </c>
      <c r="G323" s="91">
        <v>220305000</v>
      </c>
      <c r="H323" s="101">
        <v>12</v>
      </c>
      <c r="I323" s="50">
        <v>7992000</v>
      </c>
      <c r="J323" s="51">
        <v>12</v>
      </c>
      <c r="K323" s="50">
        <v>95150000</v>
      </c>
      <c r="L323" s="33">
        <v>3</v>
      </c>
      <c r="M323" s="103" t="s">
        <v>229</v>
      </c>
      <c r="N323" s="51">
        <v>3</v>
      </c>
      <c r="O323" s="50">
        <v>35200000</v>
      </c>
      <c r="P323" s="51">
        <v>3</v>
      </c>
      <c r="Q323" s="50">
        <v>29550000</v>
      </c>
      <c r="R323" s="101">
        <v>3</v>
      </c>
      <c r="S323" s="50">
        <v>30400000</v>
      </c>
      <c r="T323" s="102">
        <f t="shared" si="65"/>
        <v>12</v>
      </c>
      <c r="U323" s="60">
        <f t="shared" si="58"/>
        <v>100</v>
      </c>
      <c r="V323" s="34" t="s">
        <v>44</v>
      </c>
      <c r="W323" s="52">
        <f t="shared" si="64"/>
        <v>95150000</v>
      </c>
      <c r="X323" s="60">
        <f t="shared" si="60"/>
        <v>100</v>
      </c>
      <c r="Y323" s="34" t="s">
        <v>44</v>
      </c>
      <c r="Z323" s="102">
        <f t="shared" si="66"/>
        <v>24</v>
      </c>
      <c r="AA323" s="52">
        <f t="shared" si="61"/>
        <v>103142000</v>
      </c>
      <c r="AB323" s="41">
        <f t="shared" si="62"/>
        <v>66.666666666666657</v>
      </c>
      <c r="AC323" s="34" t="s">
        <v>44</v>
      </c>
      <c r="AD323" s="90">
        <f t="shared" si="63"/>
        <v>46.817820748507749</v>
      </c>
      <c r="AE323" s="17"/>
      <c r="AF323" s="2"/>
      <c r="AG323" s="2"/>
      <c r="AH323" s="55"/>
      <c r="AI323" s="2"/>
      <c r="AJ323" s="2"/>
      <c r="AK323" s="2"/>
    </row>
    <row r="324" spans="1:37" ht="90">
      <c r="A324" s="43"/>
      <c r="B324" s="39"/>
      <c r="C324" s="46" t="s">
        <v>473</v>
      </c>
      <c r="D324" s="47" t="s">
        <v>465</v>
      </c>
      <c r="E324" s="48">
        <v>36</v>
      </c>
      <c r="F324" s="77" t="s">
        <v>62</v>
      </c>
      <c r="G324" s="91">
        <v>50172900</v>
      </c>
      <c r="H324" s="101">
        <v>12</v>
      </c>
      <c r="I324" s="50">
        <v>19100000</v>
      </c>
      <c r="J324" s="51">
        <v>12</v>
      </c>
      <c r="K324" s="50">
        <v>11866450</v>
      </c>
      <c r="L324" s="33">
        <v>3</v>
      </c>
      <c r="M324" s="103" t="s">
        <v>229</v>
      </c>
      <c r="N324" s="51">
        <v>3</v>
      </c>
      <c r="O324" s="50">
        <v>2520000</v>
      </c>
      <c r="P324" s="51">
        <v>3</v>
      </c>
      <c r="Q324" s="50">
        <v>5709000</v>
      </c>
      <c r="R324" s="101">
        <v>4</v>
      </c>
      <c r="S324" s="50">
        <v>3426250</v>
      </c>
      <c r="T324" s="102">
        <f t="shared" si="65"/>
        <v>13</v>
      </c>
      <c r="U324" s="60">
        <f t="shared" si="58"/>
        <v>108.33333333333333</v>
      </c>
      <c r="V324" s="34" t="s">
        <v>44</v>
      </c>
      <c r="W324" s="52">
        <f t="shared" si="64"/>
        <v>11655250</v>
      </c>
      <c r="X324" s="60">
        <f t="shared" si="60"/>
        <v>98.220192222610805</v>
      </c>
      <c r="Y324" s="34" t="s">
        <v>44</v>
      </c>
      <c r="Z324" s="102">
        <f t="shared" si="66"/>
        <v>25</v>
      </c>
      <c r="AA324" s="52">
        <f t="shared" si="61"/>
        <v>30755250</v>
      </c>
      <c r="AB324" s="41">
        <f t="shared" si="62"/>
        <v>69.444444444444443</v>
      </c>
      <c r="AC324" s="34" t="s">
        <v>44</v>
      </c>
      <c r="AD324" s="90">
        <f t="shared" si="63"/>
        <v>61.298529684351507</v>
      </c>
      <c r="AE324" s="17"/>
      <c r="AF324" s="2"/>
      <c r="AG324" s="2"/>
      <c r="AH324" s="55"/>
      <c r="AI324" s="2"/>
      <c r="AJ324" s="2"/>
      <c r="AK324" s="2"/>
    </row>
    <row r="325" spans="1:37" ht="90">
      <c r="A325" s="43"/>
      <c r="B325" s="39"/>
      <c r="C325" s="46" t="s">
        <v>474</v>
      </c>
      <c r="D325" s="47" t="s">
        <v>465</v>
      </c>
      <c r="E325" s="48">
        <v>36</v>
      </c>
      <c r="F325" s="77" t="s">
        <v>62</v>
      </c>
      <c r="G325" s="91">
        <v>54791000</v>
      </c>
      <c r="H325" s="101">
        <v>12</v>
      </c>
      <c r="I325" s="50">
        <v>13157000</v>
      </c>
      <c r="J325" s="51">
        <v>12</v>
      </c>
      <c r="K325" s="50">
        <v>20817000</v>
      </c>
      <c r="L325" s="33">
        <v>3</v>
      </c>
      <c r="M325" s="103" t="s">
        <v>229</v>
      </c>
      <c r="N325" s="51">
        <v>3</v>
      </c>
      <c r="O325" s="50">
        <v>3960000</v>
      </c>
      <c r="P325" s="51">
        <v>3</v>
      </c>
      <c r="Q325" s="50">
        <v>5940000</v>
      </c>
      <c r="R325" s="101">
        <v>3</v>
      </c>
      <c r="S325" s="50">
        <v>9657000</v>
      </c>
      <c r="T325" s="102">
        <f t="shared" si="65"/>
        <v>12</v>
      </c>
      <c r="U325" s="60">
        <f t="shared" si="58"/>
        <v>100</v>
      </c>
      <c r="V325" s="34" t="s">
        <v>44</v>
      </c>
      <c r="W325" s="52">
        <f t="shared" si="64"/>
        <v>19557000</v>
      </c>
      <c r="X325" s="60">
        <f t="shared" si="60"/>
        <v>93.947254647643746</v>
      </c>
      <c r="Y325" s="34" t="s">
        <v>44</v>
      </c>
      <c r="Z325" s="102">
        <f t="shared" si="66"/>
        <v>24</v>
      </c>
      <c r="AA325" s="52">
        <f t="shared" si="61"/>
        <v>32714000</v>
      </c>
      <c r="AB325" s="41">
        <f t="shared" si="62"/>
        <v>66.666666666666657</v>
      </c>
      <c r="AC325" s="34" t="s">
        <v>44</v>
      </c>
      <c r="AD325" s="90">
        <f t="shared" si="63"/>
        <v>59.706886167436259</v>
      </c>
      <c r="AE325" s="17"/>
      <c r="AF325" s="2"/>
      <c r="AG325" s="2"/>
      <c r="AH325" s="55"/>
      <c r="AI325" s="2"/>
      <c r="AJ325" s="2"/>
      <c r="AK325" s="2"/>
    </row>
    <row r="326" spans="1:37" ht="90">
      <c r="A326" s="43"/>
      <c r="B326" s="39"/>
      <c r="C326" s="46" t="s">
        <v>475</v>
      </c>
      <c r="D326" s="47" t="s">
        <v>465</v>
      </c>
      <c r="E326" s="48">
        <v>36</v>
      </c>
      <c r="F326" s="77" t="s">
        <v>62</v>
      </c>
      <c r="G326" s="91">
        <v>15130000</v>
      </c>
      <c r="H326" s="101">
        <v>12</v>
      </c>
      <c r="I326" s="50">
        <v>4870000</v>
      </c>
      <c r="J326" s="51">
        <v>12</v>
      </c>
      <c r="K326" s="50">
        <v>11820000</v>
      </c>
      <c r="L326" s="33">
        <v>3</v>
      </c>
      <c r="M326" s="103" t="s">
        <v>229</v>
      </c>
      <c r="N326" s="51">
        <v>3</v>
      </c>
      <c r="O326" s="50">
        <v>850000</v>
      </c>
      <c r="P326" s="51">
        <v>3</v>
      </c>
      <c r="Q326" s="50">
        <v>1700000</v>
      </c>
      <c r="R326" s="101">
        <v>3</v>
      </c>
      <c r="S326" s="50">
        <v>8420000</v>
      </c>
      <c r="T326" s="102">
        <f t="shared" si="65"/>
        <v>12</v>
      </c>
      <c r="U326" s="60">
        <f t="shared" si="58"/>
        <v>100</v>
      </c>
      <c r="V326" s="34" t="s">
        <v>44</v>
      </c>
      <c r="W326" s="52">
        <f t="shared" si="64"/>
        <v>10970000</v>
      </c>
      <c r="X326" s="60">
        <f t="shared" si="60"/>
        <v>92.808798646362106</v>
      </c>
      <c r="Y326" s="34" t="s">
        <v>44</v>
      </c>
      <c r="Z326" s="102">
        <f t="shared" si="66"/>
        <v>24</v>
      </c>
      <c r="AA326" s="52">
        <f t="shared" si="61"/>
        <v>15840000</v>
      </c>
      <c r="AB326" s="41">
        <f t="shared" si="62"/>
        <v>66.666666666666657</v>
      </c>
      <c r="AC326" s="34" t="s">
        <v>44</v>
      </c>
      <c r="AD326" s="90">
        <f t="shared" si="63"/>
        <v>104.69266358228684</v>
      </c>
      <c r="AE326" s="17"/>
      <c r="AF326" s="2"/>
      <c r="AG326" s="2"/>
      <c r="AH326" s="55"/>
      <c r="AI326" s="2"/>
      <c r="AJ326" s="2"/>
      <c r="AK326" s="2"/>
    </row>
    <row r="327" spans="1:37" ht="90">
      <c r="A327" s="43"/>
      <c r="B327" s="39"/>
      <c r="C327" s="46" t="s">
        <v>476</v>
      </c>
      <c r="D327" s="47" t="s">
        <v>465</v>
      </c>
      <c r="E327" s="48">
        <v>36</v>
      </c>
      <c r="F327" s="77" t="s">
        <v>62</v>
      </c>
      <c r="G327" s="91">
        <v>22288000</v>
      </c>
      <c r="H327" s="101">
        <v>12</v>
      </c>
      <c r="I327" s="50">
        <v>2620000</v>
      </c>
      <c r="J327" s="51">
        <v>12</v>
      </c>
      <c r="K327" s="50">
        <v>6560000</v>
      </c>
      <c r="L327" s="33">
        <v>3</v>
      </c>
      <c r="M327" s="103" t="s">
        <v>229</v>
      </c>
      <c r="N327" s="51">
        <v>3</v>
      </c>
      <c r="O327" s="50">
        <v>3660000</v>
      </c>
      <c r="P327" s="51">
        <v>3</v>
      </c>
      <c r="Q327" s="50">
        <v>3940000</v>
      </c>
      <c r="R327" s="101">
        <v>3</v>
      </c>
      <c r="S327" s="78">
        <v>4220000</v>
      </c>
      <c r="T327" s="102">
        <f t="shared" si="65"/>
        <v>12</v>
      </c>
      <c r="U327" s="60">
        <f t="shared" si="58"/>
        <v>100</v>
      </c>
      <c r="V327" s="34" t="s">
        <v>44</v>
      </c>
      <c r="W327" s="52">
        <f t="shared" si="64"/>
        <v>11820000</v>
      </c>
      <c r="X327" s="60">
        <f t="shared" si="60"/>
        <v>180.1829268292683</v>
      </c>
      <c r="Y327" s="34" t="s">
        <v>44</v>
      </c>
      <c r="Z327" s="102">
        <f t="shared" si="66"/>
        <v>24</v>
      </c>
      <c r="AA327" s="52">
        <f t="shared" si="61"/>
        <v>14440000</v>
      </c>
      <c r="AB327" s="41">
        <f t="shared" si="62"/>
        <v>66.666666666666657</v>
      </c>
      <c r="AC327" s="34" t="s">
        <v>44</v>
      </c>
      <c r="AD327" s="90">
        <f t="shared" si="63"/>
        <v>64.788226848528353</v>
      </c>
      <c r="AE327" s="17"/>
      <c r="AF327" s="2"/>
      <c r="AG327" s="2"/>
      <c r="AH327" s="55"/>
      <c r="AI327" s="2"/>
      <c r="AJ327" s="2"/>
      <c r="AK327" s="2"/>
    </row>
    <row r="328" spans="1:37" ht="90">
      <c r="A328" s="43"/>
      <c r="B328" s="39"/>
      <c r="C328" s="46" t="s">
        <v>477</v>
      </c>
      <c r="D328" s="47" t="s">
        <v>465</v>
      </c>
      <c r="E328" s="48">
        <v>36</v>
      </c>
      <c r="F328" s="77" t="s">
        <v>62</v>
      </c>
      <c r="G328" s="91">
        <v>170127400</v>
      </c>
      <c r="H328" s="101">
        <v>12</v>
      </c>
      <c r="I328" s="50">
        <v>69090000</v>
      </c>
      <c r="J328" s="51">
        <v>12</v>
      </c>
      <c r="K328" s="50">
        <v>48726700</v>
      </c>
      <c r="L328" s="33">
        <v>3</v>
      </c>
      <c r="M328" s="103" t="s">
        <v>229</v>
      </c>
      <c r="N328" s="51">
        <v>3</v>
      </c>
      <c r="O328" s="50">
        <v>2100000</v>
      </c>
      <c r="P328" s="51">
        <v>3</v>
      </c>
      <c r="Q328" s="50">
        <v>28845000</v>
      </c>
      <c r="R328" s="112">
        <v>3</v>
      </c>
      <c r="S328" s="107">
        <v>13160000</v>
      </c>
      <c r="T328" s="102">
        <f t="shared" si="65"/>
        <v>12</v>
      </c>
      <c r="U328" s="60">
        <f t="shared" si="58"/>
        <v>100</v>
      </c>
      <c r="V328" s="34" t="s">
        <v>44</v>
      </c>
      <c r="W328" s="52">
        <f t="shared" si="64"/>
        <v>44105000</v>
      </c>
      <c r="X328" s="60">
        <f t="shared" si="60"/>
        <v>90.515056426969196</v>
      </c>
      <c r="Y328" s="34" t="s">
        <v>44</v>
      </c>
      <c r="Z328" s="102">
        <f t="shared" si="66"/>
        <v>24</v>
      </c>
      <c r="AA328" s="52">
        <f t="shared" si="61"/>
        <v>113195000</v>
      </c>
      <c r="AB328" s="41">
        <f t="shared" si="62"/>
        <v>66.666666666666657</v>
      </c>
      <c r="AC328" s="34" t="s">
        <v>44</v>
      </c>
      <c r="AD328" s="90">
        <f t="shared" si="63"/>
        <v>66.535431682374508</v>
      </c>
      <c r="AE328" s="17"/>
      <c r="AF328" s="2"/>
      <c r="AG328" s="2"/>
      <c r="AH328" s="55"/>
      <c r="AI328" s="2"/>
      <c r="AJ328" s="2"/>
      <c r="AK328" s="2"/>
    </row>
    <row r="329" spans="1:37" ht="90">
      <c r="A329" s="43"/>
      <c r="B329" s="39"/>
      <c r="C329" s="46" t="s">
        <v>478</v>
      </c>
      <c r="D329" s="47" t="s">
        <v>465</v>
      </c>
      <c r="E329" s="48">
        <v>36</v>
      </c>
      <c r="F329" s="77" t="s">
        <v>62</v>
      </c>
      <c r="G329" s="91">
        <v>190220500</v>
      </c>
      <c r="H329" s="101">
        <v>20</v>
      </c>
      <c r="I329" s="50">
        <v>50794000</v>
      </c>
      <c r="J329" s="51">
        <v>20</v>
      </c>
      <c r="K329" s="50">
        <v>61673250</v>
      </c>
      <c r="L329" s="33">
        <v>3</v>
      </c>
      <c r="M329" s="103" t="s">
        <v>229</v>
      </c>
      <c r="N329" s="51">
        <v>3</v>
      </c>
      <c r="O329" s="50">
        <v>4540000</v>
      </c>
      <c r="P329" s="51">
        <v>3</v>
      </c>
      <c r="Q329" s="50">
        <v>39883000</v>
      </c>
      <c r="R329" s="112">
        <v>3</v>
      </c>
      <c r="S329" s="107">
        <v>16180000</v>
      </c>
      <c r="T329" s="102">
        <f t="shared" si="65"/>
        <v>12</v>
      </c>
      <c r="U329" s="60">
        <f t="shared" si="58"/>
        <v>60</v>
      </c>
      <c r="V329" s="34" t="s">
        <v>44</v>
      </c>
      <c r="W329" s="52">
        <f t="shared" si="64"/>
        <v>60603000</v>
      </c>
      <c r="X329" s="60">
        <f t="shared" si="60"/>
        <v>98.264644720360934</v>
      </c>
      <c r="Y329" s="34" t="s">
        <v>44</v>
      </c>
      <c r="Z329" s="102">
        <f t="shared" si="66"/>
        <v>32</v>
      </c>
      <c r="AA329" s="52">
        <f t="shared" si="61"/>
        <v>111397000</v>
      </c>
      <c r="AB329" s="41">
        <f t="shared" si="62"/>
        <v>88.888888888888886</v>
      </c>
      <c r="AC329" s="34" t="s">
        <v>44</v>
      </c>
      <c r="AD329" s="90">
        <f t="shared" si="63"/>
        <v>58.562037214706088</v>
      </c>
      <c r="AE329" s="17"/>
      <c r="AF329" s="2"/>
      <c r="AG329" s="2"/>
      <c r="AH329" s="55"/>
      <c r="AI329" s="2"/>
      <c r="AJ329" s="2"/>
      <c r="AK329" s="2"/>
    </row>
    <row r="330" spans="1:37" ht="90">
      <c r="A330" s="43"/>
      <c r="B330" s="39"/>
      <c r="C330" s="46" t="s">
        <v>479</v>
      </c>
      <c r="D330" s="47" t="s">
        <v>465</v>
      </c>
      <c r="E330" s="48">
        <v>36</v>
      </c>
      <c r="F330" s="77" t="s">
        <v>62</v>
      </c>
      <c r="G330" s="91">
        <v>43250000</v>
      </c>
      <c r="H330" s="101">
        <v>12</v>
      </c>
      <c r="I330" s="50">
        <v>37500000</v>
      </c>
      <c r="J330" s="51">
        <v>12</v>
      </c>
      <c r="K330" s="50">
        <v>2875000</v>
      </c>
      <c r="L330" s="33">
        <v>3</v>
      </c>
      <c r="M330" s="103" t="s">
        <v>229</v>
      </c>
      <c r="N330" s="51">
        <v>3</v>
      </c>
      <c r="O330" s="50"/>
      <c r="P330" s="51">
        <v>3</v>
      </c>
      <c r="Q330" s="50">
        <v>0</v>
      </c>
      <c r="R330" s="101">
        <v>3</v>
      </c>
      <c r="S330" s="50">
        <v>0</v>
      </c>
      <c r="T330" s="102">
        <f t="shared" si="65"/>
        <v>12</v>
      </c>
      <c r="U330" s="60">
        <f t="shared" si="58"/>
        <v>100</v>
      </c>
      <c r="V330" s="34" t="s">
        <v>44</v>
      </c>
      <c r="W330" s="52">
        <f t="shared" si="64"/>
        <v>0</v>
      </c>
      <c r="X330" s="60">
        <f t="shared" si="60"/>
        <v>0</v>
      </c>
      <c r="Y330" s="34" t="s">
        <v>44</v>
      </c>
      <c r="Z330" s="102">
        <f t="shared" si="66"/>
        <v>24</v>
      </c>
      <c r="AA330" s="52">
        <f t="shared" si="61"/>
        <v>37500000</v>
      </c>
      <c r="AB330" s="41">
        <f t="shared" si="62"/>
        <v>66.666666666666657</v>
      </c>
      <c r="AC330" s="34" t="s">
        <v>44</v>
      </c>
      <c r="AD330" s="90">
        <f t="shared" si="63"/>
        <v>86.705202312138724</v>
      </c>
      <c r="AE330" s="17"/>
      <c r="AF330" s="2"/>
      <c r="AG330" s="2"/>
      <c r="AH330" s="55"/>
      <c r="AI330" s="2"/>
      <c r="AJ330" s="2"/>
      <c r="AK330" s="2"/>
    </row>
    <row r="331" spans="1:37" ht="90">
      <c r="A331" s="43"/>
      <c r="B331" s="39"/>
      <c r="C331" s="46" t="s">
        <v>480</v>
      </c>
      <c r="D331" s="47" t="s">
        <v>465</v>
      </c>
      <c r="E331" s="48">
        <v>36</v>
      </c>
      <c r="F331" s="77" t="s">
        <v>62</v>
      </c>
      <c r="G331" s="91">
        <v>20948800</v>
      </c>
      <c r="H331" s="101">
        <v>12</v>
      </c>
      <c r="I331" s="50">
        <v>9330000</v>
      </c>
      <c r="J331" s="51">
        <v>12</v>
      </c>
      <c r="K331" s="50">
        <v>17989400</v>
      </c>
      <c r="L331" s="115">
        <v>3</v>
      </c>
      <c r="M331" s="116">
        <v>0</v>
      </c>
      <c r="N331" s="117">
        <v>3</v>
      </c>
      <c r="O331" s="107" t="s">
        <v>229</v>
      </c>
      <c r="P331" s="117">
        <v>3</v>
      </c>
      <c r="Q331" s="107">
        <v>7775000</v>
      </c>
      <c r="R331" s="118">
        <v>3</v>
      </c>
      <c r="S331" s="107">
        <v>9800000</v>
      </c>
      <c r="T331" s="102">
        <f t="shared" si="65"/>
        <v>12</v>
      </c>
      <c r="U331" s="60">
        <f t="shared" si="58"/>
        <v>100</v>
      </c>
      <c r="V331" s="34" t="s">
        <v>44</v>
      </c>
      <c r="W331" s="52">
        <f t="shared" si="64"/>
        <v>17575000</v>
      </c>
      <c r="X331" s="60">
        <f t="shared" si="60"/>
        <v>97.696421225832992</v>
      </c>
      <c r="Y331" s="34" t="s">
        <v>44</v>
      </c>
      <c r="Z331" s="102">
        <f t="shared" si="66"/>
        <v>24</v>
      </c>
      <c r="AA331" s="52">
        <f t="shared" si="61"/>
        <v>26905000</v>
      </c>
      <c r="AB331" s="41">
        <f t="shared" si="62"/>
        <v>66.666666666666657</v>
      </c>
      <c r="AC331" s="34" t="s">
        <v>44</v>
      </c>
      <c r="AD331" s="90">
        <f t="shared" si="63"/>
        <v>128.43217749942715</v>
      </c>
      <c r="AE331" s="17"/>
      <c r="AF331" s="2"/>
      <c r="AG331" s="2"/>
      <c r="AH331" s="55"/>
      <c r="AI331" s="2"/>
      <c r="AJ331" s="2"/>
      <c r="AK331" s="2"/>
    </row>
    <row r="332" spans="1:37" ht="90">
      <c r="A332" s="43"/>
      <c r="B332" s="39"/>
      <c r="C332" s="46" t="s">
        <v>481</v>
      </c>
      <c r="D332" s="47" t="s">
        <v>465</v>
      </c>
      <c r="E332" s="48">
        <v>36</v>
      </c>
      <c r="F332" s="77" t="s">
        <v>62</v>
      </c>
      <c r="G332" s="91">
        <v>70675000</v>
      </c>
      <c r="H332" s="101">
        <v>12</v>
      </c>
      <c r="I332" s="50">
        <v>19550000</v>
      </c>
      <c r="J332" s="51">
        <v>12</v>
      </c>
      <c r="K332" s="50">
        <v>20860000</v>
      </c>
      <c r="L332" s="33">
        <v>3</v>
      </c>
      <c r="M332" s="50">
        <v>0</v>
      </c>
      <c r="N332" s="51">
        <v>3</v>
      </c>
      <c r="O332" s="50">
        <v>8470000</v>
      </c>
      <c r="P332" s="51">
        <v>3</v>
      </c>
      <c r="Q332" s="50">
        <v>5460000</v>
      </c>
      <c r="R332" s="112">
        <v>3</v>
      </c>
      <c r="S332" s="78">
        <v>5950000</v>
      </c>
      <c r="T332" s="102">
        <f t="shared" si="65"/>
        <v>12</v>
      </c>
      <c r="U332" s="60">
        <f t="shared" si="58"/>
        <v>100</v>
      </c>
      <c r="V332" s="34" t="s">
        <v>44</v>
      </c>
      <c r="W332" s="52">
        <f t="shared" si="64"/>
        <v>19880000</v>
      </c>
      <c r="X332" s="60">
        <f t="shared" si="60"/>
        <v>95.302013422818789</v>
      </c>
      <c r="Y332" s="34" t="s">
        <v>44</v>
      </c>
      <c r="Z332" s="102">
        <f t="shared" si="66"/>
        <v>24</v>
      </c>
      <c r="AA332" s="52">
        <f t="shared" si="61"/>
        <v>39430000</v>
      </c>
      <c r="AB332" s="41">
        <f t="shared" si="62"/>
        <v>66.666666666666657</v>
      </c>
      <c r="AC332" s="34" t="s">
        <v>44</v>
      </c>
      <c r="AD332" s="90">
        <f t="shared" si="63"/>
        <v>55.790590732224977</v>
      </c>
      <c r="AE332" s="17"/>
      <c r="AF332" s="2"/>
      <c r="AG332" s="2"/>
      <c r="AH332" s="55"/>
      <c r="AI332" s="2"/>
      <c r="AJ332" s="2"/>
      <c r="AK332" s="2"/>
    </row>
    <row r="333" spans="1:37" ht="90">
      <c r="A333" s="43"/>
      <c r="B333" s="39"/>
      <c r="C333" s="46" t="s">
        <v>482</v>
      </c>
      <c r="D333" s="47" t="s">
        <v>465</v>
      </c>
      <c r="E333" s="48">
        <v>36</v>
      </c>
      <c r="F333" s="77" t="s">
        <v>62</v>
      </c>
      <c r="G333" s="91">
        <v>23004000</v>
      </c>
      <c r="H333" s="101">
        <v>12</v>
      </c>
      <c r="I333" s="50">
        <v>8616000</v>
      </c>
      <c r="J333" s="51">
        <v>12</v>
      </c>
      <c r="K333" s="50">
        <v>7164000</v>
      </c>
      <c r="L333" s="33">
        <v>3</v>
      </c>
      <c r="M333" s="103" t="s">
        <v>229</v>
      </c>
      <c r="N333" s="51">
        <v>3</v>
      </c>
      <c r="O333" s="50">
        <v>0</v>
      </c>
      <c r="P333" s="51">
        <v>3</v>
      </c>
      <c r="Q333" s="50">
        <v>3375000</v>
      </c>
      <c r="R333" s="112">
        <v>3</v>
      </c>
      <c r="S333" s="107">
        <v>3470000</v>
      </c>
      <c r="T333" s="102">
        <f t="shared" si="65"/>
        <v>12</v>
      </c>
      <c r="U333" s="60">
        <f t="shared" si="58"/>
        <v>100</v>
      </c>
      <c r="V333" s="34" t="s">
        <v>44</v>
      </c>
      <c r="W333" s="52">
        <f t="shared" si="64"/>
        <v>6845000</v>
      </c>
      <c r="X333" s="60">
        <f t="shared" si="60"/>
        <v>95.547180346175324</v>
      </c>
      <c r="Y333" s="34" t="s">
        <v>44</v>
      </c>
      <c r="Z333" s="102">
        <f t="shared" si="66"/>
        <v>24</v>
      </c>
      <c r="AA333" s="52">
        <f t="shared" si="61"/>
        <v>15461000</v>
      </c>
      <c r="AB333" s="41">
        <f t="shared" si="62"/>
        <v>66.666666666666657</v>
      </c>
      <c r="AC333" s="34" t="s">
        <v>44</v>
      </c>
      <c r="AD333" s="90">
        <f t="shared" si="63"/>
        <v>67.21005042601287</v>
      </c>
      <c r="AE333" s="17"/>
      <c r="AF333" s="2"/>
      <c r="AG333" s="2"/>
      <c r="AH333" s="55"/>
      <c r="AI333" s="2"/>
      <c r="AJ333" s="2"/>
      <c r="AK333" s="2"/>
    </row>
    <row r="334" spans="1:37" ht="90">
      <c r="A334" s="43"/>
      <c r="B334" s="39"/>
      <c r="C334" s="46" t="s">
        <v>483</v>
      </c>
      <c r="D334" s="47" t="s">
        <v>465</v>
      </c>
      <c r="E334" s="48">
        <v>60</v>
      </c>
      <c r="F334" s="77" t="s">
        <v>62</v>
      </c>
      <c r="G334" s="91">
        <v>190857700</v>
      </c>
      <c r="H334" s="101">
        <v>20</v>
      </c>
      <c r="I334" s="50">
        <v>36361300</v>
      </c>
      <c r="J334" s="51">
        <v>20</v>
      </c>
      <c r="K334" s="50">
        <v>77248200</v>
      </c>
      <c r="L334" s="33">
        <v>3</v>
      </c>
      <c r="M334" s="103" t="s">
        <v>229</v>
      </c>
      <c r="N334" s="51">
        <v>3</v>
      </c>
      <c r="O334" s="50">
        <v>12370000</v>
      </c>
      <c r="P334" s="51">
        <v>3</v>
      </c>
      <c r="Q334" s="50">
        <v>19413400</v>
      </c>
      <c r="R334" s="101">
        <v>11</v>
      </c>
      <c r="S334" s="50">
        <v>30273400</v>
      </c>
      <c r="T334" s="102">
        <f t="shared" si="65"/>
        <v>20</v>
      </c>
      <c r="U334" s="60">
        <f t="shared" si="58"/>
        <v>100</v>
      </c>
      <c r="V334" s="34" t="s">
        <v>44</v>
      </c>
      <c r="W334" s="52">
        <f t="shared" si="64"/>
        <v>62056800</v>
      </c>
      <c r="X334" s="60">
        <f t="shared" si="60"/>
        <v>80.334299051628392</v>
      </c>
      <c r="Y334" s="34" t="s">
        <v>44</v>
      </c>
      <c r="Z334" s="102">
        <f t="shared" si="66"/>
        <v>40</v>
      </c>
      <c r="AA334" s="52">
        <f t="shared" si="61"/>
        <v>98418100</v>
      </c>
      <c r="AB334" s="41">
        <f t="shared" si="62"/>
        <v>66.666666666666657</v>
      </c>
      <c r="AC334" s="34" t="s">
        <v>44</v>
      </c>
      <c r="AD334" s="90">
        <f t="shared" si="63"/>
        <v>51.566219230348054</v>
      </c>
      <c r="AE334" s="17"/>
      <c r="AF334" s="2"/>
      <c r="AG334" s="2"/>
      <c r="AH334" s="55"/>
      <c r="AI334" s="2"/>
      <c r="AJ334" s="2"/>
      <c r="AK334" s="2"/>
    </row>
    <row r="335" spans="1:37" ht="90">
      <c r="A335" s="43"/>
      <c r="B335" s="39"/>
      <c r="C335" s="46" t="s">
        <v>484</v>
      </c>
      <c r="D335" s="47" t="s">
        <v>465</v>
      </c>
      <c r="E335" s="48">
        <v>82</v>
      </c>
      <c r="F335" s="77" t="s">
        <v>62</v>
      </c>
      <c r="G335" s="91">
        <v>245941450</v>
      </c>
      <c r="H335" s="101">
        <v>18</v>
      </c>
      <c r="I335" s="50">
        <v>58132500</v>
      </c>
      <c r="J335" s="51">
        <v>28</v>
      </c>
      <c r="K335" s="50">
        <v>82970000</v>
      </c>
      <c r="L335" s="33">
        <v>3</v>
      </c>
      <c r="M335" s="103" t="s">
        <v>229</v>
      </c>
      <c r="N335" s="51">
        <v>3</v>
      </c>
      <c r="O335" s="50">
        <v>23540000</v>
      </c>
      <c r="P335" s="51">
        <v>3</v>
      </c>
      <c r="Q335" s="50">
        <v>23670000</v>
      </c>
      <c r="R335" s="101">
        <v>3</v>
      </c>
      <c r="S335" s="50">
        <v>31090000</v>
      </c>
      <c r="T335" s="102">
        <f t="shared" si="65"/>
        <v>12</v>
      </c>
      <c r="U335" s="60">
        <f t="shared" si="58"/>
        <v>42.857142857142854</v>
      </c>
      <c r="V335" s="34" t="s">
        <v>44</v>
      </c>
      <c r="W335" s="52">
        <f t="shared" si="64"/>
        <v>78300000</v>
      </c>
      <c r="X335" s="60">
        <f t="shared" si="60"/>
        <v>94.371459563697726</v>
      </c>
      <c r="Y335" s="34" t="s">
        <v>44</v>
      </c>
      <c r="Z335" s="102">
        <f t="shared" si="66"/>
        <v>30</v>
      </c>
      <c r="AA335" s="52">
        <f t="shared" si="61"/>
        <v>136432500</v>
      </c>
      <c r="AB335" s="41">
        <f t="shared" si="62"/>
        <v>36.585365853658537</v>
      </c>
      <c r="AC335" s="34" t="s">
        <v>44</v>
      </c>
      <c r="AD335" s="90">
        <f t="shared" si="63"/>
        <v>55.473569014088518</v>
      </c>
      <c r="AE335" s="17"/>
      <c r="AF335" s="2"/>
      <c r="AG335" s="2"/>
      <c r="AH335" s="55"/>
      <c r="AI335" s="2"/>
      <c r="AJ335" s="2"/>
      <c r="AK335" s="2"/>
    </row>
    <row r="336" spans="1:37" ht="90">
      <c r="A336" s="43"/>
      <c r="B336" s="39"/>
      <c r="C336" s="46" t="s">
        <v>485</v>
      </c>
      <c r="D336" s="47" t="s">
        <v>465</v>
      </c>
      <c r="E336" s="48">
        <v>36</v>
      </c>
      <c r="F336" s="77" t="s">
        <v>62</v>
      </c>
      <c r="G336" s="91">
        <v>274739000</v>
      </c>
      <c r="H336" s="101">
        <v>12</v>
      </c>
      <c r="I336" s="50">
        <v>81145000</v>
      </c>
      <c r="J336" s="51">
        <v>12</v>
      </c>
      <c r="K336" s="50">
        <v>96797000</v>
      </c>
      <c r="L336" s="33">
        <v>3</v>
      </c>
      <c r="M336" s="103" t="s">
        <v>229</v>
      </c>
      <c r="N336" s="51">
        <v>3</v>
      </c>
      <c r="O336" s="50">
        <v>24025000</v>
      </c>
      <c r="P336" s="51">
        <v>3</v>
      </c>
      <c r="Q336" s="50">
        <v>27783800</v>
      </c>
      <c r="R336" s="112">
        <v>3</v>
      </c>
      <c r="S336" s="107">
        <v>37654500</v>
      </c>
      <c r="T336" s="102">
        <f t="shared" si="65"/>
        <v>12</v>
      </c>
      <c r="U336" s="60">
        <f t="shared" si="58"/>
        <v>100</v>
      </c>
      <c r="V336" s="34" t="s">
        <v>44</v>
      </c>
      <c r="W336" s="52">
        <f t="shared" si="64"/>
        <v>89463300</v>
      </c>
      <c r="X336" s="60">
        <f t="shared" si="60"/>
        <v>92.423628831472044</v>
      </c>
      <c r="Y336" s="34" t="s">
        <v>44</v>
      </c>
      <c r="Z336" s="102">
        <f t="shared" si="66"/>
        <v>24</v>
      </c>
      <c r="AA336" s="52">
        <f t="shared" si="61"/>
        <v>170608300</v>
      </c>
      <c r="AB336" s="41">
        <f t="shared" si="62"/>
        <v>66.666666666666657</v>
      </c>
      <c r="AC336" s="34" t="s">
        <v>44</v>
      </c>
      <c r="AD336" s="90">
        <f t="shared" si="63"/>
        <v>62.098318767994357</v>
      </c>
      <c r="AE336" s="17"/>
      <c r="AF336" s="2"/>
      <c r="AG336" s="2"/>
      <c r="AH336" s="55"/>
      <c r="AI336" s="2"/>
      <c r="AJ336" s="2"/>
      <c r="AK336" s="2"/>
    </row>
    <row r="337" spans="1:37" ht="105">
      <c r="A337" s="43"/>
      <c r="B337" s="39"/>
      <c r="C337" s="95" t="s">
        <v>486</v>
      </c>
      <c r="D337" s="96" t="s">
        <v>487</v>
      </c>
      <c r="E337" s="48">
        <v>21</v>
      </c>
      <c r="F337" s="77" t="s">
        <v>62</v>
      </c>
      <c r="G337" s="91">
        <v>25487500</v>
      </c>
      <c r="H337" s="51">
        <v>21</v>
      </c>
      <c r="I337" s="50">
        <v>18967500</v>
      </c>
      <c r="J337" s="59"/>
      <c r="K337" s="58"/>
      <c r="L337" s="129"/>
      <c r="M337" s="58"/>
      <c r="N337" s="59"/>
      <c r="O337" s="58"/>
      <c r="P337" s="59"/>
      <c r="Q337" s="50">
        <v>0</v>
      </c>
      <c r="R337" s="59"/>
      <c r="S337" s="58"/>
      <c r="T337" s="33">
        <f t="shared" si="65"/>
        <v>0</v>
      </c>
      <c r="U337" s="34">
        <v>0</v>
      </c>
      <c r="V337" s="34" t="s">
        <v>44</v>
      </c>
      <c r="W337" s="52">
        <f t="shared" si="64"/>
        <v>0</v>
      </c>
      <c r="X337" s="60" t="e">
        <f t="shared" si="60"/>
        <v>#DIV/0!</v>
      </c>
      <c r="Y337" s="34" t="s">
        <v>44</v>
      </c>
      <c r="Z337" s="34">
        <f t="shared" si="66"/>
        <v>21</v>
      </c>
      <c r="AA337" s="52">
        <f t="shared" si="61"/>
        <v>18967500</v>
      </c>
      <c r="AB337" s="41">
        <f t="shared" si="62"/>
        <v>100</v>
      </c>
      <c r="AC337" s="34" t="s">
        <v>44</v>
      </c>
      <c r="AD337" s="90">
        <f t="shared" si="63"/>
        <v>74.418832761157432</v>
      </c>
      <c r="AE337" s="17"/>
      <c r="AF337" s="2"/>
      <c r="AG337" s="2"/>
      <c r="AH337" s="55"/>
      <c r="AI337" s="2"/>
      <c r="AJ337" s="2"/>
      <c r="AK337" s="2"/>
    </row>
    <row r="338" spans="1:37" ht="105">
      <c r="A338" s="43"/>
      <c r="B338" s="39"/>
      <c r="C338" s="46" t="s">
        <v>488</v>
      </c>
      <c r="D338" s="47" t="s">
        <v>487</v>
      </c>
      <c r="E338" s="48">
        <v>36</v>
      </c>
      <c r="F338" s="77" t="s">
        <v>62</v>
      </c>
      <c r="G338" s="91">
        <v>11240000</v>
      </c>
      <c r="H338" s="101">
        <v>12</v>
      </c>
      <c r="I338" s="50">
        <v>4700000</v>
      </c>
      <c r="J338" s="51">
        <v>12</v>
      </c>
      <c r="K338" s="50">
        <v>6540000</v>
      </c>
      <c r="L338" s="33">
        <v>3</v>
      </c>
      <c r="M338" s="103" t="s">
        <v>229</v>
      </c>
      <c r="N338" s="51">
        <v>3</v>
      </c>
      <c r="O338" s="50">
        <v>660000</v>
      </c>
      <c r="P338" s="51">
        <v>3</v>
      </c>
      <c r="Q338" s="50">
        <v>3330000</v>
      </c>
      <c r="R338" s="101">
        <v>3</v>
      </c>
      <c r="S338" s="50">
        <v>2020000</v>
      </c>
      <c r="T338" s="102">
        <f t="shared" si="65"/>
        <v>12</v>
      </c>
      <c r="U338" s="60">
        <f t="shared" ref="U338:U464" si="67">T338/J338*100</f>
        <v>100</v>
      </c>
      <c r="V338" s="34" t="s">
        <v>44</v>
      </c>
      <c r="W338" s="52">
        <f t="shared" si="64"/>
        <v>6010000</v>
      </c>
      <c r="X338" s="60">
        <f t="shared" si="60"/>
        <v>91.896024464831811</v>
      </c>
      <c r="Y338" s="34" t="s">
        <v>44</v>
      </c>
      <c r="Z338" s="102">
        <f t="shared" si="66"/>
        <v>24</v>
      </c>
      <c r="AA338" s="52">
        <f t="shared" si="61"/>
        <v>10710000</v>
      </c>
      <c r="AB338" s="41">
        <f t="shared" si="62"/>
        <v>66.666666666666657</v>
      </c>
      <c r="AC338" s="34" t="s">
        <v>44</v>
      </c>
      <c r="AD338" s="90">
        <f t="shared" si="63"/>
        <v>95.284697508896798</v>
      </c>
      <c r="AE338" s="17"/>
      <c r="AF338" s="2"/>
      <c r="AG338" s="2"/>
      <c r="AH338" s="55"/>
      <c r="AI338" s="2"/>
      <c r="AJ338" s="2"/>
      <c r="AK338" s="2"/>
    </row>
    <row r="339" spans="1:37" ht="105">
      <c r="A339" s="43"/>
      <c r="B339" s="39"/>
      <c r="C339" s="46" t="s">
        <v>489</v>
      </c>
      <c r="D339" s="47" t="s">
        <v>487</v>
      </c>
      <c r="E339" s="48">
        <v>36</v>
      </c>
      <c r="F339" s="77" t="s">
        <v>62</v>
      </c>
      <c r="G339" s="91">
        <v>70910000</v>
      </c>
      <c r="H339" s="101">
        <v>12</v>
      </c>
      <c r="I339" s="50">
        <v>5730000</v>
      </c>
      <c r="J339" s="51">
        <v>12</v>
      </c>
      <c r="K339" s="50">
        <v>32590000</v>
      </c>
      <c r="L339" s="33">
        <v>3</v>
      </c>
      <c r="M339" s="103" t="s">
        <v>229</v>
      </c>
      <c r="N339" s="51">
        <v>3</v>
      </c>
      <c r="O339" s="50">
        <v>0</v>
      </c>
      <c r="P339" s="51">
        <v>3</v>
      </c>
      <c r="Q339" s="50">
        <v>3490000</v>
      </c>
      <c r="R339" s="101">
        <v>3</v>
      </c>
      <c r="S339" s="50">
        <v>25380000</v>
      </c>
      <c r="T339" s="102">
        <f t="shared" si="65"/>
        <v>12</v>
      </c>
      <c r="U339" s="60">
        <f t="shared" si="67"/>
        <v>100</v>
      </c>
      <c r="V339" s="34" t="s">
        <v>44</v>
      </c>
      <c r="W339" s="52">
        <f t="shared" si="64"/>
        <v>28870000</v>
      </c>
      <c r="X339" s="60">
        <f t="shared" si="60"/>
        <v>88.585455661245788</v>
      </c>
      <c r="Y339" s="34" t="s">
        <v>44</v>
      </c>
      <c r="Z339" s="102">
        <f t="shared" si="66"/>
        <v>24</v>
      </c>
      <c r="AA339" s="52">
        <f t="shared" si="61"/>
        <v>34600000</v>
      </c>
      <c r="AB339" s="41">
        <f t="shared" si="62"/>
        <v>66.666666666666657</v>
      </c>
      <c r="AC339" s="34" t="s">
        <v>44</v>
      </c>
      <c r="AD339" s="90">
        <f t="shared" si="63"/>
        <v>48.794246227612462</v>
      </c>
      <c r="AE339" s="17"/>
      <c r="AF339" s="2"/>
      <c r="AG339" s="2"/>
      <c r="AH339" s="55"/>
      <c r="AI339" s="2"/>
      <c r="AJ339" s="2"/>
      <c r="AK339" s="2"/>
    </row>
    <row r="340" spans="1:37" ht="105">
      <c r="A340" s="43"/>
      <c r="B340" s="39"/>
      <c r="C340" s="46" t="s">
        <v>490</v>
      </c>
      <c r="D340" s="47" t="s">
        <v>487</v>
      </c>
      <c r="E340" s="48">
        <v>36</v>
      </c>
      <c r="F340" s="77" t="s">
        <v>62</v>
      </c>
      <c r="G340" s="91">
        <v>16070000</v>
      </c>
      <c r="H340" s="101">
        <v>12</v>
      </c>
      <c r="I340" s="50">
        <v>300000</v>
      </c>
      <c r="J340" s="51">
        <v>12</v>
      </c>
      <c r="K340" s="50">
        <v>5650000</v>
      </c>
      <c r="L340" s="33">
        <v>3</v>
      </c>
      <c r="M340" s="103" t="s">
        <v>229</v>
      </c>
      <c r="N340" s="51">
        <v>3</v>
      </c>
      <c r="O340" s="50">
        <v>460000</v>
      </c>
      <c r="P340" s="51">
        <v>3</v>
      </c>
      <c r="Q340" s="50">
        <v>490000</v>
      </c>
      <c r="R340" s="101">
        <v>3</v>
      </c>
      <c r="S340" s="50"/>
      <c r="T340" s="102">
        <f t="shared" si="65"/>
        <v>12</v>
      </c>
      <c r="U340" s="60">
        <f t="shared" si="67"/>
        <v>100</v>
      </c>
      <c r="V340" s="34" t="s">
        <v>44</v>
      </c>
      <c r="W340" s="52">
        <f t="shared" si="64"/>
        <v>950000</v>
      </c>
      <c r="X340" s="60">
        <f t="shared" si="60"/>
        <v>16.814159292035399</v>
      </c>
      <c r="Y340" s="34" t="s">
        <v>44</v>
      </c>
      <c r="Z340" s="102">
        <f t="shared" si="66"/>
        <v>24</v>
      </c>
      <c r="AA340" s="52">
        <f t="shared" si="61"/>
        <v>1250000</v>
      </c>
      <c r="AB340" s="41">
        <f t="shared" si="62"/>
        <v>66.666666666666657</v>
      </c>
      <c r="AC340" s="34" t="s">
        <v>44</v>
      </c>
      <c r="AD340" s="90">
        <f t="shared" si="63"/>
        <v>7.7784691972619795</v>
      </c>
      <c r="AE340" s="17"/>
      <c r="AF340" s="2"/>
      <c r="AG340" s="2"/>
      <c r="AH340" s="55"/>
      <c r="AI340" s="2"/>
      <c r="AJ340" s="2"/>
      <c r="AK340" s="2"/>
    </row>
    <row r="341" spans="1:37" ht="105">
      <c r="A341" s="43"/>
      <c r="B341" s="39"/>
      <c r="C341" s="46" t="s">
        <v>491</v>
      </c>
      <c r="D341" s="47" t="s">
        <v>487</v>
      </c>
      <c r="E341" s="48">
        <v>36</v>
      </c>
      <c r="F341" s="77" t="s">
        <v>62</v>
      </c>
      <c r="G341" s="91">
        <v>31745500</v>
      </c>
      <c r="H341" s="101">
        <v>12</v>
      </c>
      <c r="I341" s="50">
        <v>7961500</v>
      </c>
      <c r="J341" s="51">
        <v>12</v>
      </c>
      <c r="K341" s="50">
        <v>11892000</v>
      </c>
      <c r="L341" s="33">
        <v>3</v>
      </c>
      <c r="M341" s="103" t="s">
        <v>229</v>
      </c>
      <c r="N341" s="51">
        <v>3</v>
      </c>
      <c r="O341" s="50">
        <v>190000</v>
      </c>
      <c r="P341" s="51">
        <v>3</v>
      </c>
      <c r="Q341" s="50">
        <v>5802000</v>
      </c>
      <c r="R341" s="101">
        <v>3</v>
      </c>
      <c r="S341" s="50">
        <v>5802000</v>
      </c>
      <c r="T341" s="102">
        <f t="shared" si="65"/>
        <v>12</v>
      </c>
      <c r="U341" s="60">
        <f t="shared" si="67"/>
        <v>100</v>
      </c>
      <c r="V341" s="34" t="s">
        <v>44</v>
      </c>
      <c r="W341" s="52">
        <f t="shared" si="64"/>
        <v>11794000</v>
      </c>
      <c r="X341" s="60">
        <f t="shared" si="60"/>
        <v>99.175916582576519</v>
      </c>
      <c r="Y341" s="34" t="s">
        <v>44</v>
      </c>
      <c r="Z341" s="102">
        <f t="shared" si="66"/>
        <v>24</v>
      </c>
      <c r="AA341" s="52">
        <f t="shared" si="61"/>
        <v>19755500</v>
      </c>
      <c r="AB341" s="41">
        <f t="shared" si="62"/>
        <v>66.666666666666657</v>
      </c>
      <c r="AC341" s="34" t="s">
        <v>44</v>
      </c>
      <c r="AD341" s="90">
        <f t="shared" si="63"/>
        <v>62.230867367028395</v>
      </c>
      <c r="AE341" s="17"/>
      <c r="AF341" s="2"/>
      <c r="AG341" s="2"/>
      <c r="AH341" s="55"/>
      <c r="AI341" s="2"/>
      <c r="AJ341" s="2"/>
      <c r="AK341" s="2"/>
    </row>
    <row r="342" spans="1:37" ht="105">
      <c r="A342" s="43"/>
      <c r="B342" s="39"/>
      <c r="C342" s="46" t="s">
        <v>492</v>
      </c>
      <c r="D342" s="47" t="s">
        <v>487</v>
      </c>
      <c r="E342" s="48">
        <v>36</v>
      </c>
      <c r="F342" s="77" t="s">
        <v>62</v>
      </c>
      <c r="G342" s="91">
        <v>41345000</v>
      </c>
      <c r="H342" s="101">
        <v>12</v>
      </c>
      <c r="I342" s="50">
        <v>0</v>
      </c>
      <c r="J342" s="51">
        <v>12</v>
      </c>
      <c r="K342" s="50">
        <v>20672500</v>
      </c>
      <c r="L342" s="33">
        <v>3</v>
      </c>
      <c r="M342" s="103" t="s">
        <v>229</v>
      </c>
      <c r="N342" s="51">
        <v>3</v>
      </c>
      <c r="O342" s="50">
        <v>0</v>
      </c>
      <c r="P342" s="51">
        <v>3</v>
      </c>
      <c r="Q342" s="50">
        <v>11535000</v>
      </c>
      <c r="R342" s="101">
        <v>3</v>
      </c>
      <c r="S342" s="50">
        <v>9007500</v>
      </c>
      <c r="T342" s="102">
        <f t="shared" si="65"/>
        <v>12</v>
      </c>
      <c r="U342" s="60">
        <f t="shared" si="67"/>
        <v>100</v>
      </c>
      <c r="V342" s="34" t="s">
        <v>44</v>
      </c>
      <c r="W342" s="52">
        <f t="shared" si="64"/>
        <v>20542500</v>
      </c>
      <c r="X342" s="60">
        <f t="shared" si="60"/>
        <v>99.371145241262553</v>
      </c>
      <c r="Y342" s="34" t="s">
        <v>44</v>
      </c>
      <c r="Z342" s="102">
        <f t="shared" si="66"/>
        <v>24</v>
      </c>
      <c r="AA342" s="52">
        <f t="shared" si="61"/>
        <v>20542500</v>
      </c>
      <c r="AB342" s="41">
        <f t="shared" si="62"/>
        <v>66.666666666666657</v>
      </c>
      <c r="AC342" s="34" t="s">
        <v>44</v>
      </c>
      <c r="AD342" s="90">
        <f t="shared" si="63"/>
        <v>49.685572620631277</v>
      </c>
      <c r="AE342" s="17"/>
      <c r="AF342" s="2"/>
      <c r="AG342" s="2"/>
      <c r="AH342" s="55"/>
      <c r="AI342" s="2"/>
      <c r="AJ342" s="2"/>
      <c r="AK342" s="2"/>
    </row>
    <row r="343" spans="1:37" ht="105">
      <c r="A343" s="43"/>
      <c r="B343" s="39"/>
      <c r="C343" s="46" t="s">
        <v>493</v>
      </c>
      <c r="D343" s="47" t="s">
        <v>487</v>
      </c>
      <c r="E343" s="48">
        <v>36</v>
      </c>
      <c r="F343" s="77" t="s">
        <v>62</v>
      </c>
      <c r="G343" s="91">
        <v>32910000</v>
      </c>
      <c r="H343" s="101">
        <v>12</v>
      </c>
      <c r="I343" s="50">
        <v>2970000</v>
      </c>
      <c r="J343" s="51">
        <v>12</v>
      </c>
      <c r="K343" s="50">
        <v>12950000</v>
      </c>
      <c r="L343" s="33">
        <v>3</v>
      </c>
      <c r="M343" s="103" t="s">
        <v>229</v>
      </c>
      <c r="N343" s="51">
        <v>3</v>
      </c>
      <c r="O343" s="50">
        <v>4450000</v>
      </c>
      <c r="P343" s="51">
        <v>3</v>
      </c>
      <c r="Q343" s="50">
        <v>5690000</v>
      </c>
      <c r="R343" s="101">
        <v>3</v>
      </c>
      <c r="S343" s="50">
        <v>0</v>
      </c>
      <c r="T343" s="102">
        <f t="shared" si="65"/>
        <v>12</v>
      </c>
      <c r="U343" s="60">
        <f t="shared" si="67"/>
        <v>100</v>
      </c>
      <c r="V343" s="34" t="s">
        <v>44</v>
      </c>
      <c r="W343" s="52">
        <f t="shared" si="64"/>
        <v>10140000</v>
      </c>
      <c r="X343" s="60">
        <f t="shared" si="60"/>
        <v>78.301158301158296</v>
      </c>
      <c r="Y343" s="34" t="s">
        <v>44</v>
      </c>
      <c r="Z343" s="102">
        <f t="shared" si="66"/>
        <v>24</v>
      </c>
      <c r="AA343" s="52">
        <f t="shared" si="61"/>
        <v>13110000</v>
      </c>
      <c r="AB343" s="41">
        <f t="shared" si="62"/>
        <v>66.666666666666657</v>
      </c>
      <c r="AC343" s="34" t="s">
        <v>44</v>
      </c>
      <c r="AD343" s="90">
        <f t="shared" si="63"/>
        <v>39.835916134913404</v>
      </c>
      <c r="AE343" s="17"/>
      <c r="AF343" s="2"/>
      <c r="AG343" s="2"/>
      <c r="AH343" s="55"/>
      <c r="AI343" s="2"/>
      <c r="AJ343" s="2"/>
      <c r="AK343" s="2"/>
    </row>
    <row r="344" spans="1:37" ht="105">
      <c r="A344" s="43"/>
      <c r="B344" s="39"/>
      <c r="C344" s="46" t="s">
        <v>494</v>
      </c>
      <c r="D344" s="47" t="s">
        <v>487</v>
      </c>
      <c r="E344" s="48">
        <v>36</v>
      </c>
      <c r="F344" s="77" t="s">
        <v>62</v>
      </c>
      <c r="G344" s="91">
        <v>20263500</v>
      </c>
      <c r="H344" s="101">
        <v>12</v>
      </c>
      <c r="I344" s="50">
        <v>3537500</v>
      </c>
      <c r="J344" s="51">
        <v>12</v>
      </c>
      <c r="K344" s="50">
        <v>6766000</v>
      </c>
      <c r="L344" s="33">
        <v>3</v>
      </c>
      <c r="M344" s="103" t="s">
        <v>229</v>
      </c>
      <c r="N344" s="51">
        <v>3</v>
      </c>
      <c r="O344" s="50">
        <v>0</v>
      </c>
      <c r="P344" s="51">
        <v>3</v>
      </c>
      <c r="Q344" s="50">
        <v>5597500</v>
      </c>
      <c r="R344" s="101">
        <v>3</v>
      </c>
      <c r="S344" s="50">
        <v>1140000</v>
      </c>
      <c r="T344" s="102">
        <f t="shared" si="65"/>
        <v>12</v>
      </c>
      <c r="U344" s="60">
        <f t="shared" si="67"/>
        <v>100</v>
      </c>
      <c r="V344" s="34" t="s">
        <v>44</v>
      </c>
      <c r="W344" s="52">
        <f t="shared" si="64"/>
        <v>6737500</v>
      </c>
      <c r="X344" s="60">
        <f t="shared" si="60"/>
        <v>99.578776234111729</v>
      </c>
      <c r="Y344" s="34" t="s">
        <v>44</v>
      </c>
      <c r="Z344" s="102">
        <f t="shared" si="66"/>
        <v>24</v>
      </c>
      <c r="AA344" s="52">
        <f t="shared" si="61"/>
        <v>10275000</v>
      </c>
      <c r="AB344" s="41">
        <f t="shared" si="62"/>
        <v>66.666666666666657</v>
      </c>
      <c r="AC344" s="34" t="s">
        <v>44</v>
      </c>
      <c r="AD344" s="90">
        <f t="shared" si="63"/>
        <v>50.706936116662973</v>
      </c>
      <c r="AE344" s="17"/>
      <c r="AF344" s="2"/>
      <c r="AG344" s="2"/>
      <c r="AH344" s="55"/>
      <c r="AI344" s="2"/>
      <c r="AJ344" s="2"/>
      <c r="AK344" s="2"/>
    </row>
    <row r="345" spans="1:37" ht="105">
      <c r="A345" s="43"/>
      <c r="B345" s="39"/>
      <c r="C345" s="46" t="s">
        <v>495</v>
      </c>
      <c r="D345" s="47" t="s">
        <v>487</v>
      </c>
      <c r="E345" s="48">
        <v>36</v>
      </c>
      <c r="F345" s="77" t="s">
        <v>62</v>
      </c>
      <c r="G345" s="91">
        <v>18536400</v>
      </c>
      <c r="H345" s="101">
        <v>12</v>
      </c>
      <c r="I345" s="50">
        <v>3180000</v>
      </c>
      <c r="J345" s="51">
        <v>12</v>
      </c>
      <c r="K345" s="50">
        <v>7538200</v>
      </c>
      <c r="L345" s="33">
        <v>3</v>
      </c>
      <c r="M345" s="103" t="s">
        <v>229</v>
      </c>
      <c r="N345" s="51">
        <v>3</v>
      </c>
      <c r="O345" s="50">
        <v>0</v>
      </c>
      <c r="P345" s="51">
        <v>3</v>
      </c>
      <c r="Q345" s="50">
        <v>0</v>
      </c>
      <c r="R345" s="101">
        <v>3</v>
      </c>
      <c r="S345" s="50">
        <v>7538200</v>
      </c>
      <c r="T345" s="102">
        <f t="shared" si="65"/>
        <v>12</v>
      </c>
      <c r="U345" s="60">
        <f t="shared" si="67"/>
        <v>100</v>
      </c>
      <c r="V345" s="34" t="s">
        <v>44</v>
      </c>
      <c r="W345" s="52">
        <f t="shared" si="64"/>
        <v>7538200</v>
      </c>
      <c r="X345" s="60">
        <f t="shared" si="60"/>
        <v>100</v>
      </c>
      <c r="Y345" s="34" t="s">
        <v>44</v>
      </c>
      <c r="Z345" s="102">
        <f t="shared" si="66"/>
        <v>24</v>
      </c>
      <c r="AA345" s="52">
        <f t="shared" si="61"/>
        <v>10718200</v>
      </c>
      <c r="AB345" s="41">
        <f t="shared" si="62"/>
        <v>66.666666666666657</v>
      </c>
      <c r="AC345" s="34" t="s">
        <v>44</v>
      </c>
      <c r="AD345" s="90">
        <f t="shared" si="63"/>
        <v>57.822446645519086</v>
      </c>
      <c r="AE345" s="17"/>
      <c r="AF345" s="2"/>
      <c r="AG345" s="2"/>
      <c r="AH345" s="55"/>
      <c r="AI345" s="2"/>
      <c r="AJ345" s="2"/>
      <c r="AK345" s="2"/>
    </row>
    <row r="346" spans="1:37" ht="105">
      <c r="A346" s="43"/>
      <c r="B346" s="39"/>
      <c r="C346" s="46" t="s">
        <v>496</v>
      </c>
      <c r="D346" s="47" t="s">
        <v>487</v>
      </c>
      <c r="E346" s="48">
        <v>36</v>
      </c>
      <c r="F346" s="77" t="s">
        <v>62</v>
      </c>
      <c r="G346" s="91">
        <v>31567500</v>
      </c>
      <c r="H346" s="101">
        <v>12</v>
      </c>
      <c r="I346" s="50">
        <v>7002500</v>
      </c>
      <c r="J346" s="51">
        <v>12</v>
      </c>
      <c r="K346" s="50">
        <v>12282500</v>
      </c>
      <c r="L346" s="33">
        <v>3</v>
      </c>
      <c r="M346" s="103" t="s">
        <v>229</v>
      </c>
      <c r="N346" s="51">
        <v>3</v>
      </c>
      <c r="O346" s="50">
        <v>2520000</v>
      </c>
      <c r="P346" s="51">
        <v>3</v>
      </c>
      <c r="Q346" s="50">
        <v>1680000</v>
      </c>
      <c r="R346" s="101">
        <v>3</v>
      </c>
      <c r="S346" s="50">
        <v>6382500</v>
      </c>
      <c r="T346" s="102">
        <f t="shared" si="65"/>
        <v>12</v>
      </c>
      <c r="U346" s="60">
        <f t="shared" si="67"/>
        <v>100</v>
      </c>
      <c r="V346" s="34" t="s">
        <v>44</v>
      </c>
      <c r="W346" s="52">
        <f t="shared" si="64"/>
        <v>10582500</v>
      </c>
      <c r="X346" s="60">
        <f t="shared" si="60"/>
        <v>86.159169550173004</v>
      </c>
      <c r="Y346" s="34" t="s">
        <v>44</v>
      </c>
      <c r="Z346" s="102">
        <f t="shared" si="66"/>
        <v>24</v>
      </c>
      <c r="AA346" s="52">
        <f t="shared" si="61"/>
        <v>17585000</v>
      </c>
      <c r="AB346" s="41">
        <f t="shared" si="62"/>
        <v>66.666666666666657</v>
      </c>
      <c r="AC346" s="34" t="s">
        <v>44</v>
      </c>
      <c r="AD346" s="90">
        <f t="shared" si="63"/>
        <v>55.706026768036743</v>
      </c>
      <c r="AE346" s="17"/>
      <c r="AF346" s="2"/>
      <c r="AG346" s="2"/>
      <c r="AH346" s="55"/>
      <c r="AI346" s="2"/>
      <c r="AJ346" s="2"/>
      <c r="AK346" s="2"/>
    </row>
    <row r="347" spans="1:37" ht="105">
      <c r="A347" s="43"/>
      <c r="B347" s="39"/>
      <c r="C347" s="46" t="s">
        <v>497</v>
      </c>
      <c r="D347" s="47" t="s">
        <v>487</v>
      </c>
      <c r="E347" s="48">
        <v>36</v>
      </c>
      <c r="F347" s="77" t="s">
        <v>62</v>
      </c>
      <c r="G347" s="91">
        <v>29121500</v>
      </c>
      <c r="H347" s="101">
        <v>12</v>
      </c>
      <c r="I347" s="50">
        <v>9616500</v>
      </c>
      <c r="J347" s="51">
        <v>12</v>
      </c>
      <c r="K347" s="50">
        <v>9367500</v>
      </c>
      <c r="L347" s="33">
        <v>3</v>
      </c>
      <c r="M347" s="103" t="s">
        <v>229</v>
      </c>
      <c r="N347" s="51">
        <v>3</v>
      </c>
      <c r="O347" s="50">
        <v>6690000</v>
      </c>
      <c r="P347" s="51">
        <v>3</v>
      </c>
      <c r="Q347" s="50">
        <v>1942500</v>
      </c>
      <c r="R347" s="101">
        <v>3</v>
      </c>
      <c r="S347" s="50">
        <v>460000</v>
      </c>
      <c r="T347" s="102">
        <f t="shared" si="65"/>
        <v>12</v>
      </c>
      <c r="U347" s="60">
        <f t="shared" si="67"/>
        <v>100</v>
      </c>
      <c r="V347" s="34" t="s">
        <v>44</v>
      </c>
      <c r="W347" s="52">
        <f t="shared" si="64"/>
        <v>9092500</v>
      </c>
      <c r="X347" s="60">
        <f t="shared" si="60"/>
        <v>97.064318121163595</v>
      </c>
      <c r="Y347" s="34" t="s">
        <v>44</v>
      </c>
      <c r="Z347" s="102">
        <f t="shared" si="66"/>
        <v>24</v>
      </c>
      <c r="AA347" s="52">
        <f t="shared" si="61"/>
        <v>18709000</v>
      </c>
      <c r="AB347" s="41">
        <f t="shared" si="62"/>
        <v>66.666666666666657</v>
      </c>
      <c r="AC347" s="34" t="s">
        <v>44</v>
      </c>
      <c r="AD347" s="90">
        <f t="shared" si="63"/>
        <v>64.244630255996427</v>
      </c>
      <c r="AE347" s="17"/>
      <c r="AF347" s="2"/>
      <c r="AG347" s="2"/>
      <c r="AH347" s="55"/>
      <c r="AI347" s="2"/>
      <c r="AJ347" s="2"/>
      <c r="AK347" s="2"/>
    </row>
    <row r="348" spans="1:37" ht="105">
      <c r="A348" s="43"/>
      <c r="B348" s="39"/>
      <c r="C348" s="46" t="s">
        <v>498</v>
      </c>
      <c r="D348" s="47" t="s">
        <v>487</v>
      </c>
      <c r="E348" s="48">
        <v>36</v>
      </c>
      <c r="F348" s="77" t="s">
        <v>62</v>
      </c>
      <c r="G348" s="91">
        <v>12217500</v>
      </c>
      <c r="H348" s="101">
        <v>12</v>
      </c>
      <c r="I348" s="50">
        <v>997500</v>
      </c>
      <c r="J348" s="51">
        <v>12</v>
      </c>
      <c r="K348" s="50">
        <v>5610000</v>
      </c>
      <c r="L348" s="33">
        <v>3</v>
      </c>
      <c r="M348" s="103" t="s">
        <v>229</v>
      </c>
      <c r="N348" s="51">
        <v>3</v>
      </c>
      <c r="O348" s="50">
        <v>2420000</v>
      </c>
      <c r="P348" s="51">
        <v>3</v>
      </c>
      <c r="Q348" s="50">
        <v>2420000</v>
      </c>
      <c r="R348" s="101">
        <v>3</v>
      </c>
      <c r="S348" s="78">
        <v>5530000</v>
      </c>
      <c r="T348" s="102">
        <f t="shared" si="65"/>
        <v>12</v>
      </c>
      <c r="U348" s="60">
        <f t="shared" si="67"/>
        <v>100</v>
      </c>
      <c r="V348" s="34" t="s">
        <v>44</v>
      </c>
      <c r="W348" s="52">
        <f t="shared" si="64"/>
        <v>10370000</v>
      </c>
      <c r="X348" s="60">
        <f t="shared" ref="X348:X442" si="68">W348/K348*100</f>
        <v>184.84848484848484</v>
      </c>
      <c r="Y348" s="34" t="s">
        <v>44</v>
      </c>
      <c r="Z348" s="102">
        <f t="shared" si="66"/>
        <v>24</v>
      </c>
      <c r="AA348" s="52">
        <f t="shared" ref="AA348:AA442" si="69">SUM(I348,W348)</f>
        <v>11367500</v>
      </c>
      <c r="AB348" s="41">
        <f t="shared" ref="AB348:AB534" si="70">Z348/E348*100</f>
        <v>66.666666666666657</v>
      </c>
      <c r="AC348" s="34" t="s">
        <v>44</v>
      </c>
      <c r="AD348" s="90">
        <f t="shared" ref="AD348:AD534" si="71">AA348/G348*100</f>
        <v>93.042766523429506</v>
      </c>
      <c r="AE348" s="17"/>
      <c r="AF348" s="2"/>
      <c r="AG348" s="2"/>
      <c r="AH348" s="55"/>
      <c r="AI348" s="2"/>
      <c r="AJ348" s="2"/>
      <c r="AK348" s="2"/>
    </row>
    <row r="349" spans="1:37" ht="105">
      <c r="A349" s="43"/>
      <c r="B349" s="39"/>
      <c r="C349" s="46" t="s">
        <v>499</v>
      </c>
      <c r="D349" s="47" t="s">
        <v>487</v>
      </c>
      <c r="E349" s="48">
        <v>36</v>
      </c>
      <c r="F349" s="77" t="s">
        <v>62</v>
      </c>
      <c r="G349" s="91">
        <v>18449000</v>
      </c>
      <c r="H349" s="101">
        <v>12</v>
      </c>
      <c r="I349" s="50">
        <v>2800000</v>
      </c>
      <c r="J349" s="51">
        <v>12</v>
      </c>
      <c r="K349" s="50">
        <v>7444500</v>
      </c>
      <c r="L349" s="33">
        <v>3</v>
      </c>
      <c r="M349" s="103" t="s">
        <v>229</v>
      </c>
      <c r="N349" s="51">
        <v>3</v>
      </c>
      <c r="O349" s="50">
        <v>1485000</v>
      </c>
      <c r="P349" s="51">
        <v>3</v>
      </c>
      <c r="Q349" s="50">
        <v>4342500</v>
      </c>
      <c r="R349" s="110">
        <v>3</v>
      </c>
      <c r="S349" s="111">
        <v>1447500</v>
      </c>
      <c r="T349" s="102">
        <f t="shared" si="65"/>
        <v>12</v>
      </c>
      <c r="U349" s="60">
        <f t="shared" si="67"/>
        <v>100</v>
      </c>
      <c r="V349" s="34" t="s">
        <v>44</v>
      </c>
      <c r="W349" s="52">
        <f t="shared" si="64"/>
        <v>7275000</v>
      </c>
      <c r="X349" s="60">
        <f t="shared" si="68"/>
        <v>97.723151319766259</v>
      </c>
      <c r="Y349" s="34" t="s">
        <v>44</v>
      </c>
      <c r="Z349" s="102">
        <f t="shared" si="66"/>
        <v>24</v>
      </c>
      <c r="AA349" s="52">
        <f t="shared" si="69"/>
        <v>10075000</v>
      </c>
      <c r="AB349" s="41">
        <f t="shared" si="70"/>
        <v>66.666666666666657</v>
      </c>
      <c r="AC349" s="34" t="s">
        <v>44</v>
      </c>
      <c r="AD349" s="90">
        <f t="shared" si="71"/>
        <v>54.610005962382793</v>
      </c>
      <c r="AE349" s="17"/>
      <c r="AF349" s="2"/>
      <c r="AG349" s="2"/>
      <c r="AH349" s="55"/>
      <c r="AI349" s="2"/>
      <c r="AJ349" s="2"/>
      <c r="AK349" s="2"/>
    </row>
    <row r="350" spans="1:37" ht="105">
      <c r="A350" s="43"/>
      <c r="B350" s="39"/>
      <c r="C350" s="46" t="s">
        <v>500</v>
      </c>
      <c r="D350" s="47" t="s">
        <v>487</v>
      </c>
      <c r="E350" s="48">
        <v>24</v>
      </c>
      <c r="F350" s="77" t="s">
        <v>62</v>
      </c>
      <c r="G350" s="91">
        <v>26259350</v>
      </c>
      <c r="H350" s="101">
        <v>2</v>
      </c>
      <c r="I350" s="50">
        <v>2225000</v>
      </c>
      <c r="J350" s="51">
        <v>8</v>
      </c>
      <c r="K350" s="50">
        <v>6256000</v>
      </c>
      <c r="L350" s="33">
        <v>2</v>
      </c>
      <c r="M350" s="103" t="s">
        <v>229</v>
      </c>
      <c r="N350" s="51">
        <v>2</v>
      </c>
      <c r="O350" s="50">
        <v>0</v>
      </c>
      <c r="P350" s="51">
        <v>2</v>
      </c>
      <c r="Q350" s="50">
        <v>6216000</v>
      </c>
      <c r="R350" s="101">
        <v>2</v>
      </c>
      <c r="S350" s="50">
        <v>0</v>
      </c>
      <c r="T350" s="102">
        <f t="shared" si="65"/>
        <v>8</v>
      </c>
      <c r="U350" s="60">
        <f t="shared" si="67"/>
        <v>100</v>
      </c>
      <c r="V350" s="34" t="s">
        <v>44</v>
      </c>
      <c r="W350" s="52">
        <f t="shared" si="64"/>
        <v>6216000</v>
      </c>
      <c r="X350" s="60">
        <f t="shared" si="68"/>
        <v>99.360613810741683</v>
      </c>
      <c r="Y350" s="34" t="s">
        <v>44</v>
      </c>
      <c r="Z350" s="102">
        <f t="shared" si="66"/>
        <v>10</v>
      </c>
      <c r="AA350" s="52">
        <f t="shared" si="69"/>
        <v>8441000</v>
      </c>
      <c r="AB350" s="41">
        <f t="shared" si="70"/>
        <v>41.666666666666671</v>
      </c>
      <c r="AC350" s="34" t="s">
        <v>44</v>
      </c>
      <c r="AD350" s="90">
        <f t="shared" si="71"/>
        <v>32.144740825648768</v>
      </c>
      <c r="AE350" s="17"/>
      <c r="AF350" s="2"/>
      <c r="AG350" s="2"/>
      <c r="AH350" s="55"/>
      <c r="AI350" s="2"/>
      <c r="AJ350" s="2"/>
      <c r="AK350" s="2"/>
    </row>
    <row r="351" spans="1:37" ht="105">
      <c r="A351" s="43"/>
      <c r="B351" s="39"/>
      <c r="C351" s="46" t="s">
        <v>501</v>
      </c>
      <c r="D351" s="47" t="s">
        <v>487</v>
      </c>
      <c r="E351" s="48">
        <v>36</v>
      </c>
      <c r="F351" s="77" t="s">
        <v>62</v>
      </c>
      <c r="G351" s="91">
        <v>18600000</v>
      </c>
      <c r="H351" s="101">
        <v>12</v>
      </c>
      <c r="I351" s="50">
        <v>2760000</v>
      </c>
      <c r="J351" s="51">
        <v>12</v>
      </c>
      <c r="K351" s="50">
        <v>7920000</v>
      </c>
      <c r="L351" s="33">
        <v>3</v>
      </c>
      <c r="M351" s="103" t="s">
        <v>229</v>
      </c>
      <c r="N351" s="51">
        <v>3</v>
      </c>
      <c r="O351" s="50"/>
      <c r="P351" s="51">
        <v>3</v>
      </c>
      <c r="Q351" s="50">
        <v>1840000</v>
      </c>
      <c r="R351" s="112">
        <v>3</v>
      </c>
      <c r="S351" s="107">
        <v>5500000</v>
      </c>
      <c r="T351" s="102">
        <f t="shared" si="65"/>
        <v>12</v>
      </c>
      <c r="U351" s="60">
        <f t="shared" si="67"/>
        <v>100</v>
      </c>
      <c r="V351" s="34" t="s">
        <v>44</v>
      </c>
      <c r="W351" s="52">
        <f t="shared" si="64"/>
        <v>7340000</v>
      </c>
      <c r="X351" s="60">
        <f t="shared" si="68"/>
        <v>92.676767676767682</v>
      </c>
      <c r="Y351" s="34" t="s">
        <v>44</v>
      </c>
      <c r="Z351" s="102">
        <f t="shared" si="66"/>
        <v>24</v>
      </c>
      <c r="AA351" s="52">
        <f t="shared" si="69"/>
        <v>10100000</v>
      </c>
      <c r="AB351" s="41">
        <f t="shared" si="70"/>
        <v>66.666666666666657</v>
      </c>
      <c r="AC351" s="34" t="s">
        <v>44</v>
      </c>
      <c r="AD351" s="90">
        <f t="shared" si="71"/>
        <v>54.3010752688172</v>
      </c>
      <c r="AE351" s="17"/>
      <c r="AF351" s="2"/>
      <c r="AG351" s="2"/>
      <c r="AH351" s="55"/>
      <c r="AI351" s="2"/>
      <c r="AJ351" s="2"/>
      <c r="AK351" s="2"/>
    </row>
    <row r="352" spans="1:37" ht="105">
      <c r="A352" s="43"/>
      <c r="B352" s="39"/>
      <c r="C352" s="46" t="s">
        <v>502</v>
      </c>
      <c r="D352" s="47" t="s">
        <v>487</v>
      </c>
      <c r="E352" s="48">
        <v>36</v>
      </c>
      <c r="F352" s="77" t="s">
        <v>62</v>
      </c>
      <c r="G352" s="91">
        <v>13180500</v>
      </c>
      <c r="H352" s="101">
        <v>12</v>
      </c>
      <c r="I352" s="50">
        <v>5480000</v>
      </c>
      <c r="J352" s="51">
        <v>12</v>
      </c>
      <c r="K352" s="50">
        <v>4280500</v>
      </c>
      <c r="L352" s="33">
        <v>3</v>
      </c>
      <c r="M352" s="50">
        <v>0</v>
      </c>
      <c r="N352" s="51">
        <v>3</v>
      </c>
      <c r="O352" s="50">
        <v>1025000</v>
      </c>
      <c r="P352" s="51">
        <v>3</v>
      </c>
      <c r="Q352" s="50">
        <v>0</v>
      </c>
      <c r="R352" s="112">
        <v>3</v>
      </c>
      <c r="S352" s="78">
        <v>1600000</v>
      </c>
      <c r="T352" s="102">
        <f t="shared" si="65"/>
        <v>12</v>
      </c>
      <c r="U352" s="60">
        <f t="shared" si="67"/>
        <v>100</v>
      </c>
      <c r="V352" s="34" t="s">
        <v>44</v>
      </c>
      <c r="W352" s="52">
        <f t="shared" si="64"/>
        <v>2625000</v>
      </c>
      <c r="X352" s="60">
        <f t="shared" si="68"/>
        <v>61.324611610793134</v>
      </c>
      <c r="Y352" s="34" t="s">
        <v>44</v>
      </c>
      <c r="Z352" s="102">
        <f t="shared" si="66"/>
        <v>24</v>
      </c>
      <c r="AA352" s="52">
        <f t="shared" si="69"/>
        <v>8105000</v>
      </c>
      <c r="AB352" s="41">
        <f t="shared" si="70"/>
        <v>66.666666666666657</v>
      </c>
      <c r="AC352" s="34" t="s">
        <v>44</v>
      </c>
      <c r="AD352" s="90">
        <f t="shared" si="71"/>
        <v>61.492356132164936</v>
      </c>
      <c r="AE352" s="17"/>
      <c r="AF352" s="2"/>
      <c r="AG352" s="2"/>
      <c r="AH352" s="55"/>
      <c r="AI352" s="2"/>
      <c r="AJ352" s="2"/>
      <c r="AK352" s="2"/>
    </row>
    <row r="353" spans="1:37" ht="105">
      <c r="A353" s="43"/>
      <c r="B353" s="39"/>
      <c r="C353" s="46" t="s">
        <v>503</v>
      </c>
      <c r="D353" s="47" t="s">
        <v>487</v>
      </c>
      <c r="E353" s="48">
        <v>36</v>
      </c>
      <c r="F353" s="77" t="s">
        <v>62</v>
      </c>
      <c r="G353" s="91">
        <v>81625000</v>
      </c>
      <c r="H353" s="101">
        <v>12</v>
      </c>
      <c r="I353" s="50">
        <v>7336000</v>
      </c>
      <c r="J353" s="51">
        <v>12</v>
      </c>
      <c r="K353" s="50">
        <v>37134000</v>
      </c>
      <c r="L353" s="33">
        <v>3</v>
      </c>
      <c r="M353" s="103" t="s">
        <v>229</v>
      </c>
      <c r="N353" s="51">
        <v>3</v>
      </c>
      <c r="O353" s="50">
        <v>3865000</v>
      </c>
      <c r="P353" s="51">
        <v>3</v>
      </c>
      <c r="Q353" s="50">
        <v>3865000</v>
      </c>
      <c r="R353" s="112">
        <v>3</v>
      </c>
      <c r="S353" s="107">
        <v>29327500</v>
      </c>
      <c r="T353" s="102">
        <f t="shared" si="65"/>
        <v>12</v>
      </c>
      <c r="U353" s="60">
        <f t="shared" si="67"/>
        <v>100</v>
      </c>
      <c r="V353" s="34" t="s">
        <v>44</v>
      </c>
      <c r="W353" s="52">
        <f t="shared" si="64"/>
        <v>37057500</v>
      </c>
      <c r="X353" s="60">
        <f t="shared" si="68"/>
        <v>99.793989335918567</v>
      </c>
      <c r="Y353" s="34" t="s">
        <v>44</v>
      </c>
      <c r="Z353" s="102">
        <f t="shared" si="66"/>
        <v>24</v>
      </c>
      <c r="AA353" s="52">
        <f t="shared" si="69"/>
        <v>44393500</v>
      </c>
      <c r="AB353" s="41">
        <f t="shared" si="70"/>
        <v>66.666666666666657</v>
      </c>
      <c r="AC353" s="34" t="s">
        <v>44</v>
      </c>
      <c r="AD353" s="90">
        <f t="shared" si="71"/>
        <v>54.387136294027563</v>
      </c>
      <c r="AE353" s="17"/>
      <c r="AF353" s="2"/>
      <c r="AG353" s="2"/>
      <c r="AH353" s="55"/>
      <c r="AI353" s="2"/>
      <c r="AJ353" s="2"/>
      <c r="AK353" s="2"/>
    </row>
    <row r="354" spans="1:37" ht="105">
      <c r="A354" s="43"/>
      <c r="B354" s="39"/>
      <c r="C354" s="46" t="s">
        <v>504</v>
      </c>
      <c r="D354" s="47" t="s">
        <v>487</v>
      </c>
      <c r="E354" s="48">
        <v>24</v>
      </c>
      <c r="F354" s="77" t="s">
        <v>62</v>
      </c>
      <c r="G354" s="91">
        <v>24267500</v>
      </c>
      <c r="H354" s="101">
        <v>0</v>
      </c>
      <c r="I354" s="50">
        <v>0</v>
      </c>
      <c r="J354" s="51">
        <v>12</v>
      </c>
      <c r="K354" s="50">
        <v>9618000</v>
      </c>
      <c r="L354" s="33">
        <v>3</v>
      </c>
      <c r="M354" s="103" t="s">
        <v>229</v>
      </c>
      <c r="N354" s="51">
        <v>3</v>
      </c>
      <c r="O354" s="50">
        <v>0</v>
      </c>
      <c r="P354" s="51">
        <v>3</v>
      </c>
      <c r="Q354" s="50">
        <v>937500</v>
      </c>
      <c r="R354" s="101">
        <v>3</v>
      </c>
      <c r="S354" s="50">
        <v>4710000</v>
      </c>
      <c r="T354" s="102">
        <f t="shared" si="65"/>
        <v>12</v>
      </c>
      <c r="U354" s="60">
        <f t="shared" si="67"/>
        <v>100</v>
      </c>
      <c r="V354" s="34" t="s">
        <v>44</v>
      </c>
      <c r="W354" s="52">
        <f t="shared" si="64"/>
        <v>5647500</v>
      </c>
      <c r="X354" s="60">
        <f t="shared" si="68"/>
        <v>58.718028696194636</v>
      </c>
      <c r="Y354" s="34" t="s">
        <v>44</v>
      </c>
      <c r="Z354" s="102">
        <f t="shared" si="66"/>
        <v>12</v>
      </c>
      <c r="AA354" s="52">
        <f t="shared" si="69"/>
        <v>5647500</v>
      </c>
      <c r="AB354" s="41">
        <f t="shared" si="70"/>
        <v>50</v>
      </c>
      <c r="AC354" s="34" t="s">
        <v>44</v>
      </c>
      <c r="AD354" s="90">
        <f t="shared" si="71"/>
        <v>23.271865663953847</v>
      </c>
      <c r="AE354" s="17"/>
      <c r="AF354" s="2"/>
      <c r="AG354" s="2"/>
      <c r="AH354" s="55"/>
      <c r="AI354" s="2"/>
      <c r="AJ354" s="2"/>
      <c r="AK354" s="2"/>
    </row>
    <row r="355" spans="1:37" ht="105">
      <c r="A355" s="43"/>
      <c r="B355" s="39"/>
      <c r="C355" s="46" t="s">
        <v>505</v>
      </c>
      <c r="D355" s="47" t="s">
        <v>487</v>
      </c>
      <c r="E355" s="48">
        <v>24</v>
      </c>
      <c r="F355" s="77" t="s">
        <v>62</v>
      </c>
      <c r="G355" s="91">
        <v>3250000</v>
      </c>
      <c r="H355" s="101"/>
      <c r="I355" s="50"/>
      <c r="J355" s="51">
        <v>12</v>
      </c>
      <c r="K355" s="50">
        <v>1625000</v>
      </c>
      <c r="L355" s="33">
        <v>3</v>
      </c>
      <c r="M355" s="103" t="s">
        <v>229</v>
      </c>
      <c r="N355" s="51">
        <v>3</v>
      </c>
      <c r="O355" s="50">
        <v>0</v>
      </c>
      <c r="P355" s="51">
        <v>3</v>
      </c>
      <c r="Q355" s="50">
        <v>0</v>
      </c>
      <c r="R355" s="101">
        <v>3</v>
      </c>
      <c r="S355" s="50">
        <v>1625000</v>
      </c>
      <c r="T355" s="102">
        <f t="shared" si="65"/>
        <v>12</v>
      </c>
      <c r="U355" s="60">
        <f t="shared" si="67"/>
        <v>100</v>
      </c>
      <c r="V355" s="34" t="s">
        <v>44</v>
      </c>
      <c r="W355" s="52">
        <f t="shared" si="64"/>
        <v>1625000</v>
      </c>
      <c r="X355" s="60">
        <f t="shared" si="68"/>
        <v>100</v>
      </c>
      <c r="Y355" s="34" t="s">
        <v>44</v>
      </c>
      <c r="Z355" s="102">
        <f t="shared" si="66"/>
        <v>12</v>
      </c>
      <c r="AA355" s="52">
        <f t="shared" si="69"/>
        <v>1625000</v>
      </c>
      <c r="AB355" s="41">
        <f t="shared" si="70"/>
        <v>50</v>
      </c>
      <c r="AC355" s="34" t="s">
        <v>44</v>
      </c>
      <c r="AD355" s="90">
        <f t="shared" si="71"/>
        <v>50</v>
      </c>
      <c r="AE355" s="17"/>
      <c r="AF355" s="2"/>
      <c r="AG355" s="2"/>
      <c r="AH355" s="55"/>
      <c r="AI355" s="2"/>
      <c r="AJ355" s="2"/>
      <c r="AK355" s="2"/>
    </row>
    <row r="356" spans="1:37" ht="105">
      <c r="A356" s="43"/>
      <c r="B356" s="39"/>
      <c r="C356" s="46" t="s">
        <v>506</v>
      </c>
      <c r="D356" s="47" t="s">
        <v>487</v>
      </c>
      <c r="E356" s="48">
        <v>36</v>
      </c>
      <c r="F356" s="77" t="s">
        <v>62</v>
      </c>
      <c r="G356" s="91">
        <v>34450000</v>
      </c>
      <c r="H356" s="101">
        <v>12</v>
      </c>
      <c r="I356" s="50">
        <v>5490000</v>
      </c>
      <c r="J356" s="51">
        <v>12</v>
      </c>
      <c r="K356" s="50">
        <v>14480000</v>
      </c>
      <c r="L356" s="33">
        <v>3</v>
      </c>
      <c r="M356" s="103" t="s">
        <v>229</v>
      </c>
      <c r="N356" s="51">
        <v>3</v>
      </c>
      <c r="O356" s="50"/>
      <c r="P356" s="51">
        <v>3</v>
      </c>
      <c r="Q356" s="50">
        <v>5947250</v>
      </c>
      <c r="R356" s="112">
        <v>3</v>
      </c>
      <c r="S356" s="107">
        <v>5976750</v>
      </c>
      <c r="T356" s="102">
        <f t="shared" si="65"/>
        <v>12</v>
      </c>
      <c r="U356" s="60">
        <f t="shared" si="67"/>
        <v>100</v>
      </c>
      <c r="V356" s="34" t="s">
        <v>44</v>
      </c>
      <c r="W356" s="52">
        <f t="shared" si="64"/>
        <v>11924000</v>
      </c>
      <c r="X356" s="60">
        <f t="shared" si="68"/>
        <v>82.34806629834253</v>
      </c>
      <c r="Y356" s="34" t="s">
        <v>44</v>
      </c>
      <c r="Z356" s="102">
        <f t="shared" si="66"/>
        <v>24</v>
      </c>
      <c r="AA356" s="52">
        <f t="shared" si="69"/>
        <v>17414000</v>
      </c>
      <c r="AB356" s="41">
        <f t="shared" si="70"/>
        <v>66.666666666666657</v>
      </c>
      <c r="AC356" s="34" t="s">
        <v>44</v>
      </c>
      <c r="AD356" s="90">
        <f t="shared" si="71"/>
        <v>50.548621190130625</v>
      </c>
      <c r="AE356" s="17"/>
      <c r="AF356" s="2"/>
      <c r="AG356" s="2"/>
      <c r="AH356" s="55"/>
      <c r="AI356" s="2"/>
      <c r="AJ356" s="2"/>
      <c r="AK356" s="2"/>
    </row>
    <row r="357" spans="1:37" ht="123" customHeight="1">
      <c r="A357" s="43"/>
      <c r="B357" s="39"/>
      <c r="C357" s="46" t="s">
        <v>507</v>
      </c>
      <c r="D357" s="47" t="s">
        <v>508</v>
      </c>
      <c r="E357" s="48">
        <v>148</v>
      </c>
      <c r="F357" s="77" t="s">
        <v>62</v>
      </c>
      <c r="G357" s="91">
        <v>788110100</v>
      </c>
      <c r="H357" s="101">
        <v>148</v>
      </c>
      <c r="I357" s="50">
        <v>316634400</v>
      </c>
      <c r="J357" s="51">
        <v>148</v>
      </c>
      <c r="K357" s="50">
        <v>385552100</v>
      </c>
      <c r="L357" s="102">
        <v>50</v>
      </c>
      <c r="M357" s="50">
        <v>0</v>
      </c>
      <c r="N357" s="51">
        <v>50</v>
      </c>
      <c r="O357" s="50">
        <v>122672000</v>
      </c>
      <c r="P357" s="51">
        <v>48</v>
      </c>
      <c r="Q357" s="50">
        <f>130322000-O357</f>
        <v>7650000</v>
      </c>
      <c r="R357" s="51">
        <v>0</v>
      </c>
      <c r="S357" s="50">
        <f>325411500-O357-Q357</f>
        <v>195089500</v>
      </c>
      <c r="T357" s="102">
        <f t="shared" si="65"/>
        <v>148</v>
      </c>
      <c r="U357" s="60">
        <f t="shared" si="67"/>
        <v>100</v>
      </c>
      <c r="V357" s="34" t="s">
        <v>44</v>
      </c>
      <c r="W357" s="52">
        <f t="shared" si="64"/>
        <v>325411500</v>
      </c>
      <c r="X357" s="60">
        <f t="shared" si="68"/>
        <v>84.401433684319187</v>
      </c>
      <c r="Y357" s="34" t="s">
        <v>44</v>
      </c>
      <c r="Z357" s="102">
        <f t="shared" si="66"/>
        <v>296</v>
      </c>
      <c r="AA357" s="52">
        <f t="shared" si="69"/>
        <v>642045900</v>
      </c>
      <c r="AB357" s="41">
        <f t="shared" si="70"/>
        <v>200</v>
      </c>
      <c r="AC357" s="34" t="s">
        <v>44</v>
      </c>
      <c r="AD357" s="90">
        <f t="shared" si="71"/>
        <v>81.466523522538282</v>
      </c>
      <c r="AE357" s="17"/>
      <c r="AF357" s="2"/>
      <c r="AG357" s="2"/>
      <c r="AH357" s="55"/>
      <c r="AI357" s="2"/>
      <c r="AJ357" s="2"/>
      <c r="AK357" s="2"/>
    </row>
    <row r="358" spans="1:37" ht="90">
      <c r="A358" s="43"/>
      <c r="B358" s="39"/>
      <c r="C358" s="46" t="s">
        <v>509</v>
      </c>
      <c r="D358" s="47" t="s">
        <v>508</v>
      </c>
      <c r="E358" s="48">
        <v>36</v>
      </c>
      <c r="F358" s="77" t="s">
        <v>62</v>
      </c>
      <c r="G358" s="91">
        <v>41894700</v>
      </c>
      <c r="H358" s="101">
        <v>12</v>
      </c>
      <c r="I358" s="50">
        <v>18510500</v>
      </c>
      <c r="J358" s="51">
        <v>12</v>
      </c>
      <c r="K358" s="50">
        <v>23384200</v>
      </c>
      <c r="L358" s="33">
        <v>3</v>
      </c>
      <c r="M358" s="103" t="s">
        <v>229</v>
      </c>
      <c r="N358" s="51">
        <v>3</v>
      </c>
      <c r="O358" s="50">
        <v>6850000</v>
      </c>
      <c r="P358" s="51">
        <v>3</v>
      </c>
      <c r="Q358" s="50">
        <v>6542700</v>
      </c>
      <c r="R358" s="101">
        <v>3</v>
      </c>
      <c r="S358" s="50">
        <v>7791500</v>
      </c>
      <c r="T358" s="102">
        <f t="shared" si="65"/>
        <v>12</v>
      </c>
      <c r="U358" s="60">
        <f t="shared" si="67"/>
        <v>100</v>
      </c>
      <c r="V358" s="34" t="s">
        <v>44</v>
      </c>
      <c r="W358" s="52">
        <f t="shared" si="64"/>
        <v>21184200</v>
      </c>
      <c r="X358" s="60">
        <f t="shared" si="68"/>
        <v>90.591938146269698</v>
      </c>
      <c r="Y358" s="34" t="s">
        <v>44</v>
      </c>
      <c r="Z358" s="102">
        <f t="shared" si="66"/>
        <v>24</v>
      </c>
      <c r="AA358" s="52">
        <f t="shared" si="69"/>
        <v>39694700</v>
      </c>
      <c r="AB358" s="41">
        <f t="shared" si="70"/>
        <v>66.666666666666657</v>
      </c>
      <c r="AC358" s="34" t="s">
        <v>44</v>
      </c>
      <c r="AD358" s="90">
        <f t="shared" si="71"/>
        <v>94.748739100649956</v>
      </c>
      <c r="AE358" s="17"/>
      <c r="AF358" s="2"/>
      <c r="AG358" s="2"/>
      <c r="AH358" s="55"/>
      <c r="AI358" s="2"/>
      <c r="AJ358" s="2"/>
      <c r="AK358" s="2"/>
    </row>
    <row r="359" spans="1:37" ht="90">
      <c r="A359" s="43"/>
      <c r="B359" s="39"/>
      <c r="C359" s="46" t="s">
        <v>510</v>
      </c>
      <c r="D359" s="47" t="s">
        <v>508</v>
      </c>
      <c r="E359" s="48">
        <v>36</v>
      </c>
      <c r="F359" s="77" t="s">
        <v>62</v>
      </c>
      <c r="G359" s="91">
        <v>32758300</v>
      </c>
      <c r="H359" s="101">
        <v>12</v>
      </c>
      <c r="I359" s="50">
        <v>4653500</v>
      </c>
      <c r="J359" s="51">
        <v>12</v>
      </c>
      <c r="K359" s="50">
        <v>13690700</v>
      </c>
      <c r="L359" s="33">
        <v>3</v>
      </c>
      <c r="M359" s="103" t="s">
        <v>229</v>
      </c>
      <c r="N359" s="51">
        <v>3</v>
      </c>
      <c r="O359" s="50">
        <v>3010000</v>
      </c>
      <c r="P359" s="51">
        <v>3</v>
      </c>
      <c r="Q359" s="50">
        <v>1050000</v>
      </c>
      <c r="R359" s="101">
        <v>3</v>
      </c>
      <c r="S359" s="50">
        <v>9490700</v>
      </c>
      <c r="T359" s="102">
        <f t="shared" si="65"/>
        <v>12</v>
      </c>
      <c r="U359" s="60">
        <f t="shared" si="67"/>
        <v>100</v>
      </c>
      <c r="V359" s="34" t="s">
        <v>44</v>
      </c>
      <c r="W359" s="52">
        <f t="shared" si="64"/>
        <v>13550700</v>
      </c>
      <c r="X359" s="60">
        <f t="shared" si="68"/>
        <v>98.977408021503649</v>
      </c>
      <c r="Y359" s="34" t="s">
        <v>44</v>
      </c>
      <c r="Z359" s="102">
        <f t="shared" si="66"/>
        <v>24</v>
      </c>
      <c r="AA359" s="52">
        <f t="shared" si="69"/>
        <v>18204200</v>
      </c>
      <c r="AB359" s="41">
        <f t="shared" si="70"/>
        <v>66.666666666666657</v>
      </c>
      <c r="AC359" s="34" t="s">
        <v>44</v>
      </c>
      <c r="AD359" s="90">
        <f t="shared" si="71"/>
        <v>55.571259802859117</v>
      </c>
      <c r="AE359" s="17"/>
      <c r="AF359" s="2"/>
      <c r="AG359" s="2"/>
      <c r="AH359" s="55"/>
      <c r="AI359" s="2"/>
      <c r="AJ359" s="2"/>
      <c r="AK359" s="2"/>
    </row>
    <row r="360" spans="1:37" ht="90">
      <c r="A360" s="43"/>
      <c r="B360" s="39"/>
      <c r="C360" s="46" t="s">
        <v>511</v>
      </c>
      <c r="D360" s="47" t="s">
        <v>508</v>
      </c>
      <c r="E360" s="48">
        <v>36</v>
      </c>
      <c r="F360" s="77" t="s">
        <v>62</v>
      </c>
      <c r="G360" s="91">
        <v>43475600</v>
      </c>
      <c r="H360" s="101">
        <v>12</v>
      </c>
      <c r="I360" s="50">
        <v>11457600</v>
      </c>
      <c r="J360" s="51">
        <v>12</v>
      </c>
      <c r="K360" s="50">
        <v>16009000</v>
      </c>
      <c r="L360" s="33">
        <v>3</v>
      </c>
      <c r="M360" s="103" t="s">
        <v>229</v>
      </c>
      <c r="N360" s="51">
        <v>3</v>
      </c>
      <c r="O360" s="50">
        <v>4200000</v>
      </c>
      <c r="P360" s="51">
        <v>3</v>
      </c>
      <c r="Q360" s="50">
        <v>3560000</v>
      </c>
      <c r="R360" s="101">
        <v>3</v>
      </c>
      <c r="S360" s="50">
        <v>7690000</v>
      </c>
      <c r="T360" s="102">
        <f t="shared" si="65"/>
        <v>12</v>
      </c>
      <c r="U360" s="60">
        <f t="shared" si="67"/>
        <v>100</v>
      </c>
      <c r="V360" s="34" t="s">
        <v>44</v>
      </c>
      <c r="W360" s="52">
        <f t="shared" si="64"/>
        <v>15450000</v>
      </c>
      <c r="X360" s="60">
        <f t="shared" si="68"/>
        <v>96.50821412955213</v>
      </c>
      <c r="Y360" s="34" t="s">
        <v>44</v>
      </c>
      <c r="Z360" s="102">
        <f t="shared" si="66"/>
        <v>24</v>
      </c>
      <c r="AA360" s="52">
        <f t="shared" si="69"/>
        <v>26907600</v>
      </c>
      <c r="AB360" s="41">
        <f t="shared" si="70"/>
        <v>66.666666666666657</v>
      </c>
      <c r="AC360" s="34" t="s">
        <v>44</v>
      </c>
      <c r="AD360" s="90">
        <f t="shared" si="71"/>
        <v>61.891267745586035</v>
      </c>
      <c r="AE360" s="17"/>
      <c r="AF360" s="2"/>
      <c r="AG360" s="2"/>
      <c r="AH360" s="55"/>
      <c r="AI360" s="2"/>
      <c r="AJ360" s="2"/>
      <c r="AK360" s="2"/>
    </row>
    <row r="361" spans="1:37" ht="90">
      <c r="A361" s="43"/>
      <c r="B361" s="39"/>
      <c r="C361" s="46" t="s">
        <v>512</v>
      </c>
      <c r="D361" s="47" t="s">
        <v>508</v>
      </c>
      <c r="E361" s="48">
        <v>36</v>
      </c>
      <c r="F361" s="77" t="s">
        <v>62</v>
      </c>
      <c r="G361" s="91">
        <v>37882000</v>
      </c>
      <c r="H361" s="101">
        <v>12</v>
      </c>
      <c r="I361" s="50">
        <v>8160000</v>
      </c>
      <c r="J361" s="51">
        <v>12</v>
      </c>
      <c r="K361" s="50">
        <v>12481000</v>
      </c>
      <c r="L361" s="33">
        <v>3</v>
      </c>
      <c r="M361" s="103" t="s">
        <v>229</v>
      </c>
      <c r="N361" s="51">
        <v>3</v>
      </c>
      <c r="O361" s="50">
        <v>5250000</v>
      </c>
      <c r="P361" s="51">
        <v>3</v>
      </c>
      <c r="Q361" s="50">
        <v>4679000</v>
      </c>
      <c r="R361" s="101">
        <v>3</v>
      </c>
      <c r="S361" s="50">
        <v>2190000</v>
      </c>
      <c r="T361" s="102">
        <f t="shared" si="65"/>
        <v>12</v>
      </c>
      <c r="U361" s="60">
        <f t="shared" si="67"/>
        <v>100</v>
      </c>
      <c r="V361" s="34" t="s">
        <v>44</v>
      </c>
      <c r="W361" s="52">
        <f t="shared" si="64"/>
        <v>12119000</v>
      </c>
      <c r="X361" s="60">
        <f t="shared" si="68"/>
        <v>97.099591378895923</v>
      </c>
      <c r="Y361" s="34" t="s">
        <v>44</v>
      </c>
      <c r="Z361" s="102">
        <f t="shared" si="66"/>
        <v>24</v>
      </c>
      <c r="AA361" s="52">
        <f t="shared" si="69"/>
        <v>20279000</v>
      </c>
      <c r="AB361" s="41">
        <f t="shared" si="70"/>
        <v>66.666666666666657</v>
      </c>
      <c r="AC361" s="34" t="s">
        <v>44</v>
      </c>
      <c r="AD361" s="90">
        <f t="shared" si="71"/>
        <v>53.532020484662901</v>
      </c>
      <c r="AE361" s="17"/>
      <c r="AF361" s="2"/>
      <c r="AG361" s="2"/>
      <c r="AH361" s="55"/>
      <c r="AI361" s="2"/>
      <c r="AJ361" s="2"/>
      <c r="AK361" s="2"/>
    </row>
    <row r="362" spans="1:37" ht="90">
      <c r="A362" s="43"/>
      <c r="B362" s="39"/>
      <c r="C362" s="46" t="s">
        <v>513</v>
      </c>
      <c r="D362" s="47" t="s">
        <v>508</v>
      </c>
      <c r="E362" s="48">
        <v>36</v>
      </c>
      <c r="F362" s="77" t="s">
        <v>62</v>
      </c>
      <c r="G362" s="91">
        <v>100976000</v>
      </c>
      <c r="H362" s="101">
        <v>12</v>
      </c>
      <c r="I362" s="50">
        <v>19318000</v>
      </c>
      <c r="J362" s="51">
        <v>12</v>
      </c>
      <c r="K362" s="50">
        <v>40829000</v>
      </c>
      <c r="L362" s="33">
        <v>3</v>
      </c>
      <c r="M362" s="103" t="s">
        <v>229</v>
      </c>
      <c r="N362" s="51">
        <v>3</v>
      </c>
      <c r="O362" s="50">
        <v>4779000</v>
      </c>
      <c r="P362" s="51">
        <v>3</v>
      </c>
      <c r="Q362" s="50">
        <v>13080000</v>
      </c>
      <c r="R362" s="101">
        <v>3</v>
      </c>
      <c r="S362" s="50">
        <v>21630000</v>
      </c>
      <c r="T362" s="102">
        <f t="shared" si="65"/>
        <v>12</v>
      </c>
      <c r="U362" s="60">
        <f t="shared" si="67"/>
        <v>100</v>
      </c>
      <c r="V362" s="34" t="s">
        <v>44</v>
      </c>
      <c r="W362" s="52">
        <f t="shared" si="64"/>
        <v>39489000</v>
      </c>
      <c r="X362" s="60">
        <f t="shared" si="68"/>
        <v>96.718019055083388</v>
      </c>
      <c r="Y362" s="34" t="s">
        <v>44</v>
      </c>
      <c r="Z362" s="102">
        <f t="shared" si="66"/>
        <v>24</v>
      </c>
      <c r="AA362" s="52">
        <f t="shared" si="69"/>
        <v>58807000</v>
      </c>
      <c r="AB362" s="41">
        <f t="shared" si="70"/>
        <v>66.666666666666657</v>
      </c>
      <c r="AC362" s="34" t="s">
        <v>44</v>
      </c>
      <c r="AD362" s="90">
        <f t="shared" si="71"/>
        <v>58.238591348439229</v>
      </c>
      <c r="AE362" s="17"/>
      <c r="AF362" s="2"/>
      <c r="AG362" s="2"/>
      <c r="AH362" s="55"/>
      <c r="AI362" s="2"/>
      <c r="AJ362" s="2"/>
      <c r="AK362" s="2"/>
    </row>
    <row r="363" spans="1:37" ht="90">
      <c r="A363" s="43"/>
      <c r="B363" s="39"/>
      <c r="C363" s="46" t="s">
        <v>514</v>
      </c>
      <c r="D363" s="47" t="s">
        <v>508</v>
      </c>
      <c r="E363" s="48">
        <v>36</v>
      </c>
      <c r="F363" s="77" t="s">
        <v>62</v>
      </c>
      <c r="G363" s="91">
        <v>33050600</v>
      </c>
      <c r="H363" s="101">
        <v>12</v>
      </c>
      <c r="I363" s="50">
        <v>10655600</v>
      </c>
      <c r="J363" s="51">
        <v>12</v>
      </c>
      <c r="K363" s="50">
        <v>11197500</v>
      </c>
      <c r="L363" s="33">
        <v>3</v>
      </c>
      <c r="M363" s="103" t="s">
        <v>229</v>
      </c>
      <c r="N363" s="51">
        <v>3</v>
      </c>
      <c r="O363" s="50">
        <v>1365000</v>
      </c>
      <c r="P363" s="51">
        <v>3</v>
      </c>
      <c r="Q363" s="50">
        <v>5175000</v>
      </c>
      <c r="R363" s="101">
        <v>3</v>
      </c>
      <c r="S363" s="50">
        <v>4517500</v>
      </c>
      <c r="T363" s="102">
        <f t="shared" si="65"/>
        <v>12</v>
      </c>
      <c r="U363" s="60">
        <f t="shared" si="67"/>
        <v>100</v>
      </c>
      <c r="V363" s="34" t="s">
        <v>44</v>
      </c>
      <c r="W363" s="52">
        <f t="shared" si="64"/>
        <v>11057500</v>
      </c>
      <c r="X363" s="60">
        <f t="shared" si="68"/>
        <v>98.749720919848187</v>
      </c>
      <c r="Y363" s="34" t="s">
        <v>44</v>
      </c>
      <c r="Z363" s="102">
        <f t="shared" si="66"/>
        <v>24</v>
      </c>
      <c r="AA363" s="52">
        <f t="shared" si="69"/>
        <v>21713100</v>
      </c>
      <c r="AB363" s="41">
        <f t="shared" si="70"/>
        <v>66.666666666666657</v>
      </c>
      <c r="AC363" s="34" t="s">
        <v>44</v>
      </c>
      <c r="AD363" s="90">
        <f t="shared" si="71"/>
        <v>65.696538035618119</v>
      </c>
      <c r="AE363" s="17"/>
      <c r="AF363" s="2"/>
      <c r="AG363" s="2"/>
      <c r="AH363" s="55"/>
      <c r="AI363" s="2"/>
      <c r="AJ363" s="2"/>
      <c r="AK363" s="2"/>
    </row>
    <row r="364" spans="1:37" ht="90">
      <c r="A364" s="43"/>
      <c r="B364" s="39"/>
      <c r="C364" s="46" t="s">
        <v>515</v>
      </c>
      <c r="D364" s="47" t="s">
        <v>508</v>
      </c>
      <c r="E364" s="48">
        <v>36</v>
      </c>
      <c r="F364" s="77" t="s">
        <v>62</v>
      </c>
      <c r="G364" s="91">
        <v>137480000</v>
      </c>
      <c r="H364" s="101">
        <v>12</v>
      </c>
      <c r="I364" s="50">
        <v>10080000</v>
      </c>
      <c r="J364" s="51">
        <v>12</v>
      </c>
      <c r="K364" s="50">
        <v>63700000</v>
      </c>
      <c r="L364" s="33">
        <v>3</v>
      </c>
      <c r="M364" s="103" t="s">
        <v>229</v>
      </c>
      <c r="N364" s="51">
        <v>3</v>
      </c>
      <c r="O364" s="50">
        <v>7410000</v>
      </c>
      <c r="P364" s="51">
        <v>3</v>
      </c>
      <c r="Q364" s="50">
        <v>24686000</v>
      </c>
      <c r="R364" s="101">
        <v>3</v>
      </c>
      <c r="S364" s="50">
        <v>11610000</v>
      </c>
      <c r="T364" s="102">
        <f t="shared" si="65"/>
        <v>12</v>
      </c>
      <c r="U364" s="60">
        <f t="shared" si="67"/>
        <v>100</v>
      </c>
      <c r="V364" s="34" t="s">
        <v>44</v>
      </c>
      <c r="W364" s="52">
        <f t="shared" si="64"/>
        <v>43706000</v>
      </c>
      <c r="X364" s="60">
        <f t="shared" si="68"/>
        <v>68.612244897959187</v>
      </c>
      <c r="Y364" s="34" t="s">
        <v>44</v>
      </c>
      <c r="Z364" s="102">
        <f t="shared" si="66"/>
        <v>24</v>
      </c>
      <c r="AA364" s="52">
        <f t="shared" si="69"/>
        <v>53786000</v>
      </c>
      <c r="AB364" s="41">
        <f t="shared" si="70"/>
        <v>66.666666666666657</v>
      </c>
      <c r="AC364" s="34" t="s">
        <v>44</v>
      </c>
      <c r="AD364" s="90">
        <f t="shared" si="71"/>
        <v>39.122781495490258</v>
      </c>
      <c r="AE364" s="17"/>
      <c r="AF364" s="2"/>
      <c r="AG364" s="2"/>
      <c r="AH364" s="55"/>
      <c r="AI364" s="2"/>
      <c r="AJ364" s="2"/>
      <c r="AK364" s="2"/>
    </row>
    <row r="365" spans="1:37" ht="90">
      <c r="A365" s="43"/>
      <c r="B365" s="39"/>
      <c r="C365" s="46" t="s">
        <v>516</v>
      </c>
      <c r="D365" s="47" t="s">
        <v>508</v>
      </c>
      <c r="E365" s="48">
        <v>36</v>
      </c>
      <c r="F365" s="77" t="s">
        <v>62</v>
      </c>
      <c r="G365" s="91">
        <v>62083950</v>
      </c>
      <c r="H365" s="101">
        <v>12</v>
      </c>
      <c r="I365" s="50">
        <v>25134500</v>
      </c>
      <c r="J365" s="51">
        <v>12</v>
      </c>
      <c r="K365" s="50">
        <v>18660000</v>
      </c>
      <c r="L365" s="33">
        <v>3</v>
      </c>
      <c r="M365" s="103" t="s">
        <v>229</v>
      </c>
      <c r="N365" s="51">
        <v>3</v>
      </c>
      <c r="O365" s="50">
        <v>2700000</v>
      </c>
      <c r="P365" s="51">
        <v>3</v>
      </c>
      <c r="Q365" s="50">
        <v>10312100</v>
      </c>
      <c r="R365" s="101">
        <v>3</v>
      </c>
      <c r="S365" s="50">
        <v>5190000</v>
      </c>
      <c r="T365" s="102">
        <f t="shared" si="65"/>
        <v>12</v>
      </c>
      <c r="U365" s="60">
        <f t="shared" si="67"/>
        <v>100</v>
      </c>
      <c r="V365" s="34" t="s">
        <v>44</v>
      </c>
      <c r="W365" s="52">
        <f t="shared" si="64"/>
        <v>18202100</v>
      </c>
      <c r="X365" s="60">
        <f t="shared" si="68"/>
        <v>97.546087888531616</v>
      </c>
      <c r="Y365" s="34" t="s">
        <v>44</v>
      </c>
      <c r="Z365" s="102">
        <f t="shared" si="66"/>
        <v>24</v>
      </c>
      <c r="AA365" s="52">
        <f t="shared" si="69"/>
        <v>43336600</v>
      </c>
      <c r="AB365" s="41">
        <f t="shared" si="70"/>
        <v>66.666666666666657</v>
      </c>
      <c r="AC365" s="34" t="s">
        <v>44</v>
      </c>
      <c r="AD365" s="90">
        <f t="shared" si="71"/>
        <v>69.803226115606364</v>
      </c>
      <c r="AE365" s="17"/>
      <c r="AF365" s="2"/>
      <c r="AG365" s="2"/>
      <c r="AH365" s="55"/>
      <c r="AI365" s="2"/>
      <c r="AJ365" s="2"/>
      <c r="AK365" s="2"/>
    </row>
    <row r="366" spans="1:37" ht="90">
      <c r="A366" s="43"/>
      <c r="B366" s="39"/>
      <c r="C366" s="46" t="s">
        <v>517</v>
      </c>
      <c r="D366" s="47" t="s">
        <v>508</v>
      </c>
      <c r="E366" s="48">
        <v>36</v>
      </c>
      <c r="F366" s="77" t="s">
        <v>62</v>
      </c>
      <c r="G366" s="91">
        <v>83870200</v>
      </c>
      <c r="H366" s="101">
        <v>12</v>
      </c>
      <c r="I366" s="50">
        <v>20399200</v>
      </c>
      <c r="J366" s="51">
        <v>12</v>
      </c>
      <c r="K366" s="50">
        <v>29620500</v>
      </c>
      <c r="L366" s="33">
        <v>3</v>
      </c>
      <c r="M366" s="103" t="s">
        <v>229</v>
      </c>
      <c r="N366" s="51">
        <v>3</v>
      </c>
      <c r="O366" s="50">
        <v>7200000</v>
      </c>
      <c r="P366" s="51">
        <v>3</v>
      </c>
      <c r="Q366" s="50">
        <v>22396300</v>
      </c>
      <c r="R366" s="101">
        <v>0</v>
      </c>
      <c r="S366" s="50">
        <v>0</v>
      </c>
      <c r="T366" s="102">
        <f t="shared" si="65"/>
        <v>9</v>
      </c>
      <c r="U366" s="60">
        <f t="shared" si="67"/>
        <v>75</v>
      </c>
      <c r="V366" s="34" t="s">
        <v>44</v>
      </c>
      <c r="W366" s="52">
        <f t="shared" si="64"/>
        <v>29596300</v>
      </c>
      <c r="X366" s="60">
        <f t="shared" si="68"/>
        <v>99.918299826133932</v>
      </c>
      <c r="Y366" s="34" t="s">
        <v>44</v>
      </c>
      <c r="Z366" s="102">
        <f t="shared" si="66"/>
        <v>21</v>
      </c>
      <c r="AA366" s="52">
        <f t="shared" si="69"/>
        <v>49995500</v>
      </c>
      <c r="AB366" s="41">
        <f t="shared" si="70"/>
        <v>58.333333333333336</v>
      </c>
      <c r="AC366" s="34" t="s">
        <v>44</v>
      </c>
      <c r="AD366" s="90">
        <f t="shared" si="71"/>
        <v>59.610564896709441</v>
      </c>
      <c r="AE366" s="17"/>
      <c r="AF366" s="2"/>
      <c r="AG366" s="2"/>
      <c r="AH366" s="55"/>
      <c r="AI366" s="2"/>
      <c r="AJ366" s="2"/>
      <c r="AK366" s="2"/>
    </row>
    <row r="367" spans="1:37" ht="90">
      <c r="A367" s="43"/>
      <c r="B367" s="39"/>
      <c r="C367" s="46" t="s">
        <v>518</v>
      </c>
      <c r="D367" s="47" t="s">
        <v>508</v>
      </c>
      <c r="E367" s="48">
        <v>36</v>
      </c>
      <c r="F367" s="77" t="s">
        <v>62</v>
      </c>
      <c r="G367" s="91">
        <v>46638700</v>
      </c>
      <c r="H367" s="101">
        <v>12</v>
      </c>
      <c r="I367" s="50">
        <v>28410000</v>
      </c>
      <c r="J367" s="51">
        <v>12</v>
      </c>
      <c r="K367" s="50">
        <v>36392500</v>
      </c>
      <c r="L367" s="33">
        <v>3</v>
      </c>
      <c r="M367" s="103" t="s">
        <v>229</v>
      </c>
      <c r="N367" s="51">
        <v>3</v>
      </c>
      <c r="O367" s="50">
        <v>2354500</v>
      </c>
      <c r="P367" s="51">
        <v>3</v>
      </c>
      <c r="Q367" s="50">
        <v>5990000</v>
      </c>
      <c r="R367" s="101"/>
      <c r="S367" s="50">
        <v>25988000</v>
      </c>
      <c r="T367" s="102">
        <f t="shared" si="65"/>
        <v>9</v>
      </c>
      <c r="U367" s="60">
        <f t="shared" si="67"/>
        <v>75</v>
      </c>
      <c r="V367" s="34" t="s">
        <v>44</v>
      </c>
      <c r="W367" s="52">
        <f t="shared" si="64"/>
        <v>34332500</v>
      </c>
      <c r="X367" s="60">
        <f t="shared" si="68"/>
        <v>94.339493027409489</v>
      </c>
      <c r="Y367" s="34" t="s">
        <v>44</v>
      </c>
      <c r="Z367" s="102">
        <f t="shared" si="66"/>
        <v>21</v>
      </c>
      <c r="AA367" s="52">
        <f t="shared" si="69"/>
        <v>62742500</v>
      </c>
      <c r="AB367" s="41">
        <f t="shared" si="70"/>
        <v>58.333333333333336</v>
      </c>
      <c r="AC367" s="34" t="s">
        <v>44</v>
      </c>
      <c r="AD367" s="90">
        <f t="shared" si="71"/>
        <v>134.52883549498594</v>
      </c>
      <c r="AE367" s="17"/>
      <c r="AF367" s="2"/>
      <c r="AG367" s="2"/>
      <c r="AH367" s="55"/>
      <c r="AI367" s="2"/>
      <c r="AJ367" s="2"/>
      <c r="AK367" s="2"/>
    </row>
    <row r="368" spans="1:37" ht="90">
      <c r="A368" s="43"/>
      <c r="B368" s="39"/>
      <c r="C368" s="46" t="s">
        <v>519</v>
      </c>
      <c r="D368" s="47" t="s">
        <v>508</v>
      </c>
      <c r="E368" s="48">
        <v>36</v>
      </c>
      <c r="F368" s="77" t="s">
        <v>62</v>
      </c>
      <c r="G368" s="91">
        <v>32398000</v>
      </c>
      <c r="H368" s="101">
        <v>12</v>
      </c>
      <c r="I368" s="50">
        <v>8770000</v>
      </c>
      <c r="J368" s="51">
        <v>12</v>
      </c>
      <c r="K368" s="50">
        <v>18421500</v>
      </c>
      <c r="L368" s="33">
        <v>3</v>
      </c>
      <c r="M368" s="103" t="s">
        <v>229</v>
      </c>
      <c r="N368" s="51">
        <v>3</v>
      </c>
      <c r="O368" s="50">
        <v>0</v>
      </c>
      <c r="P368" s="51">
        <v>3</v>
      </c>
      <c r="Q368" s="50">
        <v>3666500</v>
      </c>
      <c r="R368" s="101">
        <v>3</v>
      </c>
      <c r="S368" s="50">
        <v>14577600</v>
      </c>
      <c r="T368" s="102">
        <f t="shared" si="65"/>
        <v>12</v>
      </c>
      <c r="U368" s="60">
        <f t="shared" si="67"/>
        <v>100</v>
      </c>
      <c r="V368" s="34" t="s">
        <v>44</v>
      </c>
      <c r="W368" s="52">
        <f t="shared" si="64"/>
        <v>18244100</v>
      </c>
      <c r="X368" s="60">
        <f t="shared" si="68"/>
        <v>99.036994815840188</v>
      </c>
      <c r="Y368" s="34" t="s">
        <v>44</v>
      </c>
      <c r="Z368" s="102">
        <f t="shared" si="66"/>
        <v>24</v>
      </c>
      <c r="AA368" s="52">
        <f t="shared" si="69"/>
        <v>27014100</v>
      </c>
      <c r="AB368" s="41">
        <f t="shared" si="70"/>
        <v>66.666666666666657</v>
      </c>
      <c r="AC368" s="34" t="s">
        <v>44</v>
      </c>
      <c r="AD368" s="90">
        <f t="shared" si="71"/>
        <v>83.381998888820291</v>
      </c>
      <c r="AE368" s="17"/>
      <c r="AF368" s="2"/>
      <c r="AG368" s="2"/>
      <c r="AH368" s="55"/>
      <c r="AI368" s="2"/>
      <c r="AJ368" s="2"/>
      <c r="AK368" s="2"/>
    </row>
    <row r="369" spans="1:37" ht="90">
      <c r="A369" s="43"/>
      <c r="B369" s="39"/>
      <c r="C369" s="46" t="s">
        <v>520</v>
      </c>
      <c r="D369" s="47" t="s">
        <v>508</v>
      </c>
      <c r="E369" s="48">
        <v>36</v>
      </c>
      <c r="F369" s="77" t="s">
        <v>62</v>
      </c>
      <c r="G369" s="91">
        <v>76357950</v>
      </c>
      <c r="H369" s="101">
        <v>12</v>
      </c>
      <c r="I369" s="50">
        <v>20875000</v>
      </c>
      <c r="J369" s="51">
        <v>12</v>
      </c>
      <c r="K369" s="50">
        <v>27547500</v>
      </c>
      <c r="L369" s="33">
        <v>3</v>
      </c>
      <c r="M369" s="103" t="s">
        <v>229</v>
      </c>
      <c r="N369" s="51">
        <v>3</v>
      </c>
      <c r="O369" s="50">
        <v>16275000</v>
      </c>
      <c r="P369" s="51">
        <v>3</v>
      </c>
      <c r="Q369" s="50">
        <v>19550000</v>
      </c>
      <c r="R369" s="101">
        <v>3</v>
      </c>
      <c r="S369" s="78">
        <v>25630000</v>
      </c>
      <c r="T369" s="102">
        <f t="shared" si="65"/>
        <v>12</v>
      </c>
      <c r="U369" s="60">
        <f t="shared" si="67"/>
        <v>100</v>
      </c>
      <c r="V369" s="34" t="s">
        <v>44</v>
      </c>
      <c r="W369" s="52">
        <f t="shared" si="64"/>
        <v>61455000</v>
      </c>
      <c r="X369" s="60">
        <f t="shared" si="68"/>
        <v>223.08739450040838</v>
      </c>
      <c r="Y369" s="34" t="s">
        <v>44</v>
      </c>
      <c r="Z369" s="102">
        <f t="shared" si="66"/>
        <v>24</v>
      </c>
      <c r="AA369" s="52">
        <f t="shared" si="69"/>
        <v>82330000</v>
      </c>
      <c r="AB369" s="41">
        <f t="shared" si="70"/>
        <v>66.666666666666657</v>
      </c>
      <c r="AC369" s="34" t="s">
        <v>44</v>
      </c>
      <c r="AD369" s="90">
        <f t="shared" si="71"/>
        <v>107.82112406108335</v>
      </c>
      <c r="AE369" s="17"/>
      <c r="AF369" s="2"/>
      <c r="AG369" s="2"/>
      <c r="AH369" s="55"/>
      <c r="AI369" s="2"/>
      <c r="AJ369" s="2"/>
      <c r="AK369" s="2"/>
    </row>
    <row r="370" spans="1:37" ht="90">
      <c r="A370" s="43"/>
      <c r="B370" s="39"/>
      <c r="C370" s="46" t="s">
        <v>521</v>
      </c>
      <c r="D370" s="47" t="s">
        <v>508</v>
      </c>
      <c r="E370" s="48">
        <v>36</v>
      </c>
      <c r="F370" s="77" t="s">
        <v>62</v>
      </c>
      <c r="G370" s="91">
        <v>93621000</v>
      </c>
      <c r="H370" s="101">
        <v>12</v>
      </c>
      <c r="I370" s="50">
        <v>23810000</v>
      </c>
      <c r="J370" s="51">
        <v>12</v>
      </c>
      <c r="K370" s="50">
        <v>34905500</v>
      </c>
      <c r="L370" s="33">
        <v>3</v>
      </c>
      <c r="M370" s="103" t="s">
        <v>229</v>
      </c>
      <c r="N370" s="51">
        <v>3</v>
      </c>
      <c r="O370" s="50">
        <v>6800000</v>
      </c>
      <c r="P370" s="51">
        <v>3</v>
      </c>
      <c r="Q370" s="50">
        <v>24415000</v>
      </c>
      <c r="R370" s="112">
        <v>3</v>
      </c>
      <c r="S370" s="107">
        <v>2185000</v>
      </c>
      <c r="T370" s="102">
        <f t="shared" si="65"/>
        <v>12</v>
      </c>
      <c r="U370" s="60">
        <f t="shared" si="67"/>
        <v>100</v>
      </c>
      <c r="V370" s="34" t="s">
        <v>44</v>
      </c>
      <c r="W370" s="52">
        <f t="shared" si="64"/>
        <v>33400000</v>
      </c>
      <c r="X370" s="60">
        <f t="shared" si="68"/>
        <v>95.686926129120053</v>
      </c>
      <c r="Y370" s="34" t="s">
        <v>44</v>
      </c>
      <c r="Z370" s="102">
        <f t="shared" si="66"/>
        <v>24</v>
      </c>
      <c r="AA370" s="52">
        <f t="shared" si="69"/>
        <v>57210000</v>
      </c>
      <c r="AB370" s="41">
        <f t="shared" si="70"/>
        <v>66.666666666666657</v>
      </c>
      <c r="AC370" s="34" t="s">
        <v>44</v>
      </c>
      <c r="AD370" s="90">
        <f t="shared" si="71"/>
        <v>61.108084724581026</v>
      </c>
      <c r="AE370" s="17"/>
      <c r="AF370" s="2"/>
      <c r="AG370" s="2"/>
      <c r="AH370" s="55"/>
      <c r="AI370" s="2"/>
      <c r="AJ370" s="2"/>
      <c r="AK370" s="2"/>
    </row>
    <row r="371" spans="1:37" ht="90">
      <c r="A371" s="43"/>
      <c r="B371" s="39"/>
      <c r="C371" s="46" t="s">
        <v>522</v>
      </c>
      <c r="D371" s="47" t="s">
        <v>508</v>
      </c>
      <c r="E371" s="48">
        <v>36</v>
      </c>
      <c r="F371" s="77" t="s">
        <v>62</v>
      </c>
      <c r="G371" s="91">
        <v>149899700</v>
      </c>
      <c r="H371" s="101">
        <v>12</v>
      </c>
      <c r="I371" s="50">
        <v>10220000</v>
      </c>
      <c r="J371" s="51">
        <v>12</v>
      </c>
      <c r="K371" s="50">
        <v>68544650</v>
      </c>
      <c r="L371" s="33">
        <v>3</v>
      </c>
      <c r="M371" s="103" t="s">
        <v>229</v>
      </c>
      <c r="N371" s="51">
        <v>3</v>
      </c>
      <c r="O371" s="50">
        <v>1040000</v>
      </c>
      <c r="P371" s="51">
        <v>3</v>
      </c>
      <c r="Q371" s="50">
        <v>61382000</v>
      </c>
      <c r="R371" s="112">
        <v>3</v>
      </c>
      <c r="S371" s="107">
        <v>5840000</v>
      </c>
      <c r="T371" s="102">
        <f t="shared" si="65"/>
        <v>12</v>
      </c>
      <c r="U371" s="60">
        <f t="shared" si="67"/>
        <v>100</v>
      </c>
      <c r="V371" s="34" t="s">
        <v>44</v>
      </c>
      <c r="W371" s="52">
        <f t="shared" si="64"/>
        <v>68262000</v>
      </c>
      <c r="X371" s="60">
        <f t="shared" si="68"/>
        <v>99.587641048571982</v>
      </c>
      <c r="Y371" s="34" t="s">
        <v>44</v>
      </c>
      <c r="Z371" s="102">
        <f t="shared" si="66"/>
        <v>24</v>
      </c>
      <c r="AA371" s="52">
        <f t="shared" si="69"/>
        <v>78482000</v>
      </c>
      <c r="AB371" s="41">
        <f t="shared" si="70"/>
        <v>66.666666666666657</v>
      </c>
      <c r="AC371" s="34" t="s">
        <v>44</v>
      </c>
      <c r="AD371" s="90">
        <f t="shared" si="71"/>
        <v>52.356342274200685</v>
      </c>
      <c r="AE371" s="17"/>
      <c r="AF371" s="2"/>
      <c r="AG371" s="2"/>
      <c r="AH371" s="55"/>
      <c r="AI371" s="2"/>
      <c r="AJ371" s="2"/>
      <c r="AK371" s="2"/>
    </row>
    <row r="372" spans="1:37" ht="90">
      <c r="A372" s="43"/>
      <c r="B372" s="39"/>
      <c r="C372" s="46" t="s">
        <v>523</v>
      </c>
      <c r="D372" s="47" t="s">
        <v>508</v>
      </c>
      <c r="E372" s="48">
        <v>36</v>
      </c>
      <c r="F372" s="77" t="s">
        <v>62</v>
      </c>
      <c r="G372" s="91">
        <v>42240000</v>
      </c>
      <c r="H372" s="101">
        <v>12</v>
      </c>
      <c r="I372" s="50">
        <v>5000000</v>
      </c>
      <c r="J372" s="51">
        <v>12</v>
      </c>
      <c r="K372" s="50">
        <v>18940000</v>
      </c>
      <c r="L372" s="33">
        <v>3</v>
      </c>
      <c r="M372" s="103" t="s">
        <v>229</v>
      </c>
      <c r="N372" s="51">
        <v>3</v>
      </c>
      <c r="O372" s="50">
        <v>3680000</v>
      </c>
      <c r="P372" s="51">
        <v>3</v>
      </c>
      <c r="Q372" s="50">
        <v>8460000</v>
      </c>
      <c r="R372" s="112">
        <v>3</v>
      </c>
      <c r="S372" s="107">
        <v>6680000</v>
      </c>
      <c r="T372" s="102">
        <f t="shared" si="65"/>
        <v>12</v>
      </c>
      <c r="U372" s="60">
        <f t="shared" si="67"/>
        <v>100</v>
      </c>
      <c r="V372" s="34" t="s">
        <v>44</v>
      </c>
      <c r="W372" s="52">
        <f t="shared" si="64"/>
        <v>18820000</v>
      </c>
      <c r="X372" s="60">
        <f t="shared" si="68"/>
        <v>99.366420274551217</v>
      </c>
      <c r="Y372" s="34" t="s">
        <v>44</v>
      </c>
      <c r="Z372" s="102">
        <f t="shared" si="66"/>
        <v>24</v>
      </c>
      <c r="AA372" s="52">
        <f t="shared" si="69"/>
        <v>23820000</v>
      </c>
      <c r="AB372" s="41">
        <f t="shared" si="70"/>
        <v>66.666666666666657</v>
      </c>
      <c r="AC372" s="34" t="s">
        <v>44</v>
      </c>
      <c r="AD372" s="90">
        <f t="shared" si="71"/>
        <v>56.39204545454546</v>
      </c>
      <c r="AE372" s="17"/>
      <c r="AF372" s="2"/>
      <c r="AG372" s="2"/>
      <c r="AH372" s="55"/>
      <c r="AI372" s="2"/>
      <c r="AJ372" s="2"/>
      <c r="AK372" s="2"/>
    </row>
    <row r="373" spans="1:37" ht="90">
      <c r="A373" s="43"/>
      <c r="B373" s="39"/>
      <c r="C373" s="46" t="s">
        <v>524</v>
      </c>
      <c r="D373" s="47" t="s">
        <v>508</v>
      </c>
      <c r="E373" s="48">
        <v>36</v>
      </c>
      <c r="F373" s="77" t="s">
        <v>62</v>
      </c>
      <c r="G373" s="91">
        <v>76486800</v>
      </c>
      <c r="H373" s="101">
        <v>12</v>
      </c>
      <c r="I373" s="50">
        <v>6805200</v>
      </c>
      <c r="J373" s="51">
        <v>12</v>
      </c>
      <c r="K373" s="50">
        <v>32708300</v>
      </c>
      <c r="L373" s="115">
        <v>3</v>
      </c>
      <c r="M373" s="116">
        <v>0</v>
      </c>
      <c r="N373" s="117">
        <v>3</v>
      </c>
      <c r="O373" s="107">
        <v>4080000</v>
      </c>
      <c r="P373" s="117">
        <v>3</v>
      </c>
      <c r="Q373" s="107">
        <v>23033700</v>
      </c>
      <c r="R373" s="118">
        <v>3</v>
      </c>
      <c r="S373" s="107">
        <v>3450000</v>
      </c>
      <c r="T373" s="102">
        <f t="shared" si="65"/>
        <v>12</v>
      </c>
      <c r="U373" s="60">
        <f t="shared" si="67"/>
        <v>100</v>
      </c>
      <c r="V373" s="34" t="s">
        <v>44</v>
      </c>
      <c r="W373" s="52">
        <f t="shared" si="64"/>
        <v>30563700</v>
      </c>
      <c r="X373" s="60">
        <f t="shared" si="68"/>
        <v>93.443254464463138</v>
      </c>
      <c r="Y373" s="34" t="s">
        <v>44</v>
      </c>
      <c r="Z373" s="102">
        <f t="shared" si="66"/>
        <v>24</v>
      </c>
      <c r="AA373" s="52">
        <f t="shared" si="69"/>
        <v>37368900</v>
      </c>
      <c r="AB373" s="41">
        <f t="shared" si="70"/>
        <v>66.666666666666657</v>
      </c>
      <c r="AC373" s="34" t="s">
        <v>44</v>
      </c>
      <c r="AD373" s="90">
        <f t="shared" si="71"/>
        <v>48.856665463844742</v>
      </c>
      <c r="AE373" s="17"/>
      <c r="AF373" s="2"/>
      <c r="AG373" s="2"/>
      <c r="AH373" s="55"/>
      <c r="AI373" s="2"/>
      <c r="AJ373" s="2"/>
      <c r="AK373" s="2"/>
    </row>
    <row r="374" spans="1:37" ht="90">
      <c r="A374" s="43"/>
      <c r="B374" s="39"/>
      <c r="C374" s="46" t="s">
        <v>525</v>
      </c>
      <c r="D374" s="47" t="s">
        <v>508</v>
      </c>
      <c r="E374" s="48">
        <v>36</v>
      </c>
      <c r="F374" s="77" t="s">
        <v>62</v>
      </c>
      <c r="G374" s="91">
        <v>54980000</v>
      </c>
      <c r="H374" s="101">
        <v>12</v>
      </c>
      <c r="I374" s="50">
        <v>5440000</v>
      </c>
      <c r="J374" s="51">
        <v>12</v>
      </c>
      <c r="K374" s="50">
        <v>24770000</v>
      </c>
      <c r="L374" s="33">
        <v>3</v>
      </c>
      <c r="M374" s="50">
        <v>0</v>
      </c>
      <c r="N374" s="51">
        <v>3</v>
      </c>
      <c r="O374" s="50">
        <v>6930000</v>
      </c>
      <c r="P374" s="51">
        <v>3</v>
      </c>
      <c r="Q374" s="50">
        <v>8500000</v>
      </c>
      <c r="R374" s="112">
        <v>3</v>
      </c>
      <c r="S374" s="78">
        <v>6910000</v>
      </c>
      <c r="T374" s="102">
        <f t="shared" si="65"/>
        <v>12</v>
      </c>
      <c r="U374" s="60">
        <f t="shared" si="67"/>
        <v>100</v>
      </c>
      <c r="V374" s="34" t="s">
        <v>44</v>
      </c>
      <c r="W374" s="52">
        <f t="shared" si="64"/>
        <v>22340000</v>
      </c>
      <c r="X374" s="60">
        <f t="shared" si="68"/>
        <v>90.189745660072674</v>
      </c>
      <c r="Y374" s="34" t="s">
        <v>44</v>
      </c>
      <c r="Z374" s="102">
        <f t="shared" si="66"/>
        <v>24</v>
      </c>
      <c r="AA374" s="52">
        <f t="shared" si="69"/>
        <v>27780000</v>
      </c>
      <c r="AB374" s="41">
        <f t="shared" si="70"/>
        <v>66.666666666666657</v>
      </c>
      <c r="AC374" s="34" t="s">
        <v>44</v>
      </c>
      <c r="AD374" s="90">
        <f t="shared" si="71"/>
        <v>50.527464532557296</v>
      </c>
      <c r="AE374" s="17"/>
      <c r="AF374" s="2"/>
      <c r="AG374" s="2"/>
      <c r="AH374" s="55"/>
      <c r="AI374" s="2"/>
      <c r="AJ374" s="2"/>
      <c r="AK374" s="2"/>
    </row>
    <row r="375" spans="1:37" ht="90">
      <c r="A375" s="43"/>
      <c r="B375" s="39"/>
      <c r="C375" s="46" t="s">
        <v>526</v>
      </c>
      <c r="D375" s="47" t="s">
        <v>508</v>
      </c>
      <c r="E375" s="48">
        <v>36</v>
      </c>
      <c r="F375" s="77" t="s">
        <v>62</v>
      </c>
      <c r="G375" s="91">
        <v>93042000</v>
      </c>
      <c r="H375" s="101">
        <v>12</v>
      </c>
      <c r="I375" s="50">
        <v>18112000</v>
      </c>
      <c r="J375" s="51">
        <v>12</v>
      </c>
      <c r="K375" s="50">
        <v>37052500</v>
      </c>
      <c r="L375" s="33">
        <v>3</v>
      </c>
      <c r="M375" s="103" t="s">
        <v>229</v>
      </c>
      <c r="N375" s="51">
        <v>3</v>
      </c>
      <c r="O375" s="50">
        <v>0</v>
      </c>
      <c r="P375" s="51">
        <v>3</v>
      </c>
      <c r="Q375" s="50">
        <v>13447500</v>
      </c>
      <c r="R375" s="112">
        <v>3</v>
      </c>
      <c r="S375" s="107">
        <v>22470000</v>
      </c>
      <c r="T375" s="102">
        <f t="shared" si="65"/>
        <v>12</v>
      </c>
      <c r="U375" s="60">
        <f t="shared" si="67"/>
        <v>100</v>
      </c>
      <c r="V375" s="34" t="s">
        <v>44</v>
      </c>
      <c r="W375" s="52">
        <f t="shared" si="64"/>
        <v>35917500</v>
      </c>
      <c r="X375" s="60">
        <f t="shared" si="68"/>
        <v>96.936778894811411</v>
      </c>
      <c r="Y375" s="34" t="s">
        <v>44</v>
      </c>
      <c r="Z375" s="102">
        <f t="shared" si="66"/>
        <v>24</v>
      </c>
      <c r="AA375" s="52">
        <f t="shared" si="69"/>
        <v>54029500</v>
      </c>
      <c r="AB375" s="41">
        <f t="shared" si="70"/>
        <v>66.666666666666657</v>
      </c>
      <c r="AC375" s="34" t="s">
        <v>44</v>
      </c>
      <c r="AD375" s="90">
        <f t="shared" si="71"/>
        <v>58.070011392704366</v>
      </c>
      <c r="AE375" s="17"/>
      <c r="AF375" s="2"/>
      <c r="AG375" s="2"/>
      <c r="AH375" s="55"/>
      <c r="AI375" s="2"/>
      <c r="AJ375" s="2"/>
      <c r="AK375" s="2"/>
    </row>
    <row r="376" spans="1:37" ht="90">
      <c r="A376" s="43"/>
      <c r="B376" s="39"/>
      <c r="C376" s="46" t="s">
        <v>527</v>
      </c>
      <c r="D376" s="47" t="s">
        <v>508</v>
      </c>
      <c r="E376" s="48">
        <v>36</v>
      </c>
      <c r="F376" s="77" t="s">
        <v>62</v>
      </c>
      <c r="G376" s="91">
        <v>36669150</v>
      </c>
      <c r="H376" s="101">
        <v>12</v>
      </c>
      <c r="I376" s="50">
        <v>36654750</v>
      </c>
      <c r="J376" s="51">
        <v>12</v>
      </c>
      <c r="K376" s="50">
        <v>9120000</v>
      </c>
      <c r="L376" s="33">
        <v>3</v>
      </c>
      <c r="M376" s="103" t="s">
        <v>229</v>
      </c>
      <c r="N376" s="51">
        <v>3</v>
      </c>
      <c r="O376" s="50">
        <v>0</v>
      </c>
      <c r="P376" s="51">
        <v>3</v>
      </c>
      <c r="Q376" s="50">
        <v>5400000</v>
      </c>
      <c r="R376" s="101">
        <v>3</v>
      </c>
      <c r="S376" s="50">
        <v>3150000</v>
      </c>
      <c r="T376" s="102">
        <f t="shared" si="65"/>
        <v>12</v>
      </c>
      <c r="U376" s="60">
        <f t="shared" si="67"/>
        <v>100</v>
      </c>
      <c r="V376" s="34" t="s">
        <v>44</v>
      </c>
      <c r="W376" s="52">
        <f t="shared" si="64"/>
        <v>8550000</v>
      </c>
      <c r="X376" s="60">
        <f t="shared" si="68"/>
        <v>93.75</v>
      </c>
      <c r="Y376" s="34" t="s">
        <v>44</v>
      </c>
      <c r="Z376" s="102">
        <f t="shared" si="66"/>
        <v>24</v>
      </c>
      <c r="AA376" s="52">
        <f t="shared" si="69"/>
        <v>45204750</v>
      </c>
      <c r="AB376" s="41">
        <f t="shared" si="70"/>
        <v>66.666666666666657</v>
      </c>
      <c r="AC376" s="34" t="s">
        <v>44</v>
      </c>
      <c r="AD376" s="90">
        <f t="shared" si="71"/>
        <v>123.27733258065703</v>
      </c>
      <c r="AE376" s="17"/>
      <c r="AF376" s="2"/>
      <c r="AG376" s="2"/>
      <c r="AH376" s="55"/>
      <c r="AI376" s="2"/>
      <c r="AJ376" s="2"/>
      <c r="AK376" s="2"/>
    </row>
    <row r="377" spans="1:37" ht="90">
      <c r="A377" s="43"/>
      <c r="B377" s="39"/>
      <c r="C377" s="46" t="s">
        <v>528</v>
      </c>
      <c r="D377" s="47" t="s">
        <v>508</v>
      </c>
      <c r="E377" s="48">
        <v>36</v>
      </c>
      <c r="F377" s="77" t="s">
        <v>62</v>
      </c>
      <c r="G377" s="91">
        <v>15350000</v>
      </c>
      <c r="H377" s="101">
        <v>12</v>
      </c>
      <c r="I377" s="50">
        <v>5280000</v>
      </c>
      <c r="J377" s="51">
        <v>12</v>
      </c>
      <c r="K377" s="50">
        <v>7253206</v>
      </c>
      <c r="L377" s="33">
        <v>3</v>
      </c>
      <c r="M377" s="103" t="s">
        <v>229</v>
      </c>
      <c r="N377" s="51">
        <v>3</v>
      </c>
      <c r="O377" s="50">
        <v>0</v>
      </c>
      <c r="P377" s="51">
        <v>3</v>
      </c>
      <c r="Q377" s="50">
        <v>1670000</v>
      </c>
      <c r="R377" s="101">
        <v>3</v>
      </c>
      <c r="S377" s="50">
        <v>4400000</v>
      </c>
      <c r="T377" s="102">
        <f t="shared" si="65"/>
        <v>12</v>
      </c>
      <c r="U377" s="60">
        <f t="shared" si="67"/>
        <v>100</v>
      </c>
      <c r="V377" s="34" t="s">
        <v>44</v>
      </c>
      <c r="W377" s="52">
        <f t="shared" si="64"/>
        <v>6070000</v>
      </c>
      <c r="X377" s="60">
        <f t="shared" si="68"/>
        <v>83.687130904595847</v>
      </c>
      <c r="Y377" s="34" t="s">
        <v>44</v>
      </c>
      <c r="Z377" s="102">
        <f t="shared" si="66"/>
        <v>24</v>
      </c>
      <c r="AA377" s="52">
        <f t="shared" si="69"/>
        <v>11350000</v>
      </c>
      <c r="AB377" s="41">
        <f t="shared" si="70"/>
        <v>66.666666666666657</v>
      </c>
      <c r="AC377" s="34" t="s">
        <v>44</v>
      </c>
      <c r="AD377" s="90">
        <f t="shared" si="71"/>
        <v>73.941368078175898</v>
      </c>
      <c r="AE377" s="17"/>
      <c r="AF377" s="2"/>
      <c r="AG377" s="2"/>
      <c r="AH377" s="55"/>
      <c r="AI377" s="2"/>
      <c r="AJ377" s="2"/>
      <c r="AK377" s="2"/>
    </row>
    <row r="378" spans="1:37" ht="90">
      <c r="A378" s="43"/>
      <c r="B378" s="39"/>
      <c r="C378" s="46" t="s">
        <v>529</v>
      </c>
      <c r="D378" s="47" t="s">
        <v>508</v>
      </c>
      <c r="E378" s="48">
        <v>36</v>
      </c>
      <c r="F378" s="77" t="s">
        <v>62</v>
      </c>
      <c r="G378" s="91">
        <v>22158000</v>
      </c>
      <c r="H378" s="101">
        <v>12</v>
      </c>
      <c r="I378" s="50">
        <v>5730000</v>
      </c>
      <c r="J378" s="51">
        <v>12</v>
      </c>
      <c r="K378" s="50">
        <v>8214000</v>
      </c>
      <c r="L378" s="33">
        <v>3</v>
      </c>
      <c r="M378" s="103" t="s">
        <v>229</v>
      </c>
      <c r="N378" s="51">
        <v>3</v>
      </c>
      <c r="O378" s="50">
        <v>2240000</v>
      </c>
      <c r="P378" s="51">
        <v>3</v>
      </c>
      <c r="Q378" s="50">
        <v>2210000</v>
      </c>
      <c r="R378" s="112">
        <v>3</v>
      </c>
      <c r="S378" s="107">
        <v>3020000</v>
      </c>
      <c r="T378" s="102">
        <f t="shared" si="65"/>
        <v>12</v>
      </c>
      <c r="U378" s="60">
        <f t="shared" si="67"/>
        <v>100</v>
      </c>
      <c r="V378" s="34" t="s">
        <v>44</v>
      </c>
      <c r="W378" s="52">
        <f t="shared" si="64"/>
        <v>7470000</v>
      </c>
      <c r="X378" s="60">
        <f t="shared" si="68"/>
        <v>90.942293644996354</v>
      </c>
      <c r="Y378" s="34" t="s">
        <v>44</v>
      </c>
      <c r="Z378" s="102">
        <f t="shared" si="66"/>
        <v>24</v>
      </c>
      <c r="AA378" s="52">
        <f t="shared" si="69"/>
        <v>13200000</v>
      </c>
      <c r="AB378" s="41">
        <f t="shared" si="70"/>
        <v>66.666666666666657</v>
      </c>
      <c r="AC378" s="34" t="s">
        <v>44</v>
      </c>
      <c r="AD378" s="90">
        <f t="shared" si="71"/>
        <v>59.572163552667213</v>
      </c>
      <c r="AE378" s="17"/>
      <c r="AF378" s="2"/>
      <c r="AG378" s="2"/>
      <c r="AH378" s="55"/>
      <c r="AI378" s="2"/>
      <c r="AJ378" s="2"/>
      <c r="AK378" s="2"/>
    </row>
    <row r="379" spans="1:37" ht="90">
      <c r="A379" s="43"/>
      <c r="B379" s="39"/>
      <c r="C379" s="46" t="s">
        <v>530</v>
      </c>
      <c r="D379" s="47" t="s">
        <v>531</v>
      </c>
      <c r="E379" s="48">
        <v>24</v>
      </c>
      <c r="F379" s="77" t="s">
        <v>62</v>
      </c>
      <c r="G379" s="91">
        <f>K379*2</f>
        <v>89046600</v>
      </c>
      <c r="H379" s="120"/>
      <c r="I379" s="58"/>
      <c r="J379" s="51">
        <v>12</v>
      </c>
      <c r="K379" s="50">
        <v>44523300</v>
      </c>
      <c r="L379" s="33">
        <v>3</v>
      </c>
      <c r="M379" s="50">
        <v>5918250</v>
      </c>
      <c r="N379" s="51">
        <v>3</v>
      </c>
      <c r="O379" s="50">
        <f>25560750-M379</f>
        <v>19642500</v>
      </c>
      <c r="P379" s="51">
        <v>3</v>
      </c>
      <c r="Q379" s="50">
        <f>25560750-M379-O379</f>
        <v>0</v>
      </c>
      <c r="R379" s="101">
        <v>3</v>
      </c>
      <c r="S379" s="50">
        <f>35865750-M379-O379</f>
        <v>10305000</v>
      </c>
      <c r="T379" s="102">
        <f t="shared" si="65"/>
        <v>12</v>
      </c>
      <c r="U379" s="60">
        <f t="shared" si="67"/>
        <v>100</v>
      </c>
      <c r="V379" s="34" t="s">
        <v>44</v>
      </c>
      <c r="W379" s="52">
        <f t="shared" si="64"/>
        <v>35865750</v>
      </c>
      <c r="X379" s="60">
        <f t="shared" si="68"/>
        <v>80.555012768595319</v>
      </c>
      <c r="Y379" s="34" t="s">
        <v>44</v>
      </c>
      <c r="Z379" s="102">
        <f t="shared" si="66"/>
        <v>12</v>
      </c>
      <c r="AA379" s="52">
        <f t="shared" si="69"/>
        <v>35865750</v>
      </c>
      <c r="AB379" s="41">
        <f t="shared" si="70"/>
        <v>50</v>
      </c>
      <c r="AC379" s="34" t="s">
        <v>44</v>
      </c>
      <c r="AD379" s="90">
        <f t="shared" si="71"/>
        <v>40.277506384297659</v>
      </c>
      <c r="AE379" s="17"/>
      <c r="AF379" s="2"/>
      <c r="AG379" s="2"/>
      <c r="AH379" s="55"/>
      <c r="AI379" s="2"/>
      <c r="AJ379" s="2"/>
      <c r="AK379" s="2"/>
    </row>
    <row r="380" spans="1:37" ht="90">
      <c r="A380" s="43"/>
      <c r="B380" s="39"/>
      <c r="C380" s="46" t="s">
        <v>532</v>
      </c>
      <c r="D380" s="47" t="s">
        <v>531</v>
      </c>
      <c r="E380" s="48">
        <v>36</v>
      </c>
      <c r="F380" s="77" t="s">
        <v>62</v>
      </c>
      <c r="G380" s="91">
        <v>94646259</v>
      </c>
      <c r="H380" s="101">
        <v>12</v>
      </c>
      <c r="I380" s="50">
        <v>22452600</v>
      </c>
      <c r="J380" s="51">
        <v>12</v>
      </c>
      <c r="K380" s="50">
        <v>54725059</v>
      </c>
      <c r="L380" s="33">
        <v>3</v>
      </c>
      <c r="M380" s="103" t="s">
        <v>229</v>
      </c>
      <c r="N380" s="51">
        <v>3</v>
      </c>
      <c r="O380" s="50">
        <v>0</v>
      </c>
      <c r="P380" s="51">
        <v>3</v>
      </c>
      <c r="Q380" s="50">
        <v>0</v>
      </c>
      <c r="R380" s="101">
        <v>3</v>
      </c>
      <c r="S380" s="50">
        <v>51420000</v>
      </c>
      <c r="T380" s="102">
        <f t="shared" si="65"/>
        <v>12</v>
      </c>
      <c r="U380" s="60">
        <f t="shared" si="67"/>
        <v>100</v>
      </c>
      <c r="V380" s="34" t="s">
        <v>44</v>
      </c>
      <c r="W380" s="52">
        <f t="shared" si="64"/>
        <v>51420000</v>
      </c>
      <c r="X380" s="60">
        <f t="shared" si="68"/>
        <v>93.960611353566563</v>
      </c>
      <c r="Y380" s="34" t="s">
        <v>44</v>
      </c>
      <c r="Z380" s="102">
        <f t="shared" si="66"/>
        <v>24</v>
      </c>
      <c r="AA380" s="52">
        <f t="shared" si="69"/>
        <v>73872600</v>
      </c>
      <c r="AB380" s="41">
        <f t="shared" si="70"/>
        <v>66.666666666666657</v>
      </c>
      <c r="AC380" s="34" t="s">
        <v>44</v>
      </c>
      <c r="AD380" s="90">
        <f t="shared" si="71"/>
        <v>78.0512624381699</v>
      </c>
      <c r="AE380" s="17"/>
      <c r="AF380" s="2"/>
      <c r="AG380" s="2"/>
      <c r="AH380" s="55"/>
      <c r="AI380" s="2"/>
      <c r="AJ380" s="2"/>
      <c r="AK380" s="2"/>
    </row>
    <row r="381" spans="1:37" ht="90">
      <c r="A381" s="43"/>
      <c r="B381" s="39"/>
      <c r="C381" s="46" t="s">
        <v>533</v>
      </c>
      <c r="D381" s="47" t="s">
        <v>531</v>
      </c>
      <c r="E381" s="48">
        <v>36</v>
      </c>
      <c r="F381" s="77" t="s">
        <v>62</v>
      </c>
      <c r="G381" s="91">
        <v>34263800</v>
      </c>
      <c r="H381" s="101">
        <v>12</v>
      </c>
      <c r="I381" s="50">
        <v>23027000</v>
      </c>
      <c r="J381" s="51">
        <v>12</v>
      </c>
      <c r="K381" s="50">
        <v>45496300</v>
      </c>
      <c r="L381" s="33">
        <v>3</v>
      </c>
      <c r="M381" s="103" t="s">
        <v>229</v>
      </c>
      <c r="N381" s="51">
        <v>3</v>
      </c>
      <c r="O381" s="50">
        <v>1222500</v>
      </c>
      <c r="P381" s="51">
        <v>3</v>
      </c>
      <c r="Q381" s="50">
        <v>2075000</v>
      </c>
      <c r="R381" s="101">
        <v>3</v>
      </c>
      <c r="S381" s="50">
        <v>41559000</v>
      </c>
      <c r="T381" s="102">
        <f t="shared" si="65"/>
        <v>12</v>
      </c>
      <c r="U381" s="60">
        <f t="shared" si="67"/>
        <v>100</v>
      </c>
      <c r="V381" s="34" t="s">
        <v>44</v>
      </c>
      <c r="W381" s="52">
        <f t="shared" si="64"/>
        <v>44856500</v>
      </c>
      <c r="X381" s="60">
        <f t="shared" si="68"/>
        <v>98.593731797970392</v>
      </c>
      <c r="Y381" s="34" t="s">
        <v>44</v>
      </c>
      <c r="Z381" s="102">
        <f t="shared" si="66"/>
        <v>24</v>
      </c>
      <c r="AA381" s="52">
        <f t="shared" si="69"/>
        <v>67883500</v>
      </c>
      <c r="AB381" s="41">
        <f t="shared" si="70"/>
        <v>66.666666666666657</v>
      </c>
      <c r="AC381" s="34" t="s">
        <v>44</v>
      </c>
      <c r="AD381" s="90">
        <f t="shared" si="71"/>
        <v>198.12017347754772</v>
      </c>
      <c r="AE381" s="17"/>
      <c r="AF381" s="2"/>
      <c r="AG381" s="2"/>
      <c r="AH381" s="55"/>
      <c r="AI381" s="2"/>
      <c r="AJ381" s="2"/>
      <c r="AK381" s="2"/>
    </row>
    <row r="382" spans="1:37" ht="90">
      <c r="A382" s="43"/>
      <c r="B382" s="39"/>
      <c r="C382" s="46" t="s">
        <v>534</v>
      </c>
      <c r="D382" s="47" t="s">
        <v>531</v>
      </c>
      <c r="E382" s="48">
        <v>36</v>
      </c>
      <c r="F382" s="77" t="s">
        <v>62</v>
      </c>
      <c r="G382" s="91">
        <v>40567500</v>
      </c>
      <c r="H382" s="101">
        <v>12</v>
      </c>
      <c r="I382" s="50">
        <v>33527500</v>
      </c>
      <c r="J382" s="51">
        <v>12</v>
      </c>
      <c r="K382" s="50">
        <v>3520000</v>
      </c>
      <c r="L382" s="33">
        <v>3</v>
      </c>
      <c r="M382" s="103" t="s">
        <v>229</v>
      </c>
      <c r="N382" s="51">
        <v>3</v>
      </c>
      <c r="O382" s="50">
        <v>0</v>
      </c>
      <c r="P382" s="51">
        <v>3</v>
      </c>
      <c r="Q382" s="50">
        <v>2560000</v>
      </c>
      <c r="R382" s="101">
        <v>3</v>
      </c>
      <c r="S382" s="50">
        <v>880000</v>
      </c>
      <c r="T382" s="102">
        <f t="shared" si="65"/>
        <v>12</v>
      </c>
      <c r="U382" s="60">
        <f t="shared" si="67"/>
        <v>100</v>
      </c>
      <c r="V382" s="34" t="s">
        <v>44</v>
      </c>
      <c r="W382" s="52">
        <f t="shared" si="64"/>
        <v>3440000</v>
      </c>
      <c r="X382" s="60">
        <f t="shared" si="68"/>
        <v>97.727272727272734</v>
      </c>
      <c r="Y382" s="34" t="s">
        <v>44</v>
      </c>
      <c r="Z382" s="102">
        <f t="shared" si="66"/>
        <v>24</v>
      </c>
      <c r="AA382" s="52">
        <f t="shared" si="69"/>
        <v>36967500</v>
      </c>
      <c r="AB382" s="41">
        <f t="shared" si="70"/>
        <v>66.666666666666657</v>
      </c>
      <c r="AC382" s="34" t="s">
        <v>44</v>
      </c>
      <c r="AD382" s="90">
        <f t="shared" si="71"/>
        <v>91.125901275651685</v>
      </c>
      <c r="AE382" s="17"/>
      <c r="AF382" s="2"/>
      <c r="AG382" s="2"/>
      <c r="AH382" s="55"/>
      <c r="AI382" s="2"/>
      <c r="AJ382" s="2"/>
      <c r="AK382" s="2"/>
    </row>
    <row r="383" spans="1:37" ht="90">
      <c r="A383" s="43"/>
      <c r="B383" s="39"/>
      <c r="C383" s="46" t="s">
        <v>535</v>
      </c>
      <c r="D383" s="47" t="s">
        <v>531</v>
      </c>
      <c r="E383" s="48">
        <v>36</v>
      </c>
      <c r="F383" s="77" t="s">
        <v>62</v>
      </c>
      <c r="G383" s="91">
        <v>64226600</v>
      </c>
      <c r="H383" s="101">
        <v>12</v>
      </c>
      <c r="I383" s="50">
        <v>32313250</v>
      </c>
      <c r="J383" s="51">
        <v>12</v>
      </c>
      <c r="K383" s="50">
        <v>12520000</v>
      </c>
      <c r="L383" s="33">
        <v>3</v>
      </c>
      <c r="M383" s="103" t="s">
        <v>229</v>
      </c>
      <c r="N383" s="51">
        <v>3</v>
      </c>
      <c r="O383" s="50">
        <v>150000</v>
      </c>
      <c r="P383" s="51">
        <v>3</v>
      </c>
      <c r="Q383" s="50">
        <v>2486000</v>
      </c>
      <c r="R383" s="101">
        <v>3</v>
      </c>
      <c r="S383" s="50">
        <v>9870000</v>
      </c>
      <c r="T383" s="102">
        <f t="shared" si="65"/>
        <v>12</v>
      </c>
      <c r="U383" s="60">
        <f t="shared" si="67"/>
        <v>100</v>
      </c>
      <c r="V383" s="34" t="s">
        <v>44</v>
      </c>
      <c r="W383" s="52">
        <f t="shared" si="64"/>
        <v>12506000</v>
      </c>
      <c r="X383" s="60">
        <f t="shared" si="68"/>
        <v>99.888178913738017</v>
      </c>
      <c r="Y383" s="34" t="s">
        <v>44</v>
      </c>
      <c r="Z383" s="102">
        <f t="shared" si="66"/>
        <v>24</v>
      </c>
      <c r="AA383" s="52">
        <f t="shared" si="69"/>
        <v>44819250</v>
      </c>
      <c r="AB383" s="41">
        <f t="shared" si="70"/>
        <v>66.666666666666657</v>
      </c>
      <c r="AC383" s="34" t="s">
        <v>44</v>
      </c>
      <c r="AD383" s="90">
        <f t="shared" si="71"/>
        <v>69.783002681132118</v>
      </c>
      <c r="AE383" s="17"/>
      <c r="AF383" s="2"/>
      <c r="AG383" s="2"/>
      <c r="AH383" s="55"/>
      <c r="AI383" s="2"/>
      <c r="AJ383" s="2"/>
      <c r="AK383" s="2"/>
    </row>
    <row r="384" spans="1:37" ht="90">
      <c r="A384" s="43"/>
      <c r="B384" s="39"/>
      <c r="C384" s="46" t="s">
        <v>536</v>
      </c>
      <c r="D384" s="47" t="s">
        <v>531</v>
      </c>
      <c r="E384" s="48">
        <v>35</v>
      </c>
      <c r="F384" s="77" t="s">
        <v>62</v>
      </c>
      <c r="G384" s="91">
        <v>190107250</v>
      </c>
      <c r="H384" s="101">
        <v>12</v>
      </c>
      <c r="I384" s="50">
        <v>69365250</v>
      </c>
      <c r="J384" s="51">
        <v>12</v>
      </c>
      <c r="K384" s="50">
        <v>60371000</v>
      </c>
      <c r="L384" s="33">
        <v>3</v>
      </c>
      <c r="M384" s="103" t="s">
        <v>229</v>
      </c>
      <c r="N384" s="51">
        <v>3</v>
      </c>
      <c r="O384" s="50">
        <v>0</v>
      </c>
      <c r="P384" s="51">
        <v>3</v>
      </c>
      <c r="Q384" s="50">
        <v>50773000</v>
      </c>
      <c r="R384" s="101">
        <v>3</v>
      </c>
      <c r="S384" s="50">
        <v>8964000</v>
      </c>
      <c r="T384" s="102">
        <f t="shared" si="65"/>
        <v>12</v>
      </c>
      <c r="U384" s="60">
        <f t="shared" si="67"/>
        <v>100</v>
      </c>
      <c r="V384" s="34" t="s">
        <v>44</v>
      </c>
      <c r="W384" s="52">
        <f t="shared" si="64"/>
        <v>59737000</v>
      </c>
      <c r="X384" s="60">
        <f t="shared" si="68"/>
        <v>98.949826903645786</v>
      </c>
      <c r="Y384" s="34" t="s">
        <v>44</v>
      </c>
      <c r="Z384" s="102">
        <f t="shared" si="66"/>
        <v>24</v>
      </c>
      <c r="AA384" s="52">
        <f t="shared" si="69"/>
        <v>129102250</v>
      </c>
      <c r="AB384" s="41">
        <f t="shared" si="70"/>
        <v>68.571428571428569</v>
      </c>
      <c r="AC384" s="34" t="s">
        <v>44</v>
      </c>
      <c r="AD384" s="90">
        <f t="shared" si="71"/>
        <v>67.910219100008021</v>
      </c>
      <c r="AE384" s="17"/>
      <c r="AF384" s="2"/>
      <c r="AG384" s="2"/>
      <c r="AH384" s="55"/>
      <c r="AI384" s="2"/>
      <c r="AJ384" s="2"/>
      <c r="AK384" s="2"/>
    </row>
    <row r="385" spans="1:37" ht="90">
      <c r="A385" s="43"/>
      <c r="B385" s="39"/>
      <c r="C385" s="46" t="s">
        <v>537</v>
      </c>
      <c r="D385" s="47" t="s">
        <v>531</v>
      </c>
      <c r="E385" s="48">
        <v>36</v>
      </c>
      <c r="F385" s="77" t="s">
        <v>62</v>
      </c>
      <c r="G385" s="91">
        <v>105727500</v>
      </c>
      <c r="H385" s="101">
        <v>12</v>
      </c>
      <c r="I385" s="50">
        <v>40727500</v>
      </c>
      <c r="J385" s="51">
        <v>12</v>
      </c>
      <c r="K385" s="50">
        <v>31030000</v>
      </c>
      <c r="L385" s="33">
        <v>3</v>
      </c>
      <c r="M385" s="103" t="s">
        <v>229</v>
      </c>
      <c r="N385" s="51">
        <v>3</v>
      </c>
      <c r="O385" s="50"/>
      <c r="P385" s="51">
        <v>3</v>
      </c>
      <c r="Q385" s="50">
        <v>15870000</v>
      </c>
      <c r="R385" s="101">
        <v>3</v>
      </c>
      <c r="S385" s="50">
        <v>15080000</v>
      </c>
      <c r="T385" s="102">
        <f t="shared" si="65"/>
        <v>12</v>
      </c>
      <c r="U385" s="60">
        <f t="shared" si="67"/>
        <v>100</v>
      </c>
      <c r="V385" s="34" t="s">
        <v>44</v>
      </c>
      <c r="W385" s="52">
        <f t="shared" si="64"/>
        <v>30950000</v>
      </c>
      <c r="X385" s="60">
        <f t="shared" si="68"/>
        <v>99.742184982275219</v>
      </c>
      <c r="Y385" s="34" t="s">
        <v>44</v>
      </c>
      <c r="Z385" s="102">
        <f t="shared" si="66"/>
        <v>24</v>
      </c>
      <c r="AA385" s="52">
        <f t="shared" si="69"/>
        <v>71677500</v>
      </c>
      <c r="AB385" s="41">
        <f t="shared" si="70"/>
        <v>66.666666666666657</v>
      </c>
      <c r="AC385" s="34" t="s">
        <v>44</v>
      </c>
      <c r="AD385" s="90">
        <f t="shared" si="71"/>
        <v>67.79456621976307</v>
      </c>
      <c r="AE385" s="17"/>
      <c r="AF385" s="2"/>
      <c r="AG385" s="2"/>
      <c r="AH385" s="55"/>
      <c r="AI385" s="2"/>
      <c r="AJ385" s="2"/>
      <c r="AK385" s="2"/>
    </row>
    <row r="386" spans="1:37" ht="90">
      <c r="A386" s="43"/>
      <c r="B386" s="39"/>
      <c r="C386" s="46" t="s">
        <v>538</v>
      </c>
      <c r="D386" s="47" t="s">
        <v>531</v>
      </c>
      <c r="E386" s="48">
        <v>36</v>
      </c>
      <c r="F386" s="77" t="s">
        <v>62</v>
      </c>
      <c r="G386" s="91">
        <v>167514500</v>
      </c>
      <c r="H386" s="101">
        <v>12</v>
      </c>
      <c r="I386" s="50">
        <v>29420000</v>
      </c>
      <c r="J386" s="51">
        <v>12</v>
      </c>
      <c r="K386" s="50">
        <v>67617000</v>
      </c>
      <c r="L386" s="33">
        <v>3</v>
      </c>
      <c r="M386" s="103" t="s">
        <v>229</v>
      </c>
      <c r="N386" s="51">
        <v>3</v>
      </c>
      <c r="O386" s="50">
        <v>11897500</v>
      </c>
      <c r="P386" s="51">
        <v>3</v>
      </c>
      <c r="Q386" s="50">
        <v>11032500</v>
      </c>
      <c r="R386" s="101">
        <v>3</v>
      </c>
      <c r="S386" s="50">
        <v>44367000</v>
      </c>
      <c r="T386" s="102">
        <f t="shared" si="65"/>
        <v>12</v>
      </c>
      <c r="U386" s="60">
        <f t="shared" si="67"/>
        <v>100</v>
      </c>
      <c r="V386" s="34" t="s">
        <v>44</v>
      </c>
      <c r="W386" s="52">
        <f t="shared" si="64"/>
        <v>67297000</v>
      </c>
      <c r="X386" s="60">
        <f t="shared" si="68"/>
        <v>99.526746232456333</v>
      </c>
      <c r="Y386" s="34" t="s">
        <v>44</v>
      </c>
      <c r="Z386" s="102">
        <f t="shared" si="66"/>
        <v>24</v>
      </c>
      <c r="AA386" s="52">
        <f t="shared" si="69"/>
        <v>96717000</v>
      </c>
      <c r="AB386" s="41">
        <f t="shared" si="70"/>
        <v>66.666666666666657</v>
      </c>
      <c r="AC386" s="34" t="s">
        <v>44</v>
      </c>
      <c r="AD386" s="90">
        <f t="shared" si="71"/>
        <v>57.736494452719022</v>
      </c>
      <c r="AE386" s="17"/>
      <c r="AF386" s="2"/>
      <c r="AG386" s="2"/>
      <c r="AH386" s="55"/>
      <c r="AI386" s="2"/>
      <c r="AJ386" s="2"/>
      <c r="AK386" s="2"/>
    </row>
    <row r="387" spans="1:37" ht="90">
      <c r="A387" s="43"/>
      <c r="B387" s="39"/>
      <c r="C387" s="46" t="s">
        <v>539</v>
      </c>
      <c r="D387" s="47" t="s">
        <v>531</v>
      </c>
      <c r="E387" s="48">
        <v>36</v>
      </c>
      <c r="F387" s="77" t="s">
        <v>62</v>
      </c>
      <c r="G387" s="91">
        <v>188137000</v>
      </c>
      <c r="H387" s="101">
        <v>12</v>
      </c>
      <c r="I387" s="50">
        <v>46281000</v>
      </c>
      <c r="J387" s="51">
        <v>12</v>
      </c>
      <c r="K387" s="50">
        <v>68118000</v>
      </c>
      <c r="L387" s="33">
        <v>3</v>
      </c>
      <c r="M387" s="103" t="s">
        <v>229</v>
      </c>
      <c r="N387" s="51">
        <v>3</v>
      </c>
      <c r="O387" s="50">
        <v>10395000</v>
      </c>
      <c r="P387" s="51">
        <v>3</v>
      </c>
      <c r="Q387" s="50">
        <v>26073000</v>
      </c>
      <c r="R387" s="101">
        <v>3</v>
      </c>
      <c r="S387" s="50">
        <v>29060000</v>
      </c>
      <c r="T387" s="102">
        <f t="shared" si="65"/>
        <v>12</v>
      </c>
      <c r="U387" s="60">
        <f t="shared" si="67"/>
        <v>100</v>
      </c>
      <c r="V387" s="34" t="s">
        <v>44</v>
      </c>
      <c r="W387" s="52">
        <f t="shared" si="64"/>
        <v>65528000</v>
      </c>
      <c r="X387" s="60">
        <f t="shared" si="68"/>
        <v>96.197774450218745</v>
      </c>
      <c r="Y387" s="34" t="s">
        <v>44</v>
      </c>
      <c r="Z387" s="102">
        <f t="shared" si="66"/>
        <v>24</v>
      </c>
      <c r="AA387" s="52">
        <f t="shared" si="69"/>
        <v>111809000</v>
      </c>
      <c r="AB387" s="41">
        <f t="shared" si="70"/>
        <v>66.666666666666657</v>
      </c>
      <c r="AC387" s="34" t="s">
        <v>44</v>
      </c>
      <c r="AD387" s="90">
        <f t="shared" si="71"/>
        <v>59.429564625778021</v>
      </c>
      <c r="AE387" s="17"/>
      <c r="AF387" s="2"/>
      <c r="AG387" s="2"/>
      <c r="AH387" s="55"/>
      <c r="AI387" s="2"/>
      <c r="AJ387" s="2"/>
      <c r="AK387" s="2"/>
    </row>
    <row r="388" spans="1:37" ht="90">
      <c r="A388" s="43"/>
      <c r="B388" s="39"/>
      <c r="C388" s="46" t="s">
        <v>540</v>
      </c>
      <c r="D388" s="47" t="s">
        <v>531</v>
      </c>
      <c r="E388" s="48">
        <v>36</v>
      </c>
      <c r="F388" s="77" t="s">
        <v>62</v>
      </c>
      <c r="G388" s="91">
        <v>58416500</v>
      </c>
      <c r="H388" s="101">
        <v>12</v>
      </c>
      <c r="I388" s="50">
        <v>30392500</v>
      </c>
      <c r="J388" s="51">
        <v>12</v>
      </c>
      <c r="K388" s="50">
        <v>14012000</v>
      </c>
      <c r="L388" s="33">
        <v>3</v>
      </c>
      <c r="M388" s="103" t="s">
        <v>229</v>
      </c>
      <c r="N388" s="51">
        <v>3</v>
      </c>
      <c r="O388" s="50">
        <v>0</v>
      </c>
      <c r="P388" s="51">
        <v>3</v>
      </c>
      <c r="Q388" s="50">
        <v>0</v>
      </c>
      <c r="R388" s="101">
        <v>3</v>
      </c>
      <c r="S388" s="50">
        <v>14012000</v>
      </c>
      <c r="T388" s="102">
        <f t="shared" si="65"/>
        <v>12</v>
      </c>
      <c r="U388" s="60">
        <f t="shared" si="67"/>
        <v>100</v>
      </c>
      <c r="V388" s="34" t="s">
        <v>44</v>
      </c>
      <c r="W388" s="52">
        <f t="shared" si="64"/>
        <v>14012000</v>
      </c>
      <c r="X388" s="60">
        <f t="shared" si="68"/>
        <v>100</v>
      </c>
      <c r="Y388" s="34" t="s">
        <v>44</v>
      </c>
      <c r="Z388" s="102">
        <f t="shared" si="66"/>
        <v>24</v>
      </c>
      <c r="AA388" s="52">
        <f t="shared" si="69"/>
        <v>44404500</v>
      </c>
      <c r="AB388" s="41">
        <f t="shared" si="70"/>
        <v>66.666666666666657</v>
      </c>
      <c r="AC388" s="34" t="s">
        <v>44</v>
      </c>
      <c r="AD388" s="90">
        <f t="shared" si="71"/>
        <v>76.013626287093544</v>
      </c>
      <c r="AE388" s="17"/>
      <c r="AF388" s="2"/>
      <c r="AG388" s="2"/>
      <c r="AH388" s="55"/>
      <c r="AI388" s="2"/>
      <c r="AJ388" s="2"/>
      <c r="AK388" s="2"/>
    </row>
    <row r="389" spans="1:37" ht="90">
      <c r="A389" s="43"/>
      <c r="B389" s="39"/>
      <c r="C389" s="46" t="s">
        <v>541</v>
      </c>
      <c r="D389" s="47" t="s">
        <v>531</v>
      </c>
      <c r="E389" s="48">
        <v>36</v>
      </c>
      <c r="F389" s="77" t="s">
        <v>62</v>
      </c>
      <c r="G389" s="91">
        <v>75020000</v>
      </c>
      <c r="H389" s="101">
        <v>12</v>
      </c>
      <c r="I389" s="50">
        <v>19418000</v>
      </c>
      <c r="J389" s="51">
        <v>12</v>
      </c>
      <c r="K389" s="50">
        <v>29224000</v>
      </c>
      <c r="L389" s="33">
        <v>3</v>
      </c>
      <c r="M389" s="103" t="s">
        <v>229</v>
      </c>
      <c r="N389" s="51">
        <v>3</v>
      </c>
      <c r="O389" s="50">
        <v>5025000</v>
      </c>
      <c r="P389" s="51">
        <v>3</v>
      </c>
      <c r="Q389" s="50">
        <v>14615000</v>
      </c>
      <c r="R389" s="101">
        <v>3</v>
      </c>
      <c r="S389" s="50">
        <v>6847500</v>
      </c>
      <c r="T389" s="102">
        <f t="shared" si="65"/>
        <v>12</v>
      </c>
      <c r="U389" s="60">
        <f t="shared" si="67"/>
        <v>100</v>
      </c>
      <c r="V389" s="34" t="s">
        <v>44</v>
      </c>
      <c r="W389" s="52">
        <f t="shared" si="64"/>
        <v>26487500</v>
      </c>
      <c r="X389" s="60">
        <f t="shared" si="68"/>
        <v>90.636120996441278</v>
      </c>
      <c r="Y389" s="34" t="s">
        <v>44</v>
      </c>
      <c r="Z389" s="102">
        <f t="shared" si="66"/>
        <v>24</v>
      </c>
      <c r="AA389" s="52">
        <f t="shared" si="69"/>
        <v>45905500</v>
      </c>
      <c r="AB389" s="41">
        <f t="shared" si="70"/>
        <v>66.666666666666657</v>
      </c>
      <c r="AC389" s="34" t="s">
        <v>44</v>
      </c>
      <c r="AD389" s="90">
        <f t="shared" si="71"/>
        <v>61.191015729138897</v>
      </c>
      <c r="AE389" s="17"/>
      <c r="AF389" s="2"/>
      <c r="AG389" s="2"/>
      <c r="AH389" s="55"/>
      <c r="AI389" s="2"/>
      <c r="AJ389" s="2"/>
      <c r="AK389" s="2"/>
    </row>
    <row r="390" spans="1:37" ht="90">
      <c r="A390" s="43"/>
      <c r="B390" s="39"/>
      <c r="C390" s="46" t="s">
        <v>542</v>
      </c>
      <c r="D390" s="47" t="s">
        <v>531</v>
      </c>
      <c r="E390" s="48">
        <v>36</v>
      </c>
      <c r="F390" s="77" t="s">
        <v>62</v>
      </c>
      <c r="G390" s="91">
        <v>175862200</v>
      </c>
      <c r="H390" s="101">
        <v>12</v>
      </c>
      <c r="I390" s="50">
        <v>24980500</v>
      </c>
      <c r="J390" s="51">
        <v>12</v>
      </c>
      <c r="K390" s="50">
        <v>71494600</v>
      </c>
      <c r="L390" s="33">
        <v>3</v>
      </c>
      <c r="M390" s="103" t="s">
        <v>229</v>
      </c>
      <c r="N390" s="51">
        <v>3</v>
      </c>
      <c r="O390" s="50">
        <v>4240000</v>
      </c>
      <c r="P390" s="51">
        <v>3</v>
      </c>
      <c r="Q390" s="50">
        <v>22592500</v>
      </c>
      <c r="R390" s="101">
        <v>3</v>
      </c>
      <c r="S390" s="50">
        <v>69790000</v>
      </c>
      <c r="T390" s="102">
        <f t="shared" si="65"/>
        <v>12</v>
      </c>
      <c r="U390" s="60">
        <f t="shared" si="67"/>
        <v>100</v>
      </c>
      <c r="V390" s="34" t="s">
        <v>44</v>
      </c>
      <c r="W390" s="52">
        <f t="shared" si="64"/>
        <v>96622500</v>
      </c>
      <c r="X390" s="60">
        <f t="shared" si="68"/>
        <v>135.14657051022033</v>
      </c>
      <c r="Y390" s="34" t="s">
        <v>44</v>
      </c>
      <c r="Z390" s="102">
        <f t="shared" si="66"/>
        <v>24</v>
      </c>
      <c r="AA390" s="52">
        <f t="shared" si="69"/>
        <v>121603000</v>
      </c>
      <c r="AB390" s="41">
        <f t="shared" si="70"/>
        <v>66.666666666666657</v>
      </c>
      <c r="AC390" s="34" t="s">
        <v>44</v>
      </c>
      <c r="AD390" s="90">
        <f t="shared" si="71"/>
        <v>69.146752400458993</v>
      </c>
      <c r="AE390" s="17"/>
      <c r="AF390" s="2"/>
      <c r="AG390" s="2"/>
      <c r="AH390" s="55"/>
      <c r="AI390" s="2"/>
      <c r="AJ390" s="2"/>
      <c r="AK390" s="2"/>
    </row>
    <row r="391" spans="1:37" ht="90">
      <c r="A391" s="43"/>
      <c r="B391" s="39"/>
      <c r="C391" s="46" t="s">
        <v>543</v>
      </c>
      <c r="D391" s="47" t="s">
        <v>531</v>
      </c>
      <c r="E391" s="48">
        <v>36</v>
      </c>
      <c r="F391" s="77" t="s">
        <v>62</v>
      </c>
      <c r="G391" s="91">
        <v>43355100</v>
      </c>
      <c r="H391" s="101">
        <v>12</v>
      </c>
      <c r="I391" s="50">
        <v>24941000</v>
      </c>
      <c r="J391" s="51">
        <v>12</v>
      </c>
      <c r="K391" s="50">
        <v>5580200</v>
      </c>
      <c r="L391" s="33">
        <v>3</v>
      </c>
      <c r="M391" s="103" t="s">
        <v>229</v>
      </c>
      <c r="N391" s="51">
        <v>3</v>
      </c>
      <c r="O391" s="50">
        <v>0</v>
      </c>
      <c r="P391" s="51">
        <v>3</v>
      </c>
      <c r="Q391" s="50">
        <v>910000</v>
      </c>
      <c r="R391" s="112">
        <v>3</v>
      </c>
      <c r="S391" s="107">
        <v>980000</v>
      </c>
      <c r="T391" s="102">
        <f t="shared" si="65"/>
        <v>12</v>
      </c>
      <c r="U391" s="60">
        <f t="shared" si="67"/>
        <v>100</v>
      </c>
      <c r="V391" s="34" t="s">
        <v>44</v>
      </c>
      <c r="W391" s="52">
        <f t="shared" si="64"/>
        <v>1890000</v>
      </c>
      <c r="X391" s="60">
        <f t="shared" si="68"/>
        <v>33.869753772266229</v>
      </c>
      <c r="Y391" s="34" t="s">
        <v>44</v>
      </c>
      <c r="Z391" s="102">
        <f t="shared" si="66"/>
        <v>24</v>
      </c>
      <c r="AA391" s="52">
        <f t="shared" si="69"/>
        <v>26831000</v>
      </c>
      <c r="AB391" s="41">
        <f t="shared" si="70"/>
        <v>66.666666666666657</v>
      </c>
      <c r="AC391" s="34" t="s">
        <v>44</v>
      </c>
      <c r="AD391" s="90">
        <f t="shared" si="71"/>
        <v>61.886606189352577</v>
      </c>
      <c r="AE391" s="17"/>
      <c r="AF391" s="2"/>
      <c r="AG391" s="2"/>
      <c r="AH391" s="55"/>
      <c r="AI391" s="2"/>
      <c r="AJ391" s="2"/>
      <c r="AK391" s="2"/>
    </row>
    <row r="392" spans="1:37" ht="90">
      <c r="A392" s="43"/>
      <c r="B392" s="39"/>
      <c r="C392" s="46" t="s">
        <v>544</v>
      </c>
      <c r="D392" s="47" t="s">
        <v>531</v>
      </c>
      <c r="E392" s="48">
        <v>36</v>
      </c>
      <c r="F392" s="77" t="s">
        <v>62</v>
      </c>
      <c r="G392" s="91">
        <v>73100000</v>
      </c>
      <c r="H392" s="101">
        <v>12</v>
      </c>
      <c r="I392" s="50">
        <v>19080000</v>
      </c>
      <c r="J392" s="51">
        <v>12</v>
      </c>
      <c r="K392" s="50">
        <v>24775000</v>
      </c>
      <c r="L392" s="33">
        <v>3</v>
      </c>
      <c r="M392" s="103" t="s">
        <v>229</v>
      </c>
      <c r="N392" s="51">
        <v>3</v>
      </c>
      <c r="O392" s="50">
        <v>0</v>
      </c>
      <c r="P392" s="51">
        <v>3</v>
      </c>
      <c r="Q392" s="50">
        <v>9580000</v>
      </c>
      <c r="R392" s="112">
        <v>3</v>
      </c>
      <c r="S392" s="107">
        <v>14795000</v>
      </c>
      <c r="T392" s="102">
        <f t="shared" si="65"/>
        <v>12</v>
      </c>
      <c r="U392" s="60">
        <f t="shared" si="67"/>
        <v>100</v>
      </c>
      <c r="V392" s="34" t="s">
        <v>44</v>
      </c>
      <c r="W392" s="52">
        <f t="shared" si="64"/>
        <v>24375000</v>
      </c>
      <c r="X392" s="60">
        <f t="shared" si="68"/>
        <v>98.385469223007064</v>
      </c>
      <c r="Y392" s="34" t="s">
        <v>44</v>
      </c>
      <c r="Z392" s="102">
        <f t="shared" si="66"/>
        <v>24</v>
      </c>
      <c r="AA392" s="52">
        <f t="shared" si="69"/>
        <v>43455000</v>
      </c>
      <c r="AB392" s="41">
        <f t="shared" si="70"/>
        <v>66.666666666666657</v>
      </c>
      <c r="AC392" s="34" t="s">
        <v>44</v>
      </c>
      <c r="AD392" s="90">
        <f t="shared" si="71"/>
        <v>59.445964432284541</v>
      </c>
      <c r="AE392" s="17"/>
      <c r="AF392" s="2"/>
      <c r="AG392" s="2"/>
      <c r="AH392" s="55"/>
      <c r="AI392" s="2"/>
      <c r="AJ392" s="2"/>
      <c r="AK392" s="2"/>
    </row>
    <row r="393" spans="1:37" ht="90">
      <c r="A393" s="43"/>
      <c r="B393" s="39"/>
      <c r="C393" s="46" t="s">
        <v>545</v>
      </c>
      <c r="D393" s="47" t="s">
        <v>531</v>
      </c>
      <c r="E393" s="48">
        <v>36</v>
      </c>
      <c r="F393" s="77" t="s">
        <v>62</v>
      </c>
      <c r="G393" s="91">
        <v>100582600</v>
      </c>
      <c r="H393" s="101">
        <v>12</v>
      </c>
      <c r="I393" s="50">
        <v>49042600</v>
      </c>
      <c r="J393" s="51">
        <v>12</v>
      </c>
      <c r="K393" s="50">
        <v>25770000</v>
      </c>
      <c r="L393" s="33">
        <v>3</v>
      </c>
      <c r="M393" s="103" t="s">
        <v>229</v>
      </c>
      <c r="N393" s="51">
        <v>3</v>
      </c>
      <c r="O393" s="50">
        <v>2400000</v>
      </c>
      <c r="P393" s="51">
        <v>3</v>
      </c>
      <c r="Q393" s="50">
        <v>19340000</v>
      </c>
      <c r="R393" s="112">
        <v>3</v>
      </c>
      <c r="S393" s="107">
        <v>29111250</v>
      </c>
      <c r="T393" s="102">
        <f t="shared" si="65"/>
        <v>12</v>
      </c>
      <c r="U393" s="60">
        <f t="shared" si="67"/>
        <v>100</v>
      </c>
      <c r="V393" s="34" t="s">
        <v>44</v>
      </c>
      <c r="W393" s="52">
        <f t="shared" si="64"/>
        <v>50851250</v>
      </c>
      <c r="X393" s="60">
        <f t="shared" si="68"/>
        <v>197.32731858750486</v>
      </c>
      <c r="Y393" s="34" t="s">
        <v>44</v>
      </c>
      <c r="Z393" s="102">
        <f t="shared" si="66"/>
        <v>24</v>
      </c>
      <c r="AA393" s="52">
        <f t="shared" si="69"/>
        <v>99893850</v>
      </c>
      <c r="AB393" s="41">
        <f t="shared" si="70"/>
        <v>66.666666666666657</v>
      </c>
      <c r="AC393" s="34" t="s">
        <v>44</v>
      </c>
      <c r="AD393" s="90">
        <f t="shared" si="71"/>
        <v>99.315239415167227</v>
      </c>
      <c r="AE393" s="17"/>
      <c r="AF393" s="2"/>
      <c r="AG393" s="2"/>
      <c r="AH393" s="55"/>
      <c r="AI393" s="2"/>
      <c r="AJ393" s="2"/>
      <c r="AK393" s="2"/>
    </row>
    <row r="394" spans="1:37" ht="90">
      <c r="A394" s="43"/>
      <c r="B394" s="39"/>
      <c r="C394" s="46" t="s">
        <v>546</v>
      </c>
      <c r="D394" s="47" t="s">
        <v>531</v>
      </c>
      <c r="E394" s="48">
        <v>36</v>
      </c>
      <c r="F394" s="77" t="s">
        <v>62</v>
      </c>
      <c r="G394" s="91">
        <v>96002000</v>
      </c>
      <c r="H394" s="101">
        <v>12</v>
      </c>
      <c r="I394" s="50">
        <v>18467000</v>
      </c>
      <c r="J394" s="51">
        <v>12</v>
      </c>
      <c r="K394" s="50">
        <v>27183500</v>
      </c>
      <c r="L394" s="115">
        <v>3</v>
      </c>
      <c r="M394" s="116">
        <v>0</v>
      </c>
      <c r="N394" s="117">
        <v>3</v>
      </c>
      <c r="O394" s="107">
        <v>10870000</v>
      </c>
      <c r="P394" s="117">
        <v>3</v>
      </c>
      <c r="Q394" s="107">
        <v>9812500</v>
      </c>
      <c r="R394" s="118">
        <v>3</v>
      </c>
      <c r="S394" s="107">
        <v>5611800</v>
      </c>
      <c r="T394" s="102">
        <f t="shared" si="65"/>
        <v>12</v>
      </c>
      <c r="U394" s="60">
        <f t="shared" si="67"/>
        <v>100</v>
      </c>
      <c r="V394" s="34" t="s">
        <v>44</v>
      </c>
      <c r="W394" s="52">
        <f t="shared" si="64"/>
        <v>26294300</v>
      </c>
      <c r="X394" s="60">
        <f t="shared" si="68"/>
        <v>96.728898044769807</v>
      </c>
      <c r="Y394" s="34" t="s">
        <v>44</v>
      </c>
      <c r="Z394" s="102">
        <f t="shared" si="66"/>
        <v>24</v>
      </c>
      <c r="AA394" s="52">
        <f t="shared" si="69"/>
        <v>44761300</v>
      </c>
      <c r="AB394" s="41">
        <f t="shared" si="70"/>
        <v>66.666666666666657</v>
      </c>
      <c r="AC394" s="34" t="s">
        <v>44</v>
      </c>
      <c r="AD394" s="90">
        <f t="shared" si="71"/>
        <v>46.625382804524904</v>
      </c>
      <c r="AE394" s="17"/>
      <c r="AF394" s="2"/>
      <c r="AG394" s="2"/>
      <c r="AH394" s="55"/>
      <c r="AI394" s="2"/>
      <c r="AJ394" s="2"/>
      <c r="AK394" s="2"/>
    </row>
    <row r="395" spans="1:37" ht="90">
      <c r="A395" s="43"/>
      <c r="B395" s="39"/>
      <c r="C395" s="46" t="s">
        <v>547</v>
      </c>
      <c r="D395" s="47" t="s">
        <v>531</v>
      </c>
      <c r="E395" s="48">
        <v>36</v>
      </c>
      <c r="F395" s="77" t="s">
        <v>62</v>
      </c>
      <c r="G395" s="91">
        <v>143397700</v>
      </c>
      <c r="H395" s="101">
        <v>12</v>
      </c>
      <c r="I395" s="50">
        <v>14552700</v>
      </c>
      <c r="J395" s="51">
        <v>12</v>
      </c>
      <c r="K395" s="50">
        <v>102105000</v>
      </c>
      <c r="L395" s="33">
        <v>3</v>
      </c>
      <c r="M395" s="50">
        <v>0</v>
      </c>
      <c r="N395" s="51">
        <v>3</v>
      </c>
      <c r="O395" s="50">
        <v>17090000</v>
      </c>
      <c r="P395" s="51">
        <v>3</v>
      </c>
      <c r="Q395" s="50">
        <v>52260000</v>
      </c>
      <c r="R395" s="112">
        <v>3</v>
      </c>
      <c r="S395" s="107">
        <v>29815000</v>
      </c>
      <c r="T395" s="102">
        <f t="shared" si="65"/>
        <v>12</v>
      </c>
      <c r="U395" s="60">
        <f t="shared" si="67"/>
        <v>100</v>
      </c>
      <c r="V395" s="34" t="s">
        <v>44</v>
      </c>
      <c r="W395" s="52">
        <f t="shared" si="64"/>
        <v>99165000</v>
      </c>
      <c r="X395" s="60">
        <f t="shared" si="68"/>
        <v>97.120611135595709</v>
      </c>
      <c r="Y395" s="34" t="s">
        <v>44</v>
      </c>
      <c r="Z395" s="102">
        <f t="shared" si="66"/>
        <v>24</v>
      </c>
      <c r="AA395" s="52">
        <f t="shared" si="69"/>
        <v>113717700</v>
      </c>
      <c r="AB395" s="41">
        <f t="shared" si="70"/>
        <v>66.666666666666657</v>
      </c>
      <c r="AC395" s="34" t="s">
        <v>44</v>
      </c>
      <c r="AD395" s="90">
        <f t="shared" si="71"/>
        <v>79.302317959074657</v>
      </c>
      <c r="AE395" s="17"/>
      <c r="AF395" s="2"/>
      <c r="AG395" s="2"/>
      <c r="AH395" s="55"/>
      <c r="AI395" s="2"/>
      <c r="AJ395" s="2"/>
      <c r="AK395" s="2"/>
    </row>
    <row r="396" spans="1:37" ht="90">
      <c r="A396" s="43"/>
      <c r="B396" s="39"/>
      <c r="C396" s="46" t="s">
        <v>548</v>
      </c>
      <c r="D396" s="47" t="s">
        <v>531</v>
      </c>
      <c r="E396" s="48">
        <v>36</v>
      </c>
      <c r="F396" s="77" t="s">
        <v>62</v>
      </c>
      <c r="G396" s="91">
        <v>119845000</v>
      </c>
      <c r="H396" s="101">
        <v>12</v>
      </c>
      <c r="I396" s="50">
        <v>47431000</v>
      </c>
      <c r="J396" s="51">
        <v>12</v>
      </c>
      <c r="K396" s="50">
        <v>35125000</v>
      </c>
      <c r="L396" s="33">
        <v>3</v>
      </c>
      <c r="M396" s="103" t="s">
        <v>229</v>
      </c>
      <c r="N396" s="51">
        <v>3</v>
      </c>
      <c r="O396" s="50">
        <v>0</v>
      </c>
      <c r="P396" s="51">
        <v>3</v>
      </c>
      <c r="Q396" s="50">
        <v>23120000</v>
      </c>
      <c r="R396" s="112">
        <v>3</v>
      </c>
      <c r="S396" s="107">
        <v>11925000</v>
      </c>
      <c r="T396" s="102">
        <f t="shared" si="65"/>
        <v>12</v>
      </c>
      <c r="U396" s="60">
        <f t="shared" si="67"/>
        <v>100</v>
      </c>
      <c r="V396" s="34" t="s">
        <v>44</v>
      </c>
      <c r="W396" s="52">
        <f t="shared" si="64"/>
        <v>35045000</v>
      </c>
      <c r="X396" s="60">
        <f t="shared" si="68"/>
        <v>99.772241992882556</v>
      </c>
      <c r="Y396" s="34" t="s">
        <v>44</v>
      </c>
      <c r="Z396" s="102">
        <f t="shared" si="66"/>
        <v>24</v>
      </c>
      <c r="AA396" s="52">
        <f t="shared" si="69"/>
        <v>82476000</v>
      </c>
      <c r="AB396" s="41">
        <f t="shared" si="70"/>
        <v>66.666666666666657</v>
      </c>
      <c r="AC396" s="34" t="s">
        <v>44</v>
      </c>
      <c r="AD396" s="90">
        <f t="shared" si="71"/>
        <v>68.818891067629011</v>
      </c>
      <c r="AE396" s="17"/>
      <c r="AF396" s="2"/>
      <c r="AG396" s="2"/>
      <c r="AH396" s="55"/>
      <c r="AI396" s="2"/>
      <c r="AJ396" s="2"/>
      <c r="AK396" s="2"/>
    </row>
    <row r="397" spans="1:37" ht="90">
      <c r="A397" s="43"/>
      <c r="B397" s="39"/>
      <c r="C397" s="46" t="s">
        <v>549</v>
      </c>
      <c r="D397" s="47" t="s">
        <v>531</v>
      </c>
      <c r="E397" s="48">
        <v>36</v>
      </c>
      <c r="F397" s="77" t="s">
        <v>62</v>
      </c>
      <c r="G397" s="91">
        <v>106231800</v>
      </c>
      <c r="H397" s="101">
        <v>12</v>
      </c>
      <c r="I397" s="50">
        <v>44853000</v>
      </c>
      <c r="J397" s="51">
        <v>12</v>
      </c>
      <c r="K397" s="50">
        <v>30689400</v>
      </c>
      <c r="L397" s="33">
        <v>3</v>
      </c>
      <c r="M397" s="103" t="s">
        <v>229</v>
      </c>
      <c r="N397" s="51">
        <v>3</v>
      </c>
      <c r="O397" s="50">
        <v>0</v>
      </c>
      <c r="P397" s="51">
        <v>3</v>
      </c>
      <c r="Q397" s="50">
        <v>10172500</v>
      </c>
      <c r="R397" s="101">
        <v>3</v>
      </c>
      <c r="S397" s="50">
        <v>8223900</v>
      </c>
      <c r="T397" s="102">
        <f t="shared" si="65"/>
        <v>12</v>
      </c>
      <c r="U397" s="60">
        <f t="shared" si="67"/>
        <v>100</v>
      </c>
      <c r="V397" s="34" t="s">
        <v>44</v>
      </c>
      <c r="W397" s="52">
        <f t="shared" si="64"/>
        <v>18396400</v>
      </c>
      <c r="X397" s="60">
        <f t="shared" si="68"/>
        <v>59.943824252021869</v>
      </c>
      <c r="Y397" s="34" t="s">
        <v>44</v>
      </c>
      <c r="Z397" s="102">
        <f t="shared" si="66"/>
        <v>24</v>
      </c>
      <c r="AA397" s="52">
        <f t="shared" si="69"/>
        <v>63249400</v>
      </c>
      <c r="AB397" s="41">
        <f t="shared" si="70"/>
        <v>66.666666666666657</v>
      </c>
      <c r="AC397" s="34" t="s">
        <v>44</v>
      </c>
      <c r="AD397" s="90">
        <f t="shared" si="71"/>
        <v>59.539045747130338</v>
      </c>
      <c r="AE397" s="17"/>
      <c r="AF397" s="2"/>
      <c r="AG397" s="2"/>
      <c r="AH397" s="55"/>
      <c r="AI397" s="2"/>
      <c r="AJ397" s="2"/>
      <c r="AK397" s="2"/>
    </row>
    <row r="398" spans="1:37" ht="90">
      <c r="A398" s="43"/>
      <c r="B398" s="39"/>
      <c r="C398" s="46" t="s">
        <v>550</v>
      </c>
      <c r="D398" s="47" t="s">
        <v>531</v>
      </c>
      <c r="E398" s="48">
        <v>36</v>
      </c>
      <c r="F398" s="77" t="s">
        <v>62</v>
      </c>
      <c r="G398" s="91">
        <v>99852000</v>
      </c>
      <c r="H398" s="101">
        <v>12</v>
      </c>
      <c r="I398" s="50">
        <v>46120000</v>
      </c>
      <c r="J398" s="51">
        <v>12</v>
      </c>
      <c r="K398" s="50">
        <v>23391000</v>
      </c>
      <c r="L398" s="33">
        <v>3</v>
      </c>
      <c r="M398" s="103" t="s">
        <v>229</v>
      </c>
      <c r="N398" s="51">
        <v>3</v>
      </c>
      <c r="O398" s="50">
        <v>6105000</v>
      </c>
      <c r="P398" s="51">
        <v>3</v>
      </c>
      <c r="Q398" s="50">
        <v>12335000</v>
      </c>
      <c r="R398" s="101">
        <v>3</v>
      </c>
      <c r="S398" s="50">
        <v>4095000</v>
      </c>
      <c r="T398" s="102">
        <f t="shared" si="65"/>
        <v>12</v>
      </c>
      <c r="U398" s="60">
        <f t="shared" si="67"/>
        <v>100</v>
      </c>
      <c r="V398" s="34" t="s">
        <v>44</v>
      </c>
      <c r="W398" s="52">
        <f t="shared" si="64"/>
        <v>22535000</v>
      </c>
      <c r="X398" s="60">
        <f t="shared" si="68"/>
        <v>96.340472831430887</v>
      </c>
      <c r="Y398" s="34" t="s">
        <v>44</v>
      </c>
      <c r="Z398" s="102">
        <f t="shared" si="66"/>
        <v>24</v>
      </c>
      <c r="AA398" s="52">
        <f t="shared" si="69"/>
        <v>68655000</v>
      </c>
      <c r="AB398" s="41">
        <f t="shared" si="70"/>
        <v>66.666666666666657</v>
      </c>
      <c r="AC398" s="34" t="s">
        <v>44</v>
      </c>
      <c r="AD398" s="90">
        <f t="shared" si="71"/>
        <v>68.75676000480712</v>
      </c>
      <c r="AE398" s="17"/>
      <c r="AF398" s="2"/>
      <c r="AG398" s="2"/>
      <c r="AH398" s="55"/>
      <c r="AI398" s="2"/>
      <c r="AJ398" s="2"/>
      <c r="AK398" s="2"/>
    </row>
    <row r="399" spans="1:37" ht="90">
      <c r="A399" s="43"/>
      <c r="B399" s="39"/>
      <c r="C399" s="46" t="s">
        <v>551</v>
      </c>
      <c r="D399" s="47" t="s">
        <v>531</v>
      </c>
      <c r="E399" s="48">
        <v>36</v>
      </c>
      <c r="F399" s="77" t="s">
        <v>62</v>
      </c>
      <c r="G399" s="91">
        <v>124950000</v>
      </c>
      <c r="H399" s="101"/>
      <c r="I399" s="50">
        <v>35990000</v>
      </c>
      <c r="J399" s="51">
        <v>12</v>
      </c>
      <c r="K399" s="50">
        <v>44480000</v>
      </c>
      <c r="L399" s="33">
        <v>3</v>
      </c>
      <c r="M399" s="103" t="s">
        <v>229</v>
      </c>
      <c r="N399" s="51">
        <v>3</v>
      </c>
      <c r="O399" s="50">
        <v>880000</v>
      </c>
      <c r="P399" s="51">
        <v>3</v>
      </c>
      <c r="Q399" s="50">
        <v>3920000</v>
      </c>
      <c r="R399" s="112">
        <v>3</v>
      </c>
      <c r="S399" s="107">
        <v>37582500</v>
      </c>
      <c r="T399" s="102">
        <f t="shared" si="65"/>
        <v>12</v>
      </c>
      <c r="U399" s="60">
        <f t="shared" si="67"/>
        <v>100</v>
      </c>
      <c r="V399" s="34" t="s">
        <v>44</v>
      </c>
      <c r="W399" s="52">
        <f t="shared" si="64"/>
        <v>42382500</v>
      </c>
      <c r="X399" s="60">
        <f t="shared" si="68"/>
        <v>95.284397482014398</v>
      </c>
      <c r="Y399" s="34" t="s">
        <v>44</v>
      </c>
      <c r="Z399" s="102">
        <f t="shared" si="66"/>
        <v>12</v>
      </c>
      <c r="AA399" s="52">
        <f t="shared" si="69"/>
        <v>78372500</v>
      </c>
      <c r="AB399" s="41">
        <f t="shared" si="70"/>
        <v>33.333333333333329</v>
      </c>
      <c r="AC399" s="34" t="s">
        <v>44</v>
      </c>
      <c r="AD399" s="90">
        <f t="shared" si="71"/>
        <v>62.723089235694275</v>
      </c>
      <c r="AE399" s="17"/>
      <c r="AF399" s="2"/>
      <c r="AG399" s="2"/>
      <c r="AH399" s="55"/>
      <c r="AI399" s="2"/>
      <c r="AJ399" s="2"/>
      <c r="AK399" s="2"/>
    </row>
    <row r="400" spans="1:37" ht="150">
      <c r="A400" s="43"/>
      <c r="B400" s="39"/>
      <c r="C400" s="46" t="s">
        <v>552</v>
      </c>
      <c r="D400" s="47" t="s">
        <v>553</v>
      </c>
      <c r="E400" s="48">
        <v>21</v>
      </c>
      <c r="F400" s="77" t="s">
        <v>62</v>
      </c>
      <c r="G400" s="91">
        <v>21049800</v>
      </c>
      <c r="H400" s="51">
        <v>10</v>
      </c>
      <c r="I400" s="50">
        <v>10525000</v>
      </c>
      <c r="J400" s="51">
        <v>10</v>
      </c>
      <c r="K400" s="50">
        <v>10524800</v>
      </c>
      <c r="L400" s="33">
        <v>0</v>
      </c>
      <c r="M400" s="50">
        <v>0</v>
      </c>
      <c r="N400" s="51">
        <v>3</v>
      </c>
      <c r="O400" s="50">
        <v>0</v>
      </c>
      <c r="P400" s="51">
        <v>7</v>
      </c>
      <c r="Q400" s="50">
        <v>10375000</v>
      </c>
      <c r="R400" s="51">
        <v>0</v>
      </c>
      <c r="S400" s="50">
        <v>0</v>
      </c>
      <c r="T400" s="33">
        <f t="shared" si="65"/>
        <v>10</v>
      </c>
      <c r="U400" s="34">
        <f t="shared" si="67"/>
        <v>100</v>
      </c>
      <c r="V400" s="34" t="s">
        <v>44</v>
      </c>
      <c r="W400" s="52">
        <f t="shared" si="64"/>
        <v>10375000</v>
      </c>
      <c r="X400" s="34">
        <f t="shared" si="68"/>
        <v>98.57669504408635</v>
      </c>
      <c r="Y400" s="34" t="s">
        <v>44</v>
      </c>
      <c r="Z400" s="34">
        <f t="shared" si="66"/>
        <v>20</v>
      </c>
      <c r="AA400" s="52">
        <f t="shared" si="69"/>
        <v>20900000</v>
      </c>
      <c r="AB400" s="41">
        <f t="shared" si="70"/>
        <v>95.238095238095227</v>
      </c>
      <c r="AC400" s="34" t="s">
        <v>44</v>
      </c>
      <c r="AD400" s="90">
        <f t="shared" si="71"/>
        <v>99.288354283651145</v>
      </c>
      <c r="AE400" s="17"/>
      <c r="AF400" s="2"/>
      <c r="AG400" s="2"/>
      <c r="AH400" s="55"/>
      <c r="AI400" s="2"/>
      <c r="AJ400" s="2"/>
      <c r="AK400" s="2"/>
    </row>
    <row r="401" spans="1:37" ht="150">
      <c r="A401" s="43"/>
      <c r="B401" s="39"/>
      <c r="C401" s="46" t="s">
        <v>554</v>
      </c>
      <c r="D401" s="47" t="s">
        <v>553</v>
      </c>
      <c r="E401" s="48">
        <v>36</v>
      </c>
      <c r="F401" s="77" t="s">
        <v>62</v>
      </c>
      <c r="G401" s="91">
        <v>13098000</v>
      </c>
      <c r="H401" s="51">
        <v>12</v>
      </c>
      <c r="I401" s="50">
        <v>0</v>
      </c>
      <c r="J401" s="51">
        <v>12</v>
      </c>
      <c r="K401" s="50">
        <v>8118000</v>
      </c>
      <c r="L401" s="33">
        <v>3</v>
      </c>
      <c r="M401" s="103" t="s">
        <v>229</v>
      </c>
      <c r="N401" s="51">
        <v>3</v>
      </c>
      <c r="O401" s="50">
        <v>3240000</v>
      </c>
      <c r="P401" s="51">
        <v>3</v>
      </c>
      <c r="Q401" s="50">
        <v>1440000</v>
      </c>
      <c r="R401" s="51">
        <v>3</v>
      </c>
      <c r="S401" s="50">
        <v>2880000</v>
      </c>
      <c r="T401" s="33">
        <f t="shared" si="65"/>
        <v>12</v>
      </c>
      <c r="U401" s="34">
        <f t="shared" si="67"/>
        <v>100</v>
      </c>
      <c r="V401" s="34" t="s">
        <v>44</v>
      </c>
      <c r="W401" s="52">
        <f t="shared" si="64"/>
        <v>7560000</v>
      </c>
      <c r="X401" s="34">
        <f t="shared" si="68"/>
        <v>93.126385809312637</v>
      </c>
      <c r="Y401" s="34" t="s">
        <v>44</v>
      </c>
      <c r="Z401" s="34">
        <f t="shared" si="66"/>
        <v>24</v>
      </c>
      <c r="AA401" s="52">
        <f t="shared" si="69"/>
        <v>7560000</v>
      </c>
      <c r="AB401" s="41">
        <f t="shared" si="70"/>
        <v>66.666666666666657</v>
      </c>
      <c r="AC401" s="34" t="s">
        <v>44</v>
      </c>
      <c r="AD401" s="90">
        <f t="shared" si="71"/>
        <v>57.718735684837377</v>
      </c>
      <c r="AE401" s="17"/>
      <c r="AF401" s="2"/>
      <c r="AG401" s="2"/>
      <c r="AH401" s="55"/>
      <c r="AI401" s="2"/>
      <c r="AJ401" s="2"/>
      <c r="AK401" s="2"/>
    </row>
    <row r="402" spans="1:37" ht="75">
      <c r="A402" s="43"/>
      <c r="B402" s="39"/>
      <c r="C402" s="46" t="s">
        <v>555</v>
      </c>
      <c r="D402" s="47" t="s">
        <v>556</v>
      </c>
      <c r="E402" s="48">
        <v>24</v>
      </c>
      <c r="F402" s="77" t="s">
        <v>62</v>
      </c>
      <c r="G402" s="91">
        <f>K402*2</f>
        <v>3648060000</v>
      </c>
      <c r="H402" s="59"/>
      <c r="I402" s="58"/>
      <c r="J402" s="51">
        <v>12</v>
      </c>
      <c r="K402" s="50">
        <v>1824030000</v>
      </c>
      <c r="L402" s="33">
        <v>3</v>
      </c>
      <c r="M402" s="50">
        <v>232200000</v>
      </c>
      <c r="N402" s="51">
        <v>3</v>
      </c>
      <c r="O402" s="50">
        <f>809220000-M402</f>
        <v>577020000</v>
      </c>
      <c r="P402" s="51">
        <v>3</v>
      </c>
      <c r="Q402" s="50">
        <f>837180000-M402-O402</f>
        <v>27960000</v>
      </c>
      <c r="R402" s="51">
        <v>3</v>
      </c>
      <c r="S402" s="50">
        <f>1296280000-M402-O402-Q402</f>
        <v>459100000</v>
      </c>
      <c r="T402" s="33">
        <f t="shared" si="65"/>
        <v>12</v>
      </c>
      <c r="U402" s="34">
        <f t="shared" si="67"/>
        <v>100</v>
      </c>
      <c r="V402" s="34" t="s">
        <v>44</v>
      </c>
      <c r="W402" s="52">
        <f t="shared" si="64"/>
        <v>1296280000</v>
      </c>
      <c r="X402" s="34">
        <f t="shared" si="68"/>
        <v>71.066813594074659</v>
      </c>
      <c r="Y402" s="34" t="s">
        <v>44</v>
      </c>
      <c r="Z402" s="34">
        <f t="shared" si="66"/>
        <v>12</v>
      </c>
      <c r="AA402" s="52">
        <f t="shared" si="69"/>
        <v>1296280000</v>
      </c>
      <c r="AB402" s="41">
        <f t="shared" si="70"/>
        <v>50</v>
      </c>
      <c r="AC402" s="34" t="s">
        <v>44</v>
      </c>
      <c r="AD402" s="90">
        <f t="shared" si="71"/>
        <v>35.53340679703733</v>
      </c>
      <c r="AE402" s="17"/>
      <c r="AF402" s="2"/>
      <c r="AG402" s="2"/>
      <c r="AH402" s="55"/>
      <c r="AI402" s="2"/>
      <c r="AJ402" s="2"/>
      <c r="AK402" s="2"/>
    </row>
    <row r="403" spans="1:37" ht="75">
      <c r="A403" s="43"/>
      <c r="B403" s="39"/>
      <c r="C403" s="46" t="s">
        <v>557</v>
      </c>
      <c r="D403" s="47" t="s">
        <v>556</v>
      </c>
      <c r="E403" s="48">
        <v>36</v>
      </c>
      <c r="F403" s="77" t="s">
        <v>62</v>
      </c>
      <c r="G403" s="91">
        <v>4440000</v>
      </c>
      <c r="H403" s="101">
        <v>12</v>
      </c>
      <c r="I403" s="50">
        <v>1120000</v>
      </c>
      <c r="J403" s="51">
        <v>12</v>
      </c>
      <c r="K403" s="50">
        <v>1480000</v>
      </c>
      <c r="L403" s="33">
        <v>3</v>
      </c>
      <c r="M403" s="103" t="s">
        <v>229</v>
      </c>
      <c r="N403" s="51">
        <v>3</v>
      </c>
      <c r="O403" s="50">
        <v>1120000</v>
      </c>
      <c r="P403" s="51">
        <v>3</v>
      </c>
      <c r="Q403" s="50">
        <v>140000</v>
      </c>
      <c r="R403" s="101">
        <v>3</v>
      </c>
      <c r="S403" s="50">
        <v>140000</v>
      </c>
      <c r="T403" s="102">
        <f t="shared" si="65"/>
        <v>12</v>
      </c>
      <c r="U403" s="60">
        <f t="shared" si="67"/>
        <v>100</v>
      </c>
      <c r="V403" s="34" t="s">
        <v>44</v>
      </c>
      <c r="W403" s="52">
        <f t="shared" si="64"/>
        <v>1400000</v>
      </c>
      <c r="X403" s="60">
        <f t="shared" si="68"/>
        <v>94.594594594594597</v>
      </c>
      <c r="Y403" s="34" t="s">
        <v>44</v>
      </c>
      <c r="Z403" s="102">
        <f t="shared" si="66"/>
        <v>24</v>
      </c>
      <c r="AA403" s="52">
        <f t="shared" si="69"/>
        <v>2520000</v>
      </c>
      <c r="AB403" s="41">
        <f t="shared" si="70"/>
        <v>66.666666666666657</v>
      </c>
      <c r="AC403" s="34" t="s">
        <v>44</v>
      </c>
      <c r="AD403" s="90">
        <f t="shared" si="71"/>
        <v>56.756756756756758</v>
      </c>
      <c r="AE403" s="17"/>
      <c r="AF403" s="2"/>
      <c r="AG403" s="2"/>
      <c r="AH403" s="55"/>
      <c r="AI403" s="2"/>
      <c r="AJ403" s="2"/>
      <c r="AK403" s="2"/>
    </row>
    <row r="404" spans="1:37" ht="75">
      <c r="A404" s="43"/>
      <c r="B404" s="39"/>
      <c r="C404" s="46" t="s">
        <v>558</v>
      </c>
      <c r="D404" s="47" t="s">
        <v>556</v>
      </c>
      <c r="E404" s="48">
        <v>36</v>
      </c>
      <c r="F404" s="77" t="s">
        <v>62</v>
      </c>
      <c r="G404" s="91">
        <v>2240000</v>
      </c>
      <c r="H404" s="101">
        <v>12</v>
      </c>
      <c r="I404" s="50">
        <v>150000</v>
      </c>
      <c r="J404" s="51">
        <v>12</v>
      </c>
      <c r="K404" s="50">
        <v>600000</v>
      </c>
      <c r="L404" s="33">
        <v>3</v>
      </c>
      <c r="M404" s="103" t="s">
        <v>229</v>
      </c>
      <c r="N404" s="51">
        <v>3</v>
      </c>
      <c r="O404" s="50">
        <v>0</v>
      </c>
      <c r="P404" s="51">
        <v>3</v>
      </c>
      <c r="Q404" s="50">
        <v>0</v>
      </c>
      <c r="R404" s="101">
        <v>3</v>
      </c>
      <c r="S404" s="50">
        <v>0</v>
      </c>
      <c r="T404" s="102">
        <f t="shared" si="65"/>
        <v>12</v>
      </c>
      <c r="U404" s="60">
        <f t="shared" si="67"/>
        <v>100</v>
      </c>
      <c r="V404" s="34" t="s">
        <v>44</v>
      </c>
      <c r="W404" s="52">
        <f t="shared" si="64"/>
        <v>0</v>
      </c>
      <c r="X404" s="60">
        <f t="shared" si="68"/>
        <v>0</v>
      </c>
      <c r="Y404" s="34" t="s">
        <v>44</v>
      </c>
      <c r="Z404" s="102">
        <f t="shared" si="66"/>
        <v>24</v>
      </c>
      <c r="AA404" s="52">
        <f t="shared" si="69"/>
        <v>150000</v>
      </c>
      <c r="AB404" s="41">
        <f t="shared" si="70"/>
        <v>66.666666666666657</v>
      </c>
      <c r="AC404" s="34" t="s">
        <v>44</v>
      </c>
      <c r="AD404" s="90">
        <f t="shared" si="71"/>
        <v>6.6964285714285712</v>
      </c>
      <c r="AE404" s="17"/>
      <c r="AF404" s="2"/>
      <c r="AG404" s="2"/>
      <c r="AH404" s="55"/>
      <c r="AI404" s="2"/>
      <c r="AJ404" s="2"/>
      <c r="AK404" s="2"/>
    </row>
    <row r="405" spans="1:37" ht="75">
      <c r="A405" s="43"/>
      <c r="B405" s="39"/>
      <c r="C405" s="46" t="s">
        <v>559</v>
      </c>
      <c r="D405" s="47" t="s">
        <v>556</v>
      </c>
      <c r="E405" s="48">
        <v>36</v>
      </c>
      <c r="F405" s="77" t="s">
        <v>62</v>
      </c>
      <c r="G405" s="91">
        <v>45160000</v>
      </c>
      <c r="H405" s="101">
        <v>12</v>
      </c>
      <c r="I405" s="50">
        <v>9130000</v>
      </c>
      <c r="J405" s="51">
        <v>12</v>
      </c>
      <c r="K405" s="50">
        <v>15800000</v>
      </c>
      <c r="L405" s="33">
        <v>3</v>
      </c>
      <c r="M405" s="50">
        <v>0</v>
      </c>
      <c r="N405" s="51">
        <v>3</v>
      </c>
      <c r="O405" s="50">
        <v>210000</v>
      </c>
      <c r="P405" s="51">
        <v>3</v>
      </c>
      <c r="Q405" s="50">
        <v>8850000</v>
      </c>
      <c r="R405" s="101">
        <v>3</v>
      </c>
      <c r="S405" s="50">
        <v>0</v>
      </c>
      <c r="T405" s="102">
        <f t="shared" si="65"/>
        <v>12</v>
      </c>
      <c r="U405" s="60">
        <f t="shared" si="67"/>
        <v>100</v>
      </c>
      <c r="V405" s="34" t="s">
        <v>44</v>
      </c>
      <c r="W405" s="52">
        <f t="shared" si="64"/>
        <v>9060000</v>
      </c>
      <c r="X405" s="60">
        <f t="shared" si="68"/>
        <v>57.341772151898731</v>
      </c>
      <c r="Y405" s="34" t="s">
        <v>44</v>
      </c>
      <c r="Z405" s="102">
        <f t="shared" si="66"/>
        <v>24</v>
      </c>
      <c r="AA405" s="52">
        <f t="shared" si="69"/>
        <v>18190000</v>
      </c>
      <c r="AB405" s="41">
        <f t="shared" si="70"/>
        <v>66.666666666666657</v>
      </c>
      <c r="AC405" s="34" t="s">
        <v>44</v>
      </c>
      <c r="AD405" s="90">
        <f t="shared" si="71"/>
        <v>40.279007971656334</v>
      </c>
      <c r="AE405" s="17"/>
      <c r="AF405" s="2"/>
      <c r="AG405" s="2"/>
      <c r="AH405" s="55"/>
      <c r="AI405" s="2"/>
      <c r="AJ405" s="2"/>
      <c r="AK405" s="2"/>
    </row>
    <row r="406" spans="1:37" ht="75">
      <c r="A406" s="43"/>
      <c r="B406" s="39"/>
      <c r="C406" s="46" t="s">
        <v>560</v>
      </c>
      <c r="D406" s="47" t="s">
        <v>556</v>
      </c>
      <c r="E406" s="48">
        <v>36</v>
      </c>
      <c r="F406" s="77" t="s">
        <v>62</v>
      </c>
      <c r="G406" s="91">
        <v>82214000</v>
      </c>
      <c r="H406" s="101">
        <v>12</v>
      </c>
      <c r="I406" s="50">
        <v>16940000</v>
      </c>
      <c r="J406" s="51">
        <v>12</v>
      </c>
      <c r="K406" s="50">
        <v>49827000</v>
      </c>
      <c r="L406" s="33">
        <v>3</v>
      </c>
      <c r="M406" s="50">
        <v>0</v>
      </c>
      <c r="N406" s="51">
        <v>3</v>
      </c>
      <c r="O406" s="50">
        <v>0</v>
      </c>
      <c r="P406" s="51">
        <v>3</v>
      </c>
      <c r="Q406" s="50">
        <v>0</v>
      </c>
      <c r="R406" s="112">
        <v>3</v>
      </c>
      <c r="S406" s="107">
        <v>1734000</v>
      </c>
      <c r="T406" s="102">
        <f t="shared" si="65"/>
        <v>12</v>
      </c>
      <c r="U406" s="60">
        <f t="shared" si="67"/>
        <v>100</v>
      </c>
      <c r="V406" s="34" t="s">
        <v>44</v>
      </c>
      <c r="W406" s="52">
        <f t="shared" si="64"/>
        <v>1734000</v>
      </c>
      <c r="X406" s="60">
        <f t="shared" si="68"/>
        <v>3.480040941658137</v>
      </c>
      <c r="Y406" s="34" t="s">
        <v>44</v>
      </c>
      <c r="Z406" s="102">
        <f t="shared" si="66"/>
        <v>24</v>
      </c>
      <c r="AA406" s="52">
        <f t="shared" si="69"/>
        <v>18674000</v>
      </c>
      <c r="AB406" s="41">
        <f t="shared" si="70"/>
        <v>66.666666666666657</v>
      </c>
      <c r="AC406" s="34" t="s">
        <v>44</v>
      </c>
      <c r="AD406" s="90">
        <f t="shared" si="71"/>
        <v>22.713893010922714</v>
      </c>
      <c r="AE406" s="17"/>
      <c r="AF406" s="2"/>
      <c r="AG406" s="2"/>
      <c r="AH406" s="55"/>
      <c r="AI406" s="2"/>
      <c r="AJ406" s="2"/>
      <c r="AK406" s="2"/>
    </row>
    <row r="407" spans="1:37" ht="75">
      <c r="A407" s="43"/>
      <c r="B407" s="39"/>
      <c r="C407" s="46" t="s">
        <v>561</v>
      </c>
      <c r="D407" s="47" t="s">
        <v>556</v>
      </c>
      <c r="E407" s="48">
        <v>36</v>
      </c>
      <c r="F407" s="77" t="s">
        <v>62</v>
      </c>
      <c r="G407" s="91">
        <v>480000</v>
      </c>
      <c r="H407" s="101"/>
      <c r="I407" s="50"/>
      <c r="J407" s="51">
        <v>12</v>
      </c>
      <c r="K407" s="50">
        <v>160000</v>
      </c>
      <c r="L407" s="33">
        <v>3</v>
      </c>
      <c r="M407" s="103" t="s">
        <v>229</v>
      </c>
      <c r="N407" s="51">
        <v>3</v>
      </c>
      <c r="O407" s="50"/>
      <c r="P407" s="51">
        <v>3</v>
      </c>
      <c r="Q407" s="50">
        <v>160000</v>
      </c>
      <c r="R407" s="112">
        <v>3</v>
      </c>
      <c r="S407" s="107" t="s">
        <v>229</v>
      </c>
      <c r="T407" s="102">
        <f t="shared" si="65"/>
        <v>12</v>
      </c>
      <c r="U407" s="60">
        <f t="shared" si="67"/>
        <v>100</v>
      </c>
      <c r="V407" s="34" t="s">
        <v>44</v>
      </c>
      <c r="W407" s="52">
        <f t="shared" si="64"/>
        <v>160000</v>
      </c>
      <c r="X407" s="60">
        <f t="shared" si="68"/>
        <v>100</v>
      </c>
      <c r="Y407" s="34" t="s">
        <v>44</v>
      </c>
      <c r="Z407" s="102">
        <f t="shared" si="66"/>
        <v>12</v>
      </c>
      <c r="AA407" s="52">
        <f t="shared" si="69"/>
        <v>160000</v>
      </c>
      <c r="AB407" s="41">
        <f t="shared" si="70"/>
        <v>33.333333333333329</v>
      </c>
      <c r="AC407" s="34" t="s">
        <v>44</v>
      </c>
      <c r="AD407" s="90">
        <f t="shared" si="71"/>
        <v>33.333333333333329</v>
      </c>
      <c r="AE407" s="17"/>
      <c r="AF407" s="2"/>
      <c r="AG407" s="2"/>
      <c r="AH407" s="55"/>
      <c r="AI407" s="2"/>
      <c r="AJ407" s="2"/>
      <c r="AK407" s="2"/>
    </row>
    <row r="408" spans="1:37" ht="90">
      <c r="A408" s="43"/>
      <c r="B408" s="39"/>
      <c r="C408" s="46" t="s">
        <v>562</v>
      </c>
      <c r="D408" s="47" t="s">
        <v>563</v>
      </c>
      <c r="E408" s="48">
        <v>66</v>
      </c>
      <c r="F408" s="77" t="s">
        <v>227</v>
      </c>
      <c r="G408" s="91">
        <v>17280000</v>
      </c>
      <c r="H408" s="101">
        <v>22</v>
      </c>
      <c r="I408" s="50">
        <v>5760000</v>
      </c>
      <c r="J408" s="51">
        <v>22</v>
      </c>
      <c r="K408" s="50">
        <v>5760000</v>
      </c>
      <c r="L408" s="33">
        <v>21</v>
      </c>
      <c r="M408" s="103" t="s">
        <v>229</v>
      </c>
      <c r="N408" s="51">
        <v>0</v>
      </c>
      <c r="O408" s="50">
        <v>0</v>
      </c>
      <c r="P408" s="51">
        <v>0</v>
      </c>
      <c r="Q408" s="50">
        <v>0</v>
      </c>
      <c r="R408" s="101">
        <v>1</v>
      </c>
      <c r="S408" s="50">
        <v>5760000</v>
      </c>
      <c r="T408" s="102">
        <f t="shared" si="65"/>
        <v>22</v>
      </c>
      <c r="U408" s="60">
        <f t="shared" si="67"/>
        <v>100</v>
      </c>
      <c r="V408" s="34" t="s">
        <v>44</v>
      </c>
      <c r="W408" s="52">
        <f t="shared" si="64"/>
        <v>5760000</v>
      </c>
      <c r="X408" s="60">
        <f t="shared" si="68"/>
        <v>100</v>
      </c>
      <c r="Y408" s="34" t="s">
        <v>44</v>
      </c>
      <c r="Z408" s="102">
        <f t="shared" si="66"/>
        <v>44</v>
      </c>
      <c r="AA408" s="52">
        <f t="shared" si="69"/>
        <v>11520000</v>
      </c>
      <c r="AB408" s="41">
        <f t="shared" si="70"/>
        <v>66.666666666666657</v>
      </c>
      <c r="AC408" s="34" t="s">
        <v>44</v>
      </c>
      <c r="AD408" s="90">
        <f t="shared" si="71"/>
        <v>66.666666666666657</v>
      </c>
      <c r="AE408" s="17"/>
      <c r="AF408" s="2"/>
      <c r="AG408" s="2"/>
      <c r="AH408" s="55"/>
      <c r="AI408" s="2"/>
      <c r="AJ408" s="2"/>
      <c r="AK408" s="2"/>
    </row>
    <row r="409" spans="1:37" ht="90">
      <c r="A409" s="43"/>
      <c r="B409" s="39"/>
      <c r="C409" s="46" t="s">
        <v>564</v>
      </c>
      <c r="D409" s="47" t="s">
        <v>563</v>
      </c>
      <c r="E409" s="48">
        <v>36</v>
      </c>
      <c r="F409" s="77" t="s">
        <v>227</v>
      </c>
      <c r="G409" s="91">
        <v>6940000</v>
      </c>
      <c r="H409" s="101">
        <v>12</v>
      </c>
      <c r="I409" s="50">
        <v>2070000</v>
      </c>
      <c r="J409" s="51">
        <v>12</v>
      </c>
      <c r="K409" s="50">
        <v>2350000</v>
      </c>
      <c r="L409" s="33">
        <v>3</v>
      </c>
      <c r="M409" s="103" t="s">
        <v>229</v>
      </c>
      <c r="N409" s="51">
        <v>0</v>
      </c>
      <c r="O409" s="50">
        <v>840000</v>
      </c>
      <c r="P409" s="51">
        <v>0</v>
      </c>
      <c r="Q409" s="50">
        <v>630000</v>
      </c>
      <c r="R409" s="101">
        <v>3</v>
      </c>
      <c r="S409" s="50">
        <v>770000</v>
      </c>
      <c r="T409" s="102">
        <f t="shared" si="65"/>
        <v>6</v>
      </c>
      <c r="U409" s="60">
        <f t="shared" si="67"/>
        <v>50</v>
      </c>
      <c r="V409" s="34" t="s">
        <v>44</v>
      </c>
      <c r="W409" s="52">
        <f t="shared" si="64"/>
        <v>2240000</v>
      </c>
      <c r="X409" s="60">
        <f t="shared" si="68"/>
        <v>95.319148936170222</v>
      </c>
      <c r="Y409" s="34" t="s">
        <v>44</v>
      </c>
      <c r="Z409" s="102">
        <f t="shared" si="66"/>
        <v>18</v>
      </c>
      <c r="AA409" s="52">
        <f t="shared" si="69"/>
        <v>4310000</v>
      </c>
      <c r="AB409" s="41">
        <f t="shared" si="70"/>
        <v>50</v>
      </c>
      <c r="AC409" s="34" t="s">
        <v>44</v>
      </c>
      <c r="AD409" s="90">
        <f t="shared" si="71"/>
        <v>62.103746397694529</v>
      </c>
      <c r="AE409" s="17"/>
      <c r="AF409" s="2"/>
      <c r="AG409" s="2"/>
      <c r="AH409" s="55"/>
      <c r="AI409" s="2"/>
      <c r="AJ409" s="2"/>
      <c r="AK409" s="2"/>
    </row>
    <row r="410" spans="1:37" ht="90">
      <c r="A410" s="43"/>
      <c r="B410" s="39"/>
      <c r="C410" s="46" t="s">
        <v>565</v>
      </c>
      <c r="D410" s="47" t="s">
        <v>563</v>
      </c>
      <c r="E410" s="48">
        <v>54</v>
      </c>
      <c r="F410" s="77" t="s">
        <v>227</v>
      </c>
      <c r="G410" s="91">
        <v>22140000</v>
      </c>
      <c r="H410" s="101">
        <v>18</v>
      </c>
      <c r="I410" s="50">
        <v>3600000</v>
      </c>
      <c r="J410" s="51">
        <v>18</v>
      </c>
      <c r="K410" s="50">
        <v>9270000</v>
      </c>
      <c r="L410" s="33">
        <v>11</v>
      </c>
      <c r="M410" s="103" t="s">
        <v>229</v>
      </c>
      <c r="N410" s="51">
        <v>3</v>
      </c>
      <c r="O410" s="50">
        <v>5670000</v>
      </c>
      <c r="P410" s="51">
        <v>3</v>
      </c>
      <c r="Q410" s="50">
        <v>0</v>
      </c>
      <c r="R410" s="101">
        <v>2</v>
      </c>
      <c r="S410" s="50">
        <v>3600000</v>
      </c>
      <c r="T410" s="102">
        <f t="shared" si="65"/>
        <v>19</v>
      </c>
      <c r="U410" s="60">
        <f t="shared" si="67"/>
        <v>105.55555555555556</v>
      </c>
      <c r="V410" s="34" t="s">
        <v>44</v>
      </c>
      <c r="W410" s="52">
        <f t="shared" si="64"/>
        <v>9270000</v>
      </c>
      <c r="X410" s="60">
        <f t="shared" si="68"/>
        <v>100</v>
      </c>
      <c r="Y410" s="34" t="s">
        <v>44</v>
      </c>
      <c r="Z410" s="102">
        <f t="shared" si="66"/>
        <v>37</v>
      </c>
      <c r="AA410" s="52">
        <f t="shared" si="69"/>
        <v>12870000</v>
      </c>
      <c r="AB410" s="41">
        <f t="shared" si="70"/>
        <v>68.518518518518519</v>
      </c>
      <c r="AC410" s="34" t="s">
        <v>44</v>
      </c>
      <c r="AD410" s="90">
        <f t="shared" si="71"/>
        <v>58.130081300813011</v>
      </c>
      <c r="AE410" s="17"/>
      <c r="AF410" s="2"/>
      <c r="AG410" s="2"/>
      <c r="AH410" s="55"/>
      <c r="AI410" s="2"/>
      <c r="AJ410" s="2"/>
      <c r="AK410" s="2"/>
    </row>
    <row r="411" spans="1:37" ht="90">
      <c r="A411" s="43"/>
      <c r="B411" s="39"/>
      <c r="C411" s="46" t="s">
        <v>566</v>
      </c>
      <c r="D411" s="47" t="s">
        <v>563</v>
      </c>
      <c r="E411" s="48">
        <v>90</v>
      </c>
      <c r="F411" s="77" t="s">
        <v>227</v>
      </c>
      <c r="G411" s="91">
        <v>20940000</v>
      </c>
      <c r="H411" s="101">
        <v>42</v>
      </c>
      <c r="I411" s="50">
        <v>2520000</v>
      </c>
      <c r="J411" s="51">
        <v>30</v>
      </c>
      <c r="K411" s="50">
        <v>8940000</v>
      </c>
      <c r="L411" s="33">
        <v>29</v>
      </c>
      <c r="M411" s="103" t="s">
        <v>229</v>
      </c>
      <c r="N411" s="51">
        <v>7</v>
      </c>
      <c r="O411" s="50">
        <v>1965000</v>
      </c>
      <c r="P411" s="51">
        <v>7</v>
      </c>
      <c r="Q411" s="50">
        <v>1815000</v>
      </c>
      <c r="R411" s="101">
        <v>0</v>
      </c>
      <c r="S411" s="50">
        <v>5010000</v>
      </c>
      <c r="T411" s="102">
        <f t="shared" si="65"/>
        <v>43</v>
      </c>
      <c r="U411" s="60">
        <f t="shared" si="67"/>
        <v>143.33333333333334</v>
      </c>
      <c r="V411" s="34" t="s">
        <v>44</v>
      </c>
      <c r="W411" s="52">
        <f t="shared" si="64"/>
        <v>8790000</v>
      </c>
      <c r="X411" s="60">
        <f t="shared" si="68"/>
        <v>98.322147651006702</v>
      </c>
      <c r="Y411" s="34" t="s">
        <v>44</v>
      </c>
      <c r="Z411" s="102">
        <f t="shared" si="66"/>
        <v>85</v>
      </c>
      <c r="AA411" s="52">
        <f t="shared" si="69"/>
        <v>11310000</v>
      </c>
      <c r="AB411" s="41">
        <f t="shared" si="70"/>
        <v>94.444444444444443</v>
      </c>
      <c r="AC411" s="34" t="s">
        <v>44</v>
      </c>
      <c r="AD411" s="90">
        <f t="shared" si="71"/>
        <v>54.01146131805158</v>
      </c>
      <c r="AE411" s="17"/>
      <c r="AF411" s="2"/>
      <c r="AG411" s="2"/>
      <c r="AH411" s="55"/>
      <c r="AI411" s="2"/>
      <c r="AJ411" s="2"/>
      <c r="AK411" s="2"/>
    </row>
    <row r="412" spans="1:37" ht="90">
      <c r="A412" s="43"/>
      <c r="B412" s="39"/>
      <c r="C412" s="46" t="s">
        <v>567</v>
      </c>
      <c r="D412" s="47" t="s">
        <v>563</v>
      </c>
      <c r="E412" s="48">
        <v>57</v>
      </c>
      <c r="F412" s="77" t="s">
        <v>227</v>
      </c>
      <c r="G412" s="91">
        <v>17040000</v>
      </c>
      <c r="H412" s="101">
        <v>19</v>
      </c>
      <c r="I412" s="50">
        <v>2520000</v>
      </c>
      <c r="J412" s="51">
        <v>19</v>
      </c>
      <c r="K412" s="50">
        <v>5440000</v>
      </c>
      <c r="L412" s="33">
        <v>19</v>
      </c>
      <c r="M412" s="103" t="s">
        <v>229</v>
      </c>
      <c r="N412" s="51">
        <v>0</v>
      </c>
      <c r="O412" s="50">
        <v>0</v>
      </c>
      <c r="P412" s="51">
        <v>0</v>
      </c>
      <c r="Q412" s="50">
        <v>2240000</v>
      </c>
      <c r="R412" s="101">
        <v>0</v>
      </c>
      <c r="S412" s="50">
        <v>0</v>
      </c>
      <c r="T412" s="102">
        <f t="shared" si="65"/>
        <v>19</v>
      </c>
      <c r="U412" s="60">
        <f t="shared" si="67"/>
        <v>100</v>
      </c>
      <c r="V412" s="34" t="s">
        <v>44</v>
      </c>
      <c r="W412" s="52">
        <f t="shared" si="64"/>
        <v>2240000</v>
      </c>
      <c r="X412" s="60">
        <f t="shared" si="68"/>
        <v>41.17647058823529</v>
      </c>
      <c r="Y412" s="34" t="s">
        <v>44</v>
      </c>
      <c r="Z412" s="102">
        <f t="shared" si="66"/>
        <v>38</v>
      </c>
      <c r="AA412" s="52">
        <f t="shared" si="69"/>
        <v>4760000</v>
      </c>
      <c r="AB412" s="41">
        <f t="shared" si="70"/>
        <v>66.666666666666657</v>
      </c>
      <c r="AC412" s="34" t="s">
        <v>44</v>
      </c>
      <c r="AD412" s="90">
        <f t="shared" si="71"/>
        <v>27.93427230046948</v>
      </c>
      <c r="AE412" s="17"/>
      <c r="AF412" s="2"/>
      <c r="AG412" s="2"/>
      <c r="AH412" s="55"/>
      <c r="AI412" s="2"/>
      <c r="AJ412" s="2"/>
      <c r="AK412" s="2"/>
    </row>
    <row r="413" spans="1:37" ht="90">
      <c r="A413" s="43"/>
      <c r="B413" s="39"/>
      <c r="C413" s="46" t="s">
        <v>568</v>
      </c>
      <c r="D413" s="47" t="s">
        <v>563</v>
      </c>
      <c r="E413" s="48">
        <v>24</v>
      </c>
      <c r="F413" s="77" t="s">
        <v>227</v>
      </c>
      <c r="G413" s="91">
        <v>46260000</v>
      </c>
      <c r="H413" s="101">
        <v>1</v>
      </c>
      <c r="I413" s="50">
        <v>1470000</v>
      </c>
      <c r="J413" s="51">
        <v>8</v>
      </c>
      <c r="K413" s="50">
        <v>18160000</v>
      </c>
      <c r="L413" s="33">
        <v>2</v>
      </c>
      <c r="M413" s="103" t="s">
        <v>229</v>
      </c>
      <c r="N413" s="51">
        <v>1</v>
      </c>
      <c r="O413" s="50">
        <v>1140000</v>
      </c>
      <c r="P413" s="51">
        <v>1</v>
      </c>
      <c r="Q413" s="50">
        <v>1740000</v>
      </c>
      <c r="R413" s="101">
        <v>1</v>
      </c>
      <c r="S413" s="78">
        <v>2640000</v>
      </c>
      <c r="T413" s="102">
        <f t="shared" si="65"/>
        <v>5</v>
      </c>
      <c r="U413" s="60">
        <f t="shared" si="67"/>
        <v>62.5</v>
      </c>
      <c r="V413" s="34" t="s">
        <v>44</v>
      </c>
      <c r="W413" s="52">
        <f t="shared" si="64"/>
        <v>5520000</v>
      </c>
      <c r="X413" s="60">
        <f t="shared" si="68"/>
        <v>30.396475770925107</v>
      </c>
      <c r="Y413" s="34" t="s">
        <v>44</v>
      </c>
      <c r="Z413" s="102">
        <f t="shared" si="66"/>
        <v>6</v>
      </c>
      <c r="AA413" s="52">
        <f t="shared" si="69"/>
        <v>6990000</v>
      </c>
      <c r="AB413" s="41">
        <f t="shared" si="70"/>
        <v>25</v>
      </c>
      <c r="AC413" s="34" t="s">
        <v>44</v>
      </c>
      <c r="AD413" s="90">
        <f t="shared" si="71"/>
        <v>15.110246433203631</v>
      </c>
      <c r="AE413" s="17"/>
      <c r="AF413" s="2"/>
      <c r="AG413" s="2"/>
      <c r="AH413" s="55"/>
      <c r="AI413" s="2"/>
      <c r="AJ413" s="2"/>
      <c r="AK413" s="2"/>
    </row>
    <row r="414" spans="1:37" ht="90">
      <c r="A414" s="43"/>
      <c r="B414" s="39"/>
      <c r="C414" s="46" t="s">
        <v>569</v>
      </c>
      <c r="D414" s="47" t="s">
        <v>563</v>
      </c>
      <c r="E414" s="48">
        <v>4</v>
      </c>
      <c r="F414" s="77" t="s">
        <v>227</v>
      </c>
      <c r="G414" s="91">
        <v>5320000</v>
      </c>
      <c r="H414" s="101">
        <v>2</v>
      </c>
      <c r="I414" s="50">
        <v>2200000</v>
      </c>
      <c r="J414" s="51">
        <v>2</v>
      </c>
      <c r="K414" s="50">
        <v>1260000</v>
      </c>
      <c r="L414" s="33">
        <v>1</v>
      </c>
      <c r="M414" s="103" t="s">
        <v>229</v>
      </c>
      <c r="N414" s="51">
        <v>1</v>
      </c>
      <c r="O414" s="50">
        <v>560000</v>
      </c>
      <c r="P414" s="51">
        <v>0</v>
      </c>
      <c r="Q414" s="50">
        <v>0</v>
      </c>
      <c r="R414" s="101">
        <v>0</v>
      </c>
      <c r="S414" s="50">
        <v>0</v>
      </c>
      <c r="T414" s="102">
        <f t="shared" si="65"/>
        <v>2</v>
      </c>
      <c r="U414" s="60">
        <f t="shared" si="67"/>
        <v>100</v>
      </c>
      <c r="V414" s="34" t="s">
        <v>44</v>
      </c>
      <c r="W414" s="52">
        <f t="shared" si="64"/>
        <v>560000</v>
      </c>
      <c r="X414" s="60">
        <f t="shared" si="68"/>
        <v>44.444444444444443</v>
      </c>
      <c r="Y414" s="34" t="s">
        <v>44</v>
      </c>
      <c r="Z414" s="102">
        <f t="shared" si="66"/>
        <v>4</v>
      </c>
      <c r="AA414" s="52">
        <f t="shared" si="69"/>
        <v>2760000</v>
      </c>
      <c r="AB414" s="41">
        <f t="shared" si="70"/>
        <v>100</v>
      </c>
      <c r="AC414" s="34" t="s">
        <v>44</v>
      </c>
      <c r="AD414" s="90">
        <f t="shared" si="71"/>
        <v>51.879699248120303</v>
      </c>
      <c r="AE414" s="17"/>
      <c r="AF414" s="2"/>
      <c r="AG414" s="2"/>
      <c r="AH414" s="55"/>
      <c r="AI414" s="2"/>
      <c r="AJ414" s="2"/>
      <c r="AK414" s="2"/>
    </row>
    <row r="415" spans="1:37" ht="90">
      <c r="A415" s="43"/>
      <c r="B415" s="39"/>
      <c r="C415" s="46" t="s">
        <v>570</v>
      </c>
      <c r="D415" s="47" t="s">
        <v>563</v>
      </c>
      <c r="E415" s="48">
        <v>39</v>
      </c>
      <c r="F415" s="77" t="s">
        <v>227</v>
      </c>
      <c r="G415" s="91">
        <v>8090000</v>
      </c>
      <c r="H415" s="101">
        <v>13</v>
      </c>
      <c r="I415" s="50">
        <v>1050000</v>
      </c>
      <c r="J415" s="51">
        <v>13</v>
      </c>
      <c r="K415" s="50">
        <v>3520000</v>
      </c>
      <c r="L415" s="33">
        <v>3</v>
      </c>
      <c r="M415" s="103" t="s">
        <v>229</v>
      </c>
      <c r="N415" s="51">
        <v>3</v>
      </c>
      <c r="O415" s="50">
        <v>0</v>
      </c>
      <c r="P415" s="51">
        <v>4</v>
      </c>
      <c r="Q415" s="50">
        <v>3520000</v>
      </c>
      <c r="R415" s="112">
        <v>3</v>
      </c>
      <c r="S415" s="130" t="s">
        <v>229</v>
      </c>
      <c r="T415" s="102">
        <f t="shared" si="65"/>
        <v>13</v>
      </c>
      <c r="U415" s="60">
        <f t="shared" si="67"/>
        <v>100</v>
      </c>
      <c r="V415" s="34" t="s">
        <v>44</v>
      </c>
      <c r="W415" s="52">
        <f t="shared" si="64"/>
        <v>3520000</v>
      </c>
      <c r="X415" s="60">
        <f t="shared" si="68"/>
        <v>100</v>
      </c>
      <c r="Y415" s="34" t="s">
        <v>44</v>
      </c>
      <c r="Z415" s="102">
        <f t="shared" si="66"/>
        <v>26</v>
      </c>
      <c r="AA415" s="52">
        <f t="shared" si="69"/>
        <v>4570000</v>
      </c>
      <c r="AB415" s="41">
        <f t="shared" si="70"/>
        <v>66.666666666666657</v>
      </c>
      <c r="AC415" s="34" t="s">
        <v>44</v>
      </c>
      <c r="AD415" s="90">
        <f t="shared" si="71"/>
        <v>56.489493201483313</v>
      </c>
      <c r="AE415" s="17"/>
      <c r="AF415" s="2"/>
      <c r="AG415" s="2"/>
      <c r="AH415" s="55"/>
      <c r="AI415" s="2"/>
      <c r="AJ415" s="2"/>
      <c r="AK415" s="2"/>
    </row>
    <row r="416" spans="1:37" ht="90">
      <c r="A416" s="43"/>
      <c r="B416" s="39"/>
      <c r="C416" s="46" t="s">
        <v>571</v>
      </c>
      <c r="D416" s="47" t="s">
        <v>563</v>
      </c>
      <c r="E416" s="48">
        <v>9</v>
      </c>
      <c r="F416" s="77" t="s">
        <v>227</v>
      </c>
      <c r="G416" s="91">
        <v>1200000</v>
      </c>
      <c r="H416" s="101">
        <v>5</v>
      </c>
      <c r="I416" s="50">
        <v>880000</v>
      </c>
      <c r="J416" s="51">
        <v>9</v>
      </c>
      <c r="K416" s="50">
        <v>320000</v>
      </c>
      <c r="L416" s="33">
        <v>0</v>
      </c>
      <c r="M416" s="103" t="s">
        <v>229</v>
      </c>
      <c r="N416" s="51">
        <v>9</v>
      </c>
      <c r="O416" s="50">
        <v>320000</v>
      </c>
      <c r="P416" s="51">
        <v>0</v>
      </c>
      <c r="Q416" s="50"/>
      <c r="R416" s="112">
        <v>0</v>
      </c>
      <c r="S416" s="107" t="s">
        <v>229</v>
      </c>
      <c r="T416" s="102">
        <f t="shared" si="65"/>
        <v>9</v>
      </c>
      <c r="U416" s="60">
        <f t="shared" si="67"/>
        <v>100</v>
      </c>
      <c r="V416" s="34" t="s">
        <v>44</v>
      </c>
      <c r="W416" s="52">
        <f t="shared" si="64"/>
        <v>320000</v>
      </c>
      <c r="X416" s="60">
        <f t="shared" si="68"/>
        <v>100</v>
      </c>
      <c r="Y416" s="34" t="s">
        <v>44</v>
      </c>
      <c r="Z416" s="102">
        <f t="shared" si="66"/>
        <v>14</v>
      </c>
      <c r="AA416" s="52">
        <f t="shared" si="69"/>
        <v>1200000</v>
      </c>
      <c r="AB416" s="41">
        <f t="shared" si="70"/>
        <v>155.55555555555557</v>
      </c>
      <c r="AC416" s="34" t="s">
        <v>44</v>
      </c>
      <c r="AD416" s="90">
        <f t="shared" si="71"/>
        <v>100</v>
      </c>
      <c r="AE416" s="17"/>
      <c r="AF416" s="2"/>
      <c r="AG416" s="2"/>
      <c r="AH416" s="55"/>
      <c r="AI416" s="2"/>
      <c r="AJ416" s="2"/>
      <c r="AK416" s="2"/>
    </row>
    <row r="417" spans="1:37" ht="105">
      <c r="A417" s="43"/>
      <c r="B417" s="39"/>
      <c r="C417" s="46" t="s">
        <v>572</v>
      </c>
      <c r="D417" s="47" t="s">
        <v>573</v>
      </c>
      <c r="E417" s="33">
        <f>21*3</f>
        <v>63</v>
      </c>
      <c r="F417" s="49" t="s">
        <v>62</v>
      </c>
      <c r="G417" s="91">
        <v>466387250</v>
      </c>
      <c r="H417" s="51">
        <v>21</v>
      </c>
      <c r="I417" s="50">
        <v>191636350</v>
      </c>
      <c r="J417" s="34">
        <v>21</v>
      </c>
      <c r="K417" s="50">
        <v>166847500</v>
      </c>
      <c r="L417" s="33">
        <v>21</v>
      </c>
      <c r="M417" s="50">
        <v>0</v>
      </c>
      <c r="N417" s="51">
        <v>21</v>
      </c>
      <c r="O417" s="50">
        <v>15510000</v>
      </c>
      <c r="P417" s="51">
        <v>21</v>
      </c>
      <c r="Q417" s="50">
        <f>61207500-O417</f>
        <v>45697500</v>
      </c>
      <c r="R417" s="51">
        <v>21</v>
      </c>
      <c r="S417" s="50">
        <f>164327500-O417-Q417</f>
        <v>103120000</v>
      </c>
      <c r="T417" s="33">
        <f>AVERAGE(L417,N417,P417,R417)</f>
        <v>21</v>
      </c>
      <c r="U417" s="34">
        <f t="shared" si="67"/>
        <v>100</v>
      </c>
      <c r="V417" s="34" t="s">
        <v>44</v>
      </c>
      <c r="W417" s="52">
        <f t="shared" si="64"/>
        <v>164327500</v>
      </c>
      <c r="X417" s="60">
        <f t="shared" si="68"/>
        <v>98.489638741964967</v>
      </c>
      <c r="Y417" s="34" t="s">
        <v>44</v>
      </c>
      <c r="Z417" s="34">
        <f t="shared" si="66"/>
        <v>42</v>
      </c>
      <c r="AA417" s="52">
        <f t="shared" si="69"/>
        <v>355963850</v>
      </c>
      <c r="AB417" s="41">
        <f t="shared" si="70"/>
        <v>66.666666666666657</v>
      </c>
      <c r="AC417" s="34" t="s">
        <v>44</v>
      </c>
      <c r="AD417" s="90">
        <f t="shared" si="71"/>
        <v>76.323666652551069</v>
      </c>
      <c r="AE417" s="17"/>
      <c r="AF417" s="2"/>
      <c r="AG417" s="2"/>
      <c r="AH417" s="55"/>
      <c r="AI417" s="2"/>
      <c r="AJ417" s="2"/>
      <c r="AK417" s="2"/>
    </row>
    <row r="418" spans="1:37" ht="105">
      <c r="A418" s="43"/>
      <c r="B418" s="39"/>
      <c r="C418" s="46" t="s">
        <v>574</v>
      </c>
      <c r="D418" s="47" t="s">
        <v>573</v>
      </c>
      <c r="E418" s="33">
        <v>36</v>
      </c>
      <c r="F418" s="49" t="s">
        <v>62</v>
      </c>
      <c r="G418" s="91">
        <v>268006700</v>
      </c>
      <c r="H418" s="101">
        <v>12</v>
      </c>
      <c r="I418" s="50">
        <v>105107000</v>
      </c>
      <c r="J418" s="34">
        <v>12</v>
      </c>
      <c r="K418" s="50">
        <v>145975400</v>
      </c>
      <c r="L418" s="33">
        <v>3</v>
      </c>
      <c r="M418" s="103" t="s">
        <v>229</v>
      </c>
      <c r="N418" s="51">
        <v>3</v>
      </c>
      <c r="O418" s="50">
        <v>28810000</v>
      </c>
      <c r="P418" s="51">
        <v>3</v>
      </c>
      <c r="Q418" s="50">
        <v>33655000</v>
      </c>
      <c r="R418" s="101">
        <v>3</v>
      </c>
      <c r="S418" s="50">
        <v>69735000</v>
      </c>
      <c r="T418" s="102">
        <f t="shared" ref="T418:T440" si="72">SUM(L418,N418,P418,R418)</f>
        <v>12</v>
      </c>
      <c r="U418" s="60">
        <f t="shared" si="67"/>
        <v>100</v>
      </c>
      <c r="V418" s="34" t="s">
        <v>44</v>
      </c>
      <c r="W418" s="52">
        <f t="shared" si="64"/>
        <v>132200000</v>
      </c>
      <c r="X418" s="60">
        <f t="shared" si="68"/>
        <v>90.563204485139281</v>
      </c>
      <c r="Y418" s="34" t="s">
        <v>44</v>
      </c>
      <c r="Z418" s="102">
        <f t="shared" si="66"/>
        <v>24</v>
      </c>
      <c r="AA418" s="52">
        <f t="shared" si="69"/>
        <v>237307000</v>
      </c>
      <c r="AB418" s="41">
        <f t="shared" si="70"/>
        <v>66.666666666666657</v>
      </c>
      <c r="AC418" s="34" t="s">
        <v>44</v>
      </c>
      <c r="AD418" s="90">
        <f t="shared" si="71"/>
        <v>88.545174430340737</v>
      </c>
      <c r="AE418" s="17"/>
      <c r="AF418" s="2"/>
      <c r="AG418" s="2"/>
      <c r="AH418" s="55"/>
      <c r="AI418" s="2"/>
      <c r="AJ418" s="2"/>
      <c r="AK418" s="2"/>
    </row>
    <row r="419" spans="1:37" ht="105">
      <c r="A419" s="43"/>
      <c r="B419" s="39"/>
      <c r="C419" s="46" t="s">
        <v>575</v>
      </c>
      <c r="D419" s="47" t="s">
        <v>573</v>
      </c>
      <c r="E419" s="33">
        <v>36</v>
      </c>
      <c r="F419" s="49" t="s">
        <v>62</v>
      </c>
      <c r="G419" s="91">
        <v>220581500</v>
      </c>
      <c r="H419" s="101">
        <v>12</v>
      </c>
      <c r="I419" s="50">
        <v>58660500</v>
      </c>
      <c r="J419" s="34">
        <v>12</v>
      </c>
      <c r="K419" s="50">
        <v>77560000</v>
      </c>
      <c r="L419" s="33">
        <v>3</v>
      </c>
      <c r="M419" s="103" t="s">
        <v>229</v>
      </c>
      <c r="N419" s="51">
        <v>3</v>
      </c>
      <c r="O419" s="50">
        <v>14400000</v>
      </c>
      <c r="P419" s="51">
        <v>3</v>
      </c>
      <c r="Q419" s="50">
        <v>17745000</v>
      </c>
      <c r="R419" s="101">
        <v>3</v>
      </c>
      <c r="S419" s="50">
        <v>39165000</v>
      </c>
      <c r="T419" s="102">
        <f t="shared" si="72"/>
        <v>12</v>
      </c>
      <c r="U419" s="60">
        <f t="shared" si="67"/>
        <v>100</v>
      </c>
      <c r="V419" s="34" t="s">
        <v>44</v>
      </c>
      <c r="W419" s="52">
        <f t="shared" ref="W419:W464" si="73">SUM(M419,O419,Q419,S419)</f>
        <v>71310000</v>
      </c>
      <c r="X419" s="60">
        <f t="shared" si="68"/>
        <v>91.941722537390405</v>
      </c>
      <c r="Y419" s="34" t="s">
        <v>44</v>
      </c>
      <c r="Z419" s="102">
        <f t="shared" si="66"/>
        <v>24</v>
      </c>
      <c r="AA419" s="52">
        <f t="shared" si="69"/>
        <v>129970500</v>
      </c>
      <c r="AB419" s="41">
        <f t="shared" si="70"/>
        <v>66.666666666666657</v>
      </c>
      <c r="AC419" s="34" t="s">
        <v>44</v>
      </c>
      <c r="AD419" s="90">
        <f t="shared" si="71"/>
        <v>58.921759077710512</v>
      </c>
      <c r="AE419" s="17"/>
      <c r="AF419" s="2"/>
      <c r="AG419" s="2"/>
      <c r="AH419" s="55"/>
      <c r="AI419" s="2"/>
      <c r="AJ419" s="2"/>
      <c r="AK419" s="2"/>
    </row>
    <row r="420" spans="1:37" ht="105">
      <c r="A420" s="43"/>
      <c r="B420" s="39"/>
      <c r="C420" s="46" t="s">
        <v>576</v>
      </c>
      <c r="D420" s="47" t="s">
        <v>573</v>
      </c>
      <c r="E420" s="33">
        <v>36</v>
      </c>
      <c r="F420" s="49" t="s">
        <v>62</v>
      </c>
      <c r="G420" s="91">
        <v>328279900</v>
      </c>
      <c r="H420" s="101">
        <v>12</v>
      </c>
      <c r="I420" s="50">
        <v>93386100</v>
      </c>
      <c r="J420" s="34">
        <v>12</v>
      </c>
      <c r="K420" s="50">
        <v>117446900</v>
      </c>
      <c r="L420" s="33">
        <v>3</v>
      </c>
      <c r="M420" s="103" t="s">
        <v>229</v>
      </c>
      <c r="N420" s="51">
        <v>3</v>
      </c>
      <c r="O420" s="50">
        <v>6160000</v>
      </c>
      <c r="P420" s="51">
        <v>3</v>
      </c>
      <c r="Q420" s="50">
        <v>10000000</v>
      </c>
      <c r="R420" s="101">
        <v>1</v>
      </c>
      <c r="S420" s="50">
        <v>63797900</v>
      </c>
      <c r="T420" s="102">
        <f t="shared" si="72"/>
        <v>10</v>
      </c>
      <c r="U420" s="60">
        <f t="shared" si="67"/>
        <v>83.333333333333343</v>
      </c>
      <c r="V420" s="34" t="s">
        <v>44</v>
      </c>
      <c r="W420" s="52">
        <f t="shared" si="73"/>
        <v>79957900</v>
      </c>
      <c r="X420" s="60">
        <f t="shared" si="68"/>
        <v>68.080042981125942</v>
      </c>
      <c r="Y420" s="34" t="s">
        <v>44</v>
      </c>
      <c r="Z420" s="102">
        <f t="shared" si="66"/>
        <v>22</v>
      </c>
      <c r="AA420" s="52">
        <f t="shared" si="69"/>
        <v>173344000</v>
      </c>
      <c r="AB420" s="41">
        <f t="shared" si="70"/>
        <v>61.111111111111114</v>
      </c>
      <c r="AC420" s="34" t="s">
        <v>44</v>
      </c>
      <c r="AD420" s="90">
        <f t="shared" si="71"/>
        <v>52.803720239953769</v>
      </c>
      <c r="AE420" s="17"/>
      <c r="AF420" s="2"/>
      <c r="AG420" s="2"/>
      <c r="AH420" s="55"/>
      <c r="AI420" s="2"/>
      <c r="AJ420" s="2"/>
      <c r="AK420" s="2"/>
    </row>
    <row r="421" spans="1:37" ht="105">
      <c r="A421" s="43"/>
      <c r="B421" s="39"/>
      <c r="C421" s="46" t="s">
        <v>577</v>
      </c>
      <c r="D421" s="47" t="s">
        <v>573</v>
      </c>
      <c r="E421" s="33">
        <v>36</v>
      </c>
      <c r="F421" s="49" t="s">
        <v>62</v>
      </c>
      <c r="G421" s="91">
        <v>430695000</v>
      </c>
      <c r="H421" s="101">
        <v>12</v>
      </c>
      <c r="I421" s="50">
        <v>82520000</v>
      </c>
      <c r="J421" s="34">
        <v>12</v>
      </c>
      <c r="K421" s="50">
        <v>163587500</v>
      </c>
      <c r="L421" s="33">
        <v>3</v>
      </c>
      <c r="M421" s="103" t="s">
        <v>229</v>
      </c>
      <c r="N421" s="51">
        <v>3</v>
      </c>
      <c r="O421" s="50">
        <v>19915000</v>
      </c>
      <c r="P421" s="51">
        <v>3</v>
      </c>
      <c r="Q421" s="50">
        <v>66286500</v>
      </c>
      <c r="R421" s="101">
        <v>3</v>
      </c>
      <c r="S421" s="50">
        <v>23080000</v>
      </c>
      <c r="T421" s="102">
        <f t="shared" si="72"/>
        <v>12</v>
      </c>
      <c r="U421" s="60">
        <f t="shared" si="67"/>
        <v>100</v>
      </c>
      <c r="V421" s="34" t="s">
        <v>44</v>
      </c>
      <c r="W421" s="52">
        <f t="shared" si="73"/>
        <v>109281500</v>
      </c>
      <c r="X421" s="60">
        <f t="shared" si="68"/>
        <v>66.803087032933448</v>
      </c>
      <c r="Y421" s="34" t="s">
        <v>44</v>
      </c>
      <c r="Z421" s="102">
        <f t="shared" si="66"/>
        <v>24</v>
      </c>
      <c r="AA421" s="52">
        <f t="shared" si="69"/>
        <v>191801500</v>
      </c>
      <c r="AB421" s="41">
        <f t="shared" si="70"/>
        <v>66.666666666666657</v>
      </c>
      <c r="AC421" s="34" t="s">
        <v>44</v>
      </c>
      <c r="AD421" s="90">
        <f t="shared" si="71"/>
        <v>44.53302220829125</v>
      </c>
      <c r="AE421" s="17"/>
      <c r="AF421" s="2"/>
      <c r="AG421" s="2"/>
      <c r="AH421" s="55"/>
      <c r="AI421" s="2"/>
      <c r="AJ421" s="2"/>
      <c r="AK421" s="2"/>
    </row>
    <row r="422" spans="1:37" ht="105">
      <c r="A422" s="43"/>
      <c r="B422" s="39"/>
      <c r="C422" s="46" t="s">
        <v>578</v>
      </c>
      <c r="D422" s="47" t="s">
        <v>573</v>
      </c>
      <c r="E422" s="33">
        <v>36</v>
      </c>
      <c r="F422" s="49" t="s">
        <v>62</v>
      </c>
      <c r="G422" s="91">
        <v>411125000</v>
      </c>
      <c r="H422" s="101">
        <v>12</v>
      </c>
      <c r="I422" s="50">
        <v>88315000</v>
      </c>
      <c r="J422" s="34">
        <v>12</v>
      </c>
      <c r="K422" s="50">
        <v>161405000</v>
      </c>
      <c r="L422" s="33">
        <v>3</v>
      </c>
      <c r="M422" s="103" t="s">
        <v>229</v>
      </c>
      <c r="N422" s="51">
        <v>3</v>
      </c>
      <c r="O422" s="50">
        <v>51609000</v>
      </c>
      <c r="P422" s="51">
        <v>3</v>
      </c>
      <c r="Q422" s="50">
        <v>47675000</v>
      </c>
      <c r="R422" s="101">
        <v>3</v>
      </c>
      <c r="S422" s="50">
        <v>59997500</v>
      </c>
      <c r="T422" s="102">
        <f t="shared" si="72"/>
        <v>12</v>
      </c>
      <c r="U422" s="60">
        <f t="shared" si="67"/>
        <v>100</v>
      </c>
      <c r="V422" s="34" t="s">
        <v>44</v>
      </c>
      <c r="W422" s="52">
        <f t="shared" si="73"/>
        <v>159281500</v>
      </c>
      <c r="X422" s="60">
        <f t="shared" si="68"/>
        <v>98.684365416189095</v>
      </c>
      <c r="Y422" s="34" t="s">
        <v>44</v>
      </c>
      <c r="Z422" s="102">
        <f t="shared" si="66"/>
        <v>24</v>
      </c>
      <c r="AA422" s="52">
        <f t="shared" si="69"/>
        <v>247596500</v>
      </c>
      <c r="AB422" s="41">
        <f t="shared" si="70"/>
        <v>66.666666666666657</v>
      </c>
      <c r="AC422" s="34" t="s">
        <v>44</v>
      </c>
      <c r="AD422" s="90">
        <f t="shared" si="71"/>
        <v>60.224141076314986</v>
      </c>
      <c r="AE422" s="17"/>
      <c r="AF422" s="2"/>
      <c r="AG422" s="2"/>
      <c r="AH422" s="55"/>
      <c r="AI422" s="2"/>
      <c r="AJ422" s="2"/>
      <c r="AK422" s="2"/>
    </row>
    <row r="423" spans="1:37" ht="105">
      <c r="A423" s="43"/>
      <c r="B423" s="39"/>
      <c r="C423" s="46" t="s">
        <v>579</v>
      </c>
      <c r="D423" s="47" t="s">
        <v>573</v>
      </c>
      <c r="E423" s="33">
        <v>36</v>
      </c>
      <c r="F423" s="49" t="s">
        <v>62</v>
      </c>
      <c r="G423" s="91">
        <v>361383100</v>
      </c>
      <c r="H423" s="101">
        <v>12</v>
      </c>
      <c r="I423" s="50">
        <v>47613100</v>
      </c>
      <c r="J423" s="34">
        <v>12</v>
      </c>
      <c r="K423" s="50">
        <v>135895000</v>
      </c>
      <c r="L423" s="33">
        <v>3</v>
      </c>
      <c r="M423" s="103" t="s">
        <v>229</v>
      </c>
      <c r="N423" s="51">
        <v>3</v>
      </c>
      <c r="O423" s="50">
        <v>16415000</v>
      </c>
      <c r="P423" s="51">
        <v>3</v>
      </c>
      <c r="Q423" s="50">
        <v>41820000</v>
      </c>
      <c r="R423" s="101">
        <v>1</v>
      </c>
      <c r="S423" s="50">
        <v>46475000</v>
      </c>
      <c r="T423" s="102">
        <f t="shared" si="72"/>
        <v>10</v>
      </c>
      <c r="U423" s="60">
        <f t="shared" si="67"/>
        <v>83.333333333333343</v>
      </c>
      <c r="V423" s="34" t="s">
        <v>44</v>
      </c>
      <c r="W423" s="52">
        <f t="shared" si="73"/>
        <v>104710000</v>
      </c>
      <c r="X423" s="60">
        <f t="shared" si="68"/>
        <v>77.05213584017072</v>
      </c>
      <c r="Y423" s="34" t="s">
        <v>44</v>
      </c>
      <c r="Z423" s="102">
        <f t="shared" si="66"/>
        <v>22</v>
      </c>
      <c r="AA423" s="52">
        <f t="shared" si="69"/>
        <v>152323100</v>
      </c>
      <c r="AB423" s="41">
        <f t="shared" si="70"/>
        <v>61.111111111111114</v>
      </c>
      <c r="AC423" s="34" t="s">
        <v>44</v>
      </c>
      <c r="AD423" s="90">
        <f t="shared" si="71"/>
        <v>42.150034132752751</v>
      </c>
      <c r="AE423" s="17"/>
      <c r="AF423" s="2"/>
      <c r="AG423" s="2"/>
      <c r="AH423" s="55"/>
      <c r="AI423" s="2"/>
      <c r="AJ423" s="2"/>
      <c r="AK423" s="2"/>
    </row>
    <row r="424" spans="1:37" ht="105">
      <c r="A424" s="43"/>
      <c r="B424" s="39"/>
      <c r="C424" s="46" t="s">
        <v>580</v>
      </c>
      <c r="D424" s="47" t="s">
        <v>573</v>
      </c>
      <c r="E424" s="33">
        <v>36</v>
      </c>
      <c r="F424" s="49" t="s">
        <v>62</v>
      </c>
      <c r="G424" s="91">
        <v>270449050</v>
      </c>
      <c r="H424" s="101">
        <v>12</v>
      </c>
      <c r="I424" s="50">
        <v>84071150</v>
      </c>
      <c r="J424" s="34">
        <v>12</v>
      </c>
      <c r="K424" s="50">
        <v>96720000</v>
      </c>
      <c r="L424" s="33">
        <v>3</v>
      </c>
      <c r="M424" s="103" t="s">
        <v>229</v>
      </c>
      <c r="N424" s="51">
        <v>3</v>
      </c>
      <c r="O424" s="50">
        <v>22690000</v>
      </c>
      <c r="P424" s="51">
        <v>3</v>
      </c>
      <c r="Q424" s="50">
        <v>30597500</v>
      </c>
      <c r="R424" s="101">
        <v>3</v>
      </c>
      <c r="S424" s="50">
        <v>33902500</v>
      </c>
      <c r="T424" s="102">
        <f t="shared" si="72"/>
        <v>12</v>
      </c>
      <c r="U424" s="60">
        <f t="shared" si="67"/>
        <v>100</v>
      </c>
      <c r="V424" s="34" t="s">
        <v>44</v>
      </c>
      <c r="W424" s="52">
        <f t="shared" si="73"/>
        <v>87190000</v>
      </c>
      <c r="X424" s="60">
        <f t="shared" si="68"/>
        <v>90.146815550041353</v>
      </c>
      <c r="Y424" s="34" t="s">
        <v>44</v>
      </c>
      <c r="Z424" s="102">
        <f t="shared" si="66"/>
        <v>24</v>
      </c>
      <c r="AA424" s="52">
        <f t="shared" si="69"/>
        <v>171261150</v>
      </c>
      <c r="AB424" s="41">
        <f t="shared" si="70"/>
        <v>66.666666666666657</v>
      </c>
      <c r="AC424" s="34" t="s">
        <v>44</v>
      </c>
      <c r="AD424" s="90">
        <f t="shared" si="71"/>
        <v>63.324737136255429</v>
      </c>
      <c r="AE424" s="17"/>
      <c r="AF424" s="2"/>
      <c r="AG424" s="2"/>
      <c r="AH424" s="55"/>
      <c r="AI424" s="2"/>
      <c r="AJ424" s="2"/>
      <c r="AK424" s="2"/>
    </row>
    <row r="425" spans="1:37" ht="105">
      <c r="A425" s="43"/>
      <c r="B425" s="39"/>
      <c r="C425" s="46" t="s">
        <v>581</v>
      </c>
      <c r="D425" s="47" t="s">
        <v>573</v>
      </c>
      <c r="E425" s="33">
        <v>36</v>
      </c>
      <c r="F425" s="49" t="s">
        <v>62</v>
      </c>
      <c r="G425" s="91">
        <v>440545100</v>
      </c>
      <c r="H425" s="101">
        <v>12</v>
      </c>
      <c r="I425" s="50">
        <v>102359600</v>
      </c>
      <c r="J425" s="34">
        <v>12</v>
      </c>
      <c r="K425" s="50">
        <v>143017500</v>
      </c>
      <c r="L425" s="33">
        <v>3</v>
      </c>
      <c r="M425" s="103" t="s">
        <v>229</v>
      </c>
      <c r="N425" s="51">
        <v>3</v>
      </c>
      <c r="O425" s="50">
        <v>19222500</v>
      </c>
      <c r="P425" s="51">
        <v>3</v>
      </c>
      <c r="Q425" s="50">
        <v>29475000</v>
      </c>
      <c r="R425" s="101">
        <v>3</v>
      </c>
      <c r="S425" s="50">
        <v>53850000</v>
      </c>
      <c r="T425" s="102">
        <f t="shared" si="72"/>
        <v>12</v>
      </c>
      <c r="U425" s="60">
        <f t="shared" si="67"/>
        <v>100</v>
      </c>
      <c r="V425" s="34" t="s">
        <v>44</v>
      </c>
      <c r="W425" s="52">
        <f t="shared" si="73"/>
        <v>102547500</v>
      </c>
      <c r="X425" s="60">
        <f t="shared" si="68"/>
        <v>71.702763647805341</v>
      </c>
      <c r="Y425" s="34" t="s">
        <v>44</v>
      </c>
      <c r="Z425" s="102">
        <f t="shared" si="66"/>
        <v>24</v>
      </c>
      <c r="AA425" s="52">
        <f t="shared" si="69"/>
        <v>204907100</v>
      </c>
      <c r="AB425" s="41">
        <f t="shared" si="70"/>
        <v>66.666666666666657</v>
      </c>
      <c r="AC425" s="34" t="s">
        <v>44</v>
      </c>
      <c r="AD425" s="90">
        <f t="shared" si="71"/>
        <v>46.512173214501765</v>
      </c>
      <c r="AE425" s="17"/>
      <c r="AF425" s="2"/>
      <c r="AG425" s="2"/>
      <c r="AH425" s="55"/>
      <c r="AI425" s="2"/>
      <c r="AJ425" s="2"/>
      <c r="AK425" s="2"/>
    </row>
    <row r="426" spans="1:37" ht="105">
      <c r="A426" s="43"/>
      <c r="B426" s="39"/>
      <c r="C426" s="46" t="s">
        <v>582</v>
      </c>
      <c r="D426" s="47" t="s">
        <v>573</v>
      </c>
      <c r="E426" s="33">
        <v>36</v>
      </c>
      <c r="F426" s="49" t="s">
        <v>62</v>
      </c>
      <c r="G426" s="91">
        <v>350265800</v>
      </c>
      <c r="H426" s="101">
        <v>12</v>
      </c>
      <c r="I426" s="50">
        <v>46000000</v>
      </c>
      <c r="J426" s="34">
        <v>12</v>
      </c>
      <c r="K426" s="50">
        <v>139427900</v>
      </c>
      <c r="L426" s="33">
        <v>3</v>
      </c>
      <c r="M426" s="103" t="s">
        <v>229</v>
      </c>
      <c r="N426" s="51">
        <v>3</v>
      </c>
      <c r="O426" s="50">
        <v>5360000</v>
      </c>
      <c r="P426" s="51">
        <v>3</v>
      </c>
      <c r="Q426" s="50">
        <v>65354100</v>
      </c>
      <c r="R426" s="101">
        <v>3</v>
      </c>
      <c r="S426" s="50">
        <v>37910000</v>
      </c>
      <c r="T426" s="102">
        <f t="shared" si="72"/>
        <v>12</v>
      </c>
      <c r="U426" s="60">
        <f t="shared" si="67"/>
        <v>100</v>
      </c>
      <c r="V426" s="34" t="s">
        <v>44</v>
      </c>
      <c r="W426" s="52">
        <f t="shared" si="73"/>
        <v>108624100</v>
      </c>
      <c r="X426" s="60">
        <f t="shared" si="68"/>
        <v>77.907004265286943</v>
      </c>
      <c r="Y426" s="34" t="s">
        <v>44</v>
      </c>
      <c r="Z426" s="102">
        <f t="shared" si="66"/>
        <v>24</v>
      </c>
      <c r="AA426" s="52">
        <f t="shared" si="69"/>
        <v>154624100</v>
      </c>
      <c r="AB426" s="41">
        <f t="shared" si="70"/>
        <v>66.666666666666657</v>
      </c>
      <c r="AC426" s="34" t="s">
        <v>44</v>
      </c>
      <c r="AD426" s="90">
        <f t="shared" si="71"/>
        <v>44.144789471310077</v>
      </c>
      <c r="AE426" s="17"/>
      <c r="AF426" s="2"/>
      <c r="AG426" s="2"/>
      <c r="AH426" s="55"/>
      <c r="AI426" s="2"/>
      <c r="AJ426" s="2"/>
      <c r="AK426" s="2"/>
    </row>
    <row r="427" spans="1:37" ht="105">
      <c r="A427" s="43"/>
      <c r="B427" s="39"/>
      <c r="C427" s="46" t="s">
        <v>583</v>
      </c>
      <c r="D427" s="47" t="s">
        <v>573</v>
      </c>
      <c r="E427" s="33">
        <v>36</v>
      </c>
      <c r="F427" s="49" t="s">
        <v>62</v>
      </c>
      <c r="G427" s="91">
        <v>463698000</v>
      </c>
      <c r="H427" s="101">
        <v>12</v>
      </c>
      <c r="I427" s="50">
        <v>97009000</v>
      </c>
      <c r="J427" s="34">
        <v>12</v>
      </c>
      <c r="K427" s="50">
        <v>183344500</v>
      </c>
      <c r="L427" s="33">
        <v>3</v>
      </c>
      <c r="M427" s="103" t="s">
        <v>229</v>
      </c>
      <c r="N427" s="51">
        <v>3</v>
      </c>
      <c r="O427" s="50">
        <v>33019500</v>
      </c>
      <c r="P427" s="51">
        <v>3</v>
      </c>
      <c r="Q427" s="50">
        <v>61845000</v>
      </c>
      <c r="R427" s="101">
        <v>3</v>
      </c>
      <c r="S427" s="50">
        <v>64420000</v>
      </c>
      <c r="T427" s="102">
        <f t="shared" si="72"/>
        <v>12</v>
      </c>
      <c r="U427" s="60">
        <f t="shared" si="67"/>
        <v>100</v>
      </c>
      <c r="V427" s="34" t="s">
        <v>44</v>
      </c>
      <c r="W427" s="52">
        <f t="shared" si="73"/>
        <v>159284500</v>
      </c>
      <c r="X427" s="60">
        <f t="shared" si="68"/>
        <v>86.877162936439319</v>
      </c>
      <c r="Y427" s="34" t="s">
        <v>44</v>
      </c>
      <c r="Z427" s="102">
        <f t="shared" si="66"/>
        <v>24</v>
      </c>
      <c r="AA427" s="52">
        <f t="shared" si="69"/>
        <v>256293500</v>
      </c>
      <c r="AB427" s="41">
        <f t="shared" si="70"/>
        <v>66.666666666666657</v>
      </c>
      <c r="AC427" s="34" t="s">
        <v>44</v>
      </c>
      <c r="AD427" s="90">
        <f t="shared" si="71"/>
        <v>55.271642318923099</v>
      </c>
      <c r="AE427" s="17"/>
      <c r="AF427" s="2"/>
      <c r="AG427" s="2"/>
      <c r="AH427" s="55"/>
      <c r="AI427" s="2"/>
      <c r="AJ427" s="2"/>
      <c r="AK427" s="2"/>
    </row>
    <row r="428" spans="1:37" ht="105">
      <c r="A428" s="43"/>
      <c r="B428" s="39"/>
      <c r="C428" s="46" t="s">
        <v>584</v>
      </c>
      <c r="D428" s="47" t="s">
        <v>573</v>
      </c>
      <c r="E428" s="33">
        <v>36</v>
      </c>
      <c r="F428" s="49" t="s">
        <v>62</v>
      </c>
      <c r="G428" s="91">
        <v>475058000</v>
      </c>
      <c r="H428" s="101">
        <v>12</v>
      </c>
      <c r="I428" s="50">
        <v>67130000</v>
      </c>
      <c r="J428" s="34">
        <v>12</v>
      </c>
      <c r="K428" s="50">
        <v>198972500</v>
      </c>
      <c r="L428" s="33">
        <v>3</v>
      </c>
      <c r="M428" s="103" t="s">
        <v>229</v>
      </c>
      <c r="N428" s="51">
        <v>3</v>
      </c>
      <c r="O428" s="50">
        <v>23307500</v>
      </c>
      <c r="P428" s="51">
        <v>3</v>
      </c>
      <c r="Q428" s="50">
        <v>59252500</v>
      </c>
      <c r="R428" s="101">
        <v>3</v>
      </c>
      <c r="S428" s="50">
        <v>76120000</v>
      </c>
      <c r="T428" s="102">
        <f t="shared" si="72"/>
        <v>12</v>
      </c>
      <c r="U428" s="60">
        <f t="shared" si="67"/>
        <v>100</v>
      </c>
      <c r="V428" s="34" t="s">
        <v>44</v>
      </c>
      <c r="W428" s="52">
        <f t="shared" si="73"/>
        <v>158680000</v>
      </c>
      <c r="X428" s="60">
        <f t="shared" si="68"/>
        <v>79.749714156478916</v>
      </c>
      <c r="Y428" s="34" t="s">
        <v>44</v>
      </c>
      <c r="Z428" s="102">
        <f t="shared" si="66"/>
        <v>24</v>
      </c>
      <c r="AA428" s="52">
        <f t="shared" si="69"/>
        <v>225810000</v>
      </c>
      <c r="AB428" s="41">
        <f t="shared" si="70"/>
        <v>66.666666666666657</v>
      </c>
      <c r="AC428" s="34" t="s">
        <v>44</v>
      </c>
      <c r="AD428" s="90">
        <f t="shared" si="71"/>
        <v>47.533143321447064</v>
      </c>
      <c r="AE428" s="17"/>
      <c r="AF428" s="2"/>
      <c r="AG428" s="2"/>
      <c r="AH428" s="55"/>
      <c r="AI428" s="2"/>
      <c r="AJ428" s="2"/>
      <c r="AK428" s="2"/>
    </row>
    <row r="429" spans="1:37" ht="105">
      <c r="A429" s="43"/>
      <c r="B429" s="39"/>
      <c r="C429" s="46" t="s">
        <v>585</v>
      </c>
      <c r="D429" s="47" t="s">
        <v>573</v>
      </c>
      <c r="E429" s="33">
        <v>36</v>
      </c>
      <c r="F429" s="49" t="s">
        <v>62</v>
      </c>
      <c r="G429" s="91">
        <v>261114400</v>
      </c>
      <c r="H429" s="101">
        <v>12</v>
      </c>
      <c r="I429" s="50">
        <v>25440000</v>
      </c>
      <c r="J429" s="34">
        <v>12</v>
      </c>
      <c r="K429" s="50">
        <v>116837200</v>
      </c>
      <c r="L429" s="33">
        <v>3</v>
      </c>
      <c r="M429" s="103" t="s">
        <v>229</v>
      </c>
      <c r="N429" s="51">
        <v>3</v>
      </c>
      <c r="O429" s="50">
        <v>13457500</v>
      </c>
      <c r="P429" s="51">
        <v>3</v>
      </c>
      <c r="Q429" s="50">
        <v>31942000</v>
      </c>
      <c r="R429" s="101">
        <v>3</v>
      </c>
      <c r="S429" s="78">
        <v>103885000</v>
      </c>
      <c r="T429" s="102">
        <f t="shared" si="72"/>
        <v>12</v>
      </c>
      <c r="U429" s="60">
        <f t="shared" si="67"/>
        <v>100</v>
      </c>
      <c r="V429" s="34" t="s">
        <v>44</v>
      </c>
      <c r="W429" s="52">
        <f t="shared" si="73"/>
        <v>149284500</v>
      </c>
      <c r="X429" s="60">
        <f t="shared" si="68"/>
        <v>127.7713776091861</v>
      </c>
      <c r="Y429" s="34" t="s">
        <v>44</v>
      </c>
      <c r="Z429" s="102">
        <f t="shared" si="66"/>
        <v>24</v>
      </c>
      <c r="AA429" s="52">
        <f t="shared" si="69"/>
        <v>174724500</v>
      </c>
      <c r="AB429" s="41">
        <f t="shared" si="70"/>
        <v>66.666666666666657</v>
      </c>
      <c r="AC429" s="34" t="s">
        <v>44</v>
      </c>
      <c r="AD429" s="90">
        <f t="shared" si="71"/>
        <v>66.914923114159919</v>
      </c>
      <c r="AE429" s="17"/>
      <c r="AF429" s="2"/>
      <c r="AG429" s="2"/>
      <c r="AH429" s="55"/>
      <c r="AI429" s="2"/>
      <c r="AJ429" s="2"/>
      <c r="AK429" s="2"/>
    </row>
    <row r="430" spans="1:37" ht="105">
      <c r="A430" s="43"/>
      <c r="B430" s="39"/>
      <c r="C430" s="46" t="s">
        <v>586</v>
      </c>
      <c r="D430" s="47" t="s">
        <v>573</v>
      </c>
      <c r="E430" s="33">
        <v>36</v>
      </c>
      <c r="F430" s="49" t="s">
        <v>62</v>
      </c>
      <c r="G430" s="91">
        <v>176986100</v>
      </c>
      <c r="H430" s="101">
        <v>12</v>
      </c>
      <c r="I430" s="50">
        <v>28075000</v>
      </c>
      <c r="J430" s="34">
        <v>12</v>
      </c>
      <c r="K430" s="50">
        <v>66795000</v>
      </c>
      <c r="L430" s="33">
        <v>3</v>
      </c>
      <c r="M430" s="103" t="s">
        <v>229</v>
      </c>
      <c r="N430" s="51">
        <v>3</v>
      </c>
      <c r="O430" s="50">
        <v>5880000</v>
      </c>
      <c r="P430" s="51">
        <v>3</v>
      </c>
      <c r="Q430" s="50">
        <v>23735500</v>
      </c>
      <c r="R430" s="112">
        <v>3</v>
      </c>
      <c r="S430" s="107">
        <v>17765000</v>
      </c>
      <c r="T430" s="102">
        <f t="shared" si="72"/>
        <v>12</v>
      </c>
      <c r="U430" s="60">
        <f t="shared" si="67"/>
        <v>100</v>
      </c>
      <c r="V430" s="34" t="s">
        <v>44</v>
      </c>
      <c r="W430" s="52">
        <f t="shared" si="73"/>
        <v>47380500</v>
      </c>
      <c r="X430" s="60">
        <f t="shared" si="68"/>
        <v>70.934201661801026</v>
      </c>
      <c r="Y430" s="34" t="s">
        <v>44</v>
      </c>
      <c r="Z430" s="102">
        <f t="shared" si="66"/>
        <v>24</v>
      </c>
      <c r="AA430" s="52">
        <f t="shared" si="69"/>
        <v>75455500</v>
      </c>
      <c r="AB430" s="41">
        <f t="shared" si="70"/>
        <v>66.666666666666657</v>
      </c>
      <c r="AC430" s="34" t="s">
        <v>44</v>
      </c>
      <c r="AD430" s="90">
        <f t="shared" si="71"/>
        <v>42.633574049035488</v>
      </c>
      <c r="AE430" s="17"/>
      <c r="AF430" s="2"/>
      <c r="AG430" s="2"/>
      <c r="AH430" s="55"/>
      <c r="AI430" s="2"/>
      <c r="AJ430" s="2"/>
      <c r="AK430" s="2"/>
    </row>
    <row r="431" spans="1:37" ht="105">
      <c r="A431" s="43"/>
      <c r="B431" s="39"/>
      <c r="C431" s="46" t="s">
        <v>587</v>
      </c>
      <c r="D431" s="47" t="s">
        <v>573</v>
      </c>
      <c r="E431" s="33">
        <v>36</v>
      </c>
      <c r="F431" s="49" t="s">
        <v>62</v>
      </c>
      <c r="G431" s="91">
        <v>472821200</v>
      </c>
      <c r="H431" s="101">
        <v>12</v>
      </c>
      <c r="I431" s="50">
        <v>51432000</v>
      </c>
      <c r="J431" s="34">
        <v>12</v>
      </c>
      <c r="K431" s="50">
        <v>191082600</v>
      </c>
      <c r="L431" s="33">
        <v>3</v>
      </c>
      <c r="M431" s="103" t="s">
        <v>229</v>
      </c>
      <c r="N431" s="51">
        <v>3</v>
      </c>
      <c r="O431" s="50">
        <v>35585500</v>
      </c>
      <c r="P431" s="51">
        <v>3</v>
      </c>
      <c r="Q431" s="50">
        <v>55950000</v>
      </c>
      <c r="R431" s="112">
        <v>3</v>
      </c>
      <c r="S431" s="107">
        <v>48298000</v>
      </c>
      <c r="T431" s="102">
        <f t="shared" si="72"/>
        <v>12</v>
      </c>
      <c r="U431" s="60">
        <f t="shared" si="67"/>
        <v>100</v>
      </c>
      <c r="V431" s="34" t="s">
        <v>44</v>
      </c>
      <c r="W431" s="52">
        <f t="shared" si="73"/>
        <v>139833500</v>
      </c>
      <c r="X431" s="60">
        <f t="shared" si="68"/>
        <v>73.17960923705246</v>
      </c>
      <c r="Y431" s="34" t="s">
        <v>44</v>
      </c>
      <c r="Z431" s="102">
        <f t="shared" si="66"/>
        <v>24</v>
      </c>
      <c r="AA431" s="52">
        <f t="shared" si="69"/>
        <v>191265500</v>
      </c>
      <c r="AB431" s="41">
        <f t="shared" si="70"/>
        <v>66.666666666666657</v>
      </c>
      <c r="AC431" s="34" t="s">
        <v>44</v>
      </c>
      <c r="AD431" s="90">
        <f t="shared" si="71"/>
        <v>40.451972119693444</v>
      </c>
      <c r="AE431" s="17"/>
      <c r="AF431" s="2"/>
      <c r="AG431" s="2"/>
      <c r="AH431" s="55"/>
      <c r="AI431" s="2"/>
      <c r="AJ431" s="2"/>
      <c r="AK431" s="2"/>
    </row>
    <row r="432" spans="1:37" ht="105">
      <c r="A432" s="43"/>
      <c r="B432" s="39"/>
      <c r="C432" s="46" t="s">
        <v>588</v>
      </c>
      <c r="D432" s="47" t="s">
        <v>573</v>
      </c>
      <c r="E432" s="33">
        <v>36</v>
      </c>
      <c r="F432" s="49" t="s">
        <v>62</v>
      </c>
      <c r="G432" s="91">
        <v>523536500</v>
      </c>
      <c r="H432" s="101">
        <v>12</v>
      </c>
      <c r="I432" s="50">
        <v>120102500</v>
      </c>
      <c r="J432" s="34">
        <v>12</v>
      </c>
      <c r="K432" s="50">
        <v>201717000</v>
      </c>
      <c r="L432" s="33">
        <v>3</v>
      </c>
      <c r="M432" s="103" t="s">
        <v>229</v>
      </c>
      <c r="N432" s="51">
        <v>3</v>
      </c>
      <c r="O432" s="50">
        <v>24035000</v>
      </c>
      <c r="P432" s="51">
        <v>3</v>
      </c>
      <c r="Q432" s="50">
        <v>83282500</v>
      </c>
      <c r="R432" s="112">
        <v>3</v>
      </c>
      <c r="S432" s="107">
        <v>86972500</v>
      </c>
      <c r="T432" s="102">
        <f t="shared" si="72"/>
        <v>12</v>
      </c>
      <c r="U432" s="60">
        <f t="shared" si="67"/>
        <v>100</v>
      </c>
      <c r="V432" s="34" t="s">
        <v>44</v>
      </c>
      <c r="W432" s="52">
        <f t="shared" si="73"/>
        <v>194290000</v>
      </c>
      <c r="X432" s="60">
        <f t="shared" si="68"/>
        <v>96.3181090339436</v>
      </c>
      <c r="Y432" s="34" t="s">
        <v>44</v>
      </c>
      <c r="Z432" s="102">
        <f t="shared" si="66"/>
        <v>24</v>
      </c>
      <c r="AA432" s="52">
        <f t="shared" si="69"/>
        <v>314392500</v>
      </c>
      <c r="AB432" s="41">
        <f t="shared" si="70"/>
        <v>66.666666666666657</v>
      </c>
      <c r="AC432" s="34" t="s">
        <v>44</v>
      </c>
      <c r="AD432" s="90">
        <f t="shared" si="71"/>
        <v>60.051686940643108</v>
      </c>
      <c r="AE432" s="17"/>
      <c r="AF432" s="2"/>
      <c r="AG432" s="2"/>
      <c r="AH432" s="55"/>
      <c r="AI432" s="2"/>
      <c r="AJ432" s="2"/>
      <c r="AK432" s="2"/>
    </row>
    <row r="433" spans="1:37" ht="105">
      <c r="A433" s="43"/>
      <c r="B433" s="39"/>
      <c r="C433" s="46" t="s">
        <v>589</v>
      </c>
      <c r="D433" s="47" t="s">
        <v>573</v>
      </c>
      <c r="E433" s="33">
        <v>36</v>
      </c>
      <c r="F433" s="49" t="s">
        <v>62</v>
      </c>
      <c r="G433" s="91">
        <v>310299200</v>
      </c>
      <c r="H433" s="101">
        <v>12</v>
      </c>
      <c r="I433" s="50">
        <v>93156400</v>
      </c>
      <c r="J433" s="34">
        <v>12</v>
      </c>
      <c r="K433" s="50">
        <v>103343900</v>
      </c>
      <c r="L433" s="115">
        <v>3</v>
      </c>
      <c r="M433" s="116">
        <v>0</v>
      </c>
      <c r="N433" s="117">
        <v>3</v>
      </c>
      <c r="O433" s="107">
        <v>11390000</v>
      </c>
      <c r="P433" s="117">
        <v>3</v>
      </c>
      <c r="Q433" s="107">
        <v>56845000</v>
      </c>
      <c r="R433" s="118">
        <v>3</v>
      </c>
      <c r="S433" s="107">
        <v>20757200</v>
      </c>
      <c r="T433" s="102">
        <f t="shared" si="72"/>
        <v>12</v>
      </c>
      <c r="U433" s="60">
        <f t="shared" si="67"/>
        <v>100</v>
      </c>
      <c r="V433" s="34" t="s">
        <v>44</v>
      </c>
      <c r="W433" s="52">
        <f t="shared" si="73"/>
        <v>88992200</v>
      </c>
      <c r="X433" s="60">
        <f t="shared" si="68"/>
        <v>86.112678155169291</v>
      </c>
      <c r="Y433" s="34" t="s">
        <v>44</v>
      </c>
      <c r="Z433" s="102">
        <f t="shared" si="66"/>
        <v>24</v>
      </c>
      <c r="AA433" s="52">
        <f t="shared" si="69"/>
        <v>182148600</v>
      </c>
      <c r="AB433" s="41">
        <f t="shared" si="70"/>
        <v>66.666666666666657</v>
      </c>
      <c r="AC433" s="34" t="s">
        <v>44</v>
      </c>
      <c r="AD433" s="90">
        <f t="shared" si="71"/>
        <v>58.700957011813117</v>
      </c>
      <c r="AE433" s="17"/>
      <c r="AF433" s="2"/>
      <c r="AG433" s="2"/>
      <c r="AH433" s="55"/>
      <c r="AI433" s="2"/>
      <c r="AJ433" s="2"/>
      <c r="AK433" s="2"/>
    </row>
    <row r="434" spans="1:37" ht="105">
      <c r="A434" s="43"/>
      <c r="B434" s="39"/>
      <c r="C434" s="46" t="s">
        <v>590</v>
      </c>
      <c r="D434" s="47" t="s">
        <v>573</v>
      </c>
      <c r="E434" s="33">
        <v>36</v>
      </c>
      <c r="F434" s="49" t="s">
        <v>62</v>
      </c>
      <c r="G434" s="91">
        <v>394625500</v>
      </c>
      <c r="H434" s="101">
        <v>12</v>
      </c>
      <c r="I434" s="50">
        <v>80705000</v>
      </c>
      <c r="J434" s="34">
        <v>12</v>
      </c>
      <c r="K434" s="50">
        <v>143755500</v>
      </c>
      <c r="L434" s="33">
        <v>3</v>
      </c>
      <c r="M434" s="50">
        <v>0</v>
      </c>
      <c r="N434" s="51">
        <v>3</v>
      </c>
      <c r="O434" s="50">
        <v>40515000</v>
      </c>
      <c r="P434" s="51">
        <v>3</v>
      </c>
      <c r="Q434" s="50">
        <v>44875000</v>
      </c>
      <c r="R434" s="112">
        <v>3</v>
      </c>
      <c r="S434" s="107">
        <v>36520000</v>
      </c>
      <c r="T434" s="102">
        <f t="shared" si="72"/>
        <v>12</v>
      </c>
      <c r="U434" s="60">
        <f t="shared" si="67"/>
        <v>100</v>
      </c>
      <c r="V434" s="34" t="s">
        <v>44</v>
      </c>
      <c r="W434" s="52">
        <f t="shared" si="73"/>
        <v>121910000</v>
      </c>
      <c r="X434" s="60">
        <f t="shared" si="68"/>
        <v>84.803711857981085</v>
      </c>
      <c r="Y434" s="34" t="s">
        <v>44</v>
      </c>
      <c r="Z434" s="102">
        <f t="shared" si="66"/>
        <v>24</v>
      </c>
      <c r="AA434" s="52">
        <f t="shared" si="69"/>
        <v>202615000</v>
      </c>
      <c r="AB434" s="41">
        <f t="shared" si="70"/>
        <v>66.666666666666657</v>
      </c>
      <c r="AC434" s="34" t="s">
        <v>44</v>
      </c>
      <c r="AD434" s="90">
        <f t="shared" si="71"/>
        <v>51.343615655855992</v>
      </c>
      <c r="AE434" s="17"/>
      <c r="AF434" s="2"/>
      <c r="AG434" s="2"/>
      <c r="AH434" s="55"/>
      <c r="AI434" s="2"/>
      <c r="AJ434" s="2"/>
      <c r="AK434" s="2"/>
    </row>
    <row r="435" spans="1:37" ht="105">
      <c r="A435" s="43"/>
      <c r="B435" s="39"/>
      <c r="C435" s="46" t="s">
        <v>591</v>
      </c>
      <c r="D435" s="47" t="s">
        <v>573</v>
      </c>
      <c r="E435" s="33">
        <v>36</v>
      </c>
      <c r="F435" s="49" t="s">
        <v>62</v>
      </c>
      <c r="G435" s="91">
        <v>588300000</v>
      </c>
      <c r="H435" s="101">
        <v>12</v>
      </c>
      <c r="I435" s="50">
        <v>79080000</v>
      </c>
      <c r="J435" s="34">
        <v>12</v>
      </c>
      <c r="K435" s="50">
        <v>202981500</v>
      </c>
      <c r="L435" s="33">
        <v>3</v>
      </c>
      <c r="M435" s="103" t="s">
        <v>229</v>
      </c>
      <c r="N435" s="51">
        <v>3</v>
      </c>
      <c r="O435" s="50">
        <v>39192500</v>
      </c>
      <c r="P435" s="51">
        <v>3</v>
      </c>
      <c r="Q435" s="50">
        <v>67880000</v>
      </c>
      <c r="R435" s="112">
        <v>3</v>
      </c>
      <c r="S435" s="107">
        <v>90222500</v>
      </c>
      <c r="T435" s="102">
        <f t="shared" si="72"/>
        <v>12</v>
      </c>
      <c r="U435" s="60">
        <f t="shared" si="67"/>
        <v>100</v>
      </c>
      <c r="V435" s="34" t="s">
        <v>44</v>
      </c>
      <c r="W435" s="52">
        <f t="shared" si="73"/>
        <v>197295000</v>
      </c>
      <c r="X435" s="60">
        <f t="shared" si="68"/>
        <v>97.198513164992875</v>
      </c>
      <c r="Y435" s="34" t="s">
        <v>44</v>
      </c>
      <c r="Z435" s="102">
        <f t="shared" si="66"/>
        <v>24</v>
      </c>
      <c r="AA435" s="52">
        <f t="shared" si="69"/>
        <v>276375000</v>
      </c>
      <c r="AB435" s="41">
        <f t="shared" si="70"/>
        <v>66.666666666666657</v>
      </c>
      <c r="AC435" s="34" t="s">
        <v>44</v>
      </c>
      <c r="AD435" s="90">
        <f t="shared" si="71"/>
        <v>46.978582355940844</v>
      </c>
      <c r="AE435" s="17"/>
      <c r="AF435" s="2"/>
      <c r="AG435" s="2"/>
      <c r="AH435" s="55"/>
      <c r="AI435" s="2"/>
      <c r="AJ435" s="2"/>
      <c r="AK435" s="2"/>
    </row>
    <row r="436" spans="1:37" ht="105">
      <c r="A436" s="43"/>
      <c r="B436" s="39"/>
      <c r="C436" s="46" t="s">
        <v>592</v>
      </c>
      <c r="D436" s="47" t="s">
        <v>573</v>
      </c>
      <c r="E436" s="33">
        <v>36</v>
      </c>
      <c r="F436" s="49" t="s">
        <v>62</v>
      </c>
      <c r="G436" s="91">
        <v>423632350</v>
      </c>
      <c r="H436" s="101">
        <v>12</v>
      </c>
      <c r="I436" s="50">
        <v>85070050</v>
      </c>
      <c r="J436" s="34">
        <v>12</v>
      </c>
      <c r="K436" s="50">
        <v>191386150</v>
      </c>
      <c r="L436" s="33">
        <v>3</v>
      </c>
      <c r="M436" s="103" t="s">
        <v>229</v>
      </c>
      <c r="N436" s="51">
        <v>3</v>
      </c>
      <c r="O436" s="50">
        <v>26900000</v>
      </c>
      <c r="P436" s="51">
        <v>3</v>
      </c>
      <c r="Q436" s="50">
        <v>45005500</v>
      </c>
      <c r="R436" s="101">
        <v>3</v>
      </c>
      <c r="S436" s="50">
        <v>64405950</v>
      </c>
      <c r="T436" s="102">
        <f t="shared" si="72"/>
        <v>12</v>
      </c>
      <c r="U436" s="60">
        <f t="shared" si="67"/>
        <v>100</v>
      </c>
      <c r="V436" s="34" t="s">
        <v>44</v>
      </c>
      <c r="W436" s="52">
        <f t="shared" si="73"/>
        <v>136311450</v>
      </c>
      <c r="X436" s="60">
        <f t="shared" si="68"/>
        <v>71.223257273318879</v>
      </c>
      <c r="Y436" s="34" t="s">
        <v>44</v>
      </c>
      <c r="Z436" s="102">
        <f t="shared" si="66"/>
        <v>24</v>
      </c>
      <c r="AA436" s="52">
        <f t="shared" si="69"/>
        <v>221381500</v>
      </c>
      <c r="AB436" s="41">
        <f t="shared" si="70"/>
        <v>66.666666666666657</v>
      </c>
      <c r="AC436" s="34" t="s">
        <v>44</v>
      </c>
      <c r="AD436" s="90">
        <f t="shared" si="71"/>
        <v>52.257930726961717</v>
      </c>
      <c r="AE436" s="17"/>
      <c r="AF436" s="2"/>
      <c r="AG436" s="2"/>
      <c r="AH436" s="55"/>
      <c r="AI436" s="2"/>
      <c r="AJ436" s="2"/>
      <c r="AK436" s="2"/>
    </row>
    <row r="437" spans="1:37" ht="105">
      <c r="A437" s="43"/>
      <c r="B437" s="39"/>
      <c r="C437" s="46" t="s">
        <v>593</v>
      </c>
      <c r="D437" s="47" t="s">
        <v>573</v>
      </c>
      <c r="E437" s="33">
        <v>36</v>
      </c>
      <c r="F437" s="49" t="s">
        <v>62</v>
      </c>
      <c r="G437" s="91">
        <v>4460000</v>
      </c>
      <c r="H437" s="101">
        <v>12</v>
      </c>
      <c r="I437" s="50">
        <v>1760000</v>
      </c>
      <c r="J437" s="34">
        <v>12</v>
      </c>
      <c r="K437" s="50">
        <v>221485100</v>
      </c>
      <c r="L437" s="33">
        <v>3</v>
      </c>
      <c r="M437" s="103" t="s">
        <v>229</v>
      </c>
      <c r="N437" s="51">
        <v>3</v>
      </c>
      <c r="O437" s="50">
        <v>70665600</v>
      </c>
      <c r="P437" s="51">
        <v>3</v>
      </c>
      <c r="Q437" s="50">
        <v>56104000</v>
      </c>
      <c r="R437" s="101">
        <v>3</v>
      </c>
      <c r="S437" s="50">
        <v>55500000</v>
      </c>
      <c r="T437" s="102">
        <f t="shared" si="72"/>
        <v>12</v>
      </c>
      <c r="U437" s="60">
        <f t="shared" si="67"/>
        <v>100</v>
      </c>
      <c r="V437" s="34" t="s">
        <v>44</v>
      </c>
      <c r="W437" s="52">
        <f t="shared" si="73"/>
        <v>182269600</v>
      </c>
      <c r="X437" s="60">
        <f t="shared" si="68"/>
        <v>82.294294288870901</v>
      </c>
      <c r="Y437" s="34" t="s">
        <v>44</v>
      </c>
      <c r="Z437" s="102">
        <f t="shared" si="66"/>
        <v>24</v>
      </c>
      <c r="AA437" s="52">
        <f t="shared" si="69"/>
        <v>184029600</v>
      </c>
      <c r="AB437" s="41">
        <f t="shared" si="70"/>
        <v>66.666666666666657</v>
      </c>
      <c r="AC437" s="34" t="s">
        <v>44</v>
      </c>
      <c r="AD437" s="90">
        <f t="shared" si="71"/>
        <v>4126.224215246637</v>
      </c>
      <c r="AE437" s="17"/>
      <c r="AF437" s="2"/>
      <c r="AG437" s="2"/>
      <c r="AH437" s="55"/>
      <c r="AI437" s="2"/>
      <c r="AJ437" s="2"/>
      <c r="AK437" s="2"/>
    </row>
    <row r="438" spans="1:37" ht="105">
      <c r="A438" s="43"/>
      <c r="B438" s="39"/>
      <c r="C438" s="46" t="s">
        <v>594</v>
      </c>
      <c r="D438" s="47" t="s">
        <v>573</v>
      </c>
      <c r="E438" s="33">
        <v>36</v>
      </c>
      <c r="F438" s="49" t="s">
        <v>62</v>
      </c>
      <c r="G438" s="91">
        <v>252495000</v>
      </c>
      <c r="H438" s="101">
        <v>12</v>
      </c>
      <c r="I438" s="50">
        <v>89275000</v>
      </c>
      <c r="J438" s="34">
        <v>12</v>
      </c>
      <c r="K438" s="50">
        <v>80010000</v>
      </c>
      <c r="L438" s="33">
        <v>3</v>
      </c>
      <c r="M438" s="103" t="s">
        <v>229</v>
      </c>
      <c r="N438" s="51">
        <v>3</v>
      </c>
      <c r="O438" s="50">
        <v>6030000</v>
      </c>
      <c r="P438" s="51">
        <v>3</v>
      </c>
      <c r="Q438" s="50">
        <v>29325000</v>
      </c>
      <c r="R438" s="112">
        <v>3</v>
      </c>
      <c r="S438" s="107">
        <v>40975150</v>
      </c>
      <c r="T438" s="102">
        <f t="shared" si="72"/>
        <v>12</v>
      </c>
      <c r="U438" s="60">
        <f t="shared" si="67"/>
        <v>100</v>
      </c>
      <c r="V438" s="34" t="s">
        <v>44</v>
      </c>
      <c r="W438" s="52">
        <f t="shared" si="73"/>
        <v>76330150</v>
      </c>
      <c r="X438" s="60">
        <f t="shared" si="68"/>
        <v>95.400762404699407</v>
      </c>
      <c r="Y438" s="34" t="s">
        <v>44</v>
      </c>
      <c r="Z438" s="102">
        <f t="shared" si="66"/>
        <v>24</v>
      </c>
      <c r="AA438" s="52">
        <f t="shared" si="69"/>
        <v>165605150</v>
      </c>
      <c r="AB438" s="41">
        <f t="shared" si="70"/>
        <v>66.666666666666657</v>
      </c>
      <c r="AC438" s="34" t="s">
        <v>44</v>
      </c>
      <c r="AD438" s="90">
        <f t="shared" si="71"/>
        <v>65.587496782114499</v>
      </c>
      <c r="AE438" s="17"/>
      <c r="AF438" s="2"/>
      <c r="AG438" s="2"/>
      <c r="AH438" s="55"/>
      <c r="AI438" s="2"/>
      <c r="AJ438" s="2"/>
      <c r="AK438" s="2"/>
    </row>
    <row r="439" spans="1:37" ht="90">
      <c r="A439" s="43"/>
      <c r="B439" s="39"/>
      <c r="C439" s="46" t="s">
        <v>595</v>
      </c>
      <c r="D439" s="47" t="s">
        <v>596</v>
      </c>
      <c r="E439" s="48">
        <v>36</v>
      </c>
      <c r="F439" s="49" t="s">
        <v>62</v>
      </c>
      <c r="G439" s="91">
        <v>97784448131</v>
      </c>
      <c r="H439" s="51">
        <v>12</v>
      </c>
      <c r="I439" s="50">
        <v>57085139100</v>
      </c>
      <c r="J439" s="51">
        <v>12</v>
      </c>
      <c r="K439" s="50">
        <v>55595628200</v>
      </c>
      <c r="L439" s="33">
        <v>3</v>
      </c>
      <c r="M439" s="50">
        <v>18034385200</v>
      </c>
      <c r="N439" s="51">
        <v>3</v>
      </c>
      <c r="O439" s="50">
        <f>36013568500-M439</f>
        <v>17979183300</v>
      </c>
      <c r="P439" s="51">
        <v>3</v>
      </c>
      <c r="Q439" s="50">
        <v>0</v>
      </c>
      <c r="R439" s="51">
        <v>3</v>
      </c>
      <c r="S439" s="50">
        <f>54854951500-M439</f>
        <v>36820566300</v>
      </c>
      <c r="T439" s="33">
        <f t="shared" si="72"/>
        <v>12</v>
      </c>
      <c r="U439" s="34">
        <f t="shared" si="67"/>
        <v>100</v>
      </c>
      <c r="V439" s="34" t="s">
        <v>44</v>
      </c>
      <c r="W439" s="52">
        <f t="shared" si="73"/>
        <v>72834134800</v>
      </c>
      <c r="X439" s="60">
        <f t="shared" si="68"/>
        <v>131.00694633395653</v>
      </c>
      <c r="Y439" s="34" t="s">
        <v>44</v>
      </c>
      <c r="Z439" s="34">
        <f t="shared" si="66"/>
        <v>24</v>
      </c>
      <c r="AA439" s="52">
        <f t="shared" si="69"/>
        <v>129919273900</v>
      </c>
      <c r="AB439" s="41">
        <f t="shared" si="70"/>
        <v>66.666666666666657</v>
      </c>
      <c r="AC439" s="34" t="s">
        <v>44</v>
      </c>
      <c r="AD439" s="90">
        <f t="shared" si="71"/>
        <v>132.86292082555866</v>
      </c>
      <c r="AE439" s="17"/>
      <c r="AF439" s="2"/>
      <c r="AG439" s="2"/>
      <c r="AH439" s="55"/>
      <c r="AI439" s="2"/>
      <c r="AJ439" s="2"/>
      <c r="AK439" s="2"/>
    </row>
    <row r="440" spans="1:37" ht="90">
      <c r="A440" s="43"/>
      <c r="B440" s="39"/>
      <c r="C440" s="46" t="s">
        <v>597</v>
      </c>
      <c r="D440" s="47" t="s">
        <v>598</v>
      </c>
      <c r="E440" s="48">
        <v>42</v>
      </c>
      <c r="F440" s="49" t="s">
        <v>62</v>
      </c>
      <c r="G440" s="91">
        <f>K440*2</f>
        <v>56840000</v>
      </c>
      <c r="H440" s="59"/>
      <c r="I440" s="58"/>
      <c r="J440" s="51">
        <v>21</v>
      </c>
      <c r="K440" s="50">
        <v>28420000</v>
      </c>
      <c r="L440" s="48">
        <v>21</v>
      </c>
      <c r="M440" s="50">
        <v>0</v>
      </c>
      <c r="N440" s="51">
        <v>0</v>
      </c>
      <c r="O440" s="50">
        <v>0</v>
      </c>
      <c r="P440" s="51">
        <v>0</v>
      </c>
      <c r="Q440" s="50">
        <v>0</v>
      </c>
      <c r="R440" s="51">
        <v>0</v>
      </c>
      <c r="S440" s="50">
        <v>10232500</v>
      </c>
      <c r="T440" s="33">
        <f t="shared" si="72"/>
        <v>21</v>
      </c>
      <c r="U440" s="34">
        <f t="shared" si="67"/>
        <v>100</v>
      </c>
      <c r="V440" s="34" t="s">
        <v>44</v>
      </c>
      <c r="W440" s="52">
        <f t="shared" si="73"/>
        <v>10232500</v>
      </c>
      <c r="X440" s="60">
        <f t="shared" si="68"/>
        <v>36.004574243490502</v>
      </c>
      <c r="Y440" s="34" t="s">
        <v>44</v>
      </c>
      <c r="Z440" s="34">
        <f t="shared" si="66"/>
        <v>21</v>
      </c>
      <c r="AA440" s="52">
        <f t="shared" si="69"/>
        <v>10232500</v>
      </c>
      <c r="AB440" s="41">
        <f t="shared" si="70"/>
        <v>50</v>
      </c>
      <c r="AC440" s="34" t="s">
        <v>44</v>
      </c>
      <c r="AD440" s="90">
        <f t="shared" si="71"/>
        <v>18.002287121745251</v>
      </c>
      <c r="AE440" s="17"/>
      <c r="AF440" s="2"/>
      <c r="AG440" s="2"/>
      <c r="AH440" s="55"/>
      <c r="AI440" s="2"/>
      <c r="AJ440" s="2"/>
      <c r="AK440" s="2"/>
    </row>
    <row r="441" spans="1:37" ht="75">
      <c r="A441" s="43"/>
      <c r="B441" s="39"/>
      <c r="C441" s="46" t="s">
        <v>599</v>
      </c>
      <c r="D441" s="47" t="s">
        <v>600</v>
      </c>
      <c r="E441" s="48">
        <f>21*3</f>
        <v>63</v>
      </c>
      <c r="F441" s="49" t="s">
        <v>62</v>
      </c>
      <c r="G441" s="91">
        <v>1505802000</v>
      </c>
      <c r="H441" s="51">
        <v>21</v>
      </c>
      <c r="I441" s="50">
        <v>399651825</v>
      </c>
      <c r="J441" s="51">
        <v>21</v>
      </c>
      <c r="K441" s="50">
        <v>583159800</v>
      </c>
      <c r="L441" s="48">
        <v>21</v>
      </c>
      <c r="M441" s="50">
        <v>82800000</v>
      </c>
      <c r="N441" s="51">
        <v>21</v>
      </c>
      <c r="O441" s="50">
        <f>206106520-M441</f>
        <v>123306520</v>
      </c>
      <c r="P441" s="51">
        <v>21</v>
      </c>
      <c r="Q441" s="50">
        <f>305343090-M441-O441</f>
        <v>99236570</v>
      </c>
      <c r="R441" s="51">
        <v>21</v>
      </c>
      <c r="S441" s="50">
        <f>453372452-M441-O441-Q441</f>
        <v>148029362</v>
      </c>
      <c r="T441" s="33">
        <f>AVERAGE(L441,N441,P441,R441)</f>
        <v>21</v>
      </c>
      <c r="U441" s="34">
        <f t="shared" si="67"/>
        <v>100</v>
      </c>
      <c r="V441" s="34" t="s">
        <v>44</v>
      </c>
      <c r="W441" s="52">
        <f t="shared" si="73"/>
        <v>453372452</v>
      </c>
      <c r="X441" s="60">
        <f t="shared" si="68"/>
        <v>77.744119536360358</v>
      </c>
      <c r="Y441" s="34" t="s">
        <v>44</v>
      </c>
      <c r="Z441" s="34">
        <f t="shared" si="66"/>
        <v>42</v>
      </c>
      <c r="AA441" s="52">
        <f t="shared" si="69"/>
        <v>853024277</v>
      </c>
      <c r="AB441" s="41">
        <f t="shared" si="70"/>
        <v>66.666666666666657</v>
      </c>
      <c r="AC441" s="34" t="s">
        <v>44</v>
      </c>
      <c r="AD441" s="90">
        <f t="shared" si="71"/>
        <v>56.649166158631751</v>
      </c>
      <c r="AE441" s="17"/>
      <c r="AF441" s="2"/>
      <c r="AG441" s="2"/>
      <c r="AH441" s="55"/>
      <c r="AI441" s="2"/>
      <c r="AJ441" s="2"/>
      <c r="AK441" s="2"/>
    </row>
    <row r="442" spans="1:37" ht="75">
      <c r="A442" s="43"/>
      <c r="B442" s="39"/>
      <c r="C442" s="46" t="s">
        <v>601</v>
      </c>
      <c r="D442" s="47" t="s">
        <v>600</v>
      </c>
      <c r="E442" s="48">
        <v>36</v>
      </c>
      <c r="F442" s="49" t="s">
        <v>62</v>
      </c>
      <c r="G442" s="91">
        <v>2083177643</v>
      </c>
      <c r="H442" s="101">
        <v>12</v>
      </c>
      <c r="I442" s="50">
        <v>638363470</v>
      </c>
      <c r="J442" s="34">
        <v>12</v>
      </c>
      <c r="K442" s="50">
        <v>765927958</v>
      </c>
      <c r="L442" s="33">
        <v>3</v>
      </c>
      <c r="M442" s="50">
        <v>0</v>
      </c>
      <c r="N442" s="51">
        <v>3</v>
      </c>
      <c r="O442" s="50">
        <v>222946233</v>
      </c>
      <c r="P442" s="51">
        <v>3</v>
      </c>
      <c r="Q442" s="50">
        <v>210250800</v>
      </c>
      <c r="R442" s="101">
        <v>3</v>
      </c>
      <c r="S442" s="50">
        <v>252285732</v>
      </c>
      <c r="T442" s="102">
        <f t="shared" ref="T442:T464" si="74">SUM(L442,N442,P442,R442)</f>
        <v>12</v>
      </c>
      <c r="U442" s="60">
        <f t="shared" si="67"/>
        <v>100</v>
      </c>
      <c r="V442" s="34" t="s">
        <v>44</v>
      </c>
      <c r="W442" s="52">
        <f t="shared" si="73"/>
        <v>685482765</v>
      </c>
      <c r="X442" s="60">
        <f t="shared" si="68"/>
        <v>89.497028779304586</v>
      </c>
      <c r="Y442" s="34" t="s">
        <v>44</v>
      </c>
      <c r="Z442" s="102">
        <f t="shared" si="66"/>
        <v>24</v>
      </c>
      <c r="AA442" s="52">
        <f t="shared" si="69"/>
        <v>1323846235</v>
      </c>
      <c r="AB442" s="41">
        <f t="shared" si="70"/>
        <v>66.666666666666657</v>
      </c>
      <c r="AC442" s="34" t="s">
        <v>44</v>
      </c>
      <c r="AD442" s="90">
        <f t="shared" si="71"/>
        <v>63.549368410728476</v>
      </c>
      <c r="AE442" s="17"/>
      <c r="AF442" s="2"/>
      <c r="AG442" s="2"/>
      <c r="AH442" s="55"/>
      <c r="AI442" s="2"/>
      <c r="AJ442" s="2"/>
      <c r="AK442" s="2"/>
    </row>
    <row r="443" spans="1:37" ht="75">
      <c r="A443" s="43"/>
      <c r="B443" s="39"/>
      <c r="C443" s="46" t="s">
        <v>602</v>
      </c>
      <c r="D443" s="47" t="s">
        <v>600</v>
      </c>
      <c r="E443" s="48">
        <v>36</v>
      </c>
      <c r="F443" s="49" t="s">
        <v>62</v>
      </c>
      <c r="G443" s="91">
        <v>1039830000</v>
      </c>
      <c r="H443" s="101">
        <v>12</v>
      </c>
      <c r="I443" s="50">
        <v>793765075</v>
      </c>
      <c r="J443" s="34">
        <v>12</v>
      </c>
      <c r="K443" s="50">
        <v>449913238</v>
      </c>
      <c r="L443" s="33">
        <v>3</v>
      </c>
      <c r="M443" s="50">
        <v>38600795</v>
      </c>
      <c r="N443" s="51">
        <v>3</v>
      </c>
      <c r="O443" s="50">
        <v>18225000</v>
      </c>
      <c r="P443" s="51">
        <v>3</v>
      </c>
      <c r="Q443" s="50">
        <v>213669180</v>
      </c>
      <c r="R443" s="101">
        <v>3</v>
      </c>
      <c r="S443" s="50">
        <v>188950672</v>
      </c>
      <c r="T443" s="102">
        <f t="shared" si="74"/>
        <v>12</v>
      </c>
      <c r="U443" s="60">
        <f t="shared" si="67"/>
        <v>100</v>
      </c>
      <c r="V443" s="34"/>
      <c r="W443" s="52">
        <f t="shared" si="73"/>
        <v>459445647</v>
      </c>
      <c r="X443" s="60"/>
      <c r="Y443" s="34"/>
      <c r="Z443" s="102">
        <f t="shared" si="66"/>
        <v>24</v>
      </c>
      <c r="AA443" s="52"/>
      <c r="AB443" s="41">
        <f t="shared" si="70"/>
        <v>66.666666666666657</v>
      </c>
      <c r="AC443" s="34" t="s">
        <v>44</v>
      </c>
      <c r="AD443" s="90">
        <f t="shared" si="71"/>
        <v>0</v>
      </c>
      <c r="AE443" s="17"/>
      <c r="AF443" s="2"/>
      <c r="AG443" s="2"/>
      <c r="AH443" s="55"/>
      <c r="AI443" s="2"/>
      <c r="AJ443" s="2"/>
      <c r="AK443" s="2"/>
    </row>
    <row r="444" spans="1:37" ht="75">
      <c r="A444" s="43"/>
      <c r="B444" s="39"/>
      <c r="C444" s="46" t="s">
        <v>603</v>
      </c>
      <c r="D444" s="47" t="s">
        <v>600</v>
      </c>
      <c r="E444" s="48">
        <v>36</v>
      </c>
      <c r="F444" s="49" t="s">
        <v>62</v>
      </c>
      <c r="G444" s="91">
        <v>1028924585</v>
      </c>
      <c r="H444" s="101">
        <v>12</v>
      </c>
      <c r="I444" s="50">
        <v>341725225</v>
      </c>
      <c r="J444" s="34">
        <v>12</v>
      </c>
      <c r="K444" s="50">
        <v>359645335</v>
      </c>
      <c r="L444" s="33">
        <v>3</v>
      </c>
      <c r="M444" s="50">
        <v>8700</v>
      </c>
      <c r="N444" s="51">
        <v>3</v>
      </c>
      <c r="O444" s="50">
        <v>118403939</v>
      </c>
      <c r="P444" s="51">
        <v>3</v>
      </c>
      <c r="Q444" s="50">
        <v>150302906</v>
      </c>
      <c r="R444" s="101">
        <v>3</v>
      </c>
      <c r="S444" s="50">
        <v>51788228</v>
      </c>
      <c r="T444" s="102">
        <f t="shared" si="74"/>
        <v>12</v>
      </c>
      <c r="U444" s="60">
        <f t="shared" si="67"/>
        <v>100</v>
      </c>
      <c r="V444" s="34" t="s">
        <v>44</v>
      </c>
      <c r="W444" s="52">
        <f t="shared" si="73"/>
        <v>320503773</v>
      </c>
      <c r="X444" s="60">
        <f t="shared" ref="X444:X464" si="75">W444/K444*100</f>
        <v>89.116621796303846</v>
      </c>
      <c r="Y444" s="34" t="s">
        <v>44</v>
      </c>
      <c r="Z444" s="102">
        <f t="shared" si="66"/>
        <v>24</v>
      </c>
      <c r="AA444" s="52">
        <f t="shared" ref="AA444:AA534" si="76">SUM(I444,W444)</f>
        <v>662228998</v>
      </c>
      <c r="AB444" s="41">
        <f t="shared" si="70"/>
        <v>66.666666666666657</v>
      </c>
      <c r="AC444" s="34" t="s">
        <v>44</v>
      </c>
      <c r="AD444" s="90">
        <f t="shared" si="71"/>
        <v>64.361276584716848</v>
      </c>
      <c r="AE444" s="17"/>
      <c r="AF444" s="2"/>
      <c r="AG444" s="2"/>
      <c r="AH444" s="55"/>
      <c r="AI444" s="2"/>
      <c r="AJ444" s="2"/>
      <c r="AK444" s="2"/>
    </row>
    <row r="445" spans="1:37" ht="75">
      <c r="A445" s="43"/>
      <c r="B445" s="39"/>
      <c r="C445" s="46" t="s">
        <v>604</v>
      </c>
      <c r="D445" s="47" t="s">
        <v>600</v>
      </c>
      <c r="E445" s="48">
        <v>36</v>
      </c>
      <c r="F445" s="49" t="s">
        <v>62</v>
      </c>
      <c r="G445" s="91">
        <v>2280688500</v>
      </c>
      <c r="H445" s="101">
        <v>12</v>
      </c>
      <c r="I445" s="50">
        <v>712351738</v>
      </c>
      <c r="J445" s="34">
        <v>12</v>
      </c>
      <c r="K445" s="50">
        <v>838678063</v>
      </c>
      <c r="L445" s="33">
        <v>3</v>
      </c>
      <c r="M445" s="50">
        <v>140092611</v>
      </c>
      <c r="N445" s="51">
        <v>3</v>
      </c>
      <c r="O445" s="50">
        <v>7532400</v>
      </c>
      <c r="P445" s="51">
        <v>3</v>
      </c>
      <c r="Q445" s="50">
        <v>217102750</v>
      </c>
      <c r="R445" s="101">
        <v>3</v>
      </c>
      <c r="S445" s="50">
        <v>257723127.5</v>
      </c>
      <c r="T445" s="102">
        <f t="shared" si="74"/>
        <v>12</v>
      </c>
      <c r="U445" s="60">
        <f t="shared" si="67"/>
        <v>100</v>
      </c>
      <c r="V445" s="34" t="s">
        <v>44</v>
      </c>
      <c r="W445" s="52">
        <f t="shared" si="73"/>
        <v>622450888.5</v>
      </c>
      <c r="X445" s="60">
        <f t="shared" si="75"/>
        <v>74.218095829698598</v>
      </c>
      <c r="Y445" s="34" t="s">
        <v>44</v>
      </c>
      <c r="Z445" s="102">
        <f t="shared" si="66"/>
        <v>24</v>
      </c>
      <c r="AA445" s="52">
        <f t="shared" si="76"/>
        <v>1334802626.5</v>
      </c>
      <c r="AB445" s="41">
        <f t="shared" si="70"/>
        <v>66.666666666666657</v>
      </c>
      <c r="AC445" s="34" t="s">
        <v>44</v>
      </c>
      <c r="AD445" s="90">
        <f t="shared" si="71"/>
        <v>58.526301443621087</v>
      </c>
      <c r="AE445" s="17"/>
      <c r="AF445" s="2"/>
      <c r="AG445" s="2"/>
      <c r="AH445" s="55"/>
      <c r="AI445" s="2"/>
      <c r="AJ445" s="2"/>
      <c r="AK445" s="2"/>
    </row>
    <row r="446" spans="1:37" ht="75">
      <c r="A446" s="43"/>
      <c r="B446" s="39"/>
      <c r="C446" s="46" t="s">
        <v>605</v>
      </c>
      <c r="D446" s="47" t="s">
        <v>600</v>
      </c>
      <c r="E446" s="48">
        <v>36</v>
      </c>
      <c r="F446" s="49" t="s">
        <v>62</v>
      </c>
      <c r="G446" s="91">
        <v>857845564</v>
      </c>
      <c r="H446" s="101">
        <v>12</v>
      </c>
      <c r="I446" s="50">
        <v>301725564</v>
      </c>
      <c r="J446" s="34">
        <v>12</v>
      </c>
      <c r="K446" s="50">
        <v>339192450</v>
      </c>
      <c r="L446" s="33">
        <v>3</v>
      </c>
      <c r="M446" s="50">
        <v>31716880</v>
      </c>
      <c r="N446" s="51">
        <v>3</v>
      </c>
      <c r="O446" s="50">
        <v>86692753</v>
      </c>
      <c r="P446" s="51">
        <v>3</v>
      </c>
      <c r="Q446" s="50">
        <v>66867368</v>
      </c>
      <c r="R446" s="101">
        <v>3</v>
      </c>
      <c r="S446" s="50">
        <v>130996472</v>
      </c>
      <c r="T446" s="102">
        <f t="shared" si="74"/>
        <v>12</v>
      </c>
      <c r="U446" s="60">
        <f t="shared" si="67"/>
        <v>100</v>
      </c>
      <c r="V446" s="34" t="s">
        <v>44</v>
      </c>
      <c r="W446" s="52">
        <f t="shared" si="73"/>
        <v>316273473</v>
      </c>
      <c r="X446" s="60">
        <f t="shared" si="75"/>
        <v>93.243075722941356</v>
      </c>
      <c r="Y446" s="34" t="s">
        <v>44</v>
      </c>
      <c r="Z446" s="102">
        <f t="shared" si="66"/>
        <v>24</v>
      </c>
      <c r="AA446" s="52">
        <f t="shared" si="76"/>
        <v>617999037</v>
      </c>
      <c r="AB446" s="41">
        <f t="shared" si="70"/>
        <v>66.666666666666657</v>
      </c>
      <c r="AC446" s="34" t="s">
        <v>44</v>
      </c>
      <c r="AD446" s="90">
        <f t="shared" si="71"/>
        <v>72.040826803179698</v>
      </c>
      <c r="AE446" s="17"/>
      <c r="AF446" s="2"/>
      <c r="AG446" s="2"/>
      <c r="AH446" s="55"/>
      <c r="AI446" s="2"/>
      <c r="AJ446" s="2"/>
      <c r="AK446" s="2"/>
    </row>
    <row r="447" spans="1:37" ht="75">
      <c r="A447" s="43"/>
      <c r="B447" s="39"/>
      <c r="C447" s="46" t="s">
        <v>606</v>
      </c>
      <c r="D447" s="47" t="s">
        <v>600</v>
      </c>
      <c r="E447" s="48">
        <v>36</v>
      </c>
      <c r="F447" s="49" t="s">
        <v>62</v>
      </c>
      <c r="G447" s="91">
        <v>1950104988</v>
      </c>
      <c r="H447" s="101">
        <v>12</v>
      </c>
      <c r="I447" s="50">
        <v>625939355</v>
      </c>
      <c r="J447" s="34">
        <v>12</v>
      </c>
      <c r="K447" s="50">
        <v>834489200</v>
      </c>
      <c r="L447" s="33">
        <v>3</v>
      </c>
      <c r="M447" s="50">
        <v>67785637</v>
      </c>
      <c r="N447" s="51">
        <v>3</v>
      </c>
      <c r="O447" s="50">
        <v>12680000</v>
      </c>
      <c r="P447" s="51">
        <v>3</v>
      </c>
      <c r="Q447" s="50">
        <v>179546261</v>
      </c>
      <c r="R447" s="101">
        <v>3</v>
      </c>
      <c r="S447" s="50">
        <v>447222024</v>
      </c>
      <c r="T447" s="102">
        <f t="shared" si="74"/>
        <v>12</v>
      </c>
      <c r="U447" s="60">
        <f t="shared" si="67"/>
        <v>100</v>
      </c>
      <c r="V447" s="34" t="s">
        <v>44</v>
      </c>
      <c r="W447" s="52">
        <f t="shared" si="73"/>
        <v>707233922</v>
      </c>
      <c r="X447" s="60">
        <f t="shared" si="75"/>
        <v>84.750518281123348</v>
      </c>
      <c r="Y447" s="34" t="s">
        <v>44</v>
      </c>
      <c r="Z447" s="102">
        <f t="shared" si="66"/>
        <v>24</v>
      </c>
      <c r="AA447" s="52">
        <f t="shared" si="76"/>
        <v>1333173277</v>
      </c>
      <c r="AB447" s="41">
        <f t="shared" si="70"/>
        <v>66.666666666666657</v>
      </c>
      <c r="AC447" s="34" t="s">
        <v>44</v>
      </c>
      <c r="AD447" s="90">
        <f t="shared" si="71"/>
        <v>68.364179631542996</v>
      </c>
      <c r="AE447" s="17"/>
      <c r="AF447" s="2"/>
      <c r="AG447" s="2"/>
      <c r="AH447" s="55"/>
      <c r="AI447" s="2"/>
      <c r="AJ447" s="2"/>
      <c r="AK447" s="2"/>
    </row>
    <row r="448" spans="1:37" ht="75">
      <c r="A448" s="43"/>
      <c r="B448" s="39"/>
      <c r="C448" s="46" t="s">
        <v>607</v>
      </c>
      <c r="D448" s="47" t="s">
        <v>600</v>
      </c>
      <c r="E448" s="48">
        <v>36</v>
      </c>
      <c r="F448" s="49" t="s">
        <v>62</v>
      </c>
      <c r="G448" s="91">
        <v>1093562125</v>
      </c>
      <c r="H448" s="101">
        <v>12</v>
      </c>
      <c r="I448" s="50">
        <v>354687403</v>
      </c>
      <c r="J448" s="34">
        <v>12</v>
      </c>
      <c r="K448" s="50">
        <v>446192275</v>
      </c>
      <c r="L448" s="33">
        <v>3</v>
      </c>
      <c r="M448" s="50">
        <v>8700</v>
      </c>
      <c r="N448" s="51">
        <v>3</v>
      </c>
      <c r="O448" s="50">
        <v>114537255</v>
      </c>
      <c r="P448" s="51">
        <v>3</v>
      </c>
      <c r="Q448" s="50">
        <v>53042960</v>
      </c>
      <c r="R448" s="101">
        <v>3</v>
      </c>
      <c r="S448" s="50">
        <v>207082230</v>
      </c>
      <c r="T448" s="102">
        <f t="shared" si="74"/>
        <v>12</v>
      </c>
      <c r="U448" s="60">
        <f t="shared" si="67"/>
        <v>100</v>
      </c>
      <c r="V448" s="34" t="s">
        <v>44</v>
      </c>
      <c r="W448" s="52">
        <f t="shared" si="73"/>
        <v>374671145</v>
      </c>
      <c r="X448" s="60">
        <f t="shared" si="75"/>
        <v>83.970782551087424</v>
      </c>
      <c r="Y448" s="34" t="s">
        <v>44</v>
      </c>
      <c r="Z448" s="102">
        <f t="shared" si="66"/>
        <v>24</v>
      </c>
      <c r="AA448" s="52">
        <f t="shared" si="76"/>
        <v>729358548</v>
      </c>
      <c r="AB448" s="41">
        <f t="shared" si="70"/>
        <v>66.666666666666657</v>
      </c>
      <c r="AC448" s="34" t="s">
        <v>44</v>
      </c>
      <c r="AD448" s="90">
        <f t="shared" si="71"/>
        <v>66.69566651277357</v>
      </c>
      <c r="AE448" s="17"/>
      <c r="AF448" s="2"/>
      <c r="AG448" s="2"/>
      <c r="AH448" s="55"/>
      <c r="AI448" s="2"/>
      <c r="AJ448" s="2"/>
      <c r="AK448" s="2"/>
    </row>
    <row r="449" spans="1:37" ht="75">
      <c r="A449" s="43"/>
      <c r="B449" s="39"/>
      <c r="C449" s="46" t="s">
        <v>608</v>
      </c>
      <c r="D449" s="47" t="s">
        <v>600</v>
      </c>
      <c r="E449" s="48">
        <v>36</v>
      </c>
      <c r="F449" s="49" t="s">
        <v>62</v>
      </c>
      <c r="G449" s="91">
        <v>3066491400</v>
      </c>
      <c r="H449" s="101">
        <v>12</v>
      </c>
      <c r="I449" s="50">
        <v>910739245</v>
      </c>
      <c r="J449" s="34">
        <v>12</v>
      </c>
      <c r="K449" s="50">
        <v>1194674505</v>
      </c>
      <c r="L449" s="33">
        <v>3</v>
      </c>
      <c r="M449" s="50">
        <v>104185965</v>
      </c>
      <c r="N449" s="51">
        <v>3</v>
      </c>
      <c r="O449" s="50">
        <v>205017510</v>
      </c>
      <c r="P449" s="51">
        <v>3</v>
      </c>
      <c r="Q449" s="50">
        <v>264796507</v>
      </c>
      <c r="R449" s="101">
        <v>3</v>
      </c>
      <c r="S449" s="50">
        <v>367723260</v>
      </c>
      <c r="T449" s="102">
        <f t="shared" si="74"/>
        <v>12</v>
      </c>
      <c r="U449" s="60">
        <f t="shared" si="67"/>
        <v>100</v>
      </c>
      <c r="V449" s="34" t="s">
        <v>44</v>
      </c>
      <c r="W449" s="52">
        <f t="shared" si="73"/>
        <v>941723242</v>
      </c>
      <c r="X449" s="60">
        <f t="shared" si="75"/>
        <v>78.826763110676751</v>
      </c>
      <c r="Y449" s="34" t="s">
        <v>44</v>
      </c>
      <c r="Z449" s="102">
        <f t="shared" si="66"/>
        <v>24</v>
      </c>
      <c r="AA449" s="52">
        <f t="shared" si="76"/>
        <v>1852462487</v>
      </c>
      <c r="AB449" s="41">
        <f t="shared" si="70"/>
        <v>66.666666666666657</v>
      </c>
      <c r="AC449" s="34" t="s">
        <v>44</v>
      </c>
      <c r="AD449" s="90">
        <f t="shared" si="71"/>
        <v>60.409837999219562</v>
      </c>
      <c r="AE449" s="17"/>
      <c r="AF449" s="2"/>
      <c r="AG449" s="2"/>
      <c r="AH449" s="55"/>
      <c r="AI449" s="2"/>
      <c r="AJ449" s="2"/>
      <c r="AK449" s="2"/>
    </row>
    <row r="450" spans="1:37" ht="75">
      <c r="A450" s="43"/>
      <c r="B450" s="39"/>
      <c r="C450" s="46" t="s">
        <v>609</v>
      </c>
      <c r="D450" s="47" t="s">
        <v>600</v>
      </c>
      <c r="E450" s="48">
        <v>36</v>
      </c>
      <c r="F450" s="49" t="s">
        <v>62</v>
      </c>
      <c r="G450" s="91">
        <v>254695500</v>
      </c>
      <c r="H450" s="101">
        <v>12</v>
      </c>
      <c r="I450" s="50">
        <v>542665101</v>
      </c>
      <c r="J450" s="34">
        <v>12</v>
      </c>
      <c r="K450" s="50">
        <v>732790713</v>
      </c>
      <c r="L450" s="33">
        <v>3</v>
      </c>
      <c r="M450" s="103" t="s">
        <v>229</v>
      </c>
      <c r="N450" s="51">
        <v>3</v>
      </c>
      <c r="O450" s="50">
        <v>219879360</v>
      </c>
      <c r="P450" s="51">
        <v>3</v>
      </c>
      <c r="Q450" s="50">
        <v>136854290</v>
      </c>
      <c r="R450" s="101">
        <v>3</v>
      </c>
      <c r="S450" s="50">
        <v>289185812</v>
      </c>
      <c r="T450" s="102">
        <f t="shared" si="74"/>
        <v>12</v>
      </c>
      <c r="U450" s="60">
        <f t="shared" si="67"/>
        <v>100</v>
      </c>
      <c r="V450" s="34" t="s">
        <v>44</v>
      </c>
      <c r="W450" s="52">
        <f t="shared" si="73"/>
        <v>645919462</v>
      </c>
      <c r="X450" s="60">
        <f t="shared" si="75"/>
        <v>88.145148477065916</v>
      </c>
      <c r="Y450" s="34" t="s">
        <v>44</v>
      </c>
      <c r="Z450" s="102">
        <f t="shared" si="66"/>
        <v>24</v>
      </c>
      <c r="AA450" s="52">
        <f t="shared" si="76"/>
        <v>1188584563</v>
      </c>
      <c r="AB450" s="41">
        <f t="shared" si="70"/>
        <v>66.666666666666657</v>
      </c>
      <c r="AC450" s="34" t="s">
        <v>44</v>
      </c>
      <c r="AD450" s="90">
        <f t="shared" si="71"/>
        <v>466.66885084345813</v>
      </c>
      <c r="AE450" s="17"/>
      <c r="AF450" s="2"/>
      <c r="AG450" s="2"/>
      <c r="AH450" s="55"/>
      <c r="AI450" s="2"/>
      <c r="AJ450" s="2"/>
      <c r="AK450" s="2"/>
    </row>
    <row r="451" spans="1:37" ht="75">
      <c r="A451" s="43"/>
      <c r="B451" s="39"/>
      <c r="C451" s="46" t="s">
        <v>610</v>
      </c>
      <c r="D451" s="47" t="s">
        <v>600</v>
      </c>
      <c r="E451" s="48">
        <v>36</v>
      </c>
      <c r="F451" s="49" t="s">
        <v>62</v>
      </c>
      <c r="G451" s="91">
        <v>926552062</v>
      </c>
      <c r="H451" s="101">
        <v>12</v>
      </c>
      <c r="I451" s="50">
        <v>310502880</v>
      </c>
      <c r="J451" s="34">
        <v>12</v>
      </c>
      <c r="K451" s="50">
        <v>463211382</v>
      </c>
      <c r="L451" s="33">
        <v>3</v>
      </c>
      <c r="M451" s="50">
        <v>19846120</v>
      </c>
      <c r="N451" s="51">
        <v>3</v>
      </c>
      <c r="O451" s="50">
        <v>141247653</v>
      </c>
      <c r="P451" s="51">
        <v>3</v>
      </c>
      <c r="Q451" s="50">
        <v>122719360</v>
      </c>
      <c r="R451" s="101">
        <v>3</v>
      </c>
      <c r="S451" s="50">
        <v>95538627</v>
      </c>
      <c r="T451" s="102">
        <f t="shared" si="74"/>
        <v>12</v>
      </c>
      <c r="U451" s="60">
        <f t="shared" si="67"/>
        <v>100</v>
      </c>
      <c r="V451" s="34" t="s">
        <v>44</v>
      </c>
      <c r="W451" s="52">
        <f t="shared" si="73"/>
        <v>379351760</v>
      </c>
      <c r="X451" s="60">
        <f t="shared" si="75"/>
        <v>81.896035965713807</v>
      </c>
      <c r="Y451" s="34" t="s">
        <v>44</v>
      </c>
      <c r="Z451" s="102">
        <f t="shared" si="66"/>
        <v>24</v>
      </c>
      <c r="AA451" s="52">
        <f t="shared" si="76"/>
        <v>689854640</v>
      </c>
      <c r="AB451" s="41">
        <f t="shared" si="70"/>
        <v>66.666666666666657</v>
      </c>
      <c r="AC451" s="34" t="s">
        <v>44</v>
      </c>
      <c r="AD451" s="90">
        <f t="shared" si="71"/>
        <v>74.453953349466502</v>
      </c>
      <c r="AE451" s="17"/>
      <c r="AF451" s="2"/>
      <c r="AG451" s="2"/>
      <c r="AH451" s="55"/>
      <c r="AI451" s="2"/>
      <c r="AJ451" s="2"/>
      <c r="AK451" s="2"/>
    </row>
    <row r="452" spans="1:37" ht="75">
      <c r="A452" s="43"/>
      <c r="B452" s="39"/>
      <c r="C452" s="46" t="s">
        <v>611</v>
      </c>
      <c r="D452" s="47" t="s">
        <v>600</v>
      </c>
      <c r="E452" s="48">
        <v>36</v>
      </c>
      <c r="F452" s="49" t="s">
        <v>62</v>
      </c>
      <c r="G452" s="91">
        <v>182410000</v>
      </c>
      <c r="H452" s="101">
        <v>12</v>
      </c>
      <c r="I452" s="50">
        <v>26490000</v>
      </c>
      <c r="J452" s="34">
        <v>12</v>
      </c>
      <c r="K452" s="50">
        <v>75560000</v>
      </c>
      <c r="L452" s="33">
        <v>3</v>
      </c>
      <c r="M452" s="103" t="s">
        <v>229</v>
      </c>
      <c r="N452" s="51">
        <v>3</v>
      </c>
      <c r="O452" s="50">
        <v>12840000</v>
      </c>
      <c r="P452" s="51">
        <v>3</v>
      </c>
      <c r="Q452" s="50">
        <v>26072500</v>
      </c>
      <c r="R452" s="101">
        <v>3</v>
      </c>
      <c r="S452" s="50">
        <v>23427500</v>
      </c>
      <c r="T452" s="102">
        <f t="shared" si="74"/>
        <v>12</v>
      </c>
      <c r="U452" s="60">
        <f t="shared" si="67"/>
        <v>100</v>
      </c>
      <c r="V452" s="34" t="s">
        <v>44</v>
      </c>
      <c r="W452" s="52">
        <f t="shared" si="73"/>
        <v>62340000</v>
      </c>
      <c r="X452" s="60">
        <f t="shared" si="75"/>
        <v>82.503970354685023</v>
      </c>
      <c r="Y452" s="34" t="s">
        <v>44</v>
      </c>
      <c r="Z452" s="102">
        <f t="shared" si="66"/>
        <v>24</v>
      </c>
      <c r="AA452" s="52">
        <f t="shared" si="76"/>
        <v>88830000</v>
      </c>
      <c r="AB452" s="41">
        <f t="shared" si="70"/>
        <v>66.666666666666657</v>
      </c>
      <c r="AC452" s="34" t="s">
        <v>44</v>
      </c>
      <c r="AD452" s="90">
        <f t="shared" si="71"/>
        <v>48.697988048900825</v>
      </c>
      <c r="AE452" s="17"/>
      <c r="AF452" s="2"/>
      <c r="AG452" s="2"/>
      <c r="AH452" s="55"/>
      <c r="AI452" s="2"/>
      <c r="AJ452" s="2"/>
      <c r="AK452" s="2"/>
    </row>
    <row r="453" spans="1:37" ht="75">
      <c r="A453" s="43"/>
      <c r="B453" s="39"/>
      <c r="C453" s="46" t="s">
        <v>612</v>
      </c>
      <c r="D453" s="47" t="s">
        <v>600</v>
      </c>
      <c r="E453" s="48">
        <v>36</v>
      </c>
      <c r="F453" s="49" t="s">
        <v>62</v>
      </c>
      <c r="G453" s="91">
        <v>1019629325</v>
      </c>
      <c r="H453" s="101">
        <v>12</v>
      </c>
      <c r="I453" s="50">
        <v>273060914</v>
      </c>
      <c r="J453" s="34">
        <v>12</v>
      </c>
      <c r="K453" s="50">
        <v>354641400</v>
      </c>
      <c r="L453" s="33">
        <v>3</v>
      </c>
      <c r="M453" s="50">
        <v>8700</v>
      </c>
      <c r="N453" s="51">
        <v>3</v>
      </c>
      <c r="O453" s="50">
        <v>72245445</v>
      </c>
      <c r="P453" s="51">
        <v>3</v>
      </c>
      <c r="Q453" s="50">
        <v>173737225</v>
      </c>
      <c r="R453" s="101">
        <v>3</v>
      </c>
      <c r="S453" s="78">
        <v>81287500</v>
      </c>
      <c r="T453" s="102">
        <f t="shared" si="74"/>
        <v>12</v>
      </c>
      <c r="U453" s="60">
        <f t="shared" si="67"/>
        <v>100</v>
      </c>
      <c r="V453" s="34" t="s">
        <v>44</v>
      </c>
      <c r="W453" s="52">
        <f t="shared" si="73"/>
        <v>327278870</v>
      </c>
      <c r="X453" s="60">
        <f t="shared" si="75"/>
        <v>92.284451279517839</v>
      </c>
      <c r="Y453" s="34" t="s">
        <v>44</v>
      </c>
      <c r="Z453" s="102">
        <f t="shared" si="66"/>
        <v>24</v>
      </c>
      <c r="AA453" s="52">
        <f t="shared" si="76"/>
        <v>600339784</v>
      </c>
      <c r="AB453" s="41">
        <f t="shared" si="70"/>
        <v>66.666666666666657</v>
      </c>
      <c r="AC453" s="34" t="s">
        <v>44</v>
      </c>
      <c r="AD453" s="90">
        <f t="shared" si="71"/>
        <v>58.87823832450092</v>
      </c>
      <c r="AE453" s="17"/>
      <c r="AF453" s="2"/>
      <c r="AG453" s="2"/>
      <c r="AH453" s="55"/>
      <c r="AI453" s="2"/>
      <c r="AJ453" s="2"/>
      <c r="AK453" s="2"/>
    </row>
    <row r="454" spans="1:37" ht="75">
      <c r="A454" s="43"/>
      <c r="B454" s="39"/>
      <c r="C454" s="46" t="s">
        <v>613</v>
      </c>
      <c r="D454" s="47" t="s">
        <v>600</v>
      </c>
      <c r="E454" s="48">
        <v>36</v>
      </c>
      <c r="F454" s="49" t="s">
        <v>62</v>
      </c>
      <c r="G454" s="91">
        <v>755728900</v>
      </c>
      <c r="H454" s="101">
        <v>12</v>
      </c>
      <c r="I454" s="50">
        <v>213671820</v>
      </c>
      <c r="J454" s="34">
        <v>12</v>
      </c>
      <c r="K454" s="50">
        <v>267943400</v>
      </c>
      <c r="L454" s="33">
        <v>3</v>
      </c>
      <c r="M454" s="50">
        <v>8700</v>
      </c>
      <c r="N454" s="51">
        <v>3</v>
      </c>
      <c r="O454" s="50">
        <v>21630000</v>
      </c>
      <c r="P454" s="51">
        <v>3</v>
      </c>
      <c r="Q454" s="50">
        <v>26127500</v>
      </c>
      <c r="R454" s="112">
        <v>3</v>
      </c>
      <c r="S454" s="107">
        <v>18020000</v>
      </c>
      <c r="T454" s="102">
        <f t="shared" si="74"/>
        <v>12</v>
      </c>
      <c r="U454" s="60">
        <f t="shared" si="67"/>
        <v>100</v>
      </c>
      <c r="V454" s="34" t="s">
        <v>44</v>
      </c>
      <c r="W454" s="52">
        <f t="shared" si="73"/>
        <v>65786200</v>
      </c>
      <c r="X454" s="60">
        <f t="shared" si="75"/>
        <v>24.552274846105558</v>
      </c>
      <c r="Y454" s="34" t="s">
        <v>44</v>
      </c>
      <c r="Z454" s="102">
        <f t="shared" si="66"/>
        <v>24</v>
      </c>
      <c r="AA454" s="52">
        <f t="shared" si="76"/>
        <v>279458020</v>
      </c>
      <c r="AB454" s="41">
        <f t="shared" si="70"/>
        <v>66.666666666666657</v>
      </c>
      <c r="AC454" s="34" t="s">
        <v>44</v>
      </c>
      <c r="AD454" s="90">
        <f t="shared" si="71"/>
        <v>36.978607011059125</v>
      </c>
      <c r="AE454" s="17"/>
      <c r="AF454" s="2"/>
      <c r="AG454" s="2"/>
      <c r="AH454" s="55"/>
      <c r="AI454" s="2"/>
      <c r="AJ454" s="2"/>
      <c r="AK454" s="2"/>
    </row>
    <row r="455" spans="1:37" ht="75">
      <c r="A455" s="43"/>
      <c r="B455" s="39"/>
      <c r="C455" s="46" t="s">
        <v>614</v>
      </c>
      <c r="D455" s="47" t="s">
        <v>600</v>
      </c>
      <c r="E455" s="48">
        <v>48</v>
      </c>
      <c r="F455" s="49" t="s">
        <v>62</v>
      </c>
      <c r="G455" s="91">
        <v>176920000</v>
      </c>
      <c r="H455" s="101">
        <v>14</v>
      </c>
      <c r="I455" s="50">
        <v>20274000</v>
      </c>
      <c r="J455" s="34">
        <v>12</v>
      </c>
      <c r="K455" s="50">
        <v>65960000</v>
      </c>
      <c r="L455" s="33">
        <v>3</v>
      </c>
      <c r="M455" s="103" t="s">
        <v>229</v>
      </c>
      <c r="N455" s="51">
        <v>3</v>
      </c>
      <c r="O455" s="50">
        <v>14980000</v>
      </c>
      <c r="P455" s="51">
        <v>3</v>
      </c>
      <c r="Q455" s="50">
        <v>26700000</v>
      </c>
      <c r="R455" s="112">
        <v>3</v>
      </c>
      <c r="S455" s="107">
        <v>12725000</v>
      </c>
      <c r="T455" s="102">
        <f t="shared" si="74"/>
        <v>12</v>
      </c>
      <c r="U455" s="60">
        <f t="shared" si="67"/>
        <v>100</v>
      </c>
      <c r="V455" s="34" t="s">
        <v>44</v>
      </c>
      <c r="W455" s="52">
        <f t="shared" si="73"/>
        <v>54405000</v>
      </c>
      <c r="X455" s="60">
        <f t="shared" si="75"/>
        <v>82.481807155852024</v>
      </c>
      <c r="Y455" s="34" t="s">
        <v>44</v>
      </c>
      <c r="Z455" s="102">
        <f t="shared" si="66"/>
        <v>26</v>
      </c>
      <c r="AA455" s="52">
        <f t="shared" si="76"/>
        <v>74679000</v>
      </c>
      <c r="AB455" s="41">
        <f t="shared" si="70"/>
        <v>54.166666666666664</v>
      </c>
      <c r="AC455" s="34" t="s">
        <v>44</v>
      </c>
      <c r="AD455" s="90">
        <f t="shared" si="71"/>
        <v>42.210603662672398</v>
      </c>
      <c r="AE455" s="17"/>
      <c r="AF455" s="2"/>
      <c r="AG455" s="2"/>
      <c r="AH455" s="55"/>
      <c r="AI455" s="2"/>
      <c r="AJ455" s="2"/>
      <c r="AK455" s="2"/>
    </row>
    <row r="456" spans="1:37" ht="75">
      <c r="A456" s="43"/>
      <c r="B456" s="39"/>
      <c r="C456" s="46" t="s">
        <v>615</v>
      </c>
      <c r="D456" s="47" t="s">
        <v>600</v>
      </c>
      <c r="E456" s="48">
        <v>36</v>
      </c>
      <c r="F456" s="49" t="s">
        <v>62</v>
      </c>
      <c r="G456" s="91">
        <v>1371385558</v>
      </c>
      <c r="H456" s="101">
        <v>12</v>
      </c>
      <c r="I456" s="50">
        <v>534088638</v>
      </c>
      <c r="J456" s="34">
        <v>12</v>
      </c>
      <c r="K456" s="50">
        <v>672506475</v>
      </c>
      <c r="L456" s="33">
        <v>3</v>
      </c>
      <c r="M456" s="103" t="s">
        <v>229</v>
      </c>
      <c r="N456" s="51">
        <v>3</v>
      </c>
      <c r="O456" s="50"/>
      <c r="P456" s="51">
        <v>3</v>
      </c>
      <c r="Q456" s="50">
        <v>378034850</v>
      </c>
      <c r="R456" s="112">
        <v>3</v>
      </c>
      <c r="S456" s="107">
        <v>151565255</v>
      </c>
      <c r="T456" s="102">
        <f t="shared" si="74"/>
        <v>12</v>
      </c>
      <c r="U456" s="60">
        <f t="shared" si="67"/>
        <v>100</v>
      </c>
      <c r="V456" s="34" t="s">
        <v>44</v>
      </c>
      <c r="W456" s="52">
        <f t="shared" si="73"/>
        <v>529600105</v>
      </c>
      <c r="X456" s="60">
        <f t="shared" si="75"/>
        <v>78.750186754707457</v>
      </c>
      <c r="Y456" s="34" t="s">
        <v>44</v>
      </c>
      <c r="Z456" s="102">
        <f t="shared" si="66"/>
        <v>24</v>
      </c>
      <c r="AA456" s="52">
        <f t="shared" si="76"/>
        <v>1063688743</v>
      </c>
      <c r="AB456" s="41">
        <f t="shared" si="70"/>
        <v>66.666666666666657</v>
      </c>
      <c r="AC456" s="34" t="s">
        <v>44</v>
      </c>
      <c r="AD456" s="90">
        <f t="shared" si="71"/>
        <v>77.563070195318474</v>
      </c>
      <c r="AE456" s="17"/>
      <c r="AF456" s="2"/>
      <c r="AG456" s="2"/>
      <c r="AH456" s="55"/>
      <c r="AI456" s="2"/>
      <c r="AJ456" s="2"/>
      <c r="AK456" s="2"/>
    </row>
    <row r="457" spans="1:37" ht="75">
      <c r="A457" s="43"/>
      <c r="B457" s="39"/>
      <c r="C457" s="46" t="s">
        <v>616</v>
      </c>
      <c r="D457" s="47" t="s">
        <v>600</v>
      </c>
      <c r="E457" s="48">
        <v>36</v>
      </c>
      <c r="F457" s="49" t="s">
        <v>62</v>
      </c>
      <c r="G457" s="91">
        <v>1199680000</v>
      </c>
      <c r="H457" s="101">
        <v>12</v>
      </c>
      <c r="I457" s="50">
        <v>19968000</v>
      </c>
      <c r="J457" s="34">
        <v>12</v>
      </c>
      <c r="K457" s="50">
        <v>688822394</v>
      </c>
      <c r="L457" s="131">
        <v>3</v>
      </c>
      <c r="M457" s="78">
        <v>67502210</v>
      </c>
      <c r="N457" s="108">
        <v>3</v>
      </c>
      <c r="O457" s="78">
        <v>124075338</v>
      </c>
      <c r="P457" s="108">
        <v>3</v>
      </c>
      <c r="Q457" s="78">
        <v>170842115</v>
      </c>
      <c r="R457" s="118">
        <v>3</v>
      </c>
      <c r="S457" s="107">
        <v>279654441</v>
      </c>
      <c r="T457" s="102">
        <f t="shared" si="74"/>
        <v>12</v>
      </c>
      <c r="U457" s="60">
        <f t="shared" si="67"/>
        <v>100</v>
      </c>
      <c r="V457" s="34" t="s">
        <v>44</v>
      </c>
      <c r="W457" s="52">
        <f t="shared" si="73"/>
        <v>642074104</v>
      </c>
      <c r="X457" s="60">
        <f t="shared" si="75"/>
        <v>93.21330281837497</v>
      </c>
      <c r="Y457" s="34" t="s">
        <v>44</v>
      </c>
      <c r="Z457" s="102">
        <f t="shared" si="66"/>
        <v>24</v>
      </c>
      <c r="AA457" s="52">
        <f t="shared" si="76"/>
        <v>662042104</v>
      </c>
      <c r="AB457" s="41">
        <f t="shared" si="70"/>
        <v>66.666666666666657</v>
      </c>
      <c r="AC457" s="34" t="s">
        <v>44</v>
      </c>
      <c r="AD457" s="90">
        <f t="shared" si="71"/>
        <v>55.184891304347829</v>
      </c>
      <c r="AE457" s="17"/>
      <c r="AF457" s="2"/>
      <c r="AG457" s="2"/>
      <c r="AH457" s="55"/>
      <c r="AI457" s="2"/>
      <c r="AJ457" s="2"/>
      <c r="AK457" s="2"/>
    </row>
    <row r="458" spans="1:37" ht="75">
      <c r="A458" s="43"/>
      <c r="B458" s="39"/>
      <c r="C458" s="46" t="s">
        <v>617</v>
      </c>
      <c r="D458" s="47" t="s">
        <v>600</v>
      </c>
      <c r="E458" s="48">
        <v>36</v>
      </c>
      <c r="F458" s="49" t="s">
        <v>62</v>
      </c>
      <c r="G458" s="91">
        <v>1904008613</v>
      </c>
      <c r="H458" s="101">
        <v>12</v>
      </c>
      <c r="I458" s="50">
        <v>660677639</v>
      </c>
      <c r="J458" s="34">
        <v>12</v>
      </c>
      <c r="K458" s="50">
        <v>712523575</v>
      </c>
      <c r="L458" s="33">
        <v>3</v>
      </c>
      <c r="M458" s="50">
        <v>73146500</v>
      </c>
      <c r="N458" s="51">
        <v>3</v>
      </c>
      <c r="O458" s="50">
        <v>91032894</v>
      </c>
      <c r="P458" s="51">
        <v>3</v>
      </c>
      <c r="Q458" s="50">
        <v>178178138</v>
      </c>
      <c r="R458" s="112">
        <v>3</v>
      </c>
      <c r="S458" s="107">
        <v>309241178</v>
      </c>
      <c r="T458" s="102">
        <f t="shared" si="74"/>
        <v>12</v>
      </c>
      <c r="U458" s="60">
        <f t="shared" si="67"/>
        <v>100</v>
      </c>
      <c r="V458" s="34" t="s">
        <v>44</v>
      </c>
      <c r="W458" s="52">
        <f t="shared" si="73"/>
        <v>651598710</v>
      </c>
      <c r="X458" s="60">
        <f t="shared" si="75"/>
        <v>91.449424673422214</v>
      </c>
      <c r="Y458" s="34" t="s">
        <v>44</v>
      </c>
      <c r="Z458" s="102">
        <f t="shared" si="66"/>
        <v>24</v>
      </c>
      <c r="AA458" s="52">
        <f t="shared" si="76"/>
        <v>1312276349</v>
      </c>
      <c r="AB458" s="41">
        <f t="shared" si="70"/>
        <v>66.666666666666657</v>
      </c>
      <c r="AC458" s="34" t="s">
        <v>44</v>
      </c>
      <c r="AD458" s="90">
        <f t="shared" si="71"/>
        <v>68.921765376488878</v>
      </c>
      <c r="AE458" s="17"/>
      <c r="AF458" s="2"/>
      <c r="AG458" s="2"/>
      <c r="AH458" s="55"/>
      <c r="AI458" s="2"/>
      <c r="AJ458" s="2"/>
      <c r="AK458" s="2"/>
    </row>
    <row r="459" spans="1:37" ht="75">
      <c r="A459" s="43"/>
      <c r="B459" s="39"/>
      <c r="C459" s="46" t="s">
        <v>618</v>
      </c>
      <c r="D459" s="47" t="s">
        <v>600</v>
      </c>
      <c r="E459" s="48">
        <v>36</v>
      </c>
      <c r="F459" s="49" t="s">
        <v>62</v>
      </c>
      <c r="G459" s="91">
        <v>2277291643</v>
      </c>
      <c r="H459" s="101">
        <v>12</v>
      </c>
      <c r="I459" s="50">
        <v>754090515</v>
      </c>
      <c r="J459" s="34">
        <v>12</v>
      </c>
      <c r="K459" s="50">
        <v>772704500</v>
      </c>
      <c r="L459" s="33">
        <v>3</v>
      </c>
      <c r="M459" s="50">
        <v>83681670</v>
      </c>
      <c r="N459" s="51">
        <v>3</v>
      </c>
      <c r="O459" s="50">
        <v>125846680</v>
      </c>
      <c r="P459" s="51">
        <v>3</v>
      </c>
      <c r="Q459" s="50">
        <v>232103530</v>
      </c>
      <c r="R459" s="112">
        <v>3</v>
      </c>
      <c r="S459" s="107">
        <v>265569353</v>
      </c>
      <c r="T459" s="102">
        <f t="shared" si="74"/>
        <v>12</v>
      </c>
      <c r="U459" s="60">
        <f t="shared" si="67"/>
        <v>100</v>
      </c>
      <c r="V459" s="34" t="s">
        <v>44</v>
      </c>
      <c r="W459" s="52">
        <f t="shared" si="73"/>
        <v>707201233</v>
      </c>
      <c r="X459" s="60">
        <f t="shared" si="75"/>
        <v>91.522856797132661</v>
      </c>
      <c r="Y459" s="34" t="s">
        <v>44</v>
      </c>
      <c r="Z459" s="102">
        <f t="shared" si="66"/>
        <v>24</v>
      </c>
      <c r="AA459" s="52">
        <f t="shared" si="76"/>
        <v>1461291748</v>
      </c>
      <c r="AB459" s="41">
        <f t="shared" si="70"/>
        <v>66.666666666666657</v>
      </c>
      <c r="AC459" s="34" t="s">
        <v>44</v>
      </c>
      <c r="AD459" s="90">
        <f t="shared" si="71"/>
        <v>64.167966913318182</v>
      </c>
      <c r="AE459" s="17"/>
      <c r="AF459" s="2"/>
      <c r="AG459" s="2"/>
      <c r="AH459" s="55"/>
      <c r="AI459" s="2"/>
      <c r="AJ459" s="2"/>
      <c r="AK459" s="2"/>
    </row>
    <row r="460" spans="1:37" ht="75">
      <c r="A460" s="43"/>
      <c r="B460" s="39"/>
      <c r="C460" s="46" t="s">
        <v>619</v>
      </c>
      <c r="D460" s="47" t="s">
        <v>600</v>
      </c>
      <c r="E460" s="48">
        <v>36</v>
      </c>
      <c r="F460" s="49" t="s">
        <v>62</v>
      </c>
      <c r="G460" s="91">
        <v>1797181030</v>
      </c>
      <c r="H460" s="101">
        <v>12</v>
      </c>
      <c r="I460" s="50">
        <v>624397350</v>
      </c>
      <c r="J460" s="34">
        <v>12</v>
      </c>
      <c r="K460" s="50">
        <v>719217955</v>
      </c>
      <c r="L460" s="33">
        <v>3</v>
      </c>
      <c r="M460" s="103" t="s">
        <v>229</v>
      </c>
      <c r="N460" s="51">
        <v>3</v>
      </c>
      <c r="O460" s="50">
        <v>118409633</v>
      </c>
      <c r="P460" s="51">
        <v>3</v>
      </c>
      <c r="Q460" s="50">
        <v>108418260</v>
      </c>
      <c r="R460" s="101">
        <v>3</v>
      </c>
      <c r="S460" s="50">
        <v>340878997</v>
      </c>
      <c r="T460" s="102">
        <f t="shared" si="74"/>
        <v>12</v>
      </c>
      <c r="U460" s="60">
        <f t="shared" si="67"/>
        <v>100</v>
      </c>
      <c r="V460" s="34" t="s">
        <v>44</v>
      </c>
      <c r="W460" s="52">
        <f t="shared" si="73"/>
        <v>567706890</v>
      </c>
      <c r="X460" s="60">
        <f t="shared" si="75"/>
        <v>78.933915102272451</v>
      </c>
      <c r="Y460" s="34" t="s">
        <v>44</v>
      </c>
      <c r="Z460" s="102">
        <f t="shared" si="66"/>
        <v>24</v>
      </c>
      <c r="AA460" s="52">
        <f t="shared" si="76"/>
        <v>1192104240</v>
      </c>
      <c r="AB460" s="41">
        <f t="shared" si="70"/>
        <v>66.666666666666657</v>
      </c>
      <c r="AC460" s="34" t="s">
        <v>44</v>
      </c>
      <c r="AD460" s="90">
        <f t="shared" si="71"/>
        <v>66.331895346124369</v>
      </c>
      <c r="AE460" s="17"/>
      <c r="AF460" s="2"/>
      <c r="AG460" s="2"/>
      <c r="AH460" s="55"/>
      <c r="AI460" s="2"/>
      <c r="AJ460" s="2"/>
      <c r="AK460" s="2"/>
    </row>
    <row r="461" spans="1:37" ht="75">
      <c r="A461" s="43"/>
      <c r="B461" s="39"/>
      <c r="C461" s="46" t="s">
        <v>620</v>
      </c>
      <c r="D461" s="47" t="s">
        <v>600</v>
      </c>
      <c r="E461" s="48">
        <v>36</v>
      </c>
      <c r="F461" s="49" t="s">
        <v>62</v>
      </c>
      <c r="G461" s="91">
        <v>1864747538</v>
      </c>
      <c r="H461" s="101">
        <v>12</v>
      </c>
      <c r="I461" s="50">
        <v>555435625</v>
      </c>
      <c r="J461" s="34">
        <v>12</v>
      </c>
      <c r="K461" s="50">
        <v>663498275</v>
      </c>
      <c r="L461" s="33">
        <v>3</v>
      </c>
      <c r="M461" s="50">
        <v>78830058</v>
      </c>
      <c r="N461" s="51">
        <v>3</v>
      </c>
      <c r="O461" s="50">
        <v>223894960</v>
      </c>
      <c r="P461" s="51">
        <v>3</v>
      </c>
      <c r="Q461" s="50">
        <v>117497795</v>
      </c>
      <c r="R461" s="101">
        <v>3</v>
      </c>
      <c r="S461" s="50">
        <v>161267445</v>
      </c>
      <c r="T461" s="102">
        <f t="shared" si="74"/>
        <v>12</v>
      </c>
      <c r="U461" s="60">
        <f t="shared" si="67"/>
        <v>100</v>
      </c>
      <c r="V461" s="34" t="s">
        <v>44</v>
      </c>
      <c r="W461" s="52">
        <f t="shared" si="73"/>
        <v>581490258</v>
      </c>
      <c r="X461" s="60">
        <f t="shared" si="75"/>
        <v>87.64005573337775</v>
      </c>
      <c r="Y461" s="34" t="s">
        <v>44</v>
      </c>
      <c r="Z461" s="102">
        <f t="shared" si="66"/>
        <v>24</v>
      </c>
      <c r="AA461" s="52">
        <f t="shared" si="76"/>
        <v>1136925883</v>
      </c>
      <c r="AB461" s="41">
        <f t="shared" si="70"/>
        <v>66.666666666666657</v>
      </c>
      <c r="AC461" s="34" t="s">
        <v>44</v>
      </c>
      <c r="AD461" s="90">
        <f t="shared" si="71"/>
        <v>60.969426682787763</v>
      </c>
      <c r="AE461" s="17"/>
      <c r="AF461" s="2"/>
      <c r="AG461" s="2"/>
      <c r="AH461" s="55"/>
      <c r="AI461" s="2"/>
      <c r="AJ461" s="2"/>
      <c r="AK461" s="2"/>
    </row>
    <row r="462" spans="1:37" ht="75">
      <c r="A462" s="43"/>
      <c r="B462" s="39"/>
      <c r="C462" s="46" t="s">
        <v>621</v>
      </c>
      <c r="D462" s="47" t="s">
        <v>600</v>
      </c>
      <c r="E462" s="48">
        <v>36</v>
      </c>
      <c r="F462" s="49" t="s">
        <v>62</v>
      </c>
      <c r="G462" s="91">
        <v>1077211023</v>
      </c>
      <c r="H462" s="101">
        <v>12</v>
      </c>
      <c r="I462" s="50">
        <v>295293967</v>
      </c>
      <c r="J462" s="34">
        <v>12</v>
      </c>
      <c r="K462" s="50">
        <v>395425544</v>
      </c>
      <c r="L462" s="33">
        <v>3</v>
      </c>
      <c r="M462" s="103" t="s">
        <v>749</v>
      </c>
      <c r="N462" s="51">
        <v>3</v>
      </c>
      <c r="O462" s="50">
        <v>81072750</v>
      </c>
      <c r="P462" s="51">
        <v>3</v>
      </c>
      <c r="Q462" s="50">
        <v>78256810</v>
      </c>
      <c r="R462" s="112">
        <v>3</v>
      </c>
      <c r="S462" s="107">
        <v>207247596</v>
      </c>
      <c r="T462" s="102">
        <f t="shared" si="74"/>
        <v>12</v>
      </c>
      <c r="U462" s="60">
        <f t="shared" si="67"/>
        <v>100</v>
      </c>
      <c r="V462" s="34" t="s">
        <v>44</v>
      </c>
      <c r="W462" s="52">
        <f t="shared" si="73"/>
        <v>366577156</v>
      </c>
      <c r="X462" s="60">
        <f t="shared" si="75"/>
        <v>92.704470300987936</v>
      </c>
      <c r="Y462" s="34" t="s">
        <v>44</v>
      </c>
      <c r="Z462" s="102">
        <f t="shared" si="66"/>
        <v>24</v>
      </c>
      <c r="AA462" s="52">
        <f t="shared" si="76"/>
        <v>661871123</v>
      </c>
      <c r="AB462" s="41">
        <f t="shared" si="70"/>
        <v>66.666666666666657</v>
      </c>
      <c r="AC462" s="34" t="s">
        <v>44</v>
      </c>
      <c r="AD462" s="90">
        <f t="shared" si="71"/>
        <v>61.443032875462876</v>
      </c>
      <c r="AE462" s="17"/>
      <c r="AF462" s="2"/>
      <c r="AG462" s="2"/>
      <c r="AH462" s="55"/>
      <c r="AI462" s="2"/>
      <c r="AJ462" s="2"/>
      <c r="AK462" s="2"/>
    </row>
    <row r="463" spans="1:37" ht="105">
      <c r="A463" s="43"/>
      <c r="B463" s="39"/>
      <c r="C463" s="132" t="s">
        <v>622</v>
      </c>
      <c r="D463" s="47" t="s">
        <v>623</v>
      </c>
      <c r="E463" s="133">
        <v>36</v>
      </c>
      <c r="F463" s="49" t="s">
        <v>62</v>
      </c>
      <c r="G463" s="94">
        <v>3411376000</v>
      </c>
      <c r="H463" s="133">
        <v>12</v>
      </c>
      <c r="I463" s="94">
        <v>1444297706</v>
      </c>
      <c r="J463" s="15">
        <v>12</v>
      </c>
      <c r="K463" s="94">
        <v>574700000</v>
      </c>
      <c r="L463" s="134">
        <v>3</v>
      </c>
      <c r="M463" s="94">
        <v>0</v>
      </c>
      <c r="N463" s="133">
        <v>3</v>
      </c>
      <c r="O463" s="94">
        <v>500000000</v>
      </c>
      <c r="P463" s="133">
        <v>3</v>
      </c>
      <c r="Q463" s="50">
        <f>503624116-O463</f>
        <v>3624116</v>
      </c>
      <c r="R463" s="133">
        <v>3</v>
      </c>
      <c r="S463" s="94">
        <f>525285216-O463-Q463</f>
        <v>21661100</v>
      </c>
      <c r="T463" s="134">
        <f t="shared" si="74"/>
        <v>12</v>
      </c>
      <c r="U463" s="75">
        <f t="shared" si="67"/>
        <v>100</v>
      </c>
      <c r="V463" s="75" t="s">
        <v>44</v>
      </c>
      <c r="W463" s="73">
        <f t="shared" si="73"/>
        <v>525285216</v>
      </c>
      <c r="X463" s="74">
        <f t="shared" si="75"/>
        <v>91.401638420045245</v>
      </c>
      <c r="Y463" s="75" t="s">
        <v>44</v>
      </c>
      <c r="Z463" s="134">
        <f t="shared" si="66"/>
        <v>24</v>
      </c>
      <c r="AA463" s="73">
        <f t="shared" si="76"/>
        <v>1969582922</v>
      </c>
      <c r="AB463" s="41">
        <f t="shared" si="70"/>
        <v>66.666666666666657</v>
      </c>
      <c r="AC463" s="34" t="s">
        <v>44</v>
      </c>
      <c r="AD463" s="90">
        <f t="shared" si="71"/>
        <v>57.735732502075408</v>
      </c>
      <c r="AE463" s="17"/>
      <c r="AF463" s="2"/>
      <c r="AG463" s="2"/>
      <c r="AH463" s="55"/>
      <c r="AI463" s="2"/>
      <c r="AJ463" s="2"/>
      <c r="AK463" s="2"/>
    </row>
    <row r="464" spans="1:37" ht="120">
      <c r="A464" s="43"/>
      <c r="B464" s="39"/>
      <c r="C464" s="47" t="s">
        <v>624</v>
      </c>
      <c r="D464" s="132" t="s">
        <v>625</v>
      </c>
      <c r="E464" s="133">
        <v>12</v>
      </c>
      <c r="F464" s="135" t="s">
        <v>139</v>
      </c>
      <c r="G464" s="94">
        <v>1379400000</v>
      </c>
      <c r="H464" s="136">
        <v>0</v>
      </c>
      <c r="I464" s="137">
        <v>0</v>
      </c>
      <c r="J464" s="15">
        <v>12</v>
      </c>
      <c r="K464" s="94">
        <v>715050000</v>
      </c>
      <c r="L464" s="134">
        <v>0</v>
      </c>
      <c r="M464" s="94">
        <v>0</v>
      </c>
      <c r="N464" s="133">
        <v>0</v>
      </c>
      <c r="O464" s="94"/>
      <c r="P464" s="133">
        <v>0</v>
      </c>
      <c r="Q464" s="50">
        <v>0</v>
      </c>
      <c r="R464" s="133">
        <v>0</v>
      </c>
      <c r="S464" s="94">
        <v>0</v>
      </c>
      <c r="T464" s="134">
        <f t="shared" si="74"/>
        <v>0</v>
      </c>
      <c r="U464" s="75">
        <f t="shared" si="67"/>
        <v>0</v>
      </c>
      <c r="V464" s="75" t="s">
        <v>44</v>
      </c>
      <c r="W464" s="73">
        <f t="shared" si="73"/>
        <v>0</v>
      </c>
      <c r="X464" s="75">
        <f t="shared" si="75"/>
        <v>0</v>
      </c>
      <c r="Y464" s="75" t="s">
        <v>44</v>
      </c>
      <c r="Z464" s="134">
        <f t="shared" si="66"/>
        <v>0</v>
      </c>
      <c r="AA464" s="73">
        <f t="shared" si="76"/>
        <v>0</v>
      </c>
      <c r="AB464" s="41">
        <f t="shared" si="70"/>
        <v>0</v>
      </c>
      <c r="AC464" s="34" t="s">
        <v>44</v>
      </c>
      <c r="AD464" s="90">
        <f t="shared" si="71"/>
        <v>0</v>
      </c>
      <c r="AE464" s="17"/>
      <c r="AF464" s="2"/>
      <c r="AG464" s="2"/>
      <c r="AH464" s="55"/>
      <c r="AI464" s="2"/>
      <c r="AJ464" s="2"/>
      <c r="AK464" s="2"/>
    </row>
    <row r="465" spans="1:37" ht="225">
      <c r="A465" s="43"/>
      <c r="B465" s="39"/>
      <c r="C465" s="95" t="s">
        <v>626</v>
      </c>
      <c r="D465" s="96" t="s">
        <v>627</v>
      </c>
      <c r="E465" s="48">
        <v>100</v>
      </c>
      <c r="F465" s="49" t="s">
        <v>62</v>
      </c>
      <c r="G465" s="50">
        <v>6113740919</v>
      </c>
      <c r="H465" s="51">
        <v>100</v>
      </c>
      <c r="I465" s="50">
        <v>1903944100</v>
      </c>
      <c r="J465" s="59"/>
      <c r="K465" s="58"/>
      <c r="L465" s="129"/>
      <c r="M465" s="58"/>
      <c r="N465" s="59"/>
      <c r="O465" s="58"/>
      <c r="P465" s="59"/>
      <c r="Q465" s="50">
        <v>0</v>
      </c>
      <c r="R465" s="59"/>
      <c r="S465" s="58"/>
      <c r="T465" s="34"/>
      <c r="U465" s="34"/>
      <c r="V465" s="34"/>
      <c r="W465" s="52"/>
      <c r="X465" s="60"/>
      <c r="Y465" s="34"/>
      <c r="Z465" s="34">
        <f t="shared" si="66"/>
        <v>100</v>
      </c>
      <c r="AA465" s="52">
        <f t="shared" si="76"/>
        <v>1903944100</v>
      </c>
      <c r="AB465" s="41">
        <f t="shared" si="70"/>
        <v>100</v>
      </c>
      <c r="AC465" s="34" t="s">
        <v>44</v>
      </c>
      <c r="AD465" s="90">
        <f t="shared" si="71"/>
        <v>31.142047483284923</v>
      </c>
      <c r="AE465" s="17"/>
      <c r="AF465" s="2"/>
      <c r="AG465" s="2"/>
      <c r="AH465" s="55"/>
      <c r="AI465" s="2"/>
      <c r="AJ465" s="2"/>
      <c r="AK465" s="2"/>
    </row>
    <row r="466" spans="1:37" ht="148.5" customHeight="1">
      <c r="A466" s="43"/>
      <c r="B466" s="39" t="s">
        <v>168</v>
      </c>
      <c r="C466" s="23" t="s">
        <v>628</v>
      </c>
      <c r="D466" s="23" t="s">
        <v>170</v>
      </c>
      <c r="E466" s="38">
        <v>4</v>
      </c>
      <c r="F466" s="99" t="s">
        <v>44</v>
      </c>
      <c r="G466" s="67">
        <f>SUM(G467:G468)</f>
        <v>46738249</v>
      </c>
      <c r="H466" s="28">
        <v>0</v>
      </c>
      <c r="I466" s="67">
        <f>SUM(I467:I468)</f>
        <v>3935900</v>
      </c>
      <c r="J466" s="28">
        <v>4</v>
      </c>
      <c r="K466" s="67">
        <f>SUM(K467:K468)</f>
        <v>115749374</v>
      </c>
      <c r="L466" s="38">
        <v>0</v>
      </c>
      <c r="M466" s="67">
        <f>SUM(M467)</f>
        <v>0</v>
      </c>
      <c r="N466" s="38">
        <v>0</v>
      </c>
      <c r="O466" s="67">
        <f>SUM(O467)</f>
        <v>0</v>
      </c>
      <c r="P466" s="38">
        <v>0</v>
      </c>
      <c r="Q466" s="67">
        <f>Q467+Q468</f>
        <v>6107500</v>
      </c>
      <c r="R466" s="28">
        <v>0</v>
      </c>
      <c r="S466" s="67">
        <v>6107500</v>
      </c>
      <c r="T466" s="65">
        <f t="shared" ref="T466:T468" si="77">SUM(L466,N466,P466,R466)</f>
        <v>0</v>
      </c>
      <c r="U466" s="30">
        <f t="shared" ref="U466:U500" si="78">T466/J466*100</f>
        <v>0</v>
      </c>
      <c r="V466" s="30" t="s">
        <v>44</v>
      </c>
      <c r="W466" s="76">
        <f t="shared" ref="W466:W534" si="79">SUM(M466,O466,Q466,S466)</f>
        <v>12215000</v>
      </c>
      <c r="X466" s="30">
        <f t="shared" ref="X466:X534" si="80">W466/K466*100</f>
        <v>10.552972839403866</v>
      </c>
      <c r="Y466" s="30" t="s">
        <v>44</v>
      </c>
      <c r="Z466" s="30">
        <f t="shared" si="66"/>
        <v>0</v>
      </c>
      <c r="AA466" s="76">
        <f t="shared" si="76"/>
        <v>16150900</v>
      </c>
      <c r="AB466" s="41">
        <f t="shared" si="70"/>
        <v>0</v>
      </c>
      <c r="AC466" s="34" t="s">
        <v>44</v>
      </c>
      <c r="AD466" s="90">
        <f t="shared" si="71"/>
        <v>34.556065632668435</v>
      </c>
      <c r="AE466" s="42"/>
      <c r="AF466" s="36"/>
      <c r="AG466" s="36"/>
      <c r="AH466" s="37"/>
      <c r="AI466" s="36"/>
      <c r="AJ466" s="36"/>
      <c r="AK466" s="36"/>
    </row>
    <row r="467" spans="1:37" ht="90">
      <c r="A467" s="43"/>
      <c r="B467" s="39" t="s">
        <v>629</v>
      </c>
      <c r="C467" s="47" t="s">
        <v>630</v>
      </c>
      <c r="D467" s="47" t="s">
        <v>631</v>
      </c>
      <c r="E467" s="48">
        <f>21*3</f>
        <v>63</v>
      </c>
      <c r="F467" s="49" t="s">
        <v>62</v>
      </c>
      <c r="G467" s="91">
        <v>12630500</v>
      </c>
      <c r="H467" s="51">
        <v>21</v>
      </c>
      <c r="I467" s="50">
        <v>3935900</v>
      </c>
      <c r="J467" s="51">
        <v>21</v>
      </c>
      <c r="K467" s="50">
        <v>4512500</v>
      </c>
      <c r="L467" s="33">
        <v>21</v>
      </c>
      <c r="M467" s="50">
        <v>0</v>
      </c>
      <c r="N467" s="51">
        <v>21</v>
      </c>
      <c r="O467" s="50">
        <v>0</v>
      </c>
      <c r="P467" s="51">
        <v>21</v>
      </c>
      <c r="Q467" s="50">
        <v>3282500</v>
      </c>
      <c r="R467" s="51">
        <v>21</v>
      </c>
      <c r="S467" s="50">
        <v>800000</v>
      </c>
      <c r="T467" s="33">
        <f>AVERAGE(L467,N467,P467,R467)</f>
        <v>21</v>
      </c>
      <c r="U467" s="34">
        <f t="shared" si="78"/>
        <v>100</v>
      </c>
      <c r="V467" s="34" t="s">
        <v>44</v>
      </c>
      <c r="W467" s="52">
        <f t="shared" si="79"/>
        <v>4082500</v>
      </c>
      <c r="X467" s="34">
        <f t="shared" si="80"/>
        <v>90.470914127423825</v>
      </c>
      <c r="Y467" s="34" t="s">
        <v>44</v>
      </c>
      <c r="Z467" s="34">
        <f t="shared" si="66"/>
        <v>42</v>
      </c>
      <c r="AA467" s="52">
        <f t="shared" si="76"/>
        <v>8018400</v>
      </c>
      <c r="AB467" s="41">
        <f t="shared" si="70"/>
        <v>66.666666666666657</v>
      </c>
      <c r="AC467" s="34" t="s">
        <v>44</v>
      </c>
      <c r="AD467" s="90">
        <f t="shared" si="71"/>
        <v>63.484422627766122</v>
      </c>
      <c r="AE467" s="17"/>
      <c r="AF467" s="2"/>
      <c r="AG467" s="2"/>
      <c r="AH467" s="55"/>
      <c r="AI467" s="2"/>
      <c r="AJ467" s="2"/>
      <c r="AK467" s="2"/>
    </row>
    <row r="468" spans="1:37" ht="120">
      <c r="A468" s="43"/>
      <c r="B468" s="39" t="s">
        <v>632</v>
      </c>
      <c r="C468" s="47" t="s">
        <v>633</v>
      </c>
      <c r="D468" s="47" t="s">
        <v>634</v>
      </c>
      <c r="E468" s="48">
        <v>5</v>
      </c>
      <c r="F468" s="49" t="s">
        <v>139</v>
      </c>
      <c r="G468" s="91">
        <f>20343749+13764000</f>
        <v>34107749</v>
      </c>
      <c r="H468" s="59"/>
      <c r="I468" s="58"/>
      <c r="J468" s="51">
        <v>13</v>
      </c>
      <c r="K468" s="50">
        <v>111236874</v>
      </c>
      <c r="L468" s="33">
        <v>0</v>
      </c>
      <c r="M468" s="50">
        <v>0</v>
      </c>
      <c r="N468" s="51">
        <v>0</v>
      </c>
      <c r="O468" s="50">
        <v>0</v>
      </c>
      <c r="P468" s="51">
        <v>1</v>
      </c>
      <c r="Q468" s="50">
        <v>2825000</v>
      </c>
      <c r="R468" s="51">
        <v>12</v>
      </c>
      <c r="S468" s="50">
        <f>94025000-Q468</f>
        <v>91200000</v>
      </c>
      <c r="T468" s="33">
        <f t="shared" si="77"/>
        <v>13</v>
      </c>
      <c r="U468" s="34">
        <f t="shared" si="78"/>
        <v>100</v>
      </c>
      <c r="V468" s="34" t="s">
        <v>44</v>
      </c>
      <c r="W468" s="52">
        <f t="shared" si="79"/>
        <v>94025000</v>
      </c>
      <c r="X468" s="34">
        <f t="shared" si="80"/>
        <v>84.526826958477812</v>
      </c>
      <c r="Y468" s="34" t="s">
        <v>44</v>
      </c>
      <c r="Z468" s="34">
        <f t="shared" si="66"/>
        <v>13</v>
      </c>
      <c r="AA468" s="52">
        <f t="shared" si="76"/>
        <v>94025000</v>
      </c>
      <c r="AB468" s="41">
        <f t="shared" si="70"/>
        <v>260</v>
      </c>
      <c r="AC468" s="34" t="s">
        <v>44</v>
      </c>
      <c r="AD468" s="90">
        <f t="shared" si="71"/>
        <v>275.6704935291977</v>
      </c>
      <c r="AE468" s="17"/>
      <c r="AF468" s="2"/>
      <c r="AG468" s="2"/>
      <c r="AH468" s="55"/>
      <c r="AI468" s="2"/>
      <c r="AJ468" s="2"/>
      <c r="AK468" s="2"/>
    </row>
    <row r="469" spans="1:37" ht="198.75" customHeight="1">
      <c r="A469" s="43"/>
      <c r="B469" s="39" t="s">
        <v>168</v>
      </c>
      <c r="C469" s="23" t="s">
        <v>635</v>
      </c>
      <c r="D469" s="23" t="s">
        <v>170</v>
      </c>
      <c r="E469" s="38">
        <v>4</v>
      </c>
      <c r="F469" s="99" t="s">
        <v>636</v>
      </c>
      <c r="G469" s="67">
        <f>SUM(G470:G471)</f>
        <v>1890415300</v>
      </c>
      <c r="H469" s="28">
        <v>0</v>
      </c>
      <c r="I469" s="67">
        <f>SUM(I470:I471)</f>
        <v>902414050</v>
      </c>
      <c r="J469" s="28">
        <v>4</v>
      </c>
      <c r="K469" s="67">
        <f>SUM(K470:K471)</f>
        <v>533863400</v>
      </c>
      <c r="L469" s="28">
        <v>0</v>
      </c>
      <c r="M469" s="67">
        <f>SUM(M470:M471)</f>
        <v>0</v>
      </c>
      <c r="N469" s="28">
        <v>0</v>
      </c>
      <c r="O469" s="67">
        <f>O470+O471</f>
        <v>53740000</v>
      </c>
      <c r="P469" s="28">
        <v>0</v>
      </c>
      <c r="Q469" s="67">
        <f>Q470+Q471</f>
        <v>179601060</v>
      </c>
      <c r="R469" s="28">
        <v>0</v>
      </c>
      <c r="S469" s="67">
        <v>233341060</v>
      </c>
      <c r="T469" s="30">
        <f t="shared" ref="T469:T491" si="81">AVERAGE(L469,N469,P469,R469)</f>
        <v>0</v>
      </c>
      <c r="U469" s="30">
        <f t="shared" si="78"/>
        <v>0</v>
      </c>
      <c r="V469" s="30" t="s">
        <v>44</v>
      </c>
      <c r="W469" s="76">
        <f t="shared" si="79"/>
        <v>466682120</v>
      </c>
      <c r="X469" s="40">
        <f t="shared" si="80"/>
        <v>87.416016906197356</v>
      </c>
      <c r="Y469" s="30" t="s">
        <v>44</v>
      </c>
      <c r="Z469" s="30">
        <f t="shared" si="66"/>
        <v>0</v>
      </c>
      <c r="AA469" s="76">
        <f t="shared" si="76"/>
        <v>1369096170</v>
      </c>
      <c r="AB469" s="41">
        <f t="shared" si="70"/>
        <v>0</v>
      </c>
      <c r="AC469" s="34" t="s">
        <v>44</v>
      </c>
      <c r="AD469" s="90">
        <f t="shared" si="71"/>
        <v>72.423036885069649</v>
      </c>
      <c r="AE469" s="42"/>
      <c r="AF469" s="36"/>
      <c r="AG469" s="36"/>
      <c r="AH469" s="37"/>
      <c r="AI469" s="36"/>
      <c r="AJ469" s="36"/>
      <c r="AK469" s="36"/>
    </row>
    <row r="470" spans="1:37" ht="195">
      <c r="A470" s="43"/>
      <c r="B470" s="39"/>
      <c r="C470" s="47" t="s">
        <v>637</v>
      </c>
      <c r="D470" s="47" t="s">
        <v>638</v>
      </c>
      <c r="E470" s="48">
        <v>26</v>
      </c>
      <c r="F470" s="77" t="s">
        <v>139</v>
      </c>
      <c r="G470" s="91">
        <v>1163540400</v>
      </c>
      <c r="H470" s="51">
        <v>26</v>
      </c>
      <c r="I470" s="50">
        <v>487941800</v>
      </c>
      <c r="J470" s="51">
        <v>26</v>
      </c>
      <c r="K470" s="50">
        <v>392767400</v>
      </c>
      <c r="L470" s="33">
        <v>26</v>
      </c>
      <c r="M470" s="50">
        <v>0</v>
      </c>
      <c r="N470" s="51">
        <v>26</v>
      </c>
      <c r="O470" s="50">
        <v>0</v>
      </c>
      <c r="P470" s="51">
        <v>26</v>
      </c>
      <c r="Q470" s="50">
        <v>162691060</v>
      </c>
      <c r="R470" s="51">
        <v>26</v>
      </c>
      <c r="S470" s="50">
        <f>332615060-Q470</f>
        <v>169924000</v>
      </c>
      <c r="T470" s="33">
        <f t="shared" si="81"/>
        <v>26</v>
      </c>
      <c r="U470" s="34">
        <f t="shared" si="78"/>
        <v>100</v>
      </c>
      <c r="V470" s="34" t="s">
        <v>44</v>
      </c>
      <c r="W470" s="52">
        <f t="shared" si="79"/>
        <v>332615060</v>
      </c>
      <c r="X470" s="60">
        <f t="shared" si="80"/>
        <v>84.684996769080129</v>
      </c>
      <c r="Y470" s="34" t="s">
        <v>44</v>
      </c>
      <c r="Z470" s="34">
        <f t="shared" si="66"/>
        <v>52</v>
      </c>
      <c r="AA470" s="52">
        <f t="shared" si="76"/>
        <v>820556860</v>
      </c>
      <c r="AB470" s="41">
        <f t="shared" si="70"/>
        <v>200</v>
      </c>
      <c r="AC470" s="34" t="s">
        <v>44</v>
      </c>
      <c r="AD470" s="90">
        <f t="shared" si="71"/>
        <v>70.52242105216115</v>
      </c>
      <c r="AE470" s="17"/>
      <c r="AF470" s="2"/>
      <c r="AG470" s="2"/>
      <c r="AH470" s="55"/>
      <c r="AI470" s="2"/>
      <c r="AJ470" s="2"/>
      <c r="AK470" s="2"/>
    </row>
    <row r="471" spans="1:37" ht="150">
      <c r="A471" s="43"/>
      <c r="B471" s="39"/>
      <c r="C471" s="138" t="s">
        <v>639</v>
      </c>
      <c r="D471" s="138" t="s">
        <v>640</v>
      </c>
      <c r="E471" s="139">
        <v>26</v>
      </c>
      <c r="F471" s="77" t="s">
        <v>139</v>
      </c>
      <c r="G471" s="140">
        <v>726874900</v>
      </c>
      <c r="H471" s="141">
        <v>24</v>
      </c>
      <c r="I471" s="142">
        <v>414472250</v>
      </c>
      <c r="J471" s="141">
        <v>24</v>
      </c>
      <c r="K471" s="142">
        <v>141096000</v>
      </c>
      <c r="L471" s="143">
        <v>24</v>
      </c>
      <c r="M471" s="142">
        <v>0</v>
      </c>
      <c r="N471" s="141">
        <v>24</v>
      </c>
      <c r="O471" s="142">
        <v>53740000</v>
      </c>
      <c r="P471" s="141">
        <v>24</v>
      </c>
      <c r="Q471" s="50">
        <f>70650000-O471</f>
        <v>16910000</v>
      </c>
      <c r="R471" s="141">
        <v>24</v>
      </c>
      <c r="S471" s="142">
        <f>100560000-O471-Q471</f>
        <v>29910000</v>
      </c>
      <c r="T471" s="143">
        <f t="shared" si="81"/>
        <v>24</v>
      </c>
      <c r="U471" s="144">
        <f t="shared" si="78"/>
        <v>100</v>
      </c>
      <c r="V471" s="144" t="s">
        <v>44</v>
      </c>
      <c r="W471" s="145">
        <f t="shared" si="79"/>
        <v>100560000</v>
      </c>
      <c r="X471" s="146">
        <f t="shared" si="80"/>
        <v>71.270624255825823</v>
      </c>
      <c r="Y471" s="144" t="s">
        <v>44</v>
      </c>
      <c r="Z471" s="144">
        <f t="shared" si="66"/>
        <v>48</v>
      </c>
      <c r="AA471" s="145">
        <f t="shared" si="76"/>
        <v>515032250</v>
      </c>
      <c r="AB471" s="41">
        <f t="shared" si="70"/>
        <v>184.61538461538461</v>
      </c>
      <c r="AC471" s="34" t="s">
        <v>44</v>
      </c>
      <c r="AD471" s="90">
        <f t="shared" si="71"/>
        <v>70.855693324944909</v>
      </c>
      <c r="AE471" s="17"/>
      <c r="AF471" s="2"/>
      <c r="AG471" s="2"/>
      <c r="AH471" s="55"/>
      <c r="AI471" s="2"/>
      <c r="AJ471" s="2"/>
      <c r="AK471" s="2"/>
    </row>
    <row r="472" spans="1:37" ht="102.75" customHeight="1">
      <c r="A472" s="43"/>
      <c r="B472" s="39" t="s">
        <v>166</v>
      </c>
      <c r="C472" s="23" t="s">
        <v>641</v>
      </c>
      <c r="D472" s="23" t="s">
        <v>167</v>
      </c>
      <c r="E472" s="38">
        <v>100</v>
      </c>
      <c r="F472" s="26" t="s">
        <v>44</v>
      </c>
      <c r="G472" s="67">
        <f>G473+G496</f>
        <v>32412752478</v>
      </c>
      <c r="H472" s="79">
        <v>100</v>
      </c>
      <c r="I472" s="67">
        <f>I473+I496</f>
        <v>15894069585</v>
      </c>
      <c r="J472" s="30">
        <v>100</v>
      </c>
      <c r="K472" s="67">
        <f>K473+K496</f>
        <v>11460626375</v>
      </c>
      <c r="L472" s="65">
        <v>100</v>
      </c>
      <c r="M472" s="67">
        <f>M473+M496</f>
        <v>816018388</v>
      </c>
      <c r="N472" s="67">
        <v>100</v>
      </c>
      <c r="O472" s="67">
        <f>O473+O496</f>
        <v>2175774065</v>
      </c>
      <c r="P472" s="67">
        <v>100</v>
      </c>
      <c r="Q472" s="67">
        <f t="shared" ref="Q472:S472" si="82">Q473+Q496</f>
        <v>1240749250</v>
      </c>
      <c r="R472" s="67">
        <v>100</v>
      </c>
      <c r="S472" s="67">
        <f t="shared" si="82"/>
        <v>4621841565</v>
      </c>
      <c r="T472" s="65">
        <f t="shared" si="81"/>
        <v>100</v>
      </c>
      <c r="U472" s="30">
        <f t="shared" si="78"/>
        <v>100</v>
      </c>
      <c r="V472" s="30" t="s">
        <v>44</v>
      </c>
      <c r="W472" s="76">
        <f t="shared" si="79"/>
        <v>8854383268</v>
      </c>
      <c r="X472" s="40">
        <f t="shared" si="80"/>
        <v>77.259156509235737</v>
      </c>
      <c r="Y472" s="30" t="s">
        <v>44</v>
      </c>
      <c r="Z472" s="40">
        <f t="shared" si="66"/>
        <v>200</v>
      </c>
      <c r="AA472" s="76">
        <f t="shared" si="76"/>
        <v>24748452853</v>
      </c>
      <c r="AB472" s="41">
        <f t="shared" si="70"/>
        <v>200</v>
      </c>
      <c r="AC472" s="34" t="s">
        <v>44</v>
      </c>
      <c r="AD472" s="90">
        <f t="shared" si="71"/>
        <v>76.354061167122083</v>
      </c>
      <c r="AE472" s="42"/>
      <c r="AF472" s="36"/>
      <c r="AG472" s="36"/>
      <c r="AH472" s="37"/>
      <c r="AI472" s="36"/>
      <c r="AJ472" s="36"/>
      <c r="AK472" s="36"/>
    </row>
    <row r="473" spans="1:37" ht="266.25" customHeight="1">
      <c r="A473" s="43"/>
      <c r="B473" s="39" t="s">
        <v>642</v>
      </c>
      <c r="C473" s="23" t="s">
        <v>643</v>
      </c>
      <c r="D473" s="23" t="s">
        <v>644</v>
      </c>
      <c r="E473" s="38" t="s">
        <v>645</v>
      </c>
      <c r="F473" s="26"/>
      <c r="G473" s="67">
        <f>SUM(G474:G495)</f>
        <v>31802052478</v>
      </c>
      <c r="H473" s="28" t="s">
        <v>646</v>
      </c>
      <c r="I473" s="67">
        <f>SUM(I474:I495)</f>
        <v>15742779585</v>
      </c>
      <c r="J473" s="28" t="s">
        <v>647</v>
      </c>
      <c r="K473" s="67">
        <f>SUM(K474:K495)</f>
        <v>11046266375</v>
      </c>
      <c r="L473" s="147"/>
      <c r="M473" s="67">
        <f>SUM(M474:M495)</f>
        <v>816018388</v>
      </c>
      <c r="N473" s="45"/>
      <c r="O473" s="67">
        <f>SUM(O474:O495)</f>
        <v>2175774065</v>
      </c>
      <c r="P473" s="45"/>
      <c r="Q473" s="67">
        <f>SUM(Q474:Q495)</f>
        <v>1140099250</v>
      </c>
      <c r="R473" s="28" t="s">
        <v>750</v>
      </c>
      <c r="S473" s="67">
        <f>SUM(S474:S495)</f>
        <v>4420995565</v>
      </c>
      <c r="T473" s="65" t="e">
        <f t="shared" si="81"/>
        <v>#DIV/0!</v>
      </c>
      <c r="U473" s="30"/>
      <c r="V473" s="30" t="s">
        <v>44</v>
      </c>
      <c r="W473" s="76">
        <f t="shared" si="79"/>
        <v>8552887268</v>
      </c>
      <c r="X473" s="40">
        <f t="shared" si="80"/>
        <v>77.427856414516356</v>
      </c>
      <c r="Y473" s="30" t="s">
        <v>44</v>
      </c>
      <c r="Z473" s="30" t="e">
        <f t="shared" si="66"/>
        <v>#DIV/0!</v>
      </c>
      <c r="AA473" s="76">
        <f t="shared" si="76"/>
        <v>24295666853</v>
      </c>
      <c r="AB473" s="41" t="e">
        <f t="shared" si="70"/>
        <v>#DIV/0!</v>
      </c>
      <c r="AC473" s="34" t="s">
        <v>44</v>
      </c>
      <c r="AD473" s="90">
        <f t="shared" si="71"/>
        <v>76.396537204028689</v>
      </c>
      <c r="AE473" s="42"/>
      <c r="AF473" s="36"/>
      <c r="AG473" s="36"/>
      <c r="AH473" s="37"/>
      <c r="AI473" s="36"/>
      <c r="AJ473" s="36"/>
      <c r="AK473" s="36"/>
    </row>
    <row r="474" spans="1:37" ht="150">
      <c r="A474" s="43"/>
      <c r="B474" s="39"/>
      <c r="C474" s="47" t="s">
        <v>648</v>
      </c>
      <c r="D474" s="47" t="s">
        <v>649</v>
      </c>
      <c r="E474" s="48">
        <v>413</v>
      </c>
      <c r="F474" s="49" t="s">
        <v>227</v>
      </c>
      <c r="G474" s="91">
        <v>29182216883</v>
      </c>
      <c r="H474" s="51">
        <v>261</v>
      </c>
      <c r="I474" s="50">
        <v>15199356250</v>
      </c>
      <c r="J474" s="51">
        <v>150</v>
      </c>
      <c r="K474" s="50">
        <v>8916901875</v>
      </c>
      <c r="L474" s="33">
        <v>150</v>
      </c>
      <c r="M474" s="50">
        <f>798875000+500000</f>
        <v>799375000</v>
      </c>
      <c r="N474" s="51">
        <v>150</v>
      </c>
      <c r="O474" s="50">
        <f>2551888330-M474</f>
        <v>1752513330</v>
      </c>
      <c r="P474" s="51">
        <v>150</v>
      </c>
      <c r="Q474" s="50">
        <f>3422956511-M474-O474</f>
        <v>871068181</v>
      </c>
      <c r="R474" s="51">
        <v>150</v>
      </c>
      <c r="S474" s="50">
        <f>6616615738-M474-O474-Q474</f>
        <v>3193659227</v>
      </c>
      <c r="T474" s="33">
        <f t="shared" si="81"/>
        <v>150</v>
      </c>
      <c r="U474" s="34">
        <f t="shared" si="78"/>
        <v>100</v>
      </c>
      <c r="V474" s="34" t="s">
        <v>44</v>
      </c>
      <c r="W474" s="52">
        <f t="shared" si="79"/>
        <v>6616615738</v>
      </c>
      <c r="X474" s="60">
        <f t="shared" si="80"/>
        <v>74.203078947753923</v>
      </c>
      <c r="Y474" s="34" t="s">
        <v>44</v>
      </c>
      <c r="Z474" s="34">
        <f t="shared" si="66"/>
        <v>411</v>
      </c>
      <c r="AA474" s="52">
        <f t="shared" si="76"/>
        <v>21815971988</v>
      </c>
      <c r="AB474" s="41">
        <f t="shared" si="70"/>
        <v>99.515738498789347</v>
      </c>
      <c r="AC474" s="34" t="s">
        <v>44</v>
      </c>
      <c r="AD474" s="90">
        <f t="shared" si="71"/>
        <v>74.757761123723327</v>
      </c>
      <c r="AE474" s="17"/>
      <c r="AF474" s="2"/>
      <c r="AG474" s="2"/>
      <c r="AH474" s="55"/>
      <c r="AI474" s="2"/>
      <c r="AJ474" s="2"/>
      <c r="AK474" s="2"/>
    </row>
    <row r="475" spans="1:37" ht="150">
      <c r="A475" s="43"/>
      <c r="B475" s="39"/>
      <c r="C475" s="46" t="s">
        <v>650</v>
      </c>
      <c r="D475" s="47" t="s">
        <v>649</v>
      </c>
      <c r="E475" s="33">
        <v>2</v>
      </c>
      <c r="F475" s="49" t="s">
        <v>227</v>
      </c>
      <c r="G475" s="91">
        <v>61336000</v>
      </c>
      <c r="H475" s="101">
        <v>0</v>
      </c>
      <c r="I475" s="50">
        <v>0</v>
      </c>
      <c r="J475" s="34">
        <v>1</v>
      </c>
      <c r="K475" s="50">
        <v>81218000</v>
      </c>
      <c r="L475" s="33">
        <v>1</v>
      </c>
      <c r="M475" s="103" t="s">
        <v>229</v>
      </c>
      <c r="N475" s="51">
        <v>1</v>
      </c>
      <c r="O475" s="50">
        <v>13888990</v>
      </c>
      <c r="P475" s="51">
        <v>1</v>
      </c>
      <c r="Q475" s="50">
        <v>8342682</v>
      </c>
      <c r="R475" s="101">
        <v>1</v>
      </c>
      <c r="S475" s="50">
        <v>51607969</v>
      </c>
      <c r="T475" s="102">
        <f t="shared" si="81"/>
        <v>1</v>
      </c>
      <c r="U475" s="60">
        <f t="shared" si="78"/>
        <v>100</v>
      </c>
      <c r="V475" s="34" t="s">
        <v>44</v>
      </c>
      <c r="W475" s="52">
        <f t="shared" si="79"/>
        <v>73839641</v>
      </c>
      <c r="X475" s="60">
        <f t="shared" si="80"/>
        <v>90.915364820606271</v>
      </c>
      <c r="Y475" s="34" t="s">
        <v>44</v>
      </c>
      <c r="Z475" s="102">
        <f t="shared" si="66"/>
        <v>1</v>
      </c>
      <c r="AA475" s="52">
        <f t="shared" si="76"/>
        <v>73839641</v>
      </c>
      <c r="AB475" s="41">
        <f t="shared" si="70"/>
        <v>50</v>
      </c>
      <c r="AC475" s="34" t="s">
        <v>44</v>
      </c>
      <c r="AD475" s="90">
        <f t="shared" si="71"/>
        <v>120.38548487022302</v>
      </c>
      <c r="AE475" s="17"/>
      <c r="AF475" s="2"/>
      <c r="AG475" s="2"/>
      <c r="AH475" s="55"/>
      <c r="AI475" s="2"/>
      <c r="AJ475" s="2"/>
      <c r="AK475" s="2"/>
    </row>
    <row r="476" spans="1:37" ht="150">
      <c r="A476" s="43"/>
      <c r="B476" s="39"/>
      <c r="C476" s="46" t="s">
        <v>651</v>
      </c>
      <c r="D476" s="47" t="s">
        <v>649</v>
      </c>
      <c r="E476" s="33">
        <v>1</v>
      </c>
      <c r="F476" s="49" t="s">
        <v>227</v>
      </c>
      <c r="G476" s="91">
        <v>0</v>
      </c>
      <c r="H476" s="101">
        <v>1</v>
      </c>
      <c r="I476" s="50">
        <v>30036886</v>
      </c>
      <c r="J476" s="34">
        <v>1</v>
      </c>
      <c r="K476" s="50">
        <v>81268200</v>
      </c>
      <c r="L476" s="33">
        <v>1</v>
      </c>
      <c r="M476" s="103" t="s">
        <v>229</v>
      </c>
      <c r="N476" s="51">
        <v>1</v>
      </c>
      <c r="O476" s="50">
        <v>13877290</v>
      </c>
      <c r="P476" s="51">
        <v>1</v>
      </c>
      <c r="Q476" s="50">
        <v>8342682</v>
      </c>
      <c r="R476" s="101">
        <v>1</v>
      </c>
      <c r="S476" s="50">
        <v>45310263</v>
      </c>
      <c r="T476" s="102">
        <f t="shared" si="81"/>
        <v>1</v>
      </c>
      <c r="U476" s="60">
        <f t="shared" si="78"/>
        <v>100</v>
      </c>
      <c r="V476" s="34" t="s">
        <v>44</v>
      </c>
      <c r="W476" s="52">
        <f t="shared" si="79"/>
        <v>67530235</v>
      </c>
      <c r="X476" s="60">
        <f t="shared" si="80"/>
        <v>83.095521987690148</v>
      </c>
      <c r="Y476" s="34" t="s">
        <v>44</v>
      </c>
      <c r="Z476" s="102">
        <f t="shared" si="66"/>
        <v>2</v>
      </c>
      <c r="AA476" s="52">
        <f t="shared" si="76"/>
        <v>97567121</v>
      </c>
      <c r="AB476" s="41">
        <f t="shared" si="70"/>
        <v>200</v>
      </c>
      <c r="AC476" s="34" t="s">
        <v>44</v>
      </c>
      <c r="AD476" s="90" t="e">
        <f t="shared" si="71"/>
        <v>#DIV/0!</v>
      </c>
      <c r="AE476" s="17"/>
      <c r="AF476" s="2"/>
      <c r="AG476" s="2"/>
      <c r="AH476" s="55"/>
      <c r="AI476" s="2"/>
      <c r="AJ476" s="2"/>
      <c r="AK476" s="2"/>
    </row>
    <row r="477" spans="1:37" ht="150">
      <c r="A477" s="43"/>
      <c r="B477" s="39"/>
      <c r="C477" s="46" t="s">
        <v>652</v>
      </c>
      <c r="D477" s="47" t="s">
        <v>649</v>
      </c>
      <c r="E477" s="33">
        <v>5</v>
      </c>
      <c r="F477" s="49" t="s">
        <v>227</v>
      </c>
      <c r="G477" s="91">
        <v>214676000</v>
      </c>
      <c r="H477" s="101">
        <v>1</v>
      </c>
      <c r="I477" s="50">
        <v>30668000</v>
      </c>
      <c r="J477" s="34">
        <v>3</v>
      </c>
      <c r="K477" s="50">
        <v>145123050</v>
      </c>
      <c r="L477" s="33">
        <v>3</v>
      </c>
      <c r="M477" s="103" t="s">
        <v>229</v>
      </c>
      <c r="N477" s="51">
        <v>3</v>
      </c>
      <c r="O477" s="50">
        <v>41631870</v>
      </c>
      <c r="P477" s="51">
        <v>3</v>
      </c>
      <c r="Q477" s="50">
        <v>16691168</v>
      </c>
      <c r="R477" s="101">
        <v>3</v>
      </c>
      <c r="S477" s="50">
        <v>80513043</v>
      </c>
      <c r="T477" s="102">
        <f t="shared" si="81"/>
        <v>3</v>
      </c>
      <c r="U477" s="60">
        <f t="shared" si="78"/>
        <v>100</v>
      </c>
      <c r="V477" s="34" t="s">
        <v>44</v>
      </c>
      <c r="W477" s="52">
        <f t="shared" si="79"/>
        <v>138836081</v>
      </c>
      <c r="X477" s="60">
        <f t="shared" si="80"/>
        <v>95.667835674622324</v>
      </c>
      <c r="Y477" s="34" t="s">
        <v>44</v>
      </c>
      <c r="Z477" s="102">
        <f t="shared" si="66"/>
        <v>4</v>
      </c>
      <c r="AA477" s="52">
        <f t="shared" si="76"/>
        <v>169504081</v>
      </c>
      <c r="AB477" s="41">
        <f t="shared" si="70"/>
        <v>80</v>
      </c>
      <c r="AC477" s="34" t="s">
        <v>44</v>
      </c>
      <c r="AD477" s="90">
        <f t="shared" si="71"/>
        <v>78.958095455477093</v>
      </c>
      <c r="AE477" s="17"/>
      <c r="AF477" s="2"/>
      <c r="AG477" s="2"/>
      <c r="AH477" s="55"/>
      <c r="AI477" s="2"/>
      <c r="AJ477" s="2"/>
      <c r="AK477" s="2"/>
    </row>
    <row r="478" spans="1:37" ht="150">
      <c r="A478" s="43"/>
      <c r="B478" s="39"/>
      <c r="C478" s="46" t="s">
        <v>653</v>
      </c>
      <c r="D478" s="47" t="s">
        <v>649</v>
      </c>
      <c r="E478" s="33">
        <v>4</v>
      </c>
      <c r="F478" s="49" t="s">
        <v>227</v>
      </c>
      <c r="G478" s="91">
        <v>214676000</v>
      </c>
      <c r="H478" s="101">
        <v>1</v>
      </c>
      <c r="I478" s="50">
        <v>30036886</v>
      </c>
      <c r="J478" s="34">
        <v>3</v>
      </c>
      <c r="K478" s="50">
        <v>152525400</v>
      </c>
      <c r="L478" s="33">
        <v>3</v>
      </c>
      <c r="M478" s="103" t="s">
        <v>229</v>
      </c>
      <c r="N478" s="51">
        <v>3</v>
      </c>
      <c r="O478" s="50">
        <v>41631870</v>
      </c>
      <c r="P478" s="51">
        <v>3</v>
      </c>
      <c r="Q478" s="50">
        <v>25028045</v>
      </c>
      <c r="R478" s="101">
        <v>3</v>
      </c>
      <c r="S478" s="50">
        <v>71087685</v>
      </c>
      <c r="T478" s="102">
        <f t="shared" si="81"/>
        <v>3</v>
      </c>
      <c r="U478" s="60">
        <f t="shared" si="78"/>
        <v>100</v>
      </c>
      <c r="V478" s="34" t="s">
        <v>44</v>
      </c>
      <c r="W478" s="52">
        <f t="shared" si="79"/>
        <v>137747600</v>
      </c>
      <c r="X478" s="60">
        <f t="shared" si="80"/>
        <v>90.311253076536758</v>
      </c>
      <c r="Y478" s="34" t="s">
        <v>44</v>
      </c>
      <c r="Z478" s="102">
        <f t="shared" si="66"/>
        <v>4</v>
      </c>
      <c r="AA478" s="52">
        <f t="shared" si="76"/>
        <v>167784486</v>
      </c>
      <c r="AB478" s="41">
        <f t="shared" si="70"/>
        <v>100</v>
      </c>
      <c r="AC478" s="34" t="s">
        <v>44</v>
      </c>
      <c r="AD478" s="90">
        <f t="shared" si="71"/>
        <v>78.157076710950463</v>
      </c>
      <c r="AE478" s="17"/>
      <c r="AF478" s="2"/>
      <c r="AG478" s="2"/>
      <c r="AH478" s="55"/>
      <c r="AI478" s="2"/>
      <c r="AJ478" s="2"/>
      <c r="AK478" s="2"/>
    </row>
    <row r="479" spans="1:37" ht="150">
      <c r="A479" s="43"/>
      <c r="B479" s="39"/>
      <c r="C479" s="46" t="s">
        <v>654</v>
      </c>
      <c r="D479" s="47" t="s">
        <v>649</v>
      </c>
      <c r="E479" s="33">
        <v>0</v>
      </c>
      <c r="F479" s="49" t="s">
        <v>227</v>
      </c>
      <c r="G479" s="91">
        <v>46450000</v>
      </c>
      <c r="H479" s="101">
        <v>0</v>
      </c>
      <c r="I479" s="50">
        <v>0</v>
      </c>
      <c r="J479" s="34">
        <v>46</v>
      </c>
      <c r="K479" s="50">
        <v>46450000</v>
      </c>
      <c r="L479" s="33">
        <v>0</v>
      </c>
      <c r="M479" s="103" t="s">
        <v>229</v>
      </c>
      <c r="N479" s="51">
        <v>0</v>
      </c>
      <c r="O479" s="50">
        <v>0</v>
      </c>
      <c r="P479" s="51">
        <v>0</v>
      </c>
      <c r="Q479" s="50">
        <v>0</v>
      </c>
      <c r="R479" s="101">
        <v>46</v>
      </c>
      <c r="S479" s="50">
        <v>42368880</v>
      </c>
      <c r="T479" s="102">
        <f>SUM(L479,N479,P479,R479)</f>
        <v>46</v>
      </c>
      <c r="U479" s="60">
        <f t="shared" si="78"/>
        <v>100</v>
      </c>
      <c r="V479" s="34" t="s">
        <v>44</v>
      </c>
      <c r="W479" s="52">
        <f t="shared" si="79"/>
        <v>42368880</v>
      </c>
      <c r="X479" s="60">
        <f t="shared" si="80"/>
        <v>91.213950484391816</v>
      </c>
      <c r="Y479" s="34" t="s">
        <v>44</v>
      </c>
      <c r="Z479" s="102">
        <f t="shared" si="66"/>
        <v>46</v>
      </c>
      <c r="AA479" s="52">
        <f t="shared" si="76"/>
        <v>42368880</v>
      </c>
      <c r="AB479" s="41" t="e">
        <f t="shared" si="70"/>
        <v>#DIV/0!</v>
      </c>
      <c r="AC479" s="34" t="s">
        <v>44</v>
      </c>
      <c r="AD479" s="90">
        <f t="shared" si="71"/>
        <v>91.213950484391816</v>
      </c>
      <c r="AE479" s="17"/>
      <c r="AF479" s="2"/>
      <c r="AG479" s="2"/>
      <c r="AH479" s="55"/>
      <c r="AI479" s="2"/>
      <c r="AJ479" s="2"/>
      <c r="AK479" s="2"/>
    </row>
    <row r="480" spans="1:37" ht="150">
      <c r="A480" s="43"/>
      <c r="B480" s="39"/>
      <c r="C480" s="46" t="s">
        <v>655</v>
      </c>
      <c r="D480" s="47" t="s">
        <v>649</v>
      </c>
      <c r="E480" s="33">
        <v>3</v>
      </c>
      <c r="F480" s="49" t="s">
        <v>227</v>
      </c>
      <c r="G480" s="91">
        <v>92004000</v>
      </c>
      <c r="H480" s="101">
        <v>0</v>
      </c>
      <c r="I480" s="50">
        <v>0</v>
      </c>
      <c r="J480" s="34">
        <v>1</v>
      </c>
      <c r="K480" s="50">
        <v>90234250</v>
      </c>
      <c r="L480" s="33">
        <v>1</v>
      </c>
      <c r="M480" s="103" t="s">
        <v>229</v>
      </c>
      <c r="N480" s="51">
        <v>1</v>
      </c>
      <c r="O480" s="50">
        <v>13877290</v>
      </c>
      <c r="P480" s="51">
        <v>1</v>
      </c>
      <c r="Q480" s="50">
        <v>8342682</v>
      </c>
      <c r="R480" s="101">
        <v>1</v>
      </c>
      <c r="S480" s="50">
        <v>53955746</v>
      </c>
      <c r="T480" s="102">
        <f t="shared" si="81"/>
        <v>1</v>
      </c>
      <c r="U480" s="60">
        <f t="shared" si="78"/>
        <v>100</v>
      </c>
      <c r="V480" s="34" t="s">
        <v>44</v>
      </c>
      <c r="W480" s="52">
        <f t="shared" si="79"/>
        <v>76175718</v>
      </c>
      <c r="X480" s="60">
        <f t="shared" si="80"/>
        <v>84.419960270074839</v>
      </c>
      <c r="Y480" s="34" t="s">
        <v>44</v>
      </c>
      <c r="Z480" s="102">
        <f t="shared" si="66"/>
        <v>1</v>
      </c>
      <c r="AA480" s="52">
        <f t="shared" si="76"/>
        <v>76175718</v>
      </c>
      <c r="AB480" s="41">
        <f t="shared" si="70"/>
        <v>33.333333333333329</v>
      </c>
      <c r="AC480" s="34" t="s">
        <v>44</v>
      </c>
      <c r="AD480" s="90">
        <f t="shared" si="71"/>
        <v>82.796093648102257</v>
      </c>
      <c r="AE480" s="17"/>
      <c r="AF480" s="2"/>
      <c r="AG480" s="2"/>
      <c r="AH480" s="55"/>
      <c r="AI480" s="2"/>
      <c r="AJ480" s="2"/>
      <c r="AK480" s="2"/>
    </row>
    <row r="481" spans="1:37" ht="135">
      <c r="A481" s="43"/>
      <c r="B481" s="39"/>
      <c r="C481" s="46" t="s">
        <v>656</v>
      </c>
      <c r="D481" s="47" t="s">
        <v>649</v>
      </c>
      <c r="E481" s="33">
        <v>0</v>
      </c>
      <c r="F481" s="49" t="s">
        <v>227</v>
      </c>
      <c r="G481" s="50">
        <v>52931595</v>
      </c>
      <c r="H481" s="101">
        <v>0</v>
      </c>
      <c r="I481" s="50">
        <v>0</v>
      </c>
      <c r="J481" s="34">
        <v>1</v>
      </c>
      <c r="K481" s="50">
        <v>52931595</v>
      </c>
      <c r="L481" s="33">
        <v>1</v>
      </c>
      <c r="M481" s="103" t="s">
        <v>229</v>
      </c>
      <c r="N481" s="51">
        <v>1</v>
      </c>
      <c r="O481" s="50">
        <v>0</v>
      </c>
      <c r="P481" s="51">
        <v>1</v>
      </c>
      <c r="Q481" s="50">
        <v>0</v>
      </c>
      <c r="R481" s="101">
        <v>1</v>
      </c>
      <c r="S481" s="50">
        <v>47520304</v>
      </c>
      <c r="T481" s="102">
        <f t="shared" si="81"/>
        <v>1</v>
      </c>
      <c r="U481" s="60">
        <f t="shared" si="78"/>
        <v>100</v>
      </c>
      <c r="V481" s="34" t="s">
        <v>44</v>
      </c>
      <c r="W481" s="52">
        <f t="shared" si="79"/>
        <v>47520304</v>
      </c>
      <c r="X481" s="60">
        <f t="shared" si="80"/>
        <v>89.776822330783716</v>
      </c>
      <c r="Y481" s="34" t="s">
        <v>44</v>
      </c>
      <c r="Z481" s="102">
        <f t="shared" si="66"/>
        <v>1</v>
      </c>
      <c r="AA481" s="52">
        <f t="shared" si="76"/>
        <v>47520304</v>
      </c>
      <c r="AB481" s="41" t="e">
        <f t="shared" si="70"/>
        <v>#DIV/0!</v>
      </c>
      <c r="AC481" s="34" t="s">
        <v>44</v>
      </c>
      <c r="AD481" s="90">
        <f t="shared" si="71"/>
        <v>89.776822330783716</v>
      </c>
      <c r="AE481" s="17"/>
      <c r="AF481" s="2"/>
      <c r="AG481" s="2"/>
      <c r="AH481" s="55"/>
      <c r="AI481" s="2"/>
      <c r="AJ481" s="2"/>
      <c r="AK481" s="2"/>
    </row>
    <row r="482" spans="1:37" ht="150">
      <c r="A482" s="43"/>
      <c r="B482" s="39"/>
      <c r="C482" s="46" t="s">
        <v>657</v>
      </c>
      <c r="D482" s="47" t="s">
        <v>649</v>
      </c>
      <c r="E482" s="33">
        <v>7</v>
      </c>
      <c r="F482" s="49" t="s">
        <v>227</v>
      </c>
      <c r="G482" s="91">
        <v>239316000</v>
      </c>
      <c r="H482" s="101">
        <v>2</v>
      </c>
      <c r="I482" s="50">
        <v>60073772</v>
      </c>
      <c r="J482" s="34">
        <v>2</v>
      </c>
      <c r="K482" s="50">
        <v>124031000</v>
      </c>
      <c r="L482" s="33">
        <v>2</v>
      </c>
      <c r="M482" s="103" t="s">
        <v>229</v>
      </c>
      <c r="N482" s="51">
        <v>2</v>
      </c>
      <c r="O482" s="50">
        <v>27432686</v>
      </c>
      <c r="P482" s="51">
        <v>2</v>
      </c>
      <c r="Q482" s="50">
        <v>17007258</v>
      </c>
      <c r="R482" s="101">
        <v>2</v>
      </c>
      <c r="S482" s="50">
        <v>69941422</v>
      </c>
      <c r="T482" s="102">
        <f t="shared" si="81"/>
        <v>2</v>
      </c>
      <c r="U482" s="60">
        <f t="shared" si="78"/>
        <v>100</v>
      </c>
      <c r="V482" s="34" t="s">
        <v>44</v>
      </c>
      <c r="W482" s="52">
        <f t="shared" si="79"/>
        <v>114381366</v>
      </c>
      <c r="X482" s="60">
        <f t="shared" si="80"/>
        <v>92.219982101248874</v>
      </c>
      <c r="Y482" s="34" t="s">
        <v>44</v>
      </c>
      <c r="Z482" s="102">
        <f t="shared" si="66"/>
        <v>4</v>
      </c>
      <c r="AA482" s="52">
        <f t="shared" si="76"/>
        <v>174455138</v>
      </c>
      <c r="AB482" s="41">
        <f t="shared" si="70"/>
        <v>57.142857142857139</v>
      </c>
      <c r="AC482" s="34" t="s">
        <v>44</v>
      </c>
      <c r="AD482" s="90">
        <f t="shared" si="71"/>
        <v>72.897398418826981</v>
      </c>
      <c r="AE482" s="17"/>
      <c r="AF482" s="2"/>
      <c r="AG482" s="2"/>
      <c r="AH482" s="55"/>
      <c r="AI482" s="2"/>
      <c r="AJ482" s="2"/>
      <c r="AK482" s="2"/>
    </row>
    <row r="483" spans="1:37" ht="150">
      <c r="A483" s="43"/>
      <c r="B483" s="39"/>
      <c r="C483" s="46" t="s">
        <v>658</v>
      </c>
      <c r="D483" s="47" t="s">
        <v>649</v>
      </c>
      <c r="E483" s="33">
        <v>3</v>
      </c>
      <c r="F483" s="49" t="s">
        <v>227</v>
      </c>
      <c r="G483" s="91">
        <v>92004000</v>
      </c>
      <c r="H483" s="101">
        <v>1</v>
      </c>
      <c r="I483" s="50">
        <v>30036836</v>
      </c>
      <c r="J483" s="34">
        <v>1</v>
      </c>
      <c r="K483" s="50">
        <v>86496950</v>
      </c>
      <c r="L483" s="33">
        <v>1</v>
      </c>
      <c r="M483" s="103" t="s">
        <v>229</v>
      </c>
      <c r="N483" s="51">
        <v>1</v>
      </c>
      <c r="O483" s="50">
        <v>13877290</v>
      </c>
      <c r="P483" s="51">
        <v>1</v>
      </c>
      <c r="Q483" s="50">
        <v>8342682</v>
      </c>
      <c r="R483" s="101">
        <v>1</v>
      </c>
      <c r="S483" s="50">
        <v>64131812</v>
      </c>
      <c r="T483" s="102">
        <f t="shared" si="81"/>
        <v>1</v>
      </c>
      <c r="U483" s="60">
        <f t="shared" si="78"/>
        <v>100</v>
      </c>
      <c r="V483" s="34" t="s">
        <v>44</v>
      </c>
      <c r="W483" s="52">
        <f t="shared" si="79"/>
        <v>86351784</v>
      </c>
      <c r="X483" s="60">
        <f t="shared" si="80"/>
        <v>99.832172117051527</v>
      </c>
      <c r="Y483" s="34" t="s">
        <v>44</v>
      </c>
      <c r="Z483" s="102">
        <f t="shared" si="66"/>
        <v>2</v>
      </c>
      <c r="AA483" s="52">
        <f t="shared" si="76"/>
        <v>116388620</v>
      </c>
      <c r="AB483" s="41">
        <f t="shared" si="70"/>
        <v>66.666666666666657</v>
      </c>
      <c r="AC483" s="34" t="s">
        <v>44</v>
      </c>
      <c r="AD483" s="90">
        <f t="shared" si="71"/>
        <v>126.50386939698275</v>
      </c>
      <c r="AE483" s="17"/>
      <c r="AF483" s="2"/>
      <c r="AG483" s="2"/>
      <c r="AH483" s="55"/>
      <c r="AI483" s="2"/>
      <c r="AJ483" s="2"/>
      <c r="AK483" s="2"/>
    </row>
    <row r="484" spans="1:37" ht="135">
      <c r="A484" s="43"/>
      <c r="B484" s="39"/>
      <c r="C484" s="46" t="s">
        <v>659</v>
      </c>
      <c r="D484" s="47" t="s">
        <v>649</v>
      </c>
      <c r="E484" s="33">
        <v>0</v>
      </c>
      <c r="F484" s="49" t="s">
        <v>227</v>
      </c>
      <c r="G484" s="91">
        <v>43568000</v>
      </c>
      <c r="H484" s="101">
        <v>0</v>
      </c>
      <c r="I484" s="50">
        <v>0</v>
      </c>
      <c r="J484" s="34">
        <v>1</v>
      </c>
      <c r="K484" s="50">
        <v>43568000</v>
      </c>
      <c r="L484" s="33">
        <v>1</v>
      </c>
      <c r="M484" s="103" t="s">
        <v>229</v>
      </c>
      <c r="N484" s="51">
        <v>1</v>
      </c>
      <c r="O484" s="50">
        <v>0</v>
      </c>
      <c r="P484" s="51">
        <v>1</v>
      </c>
      <c r="Q484" s="50">
        <v>0</v>
      </c>
      <c r="R484" s="101">
        <v>1</v>
      </c>
      <c r="S484" s="50">
        <v>43568000</v>
      </c>
      <c r="T484" s="102">
        <f t="shared" si="81"/>
        <v>1</v>
      </c>
      <c r="U484" s="60">
        <f t="shared" si="78"/>
        <v>100</v>
      </c>
      <c r="V484" s="34" t="s">
        <v>44</v>
      </c>
      <c r="W484" s="52">
        <f t="shared" si="79"/>
        <v>43568000</v>
      </c>
      <c r="X484" s="60">
        <f t="shared" si="80"/>
        <v>100</v>
      </c>
      <c r="Y484" s="34" t="s">
        <v>44</v>
      </c>
      <c r="Z484" s="102">
        <f t="shared" si="66"/>
        <v>1</v>
      </c>
      <c r="AA484" s="52">
        <f t="shared" si="76"/>
        <v>43568000</v>
      </c>
      <c r="AB484" s="41" t="e">
        <f t="shared" si="70"/>
        <v>#DIV/0!</v>
      </c>
      <c r="AC484" s="34" t="s">
        <v>44</v>
      </c>
      <c r="AD484" s="90">
        <f t="shared" si="71"/>
        <v>100</v>
      </c>
      <c r="AE484" s="17"/>
      <c r="AF484" s="2"/>
      <c r="AG484" s="2"/>
      <c r="AH484" s="55"/>
      <c r="AI484" s="2"/>
      <c r="AJ484" s="2"/>
      <c r="AK484" s="2"/>
    </row>
    <row r="485" spans="1:37" ht="150">
      <c r="A485" s="43"/>
      <c r="B485" s="39"/>
      <c r="C485" s="46" t="s">
        <v>660</v>
      </c>
      <c r="D485" s="47" t="s">
        <v>649</v>
      </c>
      <c r="E485" s="33">
        <v>7</v>
      </c>
      <c r="F485" s="49" t="s">
        <v>227</v>
      </c>
      <c r="G485" s="91">
        <v>214676000</v>
      </c>
      <c r="H485" s="101">
        <v>3</v>
      </c>
      <c r="I485" s="50">
        <v>90110639</v>
      </c>
      <c r="J485" s="34">
        <v>2</v>
      </c>
      <c r="K485" s="50">
        <v>128134000</v>
      </c>
      <c r="L485" s="33">
        <v>2</v>
      </c>
      <c r="M485" s="103" t="s">
        <v>229</v>
      </c>
      <c r="N485" s="51">
        <v>2</v>
      </c>
      <c r="O485" s="50">
        <v>27754573</v>
      </c>
      <c r="P485" s="51">
        <v>2</v>
      </c>
      <c r="Q485" s="50">
        <v>15906000</v>
      </c>
      <c r="R485" s="101">
        <v>2</v>
      </c>
      <c r="S485" s="50">
        <v>70299133</v>
      </c>
      <c r="T485" s="102">
        <f t="shared" si="81"/>
        <v>2</v>
      </c>
      <c r="U485" s="60">
        <f t="shared" si="78"/>
        <v>100</v>
      </c>
      <c r="V485" s="34" t="s">
        <v>44</v>
      </c>
      <c r="W485" s="52">
        <f t="shared" si="79"/>
        <v>113959706</v>
      </c>
      <c r="X485" s="60">
        <f t="shared" si="80"/>
        <v>88.937913434373399</v>
      </c>
      <c r="Y485" s="34" t="s">
        <v>44</v>
      </c>
      <c r="Z485" s="102">
        <f t="shared" si="66"/>
        <v>5</v>
      </c>
      <c r="AA485" s="52">
        <f t="shared" si="76"/>
        <v>204070345</v>
      </c>
      <c r="AB485" s="41">
        <f t="shared" si="70"/>
        <v>71.428571428571431</v>
      </c>
      <c r="AC485" s="34" t="s">
        <v>44</v>
      </c>
      <c r="AD485" s="90">
        <f t="shared" si="71"/>
        <v>95.059692280459856</v>
      </c>
      <c r="AE485" s="17"/>
      <c r="AF485" s="2"/>
      <c r="AG485" s="2"/>
      <c r="AH485" s="55"/>
      <c r="AI485" s="2"/>
      <c r="AJ485" s="2"/>
      <c r="AK485" s="2"/>
    </row>
    <row r="486" spans="1:37" ht="135">
      <c r="A486" s="43"/>
      <c r="B486" s="39"/>
      <c r="C486" s="46" t="s">
        <v>661</v>
      </c>
      <c r="D486" s="47" t="s">
        <v>649</v>
      </c>
      <c r="E486" s="33">
        <v>0</v>
      </c>
      <c r="F486" s="49" t="s">
        <v>227</v>
      </c>
      <c r="G486" s="91">
        <v>59320000</v>
      </c>
      <c r="H486" s="101">
        <v>0</v>
      </c>
      <c r="I486" s="50">
        <v>0</v>
      </c>
      <c r="J486" s="34">
        <v>1</v>
      </c>
      <c r="K486" s="50">
        <v>59320000</v>
      </c>
      <c r="L486" s="33">
        <v>1</v>
      </c>
      <c r="M486" s="103" t="s">
        <v>229</v>
      </c>
      <c r="N486" s="51">
        <v>1</v>
      </c>
      <c r="O486" s="50">
        <v>0</v>
      </c>
      <c r="P486" s="51">
        <v>1</v>
      </c>
      <c r="Q486" s="50">
        <v>0</v>
      </c>
      <c r="R486" s="101">
        <v>1</v>
      </c>
      <c r="S486" s="78">
        <v>25399138</v>
      </c>
      <c r="T486" s="102">
        <f t="shared" si="81"/>
        <v>1</v>
      </c>
      <c r="U486" s="60">
        <f>T486/J486*100</f>
        <v>100</v>
      </c>
      <c r="V486" s="34" t="s">
        <v>44</v>
      </c>
      <c r="W486" s="52">
        <f t="shared" si="79"/>
        <v>25399138</v>
      </c>
      <c r="X486" s="60">
        <f t="shared" si="80"/>
        <v>42.817157788267025</v>
      </c>
      <c r="Y486" s="34" t="s">
        <v>44</v>
      </c>
      <c r="Z486" s="102">
        <f t="shared" si="66"/>
        <v>1</v>
      </c>
      <c r="AA486" s="52">
        <f t="shared" si="76"/>
        <v>25399138</v>
      </c>
      <c r="AB486" s="41" t="e">
        <f t="shared" si="70"/>
        <v>#DIV/0!</v>
      </c>
      <c r="AC486" s="34" t="s">
        <v>44</v>
      </c>
      <c r="AD486" s="90">
        <f t="shared" si="71"/>
        <v>42.817157788267025</v>
      </c>
      <c r="AE486" s="17"/>
      <c r="AF486" s="2"/>
      <c r="AG486" s="2"/>
      <c r="AH486" s="55"/>
      <c r="AI486" s="2"/>
      <c r="AJ486" s="2"/>
      <c r="AK486" s="2"/>
    </row>
    <row r="487" spans="1:37" ht="150">
      <c r="A487" s="43"/>
      <c r="B487" s="39"/>
      <c r="C487" s="46" t="s">
        <v>662</v>
      </c>
      <c r="D487" s="47" t="s">
        <v>649</v>
      </c>
      <c r="E487" s="33">
        <v>5</v>
      </c>
      <c r="F487" s="49" t="s">
        <v>227</v>
      </c>
      <c r="G487" s="91">
        <v>153340000</v>
      </c>
      <c r="H487" s="101">
        <v>1</v>
      </c>
      <c r="I487" s="50">
        <v>30036886</v>
      </c>
      <c r="J487" s="34">
        <v>2</v>
      </c>
      <c r="K487" s="50">
        <v>109445855</v>
      </c>
      <c r="L487" s="33">
        <v>2</v>
      </c>
      <c r="M487" s="103" t="s">
        <v>229</v>
      </c>
      <c r="N487" s="51">
        <v>2</v>
      </c>
      <c r="O487" s="50">
        <v>22222384</v>
      </c>
      <c r="P487" s="51">
        <v>2</v>
      </c>
      <c r="Q487" s="50">
        <v>16685364</v>
      </c>
      <c r="R487" s="112">
        <v>2</v>
      </c>
      <c r="S487" s="107">
        <v>61029980</v>
      </c>
      <c r="T487" s="102">
        <f t="shared" si="81"/>
        <v>2</v>
      </c>
      <c r="U487" s="60">
        <f t="shared" si="78"/>
        <v>100</v>
      </c>
      <c r="V487" s="34" t="s">
        <v>44</v>
      </c>
      <c r="W487" s="52">
        <f t="shared" si="79"/>
        <v>99937728</v>
      </c>
      <c r="X487" s="60">
        <f t="shared" si="80"/>
        <v>91.312483236573911</v>
      </c>
      <c r="Y487" s="34" t="s">
        <v>44</v>
      </c>
      <c r="Z487" s="102">
        <f t="shared" si="66"/>
        <v>3</v>
      </c>
      <c r="AA487" s="52">
        <f t="shared" si="76"/>
        <v>129974614</v>
      </c>
      <c r="AB487" s="41">
        <f t="shared" si="70"/>
        <v>60</v>
      </c>
      <c r="AC487" s="34" t="s">
        <v>44</v>
      </c>
      <c r="AD487" s="90">
        <f t="shared" si="71"/>
        <v>84.762367288378769</v>
      </c>
      <c r="AE487" s="17"/>
      <c r="AF487" s="2"/>
      <c r="AG487" s="2"/>
      <c r="AH487" s="55"/>
      <c r="AI487" s="2"/>
      <c r="AJ487" s="2"/>
      <c r="AK487" s="2"/>
    </row>
    <row r="488" spans="1:37" ht="150">
      <c r="A488" s="43"/>
      <c r="B488" s="39"/>
      <c r="C488" s="46" t="s">
        <v>663</v>
      </c>
      <c r="D488" s="47" t="s">
        <v>649</v>
      </c>
      <c r="E488" s="33">
        <v>2</v>
      </c>
      <c r="F488" s="49" t="s">
        <v>227</v>
      </c>
      <c r="G488" s="91">
        <v>61336000</v>
      </c>
      <c r="H488" s="101">
        <v>0</v>
      </c>
      <c r="I488" s="50">
        <v>0</v>
      </c>
      <c r="J488" s="34">
        <v>1</v>
      </c>
      <c r="K488" s="50">
        <v>74115000</v>
      </c>
      <c r="L488" s="33">
        <v>1</v>
      </c>
      <c r="M488" s="103" t="s">
        <v>229</v>
      </c>
      <c r="N488" s="51">
        <v>1</v>
      </c>
      <c r="O488" s="50">
        <v>13877290</v>
      </c>
      <c r="P488" s="51">
        <v>1</v>
      </c>
      <c r="Q488" s="50">
        <v>5555596</v>
      </c>
      <c r="R488" s="112">
        <v>1</v>
      </c>
      <c r="S488" s="107">
        <v>54401242</v>
      </c>
      <c r="T488" s="102">
        <f t="shared" si="81"/>
        <v>1</v>
      </c>
      <c r="U488" s="60">
        <f t="shared" si="78"/>
        <v>100</v>
      </c>
      <c r="V488" s="34" t="s">
        <v>44</v>
      </c>
      <c r="W488" s="52">
        <f t="shared" si="79"/>
        <v>73834128</v>
      </c>
      <c r="X488" s="60">
        <f t="shared" si="80"/>
        <v>99.6210321797207</v>
      </c>
      <c r="Y488" s="34" t="s">
        <v>44</v>
      </c>
      <c r="Z488" s="102">
        <f t="shared" si="66"/>
        <v>1</v>
      </c>
      <c r="AA488" s="52">
        <f t="shared" si="76"/>
        <v>73834128</v>
      </c>
      <c r="AB488" s="41">
        <f t="shared" si="70"/>
        <v>50</v>
      </c>
      <c r="AC488" s="34" t="s">
        <v>44</v>
      </c>
      <c r="AD488" s="90">
        <f t="shared" si="71"/>
        <v>120.37649667405765</v>
      </c>
      <c r="AE488" s="17"/>
      <c r="AF488" s="2"/>
      <c r="AG488" s="2"/>
      <c r="AH488" s="55"/>
      <c r="AI488" s="2"/>
      <c r="AJ488" s="2"/>
      <c r="AK488" s="2"/>
    </row>
    <row r="489" spans="1:37" ht="150">
      <c r="A489" s="43"/>
      <c r="B489" s="39"/>
      <c r="C489" s="46" t="s">
        <v>664</v>
      </c>
      <c r="D489" s="47" t="s">
        <v>649</v>
      </c>
      <c r="E489" s="33">
        <v>7</v>
      </c>
      <c r="F489" s="49" t="s">
        <v>227</v>
      </c>
      <c r="G489" s="91">
        <v>214676000</v>
      </c>
      <c r="H489" s="101">
        <v>1</v>
      </c>
      <c r="I489" s="50">
        <v>30668000</v>
      </c>
      <c r="J489" s="34">
        <v>3</v>
      </c>
      <c r="K489" s="50">
        <v>137726250</v>
      </c>
      <c r="L489" s="33">
        <v>3</v>
      </c>
      <c r="M489" s="103" t="s">
        <v>229</v>
      </c>
      <c r="N489" s="51">
        <v>3</v>
      </c>
      <c r="O489" s="50">
        <v>41253000</v>
      </c>
      <c r="P489" s="51">
        <v>3</v>
      </c>
      <c r="Q489" s="50">
        <v>24812439</v>
      </c>
      <c r="R489" s="112">
        <v>3</v>
      </c>
      <c r="S489" s="107">
        <v>54563785</v>
      </c>
      <c r="T489" s="102">
        <f t="shared" si="81"/>
        <v>3</v>
      </c>
      <c r="U489" s="60">
        <f t="shared" si="78"/>
        <v>100</v>
      </c>
      <c r="V489" s="34" t="s">
        <v>44</v>
      </c>
      <c r="W489" s="52">
        <f t="shared" si="79"/>
        <v>120629224</v>
      </c>
      <c r="X489" s="60">
        <f t="shared" si="80"/>
        <v>87.586225574282324</v>
      </c>
      <c r="Y489" s="34" t="s">
        <v>44</v>
      </c>
      <c r="Z489" s="102">
        <f t="shared" si="66"/>
        <v>4</v>
      </c>
      <c r="AA489" s="52">
        <f t="shared" si="76"/>
        <v>151297224</v>
      </c>
      <c r="AB489" s="41">
        <f t="shared" si="70"/>
        <v>57.142857142857139</v>
      </c>
      <c r="AC489" s="34" t="s">
        <v>44</v>
      </c>
      <c r="AD489" s="90">
        <f t="shared" si="71"/>
        <v>70.47700907413963</v>
      </c>
      <c r="AE489" s="17"/>
      <c r="AF489" s="2"/>
      <c r="AG489" s="2"/>
      <c r="AH489" s="55"/>
      <c r="AI489" s="2"/>
      <c r="AJ489" s="2"/>
      <c r="AK489" s="2"/>
    </row>
    <row r="490" spans="1:37" ht="150">
      <c r="A490" s="43"/>
      <c r="B490" s="39"/>
      <c r="C490" s="46" t="s">
        <v>665</v>
      </c>
      <c r="D490" s="47" t="s">
        <v>649</v>
      </c>
      <c r="E490" s="33">
        <v>5</v>
      </c>
      <c r="F490" s="49" t="s">
        <v>227</v>
      </c>
      <c r="G490" s="91">
        <v>153340000</v>
      </c>
      <c r="H490" s="101">
        <v>1</v>
      </c>
      <c r="I490" s="50">
        <v>30036886</v>
      </c>
      <c r="J490" s="34">
        <v>2</v>
      </c>
      <c r="K490" s="50">
        <v>109331700</v>
      </c>
      <c r="L490" s="115">
        <v>2</v>
      </c>
      <c r="M490" s="116">
        <v>0</v>
      </c>
      <c r="N490" s="117">
        <v>2</v>
      </c>
      <c r="O490" s="107">
        <v>27754580</v>
      </c>
      <c r="P490" s="117">
        <v>2</v>
      </c>
      <c r="Q490" s="107">
        <v>16685364</v>
      </c>
      <c r="R490" s="118">
        <v>2</v>
      </c>
      <c r="S490" s="107">
        <v>57787680</v>
      </c>
      <c r="T490" s="102">
        <f t="shared" si="81"/>
        <v>2</v>
      </c>
      <c r="U490" s="60">
        <f t="shared" si="78"/>
        <v>100</v>
      </c>
      <c r="V490" s="34" t="s">
        <v>44</v>
      </c>
      <c r="W490" s="52">
        <f t="shared" si="79"/>
        <v>102227624</v>
      </c>
      <c r="X490" s="60">
        <f t="shared" si="80"/>
        <v>93.502272442484653</v>
      </c>
      <c r="Y490" s="34" t="s">
        <v>44</v>
      </c>
      <c r="Z490" s="102">
        <f t="shared" si="66"/>
        <v>3</v>
      </c>
      <c r="AA490" s="52">
        <f t="shared" si="76"/>
        <v>132264510</v>
      </c>
      <c r="AB490" s="41">
        <f t="shared" si="70"/>
        <v>60</v>
      </c>
      <c r="AC490" s="34" t="s">
        <v>44</v>
      </c>
      <c r="AD490" s="90">
        <f t="shared" si="71"/>
        <v>86.25571279509586</v>
      </c>
      <c r="AE490" s="17"/>
      <c r="AF490" s="2"/>
      <c r="AG490" s="2"/>
      <c r="AH490" s="55"/>
      <c r="AI490" s="2"/>
      <c r="AJ490" s="2"/>
      <c r="AK490" s="2"/>
    </row>
    <row r="491" spans="1:37" ht="150">
      <c r="A491" s="43"/>
      <c r="B491" s="39"/>
      <c r="C491" s="46" t="s">
        <v>666</v>
      </c>
      <c r="D491" s="47" t="s">
        <v>649</v>
      </c>
      <c r="E491" s="33">
        <v>4</v>
      </c>
      <c r="F491" s="49" t="s">
        <v>227</v>
      </c>
      <c r="G491" s="91">
        <v>122672000</v>
      </c>
      <c r="H491" s="101">
        <v>1</v>
      </c>
      <c r="I491" s="50">
        <v>29997886</v>
      </c>
      <c r="J491" s="34">
        <v>2</v>
      </c>
      <c r="K491" s="50">
        <v>119467450</v>
      </c>
      <c r="L491" s="33">
        <v>2</v>
      </c>
      <c r="M491" s="50">
        <v>16643388</v>
      </c>
      <c r="N491" s="51">
        <v>2</v>
      </c>
      <c r="O491" s="50">
        <v>5555596</v>
      </c>
      <c r="P491" s="51">
        <v>2</v>
      </c>
      <c r="Q491" s="50">
        <v>22240960</v>
      </c>
      <c r="R491" s="112">
        <v>2</v>
      </c>
      <c r="S491" s="107">
        <v>62931629</v>
      </c>
      <c r="T491" s="102">
        <f t="shared" si="81"/>
        <v>2</v>
      </c>
      <c r="U491" s="60">
        <f t="shared" si="78"/>
        <v>100</v>
      </c>
      <c r="V491" s="34" t="s">
        <v>44</v>
      </c>
      <c r="W491" s="52">
        <f t="shared" si="79"/>
        <v>107371573</v>
      </c>
      <c r="X491" s="60">
        <f t="shared" si="80"/>
        <v>89.875169345290288</v>
      </c>
      <c r="Y491" s="34" t="s">
        <v>44</v>
      </c>
      <c r="Z491" s="102">
        <f t="shared" si="66"/>
        <v>3</v>
      </c>
      <c r="AA491" s="52">
        <f t="shared" si="76"/>
        <v>137369459</v>
      </c>
      <c r="AB491" s="41">
        <f t="shared" si="70"/>
        <v>75</v>
      </c>
      <c r="AC491" s="34" t="s">
        <v>44</v>
      </c>
      <c r="AD491" s="90">
        <f t="shared" si="71"/>
        <v>111.98110326724927</v>
      </c>
      <c r="AE491" s="17"/>
      <c r="AF491" s="2"/>
      <c r="AG491" s="2"/>
      <c r="AH491" s="55"/>
      <c r="AI491" s="2"/>
      <c r="AJ491" s="2"/>
      <c r="AK491" s="2"/>
    </row>
    <row r="492" spans="1:37" ht="150">
      <c r="A492" s="43"/>
      <c r="B492" s="39"/>
      <c r="C492" s="46" t="s">
        <v>667</v>
      </c>
      <c r="D492" s="47" t="s">
        <v>649</v>
      </c>
      <c r="E492" s="33">
        <v>8</v>
      </c>
      <c r="F492" s="49" t="s">
        <v>227</v>
      </c>
      <c r="G492" s="91">
        <v>245344000</v>
      </c>
      <c r="H492" s="101">
        <v>2</v>
      </c>
      <c r="I492" s="50">
        <v>60073772</v>
      </c>
      <c r="J492" s="34">
        <v>3</v>
      </c>
      <c r="K492" s="50">
        <v>137067500</v>
      </c>
      <c r="L492" s="33">
        <v>0</v>
      </c>
      <c r="M492" s="103" t="s">
        <v>229</v>
      </c>
      <c r="N492" s="51">
        <v>1</v>
      </c>
      <c r="O492" s="50">
        <v>41631870</v>
      </c>
      <c r="P492" s="51">
        <v>1</v>
      </c>
      <c r="Q492" s="50">
        <v>25010631</v>
      </c>
      <c r="R492" s="112">
        <v>1</v>
      </c>
      <c r="S492" s="107">
        <v>69846253</v>
      </c>
      <c r="T492" s="102">
        <v>3</v>
      </c>
      <c r="U492" s="60">
        <f t="shared" si="78"/>
        <v>100</v>
      </c>
      <c r="V492" s="34" t="s">
        <v>44</v>
      </c>
      <c r="W492" s="52">
        <f t="shared" si="79"/>
        <v>136488754</v>
      </c>
      <c r="X492" s="60">
        <f t="shared" si="80"/>
        <v>99.577765699381686</v>
      </c>
      <c r="Y492" s="34" t="s">
        <v>44</v>
      </c>
      <c r="Z492" s="102">
        <f t="shared" si="66"/>
        <v>5</v>
      </c>
      <c r="AA492" s="52">
        <f t="shared" si="76"/>
        <v>196562526</v>
      </c>
      <c r="AB492" s="41">
        <f t="shared" si="70"/>
        <v>62.5</v>
      </c>
      <c r="AC492" s="34" t="s">
        <v>44</v>
      </c>
      <c r="AD492" s="90">
        <f t="shared" si="71"/>
        <v>80.117111484283285</v>
      </c>
      <c r="AE492" s="17"/>
      <c r="AF492" s="2"/>
      <c r="AG492" s="2"/>
      <c r="AH492" s="55"/>
      <c r="AI492" s="2"/>
      <c r="AJ492" s="2"/>
      <c r="AK492" s="2"/>
    </row>
    <row r="493" spans="1:37" ht="150">
      <c r="A493" s="43"/>
      <c r="B493" s="39"/>
      <c r="C493" s="46" t="s">
        <v>668</v>
      </c>
      <c r="D493" s="47" t="s">
        <v>649</v>
      </c>
      <c r="E493" s="33">
        <v>6</v>
      </c>
      <c r="F493" s="49" t="s">
        <v>227</v>
      </c>
      <c r="G493" s="91">
        <v>184830000</v>
      </c>
      <c r="H493" s="101">
        <v>2</v>
      </c>
      <c r="I493" s="50">
        <v>61610000</v>
      </c>
      <c r="J493" s="34">
        <v>2</v>
      </c>
      <c r="K493" s="50">
        <v>125299300</v>
      </c>
      <c r="L493" s="33">
        <v>2</v>
      </c>
      <c r="M493" s="103" t="s">
        <v>229</v>
      </c>
      <c r="N493" s="51">
        <v>2</v>
      </c>
      <c r="O493" s="50">
        <v>27017192</v>
      </c>
      <c r="P493" s="51">
        <v>2</v>
      </c>
      <c r="Q493" s="50">
        <v>16685364</v>
      </c>
      <c r="R493" s="101">
        <v>2</v>
      </c>
      <c r="S493" s="50">
        <v>64123436</v>
      </c>
      <c r="T493" s="102">
        <f>AVERAGE(L493,N493,P493,R493)</f>
        <v>2</v>
      </c>
      <c r="U493" s="60">
        <f t="shared" si="78"/>
        <v>100</v>
      </c>
      <c r="V493" s="34" t="s">
        <v>44</v>
      </c>
      <c r="W493" s="52">
        <f t="shared" si="79"/>
        <v>107825992</v>
      </c>
      <c r="X493" s="60">
        <f t="shared" si="80"/>
        <v>86.054744120677455</v>
      </c>
      <c r="Y493" s="34" t="s">
        <v>44</v>
      </c>
      <c r="Z493" s="102">
        <f t="shared" si="66"/>
        <v>4</v>
      </c>
      <c r="AA493" s="52">
        <f t="shared" si="76"/>
        <v>169435992</v>
      </c>
      <c r="AB493" s="41">
        <f t="shared" si="70"/>
        <v>66.666666666666657</v>
      </c>
      <c r="AC493" s="34" t="s">
        <v>44</v>
      </c>
      <c r="AD493" s="90">
        <f t="shared" si="71"/>
        <v>91.671261158902766</v>
      </c>
      <c r="AE493" s="17"/>
      <c r="AF493" s="2"/>
      <c r="AG493" s="2"/>
      <c r="AH493" s="55"/>
      <c r="AI493" s="2"/>
      <c r="AJ493" s="2"/>
      <c r="AK493" s="2"/>
    </row>
    <row r="494" spans="1:37" ht="150">
      <c r="A494" s="43"/>
      <c r="B494" s="39"/>
      <c r="C494" s="46" t="s">
        <v>669</v>
      </c>
      <c r="D494" s="47" t="s">
        <v>649</v>
      </c>
      <c r="E494" s="33">
        <v>3</v>
      </c>
      <c r="F494" s="49" t="s">
        <v>227</v>
      </c>
      <c r="G494" s="91">
        <v>153340000</v>
      </c>
      <c r="H494" s="101">
        <v>1</v>
      </c>
      <c r="I494" s="50">
        <v>30036886</v>
      </c>
      <c r="J494" s="34">
        <v>2</v>
      </c>
      <c r="K494" s="50">
        <v>111736000</v>
      </c>
      <c r="L494" s="33">
        <v>2</v>
      </c>
      <c r="M494" s="103" t="s">
        <v>229</v>
      </c>
      <c r="N494" s="51"/>
      <c r="O494" s="50">
        <v>22222384</v>
      </c>
      <c r="P494" s="51"/>
      <c r="Q494" s="50">
        <v>16666788</v>
      </c>
      <c r="R494" s="101">
        <v>3</v>
      </c>
      <c r="S494" s="50">
        <v>72366008</v>
      </c>
      <c r="T494" s="102">
        <f>SUM(L494,N494,P494,R494)</f>
        <v>5</v>
      </c>
      <c r="U494" s="60">
        <f>T494/J494*100</f>
        <v>250</v>
      </c>
      <c r="V494" s="34" t="s">
        <v>44</v>
      </c>
      <c r="W494" s="52">
        <f t="shared" si="79"/>
        <v>111255180</v>
      </c>
      <c r="X494" s="60">
        <f t="shared" si="80"/>
        <v>99.569682107825585</v>
      </c>
      <c r="Y494" s="34" t="s">
        <v>44</v>
      </c>
      <c r="Z494" s="102">
        <f t="shared" si="66"/>
        <v>6</v>
      </c>
      <c r="AA494" s="52">
        <f t="shared" si="76"/>
        <v>141292066</v>
      </c>
      <c r="AB494" s="41">
        <f t="shared" si="70"/>
        <v>200</v>
      </c>
      <c r="AC494" s="34" t="s">
        <v>44</v>
      </c>
      <c r="AD494" s="90">
        <f t="shared" si="71"/>
        <v>92.142993348115297</v>
      </c>
      <c r="AE494" s="17"/>
      <c r="AF494" s="2"/>
      <c r="AG494" s="2"/>
      <c r="AH494" s="55"/>
      <c r="AI494" s="2"/>
      <c r="AJ494" s="2"/>
      <c r="AK494" s="2"/>
    </row>
    <row r="495" spans="1:37" ht="150">
      <c r="A495" s="43"/>
      <c r="B495" s="39"/>
      <c r="C495" s="46" t="s">
        <v>670</v>
      </c>
      <c r="D495" s="47" t="s">
        <v>649</v>
      </c>
      <c r="E495" s="33">
        <v>5</v>
      </c>
      <c r="F495" s="49" t="s">
        <v>227</v>
      </c>
      <c r="G495" s="91"/>
      <c r="H495" s="101">
        <v>1</v>
      </c>
      <c r="I495" s="50"/>
      <c r="J495" s="34">
        <v>2</v>
      </c>
      <c r="K495" s="50">
        <v>113875000</v>
      </c>
      <c r="L495" s="33">
        <v>2</v>
      </c>
      <c r="M495" s="103" t="s">
        <v>229</v>
      </c>
      <c r="N495" s="51">
        <v>2</v>
      </c>
      <c r="O495" s="50">
        <v>27754580</v>
      </c>
      <c r="P495" s="51">
        <v>2</v>
      </c>
      <c r="Q495" s="50">
        <v>16685364</v>
      </c>
      <c r="R495" s="112">
        <v>2</v>
      </c>
      <c r="S495" s="107">
        <v>64582930</v>
      </c>
      <c r="T495" s="102">
        <f>AVERAGE(L495,N495,P495,R495)</f>
        <v>2</v>
      </c>
      <c r="U495" s="60">
        <f t="shared" si="78"/>
        <v>100</v>
      </c>
      <c r="V495" s="34" t="s">
        <v>44</v>
      </c>
      <c r="W495" s="52">
        <f t="shared" si="79"/>
        <v>109022874</v>
      </c>
      <c r="X495" s="60">
        <f t="shared" si="80"/>
        <v>95.739077058177827</v>
      </c>
      <c r="Y495" s="34" t="s">
        <v>44</v>
      </c>
      <c r="Z495" s="102">
        <f t="shared" si="66"/>
        <v>3</v>
      </c>
      <c r="AA495" s="52">
        <f t="shared" si="76"/>
        <v>109022874</v>
      </c>
      <c r="AB495" s="41">
        <f t="shared" si="70"/>
        <v>60</v>
      </c>
      <c r="AC495" s="34" t="s">
        <v>44</v>
      </c>
      <c r="AD495" s="90" t="e">
        <f t="shared" si="71"/>
        <v>#DIV/0!</v>
      </c>
      <c r="AE495" s="17"/>
      <c r="AF495" s="2"/>
      <c r="AG495" s="2"/>
      <c r="AH495" s="55"/>
      <c r="AI495" s="2"/>
      <c r="AJ495" s="2"/>
      <c r="AK495" s="2"/>
    </row>
    <row r="496" spans="1:37" ht="267.75" customHeight="1">
      <c r="A496" s="43"/>
      <c r="B496" s="39" t="s">
        <v>642</v>
      </c>
      <c r="C496" s="23" t="s">
        <v>671</v>
      </c>
      <c r="D496" s="23" t="s">
        <v>644</v>
      </c>
      <c r="E496" s="38" t="s">
        <v>645</v>
      </c>
      <c r="F496" s="26"/>
      <c r="G496" s="67">
        <f>SUM(G497)</f>
        <v>610700000</v>
      </c>
      <c r="H496" s="28" t="s">
        <v>646</v>
      </c>
      <c r="I496" s="67">
        <f>SUM(I497)</f>
        <v>151290000</v>
      </c>
      <c r="J496" s="28" t="s">
        <v>647</v>
      </c>
      <c r="K496" s="67">
        <f>SUM(K497)</f>
        <v>414360000</v>
      </c>
      <c r="L496" s="147"/>
      <c r="M496" s="67">
        <f>SUM(M497)</f>
        <v>0</v>
      </c>
      <c r="N496" s="45"/>
      <c r="O496" s="67">
        <f>SUM(O497)</f>
        <v>0</v>
      </c>
      <c r="P496" s="45"/>
      <c r="Q496" s="67">
        <f>SUM(Q497)</f>
        <v>100650000</v>
      </c>
      <c r="R496" s="28" t="s">
        <v>750</v>
      </c>
      <c r="S496" s="67">
        <f>SUM(S497)</f>
        <v>200846000</v>
      </c>
      <c r="T496" s="65">
        <f t="shared" ref="T496:T497" si="83">SUM(L496,N496,P496,R496)</f>
        <v>0</v>
      </c>
      <c r="U496" s="30"/>
      <c r="V496" s="30" t="s">
        <v>44</v>
      </c>
      <c r="W496" s="76">
        <f t="shared" si="79"/>
        <v>301496000</v>
      </c>
      <c r="X496" s="40">
        <f t="shared" si="80"/>
        <v>72.761849599382174</v>
      </c>
      <c r="Y496" s="30" t="s">
        <v>44</v>
      </c>
      <c r="Z496" s="30">
        <f t="shared" si="66"/>
        <v>0</v>
      </c>
      <c r="AA496" s="76">
        <f t="shared" si="76"/>
        <v>452786000</v>
      </c>
      <c r="AB496" s="41" t="e">
        <f t="shared" si="70"/>
        <v>#VALUE!</v>
      </c>
      <c r="AC496" s="34" t="s">
        <v>44</v>
      </c>
      <c r="AD496" s="90">
        <f t="shared" si="71"/>
        <v>74.142131979695435</v>
      </c>
      <c r="AE496" s="42"/>
      <c r="AF496" s="36"/>
      <c r="AG496" s="36"/>
      <c r="AH496" s="37"/>
      <c r="AI496" s="36"/>
      <c r="AJ496" s="36"/>
      <c r="AK496" s="36"/>
    </row>
    <row r="497" spans="1:37" ht="135">
      <c r="A497" s="43"/>
      <c r="B497" s="39"/>
      <c r="C497" s="47" t="s">
        <v>671</v>
      </c>
      <c r="D497" s="47" t="s">
        <v>672</v>
      </c>
      <c r="E497" s="48">
        <f>H497+J497+90</f>
        <v>310</v>
      </c>
      <c r="F497" s="49" t="s">
        <v>227</v>
      </c>
      <c r="G497" s="91">
        <v>610700000</v>
      </c>
      <c r="H497" s="51">
        <v>130</v>
      </c>
      <c r="I497" s="50">
        <v>151290000</v>
      </c>
      <c r="J497" s="51">
        <v>90</v>
      </c>
      <c r="K497" s="50">
        <v>414360000</v>
      </c>
      <c r="L497" s="33">
        <v>25</v>
      </c>
      <c r="M497" s="50">
        <v>0</v>
      </c>
      <c r="N497" s="51">
        <v>25</v>
      </c>
      <c r="O497" s="50">
        <v>0</v>
      </c>
      <c r="P497" s="51">
        <v>25</v>
      </c>
      <c r="Q497" s="50">
        <v>100650000</v>
      </c>
      <c r="R497" s="51">
        <v>88</v>
      </c>
      <c r="S497" s="50">
        <f>301496000-Q497</f>
        <v>200846000</v>
      </c>
      <c r="T497" s="33">
        <f t="shared" si="83"/>
        <v>163</v>
      </c>
      <c r="U497" s="60">
        <f t="shared" si="78"/>
        <v>181.11111111111111</v>
      </c>
      <c r="V497" s="34" t="s">
        <v>44</v>
      </c>
      <c r="W497" s="52">
        <f t="shared" si="79"/>
        <v>301496000</v>
      </c>
      <c r="X497" s="60">
        <f t="shared" si="80"/>
        <v>72.761849599382174</v>
      </c>
      <c r="Y497" s="34" t="s">
        <v>44</v>
      </c>
      <c r="Z497" s="34">
        <f t="shared" si="66"/>
        <v>293</v>
      </c>
      <c r="AA497" s="52">
        <f t="shared" si="76"/>
        <v>452786000</v>
      </c>
      <c r="AB497" s="41">
        <f t="shared" si="70"/>
        <v>94.516129032258064</v>
      </c>
      <c r="AC497" s="34" t="s">
        <v>44</v>
      </c>
      <c r="AD497" s="90">
        <f t="shared" si="71"/>
        <v>74.142131979695435</v>
      </c>
      <c r="AE497" s="17"/>
      <c r="AF497" s="2"/>
      <c r="AG497" s="2"/>
      <c r="AH497" s="55"/>
      <c r="AI497" s="2"/>
      <c r="AJ497" s="2"/>
      <c r="AK497" s="2"/>
    </row>
    <row r="498" spans="1:37" ht="108" customHeight="1">
      <c r="A498" s="43"/>
      <c r="B498" s="39" t="s">
        <v>166</v>
      </c>
      <c r="C498" s="23" t="s">
        <v>673</v>
      </c>
      <c r="D498" s="23" t="s">
        <v>167</v>
      </c>
      <c r="E498" s="38">
        <v>100</v>
      </c>
      <c r="F498" s="26" t="s">
        <v>44</v>
      </c>
      <c r="G498" s="67">
        <f>G499+G503+G501+G505+G507</f>
        <v>111351000</v>
      </c>
      <c r="H498" s="28">
        <v>100</v>
      </c>
      <c r="I498" s="67">
        <f>I499+I503+I501+I505+I507</f>
        <v>113451600</v>
      </c>
      <c r="J498" s="28">
        <v>100</v>
      </c>
      <c r="K498" s="67">
        <f>K499+K503+K501+K505+K507</f>
        <v>15824900</v>
      </c>
      <c r="L498" s="65">
        <v>100</v>
      </c>
      <c r="M498" s="67">
        <f>M499+M503+M501+M505+M507</f>
        <v>199750</v>
      </c>
      <c r="N498" s="65">
        <v>100</v>
      </c>
      <c r="O498" s="67">
        <f>O499+O503+O501+O505+O507</f>
        <v>1050000</v>
      </c>
      <c r="P498" s="65">
        <v>100</v>
      </c>
      <c r="Q498" s="67">
        <f>Q499+Q503+Q501+Q505+Q507</f>
        <v>4020000</v>
      </c>
      <c r="R498" s="65">
        <v>100</v>
      </c>
      <c r="S498" s="180">
        <f>S499+S501+S505+S507</f>
        <v>6480750</v>
      </c>
      <c r="T498" s="65">
        <f>AVERAGE(L498,N498,P498,R498)</f>
        <v>100</v>
      </c>
      <c r="U498" s="30">
        <f t="shared" si="78"/>
        <v>100</v>
      </c>
      <c r="V498" s="30" t="s">
        <v>44</v>
      </c>
      <c r="W498" s="76">
        <f t="shared" si="79"/>
        <v>11750500</v>
      </c>
      <c r="X498" s="40">
        <f t="shared" si="80"/>
        <v>74.253233827701919</v>
      </c>
      <c r="Y498" s="30" t="s">
        <v>44</v>
      </c>
      <c r="Z498" s="30">
        <f t="shared" si="66"/>
        <v>200</v>
      </c>
      <c r="AA498" s="76">
        <f t="shared" si="76"/>
        <v>125202100</v>
      </c>
      <c r="AB498" s="41">
        <f t="shared" si="70"/>
        <v>200</v>
      </c>
      <c r="AC498" s="34" t="s">
        <v>44</v>
      </c>
      <c r="AD498" s="90">
        <f t="shared" si="71"/>
        <v>112.43913390988855</v>
      </c>
      <c r="AE498" s="17"/>
      <c r="AF498" s="2"/>
      <c r="AG498" s="2"/>
      <c r="AH498" s="55"/>
      <c r="AI498" s="2"/>
      <c r="AJ498" s="2"/>
      <c r="AK498" s="2"/>
    </row>
    <row r="499" spans="1:37" ht="162" customHeight="1">
      <c r="A499" s="43"/>
      <c r="B499" s="39" t="s">
        <v>223</v>
      </c>
      <c r="C499" s="23" t="s">
        <v>674</v>
      </c>
      <c r="D499" s="23" t="s">
        <v>224</v>
      </c>
      <c r="E499" s="38">
        <v>65</v>
      </c>
      <c r="F499" s="26" t="s">
        <v>44</v>
      </c>
      <c r="G499" s="67">
        <f>SUM(G500)</f>
        <v>8240000</v>
      </c>
      <c r="H499" s="28">
        <v>59</v>
      </c>
      <c r="I499" s="67">
        <f>SUM(I500)</f>
        <v>0</v>
      </c>
      <c r="J499" s="28">
        <v>63</v>
      </c>
      <c r="K499" s="67">
        <f>SUM(K500)</f>
        <v>4120000</v>
      </c>
      <c r="L499" s="147">
        <v>0</v>
      </c>
      <c r="M499" s="67">
        <f>SUM(M500)</f>
        <v>0</v>
      </c>
      <c r="N499" s="45">
        <f t="shared" ref="N499:S499" si="84">N500</f>
        <v>0</v>
      </c>
      <c r="O499" s="148">
        <f t="shared" si="84"/>
        <v>0</v>
      </c>
      <c r="P499" s="45">
        <f t="shared" si="84"/>
        <v>0</v>
      </c>
      <c r="Q499" s="148">
        <f t="shared" si="84"/>
        <v>0</v>
      </c>
      <c r="R499" s="28">
        <v>61</v>
      </c>
      <c r="S499" s="148">
        <f t="shared" si="84"/>
        <v>3760000</v>
      </c>
      <c r="T499" s="65">
        <f t="shared" ref="T499:T508" si="85">SUM(L499,N499,P499,R499)</f>
        <v>61</v>
      </c>
      <c r="U499" s="40">
        <f t="shared" si="78"/>
        <v>96.825396825396822</v>
      </c>
      <c r="V499" s="30" t="s">
        <v>44</v>
      </c>
      <c r="W499" s="76">
        <f t="shared" si="79"/>
        <v>3760000</v>
      </c>
      <c r="X499" s="65">
        <f t="shared" si="80"/>
        <v>91.262135922330103</v>
      </c>
      <c r="Y499" s="30" t="s">
        <v>44</v>
      </c>
      <c r="Z499" s="30">
        <f t="shared" si="66"/>
        <v>120</v>
      </c>
      <c r="AA499" s="76">
        <f t="shared" si="76"/>
        <v>3760000</v>
      </c>
      <c r="AB499" s="41">
        <f t="shared" si="70"/>
        <v>184.61538461538461</v>
      </c>
      <c r="AC499" s="34" t="s">
        <v>44</v>
      </c>
      <c r="AD499" s="90">
        <f t="shared" si="71"/>
        <v>45.631067961165051</v>
      </c>
      <c r="AE499" s="42"/>
      <c r="AF499" s="36"/>
      <c r="AG499" s="36"/>
      <c r="AH499" s="37"/>
      <c r="AI499" s="36"/>
      <c r="AJ499" s="36"/>
      <c r="AK499" s="36"/>
    </row>
    <row r="500" spans="1:37" ht="255">
      <c r="A500" s="43"/>
      <c r="B500" s="39"/>
      <c r="C500" s="47" t="s">
        <v>675</v>
      </c>
      <c r="D500" s="47" t="s">
        <v>676</v>
      </c>
      <c r="E500" s="48">
        <v>4</v>
      </c>
      <c r="F500" s="49" t="s">
        <v>62</v>
      </c>
      <c r="G500" s="91">
        <v>8240000</v>
      </c>
      <c r="H500" s="59"/>
      <c r="I500" s="58"/>
      <c r="J500" s="51">
        <v>4</v>
      </c>
      <c r="K500" s="50">
        <v>4120000</v>
      </c>
      <c r="L500" s="33">
        <v>1</v>
      </c>
      <c r="M500" s="50">
        <v>0</v>
      </c>
      <c r="N500" s="51">
        <v>0</v>
      </c>
      <c r="O500" s="50">
        <v>0</v>
      </c>
      <c r="P500" s="51">
        <v>0</v>
      </c>
      <c r="Q500" s="50">
        <v>0</v>
      </c>
      <c r="R500" s="51">
        <v>3</v>
      </c>
      <c r="S500" s="50">
        <v>3760000</v>
      </c>
      <c r="T500" s="33">
        <f t="shared" si="85"/>
        <v>4</v>
      </c>
      <c r="U500" s="34">
        <f t="shared" si="78"/>
        <v>100</v>
      </c>
      <c r="V500" s="34" t="s">
        <v>44</v>
      </c>
      <c r="W500" s="52">
        <f t="shared" si="79"/>
        <v>3760000</v>
      </c>
      <c r="X500" s="33">
        <f t="shared" si="80"/>
        <v>91.262135922330103</v>
      </c>
      <c r="Y500" s="34" t="s">
        <v>44</v>
      </c>
      <c r="Z500" s="34">
        <f t="shared" si="66"/>
        <v>4</v>
      </c>
      <c r="AA500" s="52">
        <f t="shared" si="76"/>
        <v>3760000</v>
      </c>
      <c r="AB500" s="41">
        <f t="shared" si="70"/>
        <v>100</v>
      </c>
      <c r="AC500" s="34" t="s">
        <v>44</v>
      </c>
      <c r="AD500" s="90">
        <f t="shared" si="71"/>
        <v>45.631067961165051</v>
      </c>
      <c r="AE500" s="17"/>
      <c r="AF500" s="2"/>
      <c r="AG500" s="2"/>
      <c r="AH500" s="55"/>
      <c r="AI500" s="2"/>
      <c r="AJ500" s="2"/>
      <c r="AK500" s="2"/>
    </row>
    <row r="501" spans="1:37" ht="270.75" customHeight="1">
      <c r="A501" s="43"/>
      <c r="B501" s="39" t="s">
        <v>223</v>
      </c>
      <c r="C501" s="23" t="s">
        <v>677</v>
      </c>
      <c r="D501" s="23" t="s">
        <v>224</v>
      </c>
      <c r="E501" s="38">
        <v>65</v>
      </c>
      <c r="F501" s="26" t="s">
        <v>44</v>
      </c>
      <c r="G501" s="67">
        <f>SUM(G502)</f>
        <v>95991000</v>
      </c>
      <c r="H501" s="28">
        <v>59</v>
      </c>
      <c r="I501" s="67">
        <f>SUM(I502)</f>
        <v>69179100</v>
      </c>
      <c r="J501" s="28">
        <v>63</v>
      </c>
      <c r="K501" s="67">
        <f>SUM(K502)</f>
        <v>2840000</v>
      </c>
      <c r="L501" s="147"/>
      <c r="M501" s="67">
        <f>SUM(M502)</f>
        <v>99750</v>
      </c>
      <c r="N501" s="45">
        <f>N502</f>
        <v>0</v>
      </c>
      <c r="O501" s="67">
        <f>SUM(O502)</f>
        <v>0</v>
      </c>
      <c r="P501" s="45"/>
      <c r="Q501" s="67">
        <f>SUM(Q502)</f>
        <v>1440000</v>
      </c>
      <c r="R501" s="28">
        <v>61</v>
      </c>
      <c r="S501" s="67">
        <f>SUM(S502)</f>
        <v>1190000</v>
      </c>
      <c r="T501" s="40">
        <f t="shared" si="85"/>
        <v>61</v>
      </c>
      <c r="U501" s="65">
        <f>Z501/J501*100</f>
        <v>190.47619047619045</v>
      </c>
      <c r="V501" s="30" t="s">
        <v>44</v>
      </c>
      <c r="W501" s="76">
        <f t="shared" si="79"/>
        <v>2729750</v>
      </c>
      <c r="X501" s="40">
        <f t="shared" si="80"/>
        <v>96.117957746478879</v>
      </c>
      <c r="Y501" s="30" t="s">
        <v>44</v>
      </c>
      <c r="Z501" s="40">
        <f t="shared" si="66"/>
        <v>120</v>
      </c>
      <c r="AA501" s="76">
        <f t="shared" si="76"/>
        <v>71908850</v>
      </c>
      <c r="AB501" s="41">
        <f t="shared" si="70"/>
        <v>184.61538461538461</v>
      </c>
      <c r="AC501" s="34" t="s">
        <v>44</v>
      </c>
      <c r="AD501" s="90">
        <f t="shared" si="71"/>
        <v>74.912075090373051</v>
      </c>
      <c r="AE501" s="42"/>
      <c r="AF501" s="36"/>
      <c r="AG501" s="36"/>
      <c r="AH501" s="37"/>
      <c r="AI501" s="36"/>
      <c r="AJ501" s="36"/>
      <c r="AK501" s="36"/>
    </row>
    <row r="502" spans="1:37" ht="345">
      <c r="A502" s="43"/>
      <c r="B502" s="39"/>
      <c r="C502" s="47" t="s">
        <v>678</v>
      </c>
      <c r="D502" s="47" t="s">
        <v>679</v>
      </c>
      <c r="E502" s="48">
        <f>J502*3</f>
        <v>51</v>
      </c>
      <c r="F502" s="77" t="s">
        <v>62</v>
      </c>
      <c r="G502" s="91">
        <v>95991000</v>
      </c>
      <c r="H502" s="51">
        <v>17</v>
      </c>
      <c r="I502" s="50">
        <v>69179100</v>
      </c>
      <c r="J502" s="51">
        <v>17</v>
      </c>
      <c r="K502" s="50">
        <v>2840000</v>
      </c>
      <c r="L502" s="33">
        <v>4</v>
      </c>
      <c r="M502" s="50">
        <v>99750</v>
      </c>
      <c r="N502" s="51">
        <v>0</v>
      </c>
      <c r="O502" s="50">
        <v>0</v>
      </c>
      <c r="P502" s="51">
        <v>12</v>
      </c>
      <c r="Q502" s="50">
        <f>1539750-M502</f>
        <v>1440000</v>
      </c>
      <c r="R502" s="51">
        <v>1</v>
      </c>
      <c r="S502" s="50">
        <f>2729750-M502-Q502</f>
        <v>1190000</v>
      </c>
      <c r="T502" s="33">
        <f t="shared" si="85"/>
        <v>17</v>
      </c>
      <c r="U502" s="33">
        <f t="shared" ref="U502:U504" si="86">T502/J502*100</f>
        <v>100</v>
      </c>
      <c r="V502" s="34" t="s">
        <v>44</v>
      </c>
      <c r="W502" s="52">
        <f t="shared" si="79"/>
        <v>2729750</v>
      </c>
      <c r="X502" s="60">
        <f t="shared" si="80"/>
        <v>96.117957746478879</v>
      </c>
      <c r="Y502" s="34" t="s">
        <v>44</v>
      </c>
      <c r="Z502" s="34">
        <f t="shared" si="66"/>
        <v>34</v>
      </c>
      <c r="AA502" s="52">
        <f t="shared" si="76"/>
        <v>71908850</v>
      </c>
      <c r="AB502" s="41">
        <f t="shared" si="70"/>
        <v>66.666666666666657</v>
      </c>
      <c r="AC502" s="34" t="s">
        <v>44</v>
      </c>
      <c r="AD502" s="90">
        <f t="shared" si="71"/>
        <v>74.912075090373051</v>
      </c>
      <c r="AE502" s="17"/>
      <c r="AF502" s="2"/>
      <c r="AG502" s="2"/>
      <c r="AH502" s="55"/>
      <c r="AI502" s="2"/>
      <c r="AJ502" s="2"/>
      <c r="AK502" s="2"/>
    </row>
    <row r="503" spans="1:37" ht="261.75" customHeight="1">
      <c r="A503" s="43"/>
      <c r="B503" s="39"/>
      <c r="C503" s="23" t="s">
        <v>680</v>
      </c>
      <c r="D503" s="23" t="s">
        <v>224</v>
      </c>
      <c r="E503" s="38">
        <v>65</v>
      </c>
      <c r="F503" s="26" t="s">
        <v>44</v>
      </c>
      <c r="G503" s="67">
        <f>SUM(G504)</f>
        <v>7120000</v>
      </c>
      <c r="H503" s="28">
        <v>59</v>
      </c>
      <c r="I503" s="67">
        <f>SUM(I504)</f>
        <v>1120000</v>
      </c>
      <c r="J503" s="28">
        <v>63</v>
      </c>
      <c r="K503" s="67">
        <f>SUM(K504)</f>
        <v>4120000</v>
      </c>
      <c r="L503" s="147">
        <v>0</v>
      </c>
      <c r="M503" s="67">
        <f>SUM(M504)</f>
        <v>100000</v>
      </c>
      <c r="N503" s="45"/>
      <c r="O503" s="67">
        <f>SUM(O504)</f>
        <v>900000</v>
      </c>
      <c r="P503" s="45"/>
      <c r="Q503" s="67">
        <f>SUM(Q504)</f>
        <v>0</v>
      </c>
      <c r="R503" s="28">
        <v>61</v>
      </c>
      <c r="S503" s="67">
        <f>SUM(S504)</f>
        <v>2070000</v>
      </c>
      <c r="T503" s="65">
        <f t="shared" si="85"/>
        <v>61</v>
      </c>
      <c r="U503" s="40">
        <f t="shared" si="86"/>
        <v>96.825396825396822</v>
      </c>
      <c r="V503" s="30" t="s">
        <v>44</v>
      </c>
      <c r="W503" s="76">
        <f t="shared" si="79"/>
        <v>3070000</v>
      </c>
      <c r="X503" s="65">
        <f t="shared" si="80"/>
        <v>74.514563106796118</v>
      </c>
      <c r="Y503" s="30" t="s">
        <v>44</v>
      </c>
      <c r="Z503" s="30">
        <f t="shared" si="66"/>
        <v>120</v>
      </c>
      <c r="AA503" s="76">
        <f t="shared" si="76"/>
        <v>4190000</v>
      </c>
      <c r="AB503" s="41">
        <f t="shared" si="70"/>
        <v>184.61538461538461</v>
      </c>
      <c r="AC503" s="34" t="s">
        <v>44</v>
      </c>
      <c r="AD503" s="90">
        <f t="shared" si="71"/>
        <v>58.848314606741567</v>
      </c>
      <c r="AE503" s="42"/>
      <c r="AF503" s="36"/>
      <c r="AG503" s="36"/>
      <c r="AH503" s="37"/>
      <c r="AI503" s="36"/>
      <c r="AJ503" s="36"/>
      <c r="AK503" s="36"/>
    </row>
    <row r="504" spans="1:37" ht="330">
      <c r="A504" s="43"/>
      <c r="B504" s="39"/>
      <c r="C504" s="47" t="s">
        <v>681</v>
      </c>
      <c r="D504" s="47" t="s">
        <v>682</v>
      </c>
      <c r="E504" s="48">
        <v>6</v>
      </c>
      <c r="F504" s="49" t="s">
        <v>62</v>
      </c>
      <c r="G504" s="91">
        <v>7120000</v>
      </c>
      <c r="H504" s="51">
        <v>3</v>
      </c>
      <c r="I504" s="50">
        <v>1120000</v>
      </c>
      <c r="J504" s="51">
        <v>3</v>
      </c>
      <c r="K504" s="50">
        <v>4120000</v>
      </c>
      <c r="L504" s="33">
        <v>1</v>
      </c>
      <c r="M504" s="50">
        <v>100000</v>
      </c>
      <c r="N504" s="51">
        <v>1</v>
      </c>
      <c r="O504" s="50">
        <v>900000</v>
      </c>
      <c r="P504" s="51">
        <v>1</v>
      </c>
      <c r="Q504" s="50">
        <v>0</v>
      </c>
      <c r="R504" s="51">
        <v>0</v>
      </c>
      <c r="S504" s="50">
        <f>3070000-M504-O504</f>
        <v>2070000</v>
      </c>
      <c r="T504" s="33">
        <f t="shared" si="85"/>
        <v>3</v>
      </c>
      <c r="U504" s="34">
        <f t="shared" si="86"/>
        <v>100</v>
      </c>
      <c r="V504" s="34" t="s">
        <v>44</v>
      </c>
      <c r="W504" s="52">
        <f t="shared" si="79"/>
        <v>3070000</v>
      </c>
      <c r="X504" s="33">
        <f t="shared" si="80"/>
        <v>74.514563106796118</v>
      </c>
      <c r="Y504" s="34" t="s">
        <v>44</v>
      </c>
      <c r="Z504" s="34">
        <f t="shared" si="66"/>
        <v>6</v>
      </c>
      <c r="AA504" s="52">
        <f t="shared" si="76"/>
        <v>4190000</v>
      </c>
      <c r="AB504" s="41">
        <f t="shared" si="70"/>
        <v>100</v>
      </c>
      <c r="AC504" s="34" t="s">
        <v>44</v>
      </c>
      <c r="AD504" s="90">
        <f t="shared" si="71"/>
        <v>58.848314606741567</v>
      </c>
      <c r="AE504" s="17"/>
      <c r="AF504" s="2"/>
      <c r="AG504" s="2"/>
      <c r="AH504" s="55"/>
      <c r="AI504" s="2"/>
      <c r="AJ504" s="2"/>
      <c r="AK504" s="2"/>
    </row>
    <row r="505" spans="1:37" ht="150" customHeight="1">
      <c r="A505" s="43"/>
      <c r="B505" s="39" t="s">
        <v>223</v>
      </c>
      <c r="C505" s="23" t="s">
        <v>683</v>
      </c>
      <c r="D505" s="23" t="s">
        <v>224</v>
      </c>
      <c r="E505" s="38">
        <f>(475+51)/837*100</f>
        <v>62.843488649940262</v>
      </c>
      <c r="F505" s="26" t="s">
        <v>44</v>
      </c>
      <c r="G505" s="149"/>
      <c r="H505" s="28"/>
      <c r="I505" s="67"/>
      <c r="J505" s="28">
        <v>63</v>
      </c>
      <c r="K505" s="67">
        <f>SUM(K506)</f>
        <v>1880000</v>
      </c>
      <c r="L505" s="65"/>
      <c r="M505" s="67">
        <f>SUM(M506)</f>
        <v>0</v>
      </c>
      <c r="N505" s="28"/>
      <c r="O505" s="67">
        <f>SUM(O506)</f>
        <v>150000</v>
      </c>
      <c r="P505" s="28"/>
      <c r="Q505" s="67">
        <f>SUM(Q506)</f>
        <v>0</v>
      </c>
      <c r="R505" s="28">
        <v>61</v>
      </c>
      <c r="S505" s="67">
        <f>SUM(S506)</f>
        <v>1410000</v>
      </c>
      <c r="T505" s="40">
        <f t="shared" si="85"/>
        <v>61</v>
      </c>
      <c r="U505" s="65">
        <f>Z505/J505*100</f>
        <v>96.825396825396822</v>
      </c>
      <c r="V505" s="30" t="s">
        <v>44</v>
      </c>
      <c r="W505" s="76">
        <f t="shared" si="79"/>
        <v>1560000</v>
      </c>
      <c r="X505" s="40">
        <f t="shared" si="80"/>
        <v>82.978723404255319</v>
      </c>
      <c r="Y505" s="30" t="s">
        <v>44</v>
      </c>
      <c r="Z505" s="40">
        <f t="shared" si="66"/>
        <v>61</v>
      </c>
      <c r="AA505" s="76">
        <f t="shared" si="76"/>
        <v>1560000</v>
      </c>
      <c r="AB505" s="41">
        <f t="shared" si="70"/>
        <v>97.06653992395438</v>
      </c>
      <c r="AC505" s="34" t="s">
        <v>44</v>
      </c>
      <c r="AD505" s="90" t="e">
        <f t="shared" si="71"/>
        <v>#DIV/0!</v>
      </c>
      <c r="AE505" s="42"/>
      <c r="AF505" s="36"/>
      <c r="AG505" s="36"/>
      <c r="AH505" s="37"/>
      <c r="AI505" s="36"/>
      <c r="AJ505" s="36"/>
      <c r="AK505" s="36"/>
    </row>
    <row r="506" spans="1:37" ht="225">
      <c r="A506" s="43"/>
      <c r="B506" s="39"/>
      <c r="C506" s="47" t="s">
        <v>684</v>
      </c>
      <c r="D506" s="47" t="s">
        <v>685</v>
      </c>
      <c r="E506" s="48">
        <f>J506*3</f>
        <v>51</v>
      </c>
      <c r="F506" s="77" t="s">
        <v>62</v>
      </c>
      <c r="G506" s="91">
        <v>95991000</v>
      </c>
      <c r="H506" s="59"/>
      <c r="I506" s="58"/>
      <c r="J506" s="51">
        <v>17</v>
      </c>
      <c r="K506" s="50">
        <v>1880000</v>
      </c>
      <c r="L506" s="33">
        <v>0</v>
      </c>
      <c r="M506" s="50">
        <v>0</v>
      </c>
      <c r="N506" s="51">
        <v>3</v>
      </c>
      <c r="O506" s="50">
        <v>150000</v>
      </c>
      <c r="P506" s="51">
        <v>13</v>
      </c>
      <c r="Q506" s="50">
        <v>0</v>
      </c>
      <c r="R506" s="51">
        <v>1</v>
      </c>
      <c r="S506" s="50">
        <f>1560000-O506</f>
        <v>1410000</v>
      </c>
      <c r="T506" s="33">
        <f t="shared" si="85"/>
        <v>17</v>
      </c>
      <c r="U506" s="33">
        <f t="shared" ref="U506:U534" si="87">T506/J506*100</f>
        <v>100</v>
      </c>
      <c r="V506" s="34" t="s">
        <v>44</v>
      </c>
      <c r="W506" s="52">
        <f t="shared" si="79"/>
        <v>1560000</v>
      </c>
      <c r="X506" s="60">
        <f t="shared" si="80"/>
        <v>82.978723404255319</v>
      </c>
      <c r="Y506" s="34" t="s">
        <v>44</v>
      </c>
      <c r="Z506" s="34">
        <f t="shared" si="66"/>
        <v>17</v>
      </c>
      <c r="AA506" s="52">
        <f t="shared" si="76"/>
        <v>1560000</v>
      </c>
      <c r="AB506" s="41">
        <f t="shared" si="70"/>
        <v>33.333333333333329</v>
      </c>
      <c r="AC506" s="34" t="s">
        <v>44</v>
      </c>
      <c r="AD506" s="90">
        <f t="shared" si="71"/>
        <v>1.6251523580335654</v>
      </c>
      <c r="AE506" s="17"/>
      <c r="AF506" s="2"/>
      <c r="AG506" s="2"/>
      <c r="AH506" s="55"/>
      <c r="AI506" s="2"/>
      <c r="AJ506" s="2"/>
      <c r="AK506" s="2"/>
    </row>
    <row r="507" spans="1:37" ht="233.25" customHeight="1">
      <c r="A507" s="43"/>
      <c r="B507" s="39" t="s">
        <v>223</v>
      </c>
      <c r="C507" s="23" t="s">
        <v>686</v>
      </c>
      <c r="D507" s="23" t="s">
        <v>224</v>
      </c>
      <c r="E507" s="38">
        <v>65</v>
      </c>
      <c r="F507" s="26" t="s">
        <v>44</v>
      </c>
      <c r="G507" s="149"/>
      <c r="H507" s="28">
        <v>59</v>
      </c>
      <c r="I507" s="67">
        <v>43152500</v>
      </c>
      <c r="J507" s="28">
        <v>63</v>
      </c>
      <c r="K507" s="67">
        <f>SUM(K508)</f>
        <v>2864900</v>
      </c>
      <c r="L507" s="147">
        <v>0</v>
      </c>
      <c r="M507" s="67">
        <f>SUM(M508)</f>
        <v>0</v>
      </c>
      <c r="N507" s="45">
        <f t="shared" ref="N507:O507" si="88">N508</f>
        <v>0</v>
      </c>
      <c r="O507" s="148">
        <f t="shared" si="88"/>
        <v>0</v>
      </c>
      <c r="P507" s="45"/>
      <c r="Q507" s="148">
        <f t="shared" ref="Q507:S507" si="89">Q508</f>
        <v>2580000</v>
      </c>
      <c r="R507" s="28">
        <v>61</v>
      </c>
      <c r="S507" s="148">
        <f t="shared" si="89"/>
        <v>120750</v>
      </c>
      <c r="T507" s="65">
        <f t="shared" si="85"/>
        <v>61</v>
      </c>
      <c r="U507" s="30">
        <f t="shared" si="87"/>
        <v>96.825396825396822</v>
      </c>
      <c r="V507" s="30" t="s">
        <v>44</v>
      </c>
      <c r="W507" s="76">
        <f t="shared" si="79"/>
        <v>2700750</v>
      </c>
      <c r="X507" s="30">
        <f t="shared" si="80"/>
        <v>94.27030611888722</v>
      </c>
      <c r="Y507" s="30" t="s">
        <v>44</v>
      </c>
      <c r="Z507" s="30">
        <f t="shared" si="66"/>
        <v>120</v>
      </c>
      <c r="AA507" s="76">
        <f t="shared" si="76"/>
        <v>45853250</v>
      </c>
      <c r="AB507" s="41">
        <f t="shared" si="70"/>
        <v>184.61538461538461</v>
      </c>
      <c r="AC507" s="34" t="s">
        <v>44</v>
      </c>
      <c r="AD507" s="90" t="e">
        <f t="shared" si="71"/>
        <v>#DIV/0!</v>
      </c>
      <c r="AE507" s="42"/>
      <c r="AF507" s="36"/>
      <c r="AG507" s="36"/>
      <c r="AH507" s="37"/>
      <c r="AI507" s="36"/>
      <c r="AJ507" s="36"/>
      <c r="AK507" s="36"/>
    </row>
    <row r="508" spans="1:37" ht="210">
      <c r="A508" s="43"/>
      <c r="B508" s="39"/>
      <c r="C508" s="47" t="s">
        <v>687</v>
      </c>
      <c r="D508" s="47" t="s">
        <v>688</v>
      </c>
      <c r="E508" s="48">
        <v>70</v>
      </c>
      <c r="F508" s="77" t="s">
        <v>139</v>
      </c>
      <c r="G508" s="91">
        <v>97557400</v>
      </c>
      <c r="H508" s="51">
        <v>70</v>
      </c>
      <c r="I508" s="50">
        <v>43152500</v>
      </c>
      <c r="J508" s="51">
        <v>70</v>
      </c>
      <c r="K508" s="50">
        <v>2864900</v>
      </c>
      <c r="L508" s="33"/>
      <c r="M508" s="50">
        <v>0</v>
      </c>
      <c r="N508" s="51"/>
      <c r="O508" s="50">
        <v>0</v>
      </c>
      <c r="P508" s="51">
        <v>64</v>
      </c>
      <c r="Q508" s="50">
        <v>2580000</v>
      </c>
      <c r="R508" s="51">
        <v>6</v>
      </c>
      <c r="S508" s="50">
        <f>2700750-Q508</f>
        <v>120750</v>
      </c>
      <c r="T508" s="33">
        <f t="shared" si="85"/>
        <v>70</v>
      </c>
      <c r="U508" s="34">
        <f t="shared" si="87"/>
        <v>100</v>
      </c>
      <c r="V508" s="34" t="s">
        <v>44</v>
      </c>
      <c r="W508" s="52">
        <f t="shared" si="79"/>
        <v>2700750</v>
      </c>
      <c r="X508" s="60">
        <f t="shared" si="80"/>
        <v>94.27030611888722</v>
      </c>
      <c r="Y508" s="34" t="s">
        <v>44</v>
      </c>
      <c r="Z508" s="34">
        <f t="shared" si="66"/>
        <v>140</v>
      </c>
      <c r="AA508" s="52">
        <f t="shared" si="76"/>
        <v>45853250</v>
      </c>
      <c r="AB508" s="41">
        <f t="shared" si="70"/>
        <v>200</v>
      </c>
      <c r="AC508" s="34" t="s">
        <v>44</v>
      </c>
      <c r="AD508" s="90">
        <f t="shared" si="71"/>
        <v>47.001303847786019</v>
      </c>
      <c r="AE508" s="17"/>
      <c r="AF508" s="2"/>
      <c r="AG508" s="2"/>
      <c r="AH508" s="55"/>
      <c r="AI508" s="2"/>
      <c r="AJ508" s="2"/>
      <c r="AK508" s="2"/>
    </row>
    <row r="509" spans="1:37" ht="162" customHeight="1">
      <c r="A509" s="43"/>
      <c r="B509" s="39" t="s">
        <v>166</v>
      </c>
      <c r="C509" s="23" t="s">
        <v>689</v>
      </c>
      <c r="D509" s="23" t="s">
        <v>167</v>
      </c>
      <c r="E509" s="38">
        <v>100</v>
      </c>
      <c r="F509" s="26" t="s">
        <v>44</v>
      </c>
      <c r="G509" s="67">
        <f>G510+G512+G514</f>
        <v>2301793383</v>
      </c>
      <c r="H509" s="28">
        <v>100</v>
      </c>
      <c r="I509" s="67">
        <f>I510+I512+I514</f>
        <v>871803600</v>
      </c>
      <c r="J509" s="28">
        <v>100</v>
      </c>
      <c r="K509" s="67">
        <f>K510+K512+K514</f>
        <v>793826255</v>
      </c>
      <c r="L509" s="65">
        <v>100</v>
      </c>
      <c r="M509" s="67">
        <f>M510+M514</f>
        <v>462500</v>
      </c>
      <c r="N509" s="28">
        <v>100</v>
      </c>
      <c r="O509" s="67">
        <f>O510+O512+O514</f>
        <v>101082000</v>
      </c>
      <c r="P509" s="28">
        <v>100</v>
      </c>
      <c r="Q509" s="67">
        <f>Q510+Q512+Q514</f>
        <v>197616648</v>
      </c>
      <c r="R509" s="79">
        <v>100</v>
      </c>
      <c r="S509" s="67">
        <f>S510+S512+S514</f>
        <v>322166577</v>
      </c>
      <c r="T509" s="40">
        <f>AVERAGE(L509,N509,P509,R509)</f>
        <v>100</v>
      </c>
      <c r="U509" s="40">
        <f t="shared" si="87"/>
        <v>100</v>
      </c>
      <c r="V509" s="30" t="s">
        <v>44</v>
      </c>
      <c r="W509" s="76">
        <f t="shared" si="79"/>
        <v>621327725</v>
      </c>
      <c r="X509" s="40">
        <f t="shared" si="80"/>
        <v>78.269989319010364</v>
      </c>
      <c r="Y509" s="30" t="s">
        <v>44</v>
      </c>
      <c r="Z509" s="30">
        <f t="shared" si="66"/>
        <v>200</v>
      </c>
      <c r="AA509" s="76">
        <f t="shared" si="76"/>
        <v>1493131325</v>
      </c>
      <c r="AB509" s="41">
        <f t="shared" si="70"/>
        <v>200</v>
      </c>
      <c r="AC509" s="34" t="s">
        <v>44</v>
      </c>
      <c r="AD509" s="90">
        <f t="shared" si="71"/>
        <v>64.868173487142229</v>
      </c>
      <c r="AE509" s="42"/>
      <c r="AF509" s="36"/>
      <c r="AG509" s="36"/>
      <c r="AH509" s="37"/>
      <c r="AI509" s="36"/>
      <c r="AJ509" s="36"/>
      <c r="AK509" s="36"/>
    </row>
    <row r="510" spans="1:37" ht="214.5" customHeight="1">
      <c r="A510" s="43"/>
      <c r="B510" s="39" t="s">
        <v>223</v>
      </c>
      <c r="C510" s="23" t="s">
        <v>690</v>
      </c>
      <c r="D510" s="23" t="s">
        <v>224</v>
      </c>
      <c r="E510" s="38">
        <v>65</v>
      </c>
      <c r="F510" s="26" t="s">
        <v>44</v>
      </c>
      <c r="G510" s="67">
        <f>SUM(G511)</f>
        <v>394321500</v>
      </c>
      <c r="H510" s="28">
        <v>59</v>
      </c>
      <c r="I510" s="67">
        <f>SUM(I511)</f>
        <v>229044500</v>
      </c>
      <c r="J510" s="28">
        <v>63</v>
      </c>
      <c r="K510" s="67">
        <f>SUM(K511)</f>
        <v>35085000</v>
      </c>
      <c r="L510" s="147">
        <v>0</v>
      </c>
      <c r="M510" s="67">
        <f>SUM(M511)</f>
        <v>0</v>
      </c>
      <c r="N510" s="45"/>
      <c r="O510" s="67">
        <f>O511</f>
        <v>0</v>
      </c>
      <c r="P510" s="45"/>
      <c r="Q510" s="67">
        <f>Q511</f>
        <v>3672500</v>
      </c>
      <c r="R510" s="28">
        <v>61</v>
      </c>
      <c r="S510" s="67">
        <v>3672500</v>
      </c>
      <c r="T510" s="65">
        <f t="shared" ref="T510:T534" si="90">SUM(L510,N510,P510,R510)</f>
        <v>61</v>
      </c>
      <c r="U510" s="40">
        <f t="shared" si="87"/>
        <v>96.825396825396822</v>
      </c>
      <c r="V510" s="30" t="s">
        <v>44</v>
      </c>
      <c r="W510" s="76">
        <f t="shared" si="79"/>
        <v>7345000</v>
      </c>
      <c r="X510" s="40">
        <f t="shared" si="80"/>
        <v>20.934872452615078</v>
      </c>
      <c r="Y510" s="30" t="s">
        <v>44</v>
      </c>
      <c r="Z510" s="30">
        <f t="shared" si="66"/>
        <v>120</v>
      </c>
      <c r="AA510" s="76">
        <f t="shared" si="76"/>
        <v>236389500</v>
      </c>
      <c r="AB510" s="41">
        <f t="shared" si="70"/>
        <v>184.61538461538461</v>
      </c>
      <c r="AC510" s="34" t="s">
        <v>44</v>
      </c>
      <c r="AD510" s="90">
        <f t="shared" si="71"/>
        <v>59.94841772513039</v>
      </c>
      <c r="AE510" s="42"/>
      <c r="AF510" s="36"/>
      <c r="AG510" s="36"/>
      <c r="AH510" s="37"/>
      <c r="AI510" s="36"/>
      <c r="AJ510" s="36"/>
      <c r="AK510" s="36"/>
    </row>
    <row r="511" spans="1:37" ht="140.25" customHeight="1">
      <c r="A511" s="43"/>
      <c r="B511" s="39"/>
      <c r="C511" s="132" t="s">
        <v>691</v>
      </c>
      <c r="D511" s="47" t="s">
        <v>692</v>
      </c>
      <c r="E511" s="48">
        <v>21</v>
      </c>
      <c r="F511" s="49" t="s">
        <v>62</v>
      </c>
      <c r="G511" s="91">
        <v>394321500</v>
      </c>
      <c r="H511" s="51">
        <v>14</v>
      </c>
      <c r="I511" s="50">
        <v>229044500</v>
      </c>
      <c r="J511" s="51">
        <v>7</v>
      </c>
      <c r="K511" s="50">
        <v>35085000</v>
      </c>
      <c r="L511" s="33">
        <v>0</v>
      </c>
      <c r="M511" s="50">
        <v>0</v>
      </c>
      <c r="N511" s="51">
        <v>2</v>
      </c>
      <c r="O511" s="50">
        <v>0</v>
      </c>
      <c r="P511" s="51">
        <v>3</v>
      </c>
      <c r="Q511" s="50">
        <v>3672500</v>
      </c>
      <c r="R511" s="51">
        <v>2</v>
      </c>
      <c r="S511" s="50">
        <f>29445000-Q511</f>
        <v>25772500</v>
      </c>
      <c r="T511" s="33">
        <f t="shared" si="90"/>
        <v>7</v>
      </c>
      <c r="U511" s="60">
        <f t="shared" si="87"/>
        <v>100</v>
      </c>
      <c r="V511" s="34" t="s">
        <v>44</v>
      </c>
      <c r="W511" s="52">
        <f t="shared" si="79"/>
        <v>29445000</v>
      </c>
      <c r="X511" s="60">
        <f t="shared" si="80"/>
        <v>83.924754168448061</v>
      </c>
      <c r="Y511" s="34" t="s">
        <v>44</v>
      </c>
      <c r="Z511" s="34">
        <f t="shared" si="66"/>
        <v>21</v>
      </c>
      <c r="AA511" s="52">
        <f t="shared" si="76"/>
        <v>258489500</v>
      </c>
      <c r="AB511" s="41">
        <f t="shared" si="70"/>
        <v>100</v>
      </c>
      <c r="AC511" s="34" t="s">
        <v>44</v>
      </c>
      <c r="AD511" s="90">
        <f t="shared" si="71"/>
        <v>65.552981513815496</v>
      </c>
      <c r="AE511" s="17"/>
      <c r="AF511" s="2"/>
      <c r="AG511" s="2"/>
      <c r="AH511" s="55"/>
      <c r="AI511" s="2"/>
      <c r="AJ511" s="2"/>
      <c r="AK511" s="2"/>
    </row>
    <row r="512" spans="1:37" ht="110.25">
      <c r="A512" s="43"/>
      <c r="B512" s="39" t="s">
        <v>223</v>
      </c>
      <c r="C512" s="23" t="s">
        <v>693</v>
      </c>
      <c r="D512" s="23" t="s">
        <v>224</v>
      </c>
      <c r="E512" s="38">
        <v>65</v>
      </c>
      <c r="F512" s="26" t="s">
        <v>44</v>
      </c>
      <c r="G512" s="67">
        <f>SUM(G513)</f>
        <v>870961300</v>
      </c>
      <c r="H512" s="28">
        <v>59</v>
      </c>
      <c r="I512" s="67">
        <f>SUM(I513)</f>
        <v>319076500</v>
      </c>
      <c r="J512" s="28">
        <v>63</v>
      </c>
      <c r="K512" s="67">
        <f>SUM(K513)</f>
        <v>275942400</v>
      </c>
      <c r="L512" s="147">
        <v>0</v>
      </c>
      <c r="M512" s="67">
        <f>SUM(M513)</f>
        <v>0</v>
      </c>
      <c r="N512" s="45"/>
      <c r="O512" s="67">
        <f>O513</f>
        <v>16598250</v>
      </c>
      <c r="P512" s="45"/>
      <c r="Q512" s="67">
        <f>Q513</f>
        <v>83722500</v>
      </c>
      <c r="R512" s="28">
        <v>61</v>
      </c>
      <c r="S512" s="67">
        <v>83722500</v>
      </c>
      <c r="T512" s="65">
        <f t="shared" si="90"/>
        <v>61</v>
      </c>
      <c r="U512" s="40">
        <f t="shared" si="87"/>
        <v>96.825396825396822</v>
      </c>
      <c r="V512" s="30" t="s">
        <v>44</v>
      </c>
      <c r="W512" s="76">
        <f t="shared" si="79"/>
        <v>184043250</v>
      </c>
      <c r="X512" s="40">
        <f t="shared" si="80"/>
        <v>66.696256175201782</v>
      </c>
      <c r="Y512" s="30" t="s">
        <v>44</v>
      </c>
      <c r="Z512" s="30">
        <f t="shared" si="66"/>
        <v>120</v>
      </c>
      <c r="AA512" s="76">
        <f t="shared" si="76"/>
        <v>503119750</v>
      </c>
      <c r="AB512" s="41">
        <f t="shared" si="70"/>
        <v>184.61538461538461</v>
      </c>
      <c r="AC512" s="34" t="s">
        <v>44</v>
      </c>
      <c r="AD512" s="90">
        <f t="shared" si="71"/>
        <v>57.766028180586218</v>
      </c>
      <c r="AE512" s="42"/>
      <c r="AF512" s="36"/>
      <c r="AG512" s="36"/>
      <c r="AH512" s="37"/>
      <c r="AI512" s="36"/>
      <c r="AJ512" s="36"/>
      <c r="AK512" s="36"/>
    </row>
    <row r="513" spans="1:37" ht="120">
      <c r="A513" s="43"/>
      <c r="B513" s="39"/>
      <c r="C513" s="132" t="s">
        <v>694</v>
      </c>
      <c r="D513" s="47" t="s">
        <v>695</v>
      </c>
      <c r="E513" s="48">
        <v>21</v>
      </c>
      <c r="F513" s="49" t="s">
        <v>62</v>
      </c>
      <c r="G513" s="91">
        <f>I513+K513+K513</f>
        <v>870961300</v>
      </c>
      <c r="H513" s="51">
        <v>7</v>
      </c>
      <c r="I513" s="50">
        <v>319076500</v>
      </c>
      <c r="J513" s="51">
        <v>7</v>
      </c>
      <c r="K513" s="50">
        <v>275942400</v>
      </c>
      <c r="L513" s="33">
        <v>0</v>
      </c>
      <c r="M513" s="50">
        <v>0</v>
      </c>
      <c r="N513" s="51">
        <v>2</v>
      </c>
      <c r="O513" s="50">
        <v>16598250</v>
      </c>
      <c r="P513" s="51">
        <v>2</v>
      </c>
      <c r="Q513" s="50">
        <f>100320750-O513</f>
        <v>83722500</v>
      </c>
      <c r="R513" s="51">
        <v>3</v>
      </c>
      <c r="S513" s="50">
        <f>262199900-O513-Q513</f>
        <v>161879150</v>
      </c>
      <c r="T513" s="33">
        <f t="shared" si="90"/>
        <v>7</v>
      </c>
      <c r="U513" s="60">
        <f t="shared" si="87"/>
        <v>100</v>
      </c>
      <c r="V513" s="34" t="s">
        <v>44</v>
      </c>
      <c r="W513" s="52">
        <f t="shared" si="79"/>
        <v>262199900</v>
      </c>
      <c r="X513" s="60">
        <f t="shared" si="80"/>
        <v>95.019793985991271</v>
      </c>
      <c r="Y513" s="34" t="s">
        <v>44</v>
      </c>
      <c r="Z513" s="34">
        <f t="shared" si="66"/>
        <v>14</v>
      </c>
      <c r="AA513" s="52">
        <f t="shared" si="76"/>
        <v>581276400</v>
      </c>
      <c r="AB513" s="41">
        <f t="shared" si="70"/>
        <v>66.666666666666657</v>
      </c>
      <c r="AC513" s="34" t="s">
        <v>44</v>
      </c>
      <c r="AD513" s="90">
        <f t="shared" si="71"/>
        <v>66.739635848343653</v>
      </c>
      <c r="AE513" s="17"/>
      <c r="AF513" s="2"/>
      <c r="AG513" s="2"/>
      <c r="AH513" s="55"/>
      <c r="AI513" s="2"/>
      <c r="AJ513" s="2"/>
      <c r="AK513" s="2"/>
    </row>
    <row r="514" spans="1:37" ht="214.5" customHeight="1">
      <c r="A514" s="43"/>
      <c r="B514" s="39" t="s">
        <v>223</v>
      </c>
      <c r="C514" s="23" t="s">
        <v>696</v>
      </c>
      <c r="D514" s="23" t="s">
        <v>224</v>
      </c>
      <c r="E514" s="38">
        <v>65</v>
      </c>
      <c r="F514" s="26" t="s">
        <v>44</v>
      </c>
      <c r="G514" s="67">
        <f>SUM(G515:G534)</f>
        <v>1036510583</v>
      </c>
      <c r="H514" s="79">
        <v>59</v>
      </c>
      <c r="I514" s="67">
        <f>SUM(I515:I534)</f>
        <v>323682600</v>
      </c>
      <c r="J514" s="28">
        <v>63</v>
      </c>
      <c r="K514" s="67">
        <f>SUM(K515:K534)</f>
        <v>482798855</v>
      </c>
      <c r="L514" s="147"/>
      <c r="M514" s="67">
        <f>SUM(M515)</f>
        <v>462500</v>
      </c>
      <c r="N514" s="45"/>
      <c r="O514" s="67">
        <f>SUM(O515:O534)</f>
        <v>84483750</v>
      </c>
      <c r="P514" s="45"/>
      <c r="Q514" s="67">
        <f>SUM(Q515:Q534)</f>
        <v>110221648</v>
      </c>
      <c r="R514" s="28">
        <v>61</v>
      </c>
      <c r="S514" s="67">
        <f>SUM(S515:S534)</f>
        <v>234771577</v>
      </c>
      <c r="T514" s="65">
        <f t="shared" si="90"/>
        <v>61</v>
      </c>
      <c r="U514" s="40">
        <f t="shared" si="87"/>
        <v>96.825396825396822</v>
      </c>
      <c r="V514" s="30" t="s">
        <v>44</v>
      </c>
      <c r="W514" s="76">
        <f t="shared" si="79"/>
        <v>429939475</v>
      </c>
      <c r="X514" s="40">
        <f t="shared" si="80"/>
        <v>89.051469477905044</v>
      </c>
      <c r="Y514" s="30" t="s">
        <v>44</v>
      </c>
      <c r="Z514" s="40">
        <f t="shared" si="66"/>
        <v>120</v>
      </c>
      <c r="AA514" s="76">
        <f t="shared" si="76"/>
        <v>753622075</v>
      </c>
      <c r="AB514" s="41">
        <f t="shared" si="70"/>
        <v>184.61538461538461</v>
      </c>
      <c r="AC514" s="34" t="s">
        <v>44</v>
      </c>
      <c r="AD514" s="90">
        <f t="shared" si="71"/>
        <v>72.707610260839957</v>
      </c>
      <c r="AE514" s="42"/>
      <c r="AF514" s="36"/>
      <c r="AG514" s="36"/>
      <c r="AH514" s="37"/>
      <c r="AI514" s="36"/>
      <c r="AJ514" s="36"/>
      <c r="AK514" s="36"/>
    </row>
    <row r="515" spans="1:37" ht="165">
      <c r="A515" s="43"/>
      <c r="B515" s="39"/>
      <c r="C515" s="47" t="s">
        <v>697</v>
      </c>
      <c r="D515" s="47" t="s">
        <v>698</v>
      </c>
      <c r="E515" s="48">
        <v>36</v>
      </c>
      <c r="F515" s="49" t="s">
        <v>62</v>
      </c>
      <c r="G515" s="91">
        <v>82257500</v>
      </c>
      <c r="H515" s="51">
        <v>10</v>
      </c>
      <c r="I515" s="50">
        <v>27850000</v>
      </c>
      <c r="J515" s="51">
        <v>12</v>
      </c>
      <c r="K515" s="50">
        <v>49000000</v>
      </c>
      <c r="L515" s="33">
        <v>3</v>
      </c>
      <c r="M515" s="50">
        <v>462500</v>
      </c>
      <c r="N515" s="51">
        <v>3</v>
      </c>
      <c r="O515" s="50">
        <v>22941750</v>
      </c>
      <c r="P515" s="51">
        <v>3</v>
      </c>
      <c r="Q515" s="50">
        <f>30224250-M515-O515</f>
        <v>6820000</v>
      </c>
      <c r="R515" s="51">
        <v>3</v>
      </c>
      <c r="S515" s="50">
        <f>30224250-M515-O515-Q515</f>
        <v>0</v>
      </c>
      <c r="T515" s="33">
        <f t="shared" si="90"/>
        <v>12</v>
      </c>
      <c r="U515" s="60">
        <f t="shared" si="87"/>
        <v>100</v>
      </c>
      <c r="V515" s="34" t="s">
        <v>44</v>
      </c>
      <c r="W515" s="52">
        <f t="shared" si="79"/>
        <v>30224250</v>
      </c>
      <c r="X515" s="60">
        <f t="shared" si="80"/>
        <v>61.68214285714285</v>
      </c>
      <c r="Y515" s="34" t="s">
        <v>44</v>
      </c>
      <c r="Z515" s="34">
        <f t="shared" si="66"/>
        <v>22</v>
      </c>
      <c r="AA515" s="52">
        <f t="shared" si="76"/>
        <v>58074250</v>
      </c>
      <c r="AB515" s="41">
        <f t="shared" si="70"/>
        <v>61.111111111111114</v>
      </c>
      <c r="AC515" s="34" t="s">
        <v>44</v>
      </c>
      <c r="AD515" s="90">
        <f t="shared" si="71"/>
        <v>70.600553141050966</v>
      </c>
      <c r="AE515" s="17"/>
      <c r="AF515" s="2"/>
      <c r="AG515" s="2"/>
      <c r="AH515" s="55"/>
      <c r="AI515" s="2"/>
      <c r="AJ515" s="2"/>
      <c r="AK515" s="2"/>
    </row>
    <row r="516" spans="1:37" ht="180">
      <c r="A516" s="43"/>
      <c r="B516" s="39"/>
      <c r="C516" s="46" t="s">
        <v>699</v>
      </c>
      <c r="D516" s="47" t="s">
        <v>698</v>
      </c>
      <c r="E516" s="48">
        <v>36</v>
      </c>
      <c r="F516" s="77" t="s">
        <v>62</v>
      </c>
      <c r="G516" s="91">
        <v>53310000</v>
      </c>
      <c r="H516" s="101">
        <v>12</v>
      </c>
      <c r="I516" s="50">
        <v>41372500</v>
      </c>
      <c r="J516" s="51">
        <v>12</v>
      </c>
      <c r="K516" s="50">
        <v>10650000</v>
      </c>
      <c r="L516" s="33">
        <v>3</v>
      </c>
      <c r="M516" s="103" t="s">
        <v>229</v>
      </c>
      <c r="N516" s="51">
        <v>3</v>
      </c>
      <c r="O516" s="50">
        <v>1960000</v>
      </c>
      <c r="P516" s="51">
        <v>3</v>
      </c>
      <c r="Q516" s="50">
        <v>3310000</v>
      </c>
      <c r="R516" s="101">
        <v>3</v>
      </c>
      <c r="S516" s="50">
        <v>5100000</v>
      </c>
      <c r="T516" s="102">
        <f t="shared" si="90"/>
        <v>12</v>
      </c>
      <c r="U516" s="60">
        <f t="shared" si="87"/>
        <v>100</v>
      </c>
      <c r="V516" s="34" t="s">
        <v>44</v>
      </c>
      <c r="W516" s="52">
        <f t="shared" si="79"/>
        <v>10370000</v>
      </c>
      <c r="X516" s="60">
        <f t="shared" si="80"/>
        <v>97.370892018779344</v>
      </c>
      <c r="Y516" s="34" t="s">
        <v>44</v>
      </c>
      <c r="Z516" s="102">
        <f t="shared" si="66"/>
        <v>24</v>
      </c>
      <c r="AA516" s="52">
        <f t="shared" si="76"/>
        <v>51742500</v>
      </c>
      <c r="AB516" s="41">
        <f t="shared" si="70"/>
        <v>66.666666666666657</v>
      </c>
      <c r="AC516" s="34" t="s">
        <v>44</v>
      </c>
      <c r="AD516" s="90">
        <f t="shared" si="71"/>
        <v>97.059651097355086</v>
      </c>
      <c r="AE516" s="17"/>
      <c r="AF516" s="2"/>
      <c r="AG516" s="2"/>
      <c r="AH516" s="55"/>
      <c r="AI516" s="2"/>
      <c r="AJ516" s="2"/>
      <c r="AK516" s="2"/>
    </row>
    <row r="517" spans="1:37" ht="180">
      <c r="A517" s="43"/>
      <c r="B517" s="39"/>
      <c r="C517" s="46" t="s">
        <v>700</v>
      </c>
      <c r="D517" s="47" t="s">
        <v>698</v>
      </c>
      <c r="E517" s="48">
        <v>36</v>
      </c>
      <c r="F517" s="77" t="s">
        <v>62</v>
      </c>
      <c r="G517" s="91">
        <v>74223</v>
      </c>
      <c r="H517" s="101">
        <v>12</v>
      </c>
      <c r="I517" s="50">
        <v>21646600</v>
      </c>
      <c r="J517" s="51">
        <v>12</v>
      </c>
      <c r="K517" s="50">
        <v>26238200</v>
      </c>
      <c r="L517" s="33">
        <v>3</v>
      </c>
      <c r="M517" s="50">
        <v>0</v>
      </c>
      <c r="N517" s="51">
        <v>3</v>
      </c>
      <c r="O517" s="50">
        <v>5515000</v>
      </c>
      <c r="P517" s="51">
        <v>3</v>
      </c>
      <c r="Q517" s="50">
        <v>7782500</v>
      </c>
      <c r="R517" s="101">
        <v>3</v>
      </c>
      <c r="S517" s="50">
        <v>12200700</v>
      </c>
      <c r="T517" s="102">
        <f t="shared" si="90"/>
        <v>12</v>
      </c>
      <c r="U517" s="60">
        <f t="shared" si="87"/>
        <v>100</v>
      </c>
      <c r="V517" s="34" t="s">
        <v>44</v>
      </c>
      <c r="W517" s="52">
        <f t="shared" si="79"/>
        <v>25498200</v>
      </c>
      <c r="X517" s="60">
        <f t="shared" si="80"/>
        <v>97.179684582021636</v>
      </c>
      <c r="Y517" s="34" t="s">
        <v>44</v>
      </c>
      <c r="Z517" s="102">
        <f t="shared" si="66"/>
        <v>24</v>
      </c>
      <c r="AA517" s="52">
        <f t="shared" si="76"/>
        <v>47144800</v>
      </c>
      <c r="AB517" s="41">
        <f t="shared" si="70"/>
        <v>66.666666666666657</v>
      </c>
      <c r="AC517" s="34" t="s">
        <v>44</v>
      </c>
      <c r="AD517" s="90">
        <f t="shared" si="71"/>
        <v>63517.777508319523</v>
      </c>
      <c r="AE517" s="17"/>
      <c r="AF517" s="2"/>
      <c r="AG517" s="2"/>
      <c r="AH517" s="55"/>
      <c r="AI517" s="2"/>
      <c r="AJ517" s="2"/>
      <c r="AK517" s="2"/>
    </row>
    <row r="518" spans="1:37" ht="180">
      <c r="A518" s="43"/>
      <c r="B518" s="39"/>
      <c r="C518" s="46" t="s">
        <v>701</v>
      </c>
      <c r="D518" s="47" t="s">
        <v>698</v>
      </c>
      <c r="E518" s="48">
        <v>36</v>
      </c>
      <c r="F518" s="77" t="s">
        <v>62</v>
      </c>
      <c r="G518" s="91">
        <v>32990500</v>
      </c>
      <c r="H518" s="101">
        <v>12</v>
      </c>
      <c r="I518" s="50">
        <v>20502500</v>
      </c>
      <c r="J518" s="51">
        <v>12</v>
      </c>
      <c r="K518" s="50">
        <v>6244000</v>
      </c>
      <c r="L518" s="33">
        <v>3</v>
      </c>
      <c r="M518" s="103" t="s">
        <v>229</v>
      </c>
      <c r="N518" s="51">
        <v>3</v>
      </c>
      <c r="O518" s="50">
        <v>2060000</v>
      </c>
      <c r="P518" s="51">
        <v>3</v>
      </c>
      <c r="Q518" s="50">
        <v>0</v>
      </c>
      <c r="R518" s="101">
        <v>3</v>
      </c>
      <c r="S518" s="50">
        <v>4180000</v>
      </c>
      <c r="T518" s="102">
        <f t="shared" si="90"/>
        <v>12</v>
      </c>
      <c r="U518" s="60">
        <f t="shared" si="87"/>
        <v>100</v>
      </c>
      <c r="V518" s="34" t="s">
        <v>44</v>
      </c>
      <c r="W518" s="52">
        <f t="shared" si="79"/>
        <v>6240000</v>
      </c>
      <c r="X518" s="60">
        <f t="shared" si="80"/>
        <v>99.935938500960916</v>
      </c>
      <c r="Y518" s="34" t="s">
        <v>44</v>
      </c>
      <c r="Z518" s="102">
        <f t="shared" si="66"/>
        <v>24</v>
      </c>
      <c r="AA518" s="52">
        <f t="shared" si="76"/>
        <v>26742500</v>
      </c>
      <c r="AB518" s="41">
        <f t="shared" si="70"/>
        <v>66.666666666666657</v>
      </c>
      <c r="AC518" s="34" t="s">
        <v>44</v>
      </c>
      <c r="AD518" s="90">
        <f t="shared" si="71"/>
        <v>81.061214592079537</v>
      </c>
      <c r="AE518" s="17"/>
      <c r="AF518" s="2"/>
      <c r="AG518" s="2"/>
      <c r="AH518" s="55"/>
      <c r="AI518" s="2"/>
      <c r="AJ518" s="2"/>
      <c r="AK518" s="2"/>
    </row>
    <row r="519" spans="1:37" ht="180">
      <c r="A519" s="43"/>
      <c r="B519" s="39"/>
      <c r="C519" s="46" t="s">
        <v>702</v>
      </c>
      <c r="D519" s="47" t="s">
        <v>698</v>
      </c>
      <c r="E519" s="48">
        <v>36</v>
      </c>
      <c r="F519" s="77" t="s">
        <v>703</v>
      </c>
      <c r="G519" s="91">
        <v>34826000</v>
      </c>
      <c r="H519" s="101">
        <v>12</v>
      </c>
      <c r="I519" s="50">
        <v>8730000</v>
      </c>
      <c r="J519" s="51">
        <v>12</v>
      </c>
      <c r="K519" s="50">
        <v>12292500</v>
      </c>
      <c r="L519" s="33">
        <v>3</v>
      </c>
      <c r="M519" s="103" t="s">
        <v>229</v>
      </c>
      <c r="N519" s="51">
        <v>3</v>
      </c>
      <c r="O519" s="50">
        <v>2780000</v>
      </c>
      <c r="P519" s="51">
        <v>3</v>
      </c>
      <c r="Q519" s="50">
        <v>1515000</v>
      </c>
      <c r="R519" s="101">
        <v>3</v>
      </c>
      <c r="S519" s="50">
        <v>5912500</v>
      </c>
      <c r="T519" s="102">
        <f t="shared" si="90"/>
        <v>12</v>
      </c>
      <c r="U519" s="60">
        <f t="shared" si="87"/>
        <v>100</v>
      </c>
      <c r="V519" s="34" t="s">
        <v>44</v>
      </c>
      <c r="W519" s="52">
        <f t="shared" si="79"/>
        <v>10207500</v>
      </c>
      <c r="X519" s="60">
        <f t="shared" si="80"/>
        <v>83.038438071995131</v>
      </c>
      <c r="Y519" s="34" t="s">
        <v>44</v>
      </c>
      <c r="Z519" s="102">
        <f t="shared" si="66"/>
        <v>24</v>
      </c>
      <c r="AA519" s="52">
        <f t="shared" si="76"/>
        <v>18937500</v>
      </c>
      <c r="AB519" s="41">
        <f t="shared" si="70"/>
        <v>66.666666666666657</v>
      </c>
      <c r="AC519" s="34" t="s">
        <v>44</v>
      </c>
      <c r="AD519" s="90">
        <f t="shared" si="71"/>
        <v>54.37747659794406</v>
      </c>
      <c r="AE519" s="17"/>
      <c r="AF519" s="2"/>
      <c r="AG519" s="2"/>
      <c r="AH519" s="55"/>
      <c r="AI519" s="2"/>
      <c r="AJ519" s="2"/>
      <c r="AK519" s="2"/>
    </row>
    <row r="520" spans="1:37" ht="180">
      <c r="A520" s="43"/>
      <c r="B520" s="39"/>
      <c r="C520" s="46" t="s">
        <v>704</v>
      </c>
      <c r="D520" s="47" t="s">
        <v>698</v>
      </c>
      <c r="E520" s="48">
        <v>36</v>
      </c>
      <c r="F520" s="77" t="s">
        <v>62</v>
      </c>
      <c r="G520" s="91">
        <v>108148000</v>
      </c>
      <c r="H520" s="101">
        <v>12</v>
      </c>
      <c r="I520" s="50">
        <v>16323000</v>
      </c>
      <c r="J520" s="51">
        <v>12</v>
      </c>
      <c r="K520" s="50">
        <v>45912500</v>
      </c>
      <c r="L520" s="33">
        <v>0</v>
      </c>
      <c r="M520" s="103" t="s">
        <v>229</v>
      </c>
      <c r="N520" s="51">
        <v>6</v>
      </c>
      <c r="O520" s="50">
        <v>14367000</v>
      </c>
      <c r="P520" s="51">
        <v>3</v>
      </c>
      <c r="Q520" s="50">
        <v>23312500</v>
      </c>
      <c r="R520" s="101">
        <v>3</v>
      </c>
      <c r="S520" s="50">
        <v>8107500</v>
      </c>
      <c r="T520" s="102">
        <f t="shared" si="90"/>
        <v>12</v>
      </c>
      <c r="U520" s="60">
        <f t="shared" si="87"/>
        <v>100</v>
      </c>
      <c r="V520" s="34" t="s">
        <v>44</v>
      </c>
      <c r="W520" s="52">
        <f t="shared" si="79"/>
        <v>45787000</v>
      </c>
      <c r="X520" s="60">
        <f t="shared" si="80"/>
        <v>99.726653961339508</v>
      </c>
      <c r="Y520" s="34" t="s">
        <v>44</v>
      </c>
      <c r="Z520" s="102">
        <f t="shared" si="66"/>
        <v>24</v>
      </c>
      <c r="AA520" s="52">
        <f t="shared" si="76"/>
        <v>62110000</v>
      </c>
      <c r="AB520" s="41">
        <f t="shared" si="70"/>
        <v>66.666666666666657</v>
      </c>
      <c r="AC520" s="34" t="s">
        <v>44</v>
      </c>
      <c r="AD520" s="90">
        <f t="shared" si="71"/>
        <v>57.430558124052226</v>
      </c>
      <c r="AE520" s="17"/>
      <c r="AF520" s="2"/>
      <c r="AG520" s="2"/>
      <c r="AH520" s="55"/>
      <c r="AI520" s="2"/>
      <c r="AJ520" s="2"/>
      <c r="AK520" s="2"/>
    </row>
    <row r="521" spans="1:37" ht="180">
      <c r="A521" s="43"/>
      <c r="B521" s="39"/>
      <c r="C521" s="46" t="s">
        <v>705</v>
      </c>
      <c r="D521" s="47" t="s">
        <v>698</v>
      </c>
      <c r="E521" s="48">
        <v>36</v>
      </c>
      <c r="F521" s="77" t="s">
        <v>62</v>
      </c>
      <c r="G521" s="91">
        <v>41707000</v>
      </c>
      <c r="H521" s="101">
        <v>12</v>
      </c>
      <c r="I521" s="50">
        <v>5047000</v>
      </c>
      <c r="J521" s="51">
        <v>12</v>
      </c>
      <c r="K521" s="50">
        <v>18330000</v>
      </c>
      <c r="L521" s="33">
        <v>3</v>
      </c>
      <c r="M521" s="103" t="s">
        <v>229</v>
      </c>
      <c r="N521" s="51">
        <v>3</v>
      </c>
      <c r="O521" s="50">
        <v>1610000</v>
      </c>
      <c r="P521" s="51">
        <v>3</v>
      </c>
      <c r="Q521" s="50">
        <v>7135000</v>
      </c>
      <c r="R521" s="101">
        <v>3</v>
      </c>
      <c r="S521" s="50">
        <v>8815000</v>
      </c>
      <c r="T521" s="102">
        <f t="shared" si="90"/>
        <v>12</v>
      </c>
      <c r="U521" s="60">
        <f t="shared" si="87"/>
        <v>100</v>
      </c>
      <c r="V521" s="34" t="s">
        <v>44</v>
      </c>
      <c r="W521" s="52">
        <f t="shared" si="79"/>
        <v>17560000</v>
      </c>
      <c r="X521" s="60">
        <f t="shared" si="80"/>
        <v>95.799236224768137</v>
      </c>
      <c r="Y521" s="34" t="s">
        <v>44</v>
      </c>
      <c r="Z521" s="102">
        <f t="shared" si="66"/>
        <v>24</v>
      </c>
      <c r="AA521" s="52">
        <f t="shared" si="76"/>
        <v>22607000</v>
      </c>
      <c r="AB521" s="41">
        <f t="shared" si="70"/>
        <v>66.666666666666657</v>
      </c>
      <c r="AC521" s="34" t="s">
        <v>44</v>
      </c>
      <c r="AD521" s="90">
        <f t="shared" si="71"/>
        <v>54.204330208358307</v>
      </c>
      <c r="AE521" s="17"/>
      <c r="AF521" s="2"/>
      <c r="AG521" s="2"/>
      <c r="AH521" s="55"/>
      <c r="AI521" s="2"/>
      <c r="AJ521" s="2"/>
      <c r="AK521" s="2"/>
    </row>
    <row r="522" spans="1:37" ht="180">
      <c r="A522" s="43"/>
      <c r="B522" s="39"/>
      <c r="C522" s="46" t="s">
        <v>706</v>
      </c>
      <c r="D522" s="47" t="s">
        <v>698</v>
      </c>
      <c r="E522" s="48">
        <v>36</v>
      </c>
      <c r="F522" s="77" t="s">
        <v>62</v>
      </c>
      <c r="G522" s="91">
        <v>48070000</v>
      </c>
      <c r="H522" s="101">
        <v>12</v>
      </c>
      <c r="I522" s="50">
        <v>5900000</v>
      </c>
      <c r="J522" s="51">
        <v>12</v>
      </c>
      <c r="K522" s="50">
        <v>33891575</v>
      </c>
      <c r="L522" s="33">
        <v>3</v>
      </c>
      <c r="M522" s="103" t="s">
        <v>229</v>
      </c>
      <c r="N522" s="51">
        <v>3</v>
      </c>
      <c r="O522" s="50">
        <v>9505000</v>
      </c>
      <c r="P522" s="51">
        <v>3</v>
      </c>
      <c r="Q522" s="50">
        <v>9505000</v>
      </c>
      <c r="R522" s="101">
        <v>3</v>
      </c>
      <c r="S522" s="50">
        <v>16352500</v>
      </c>
      <c r="T522" s="102">
        <f t="shared" si="90"/>
        <v>12</v>
      </c>
      <c r="U522" s="60">
        <f t="shared" si="87"/>
        <v>100</v>
      </c>
      <c r="V522" s="34" t="s">
        <v>44</v>
      </c>
      <c r="W522" s="52">
        <f t="shared" si="79"/>
        <v>35362500</v>
      </c>
      <c r="X522" s="60">
        <f t="shared" si="80"/>
        <v>104.3400904207019</v>
      </c>
      <c r="Y522" s="34" t="s">
        <v>44</v>
      </c>
      <c r="Z522" s="102">
        <f t="shared" si="66"/>
        <v>24</v>
      </c>
      <c r="AA522" s="52">
        <f t="shared" si="76"/>
        <v>41262500</v>
      </c>
      <c r="AB522" s="41">
        <f t="shared" si="70"/>
        <v>66.666666666666657</v>
      </c>
      <c r="AC522" s="34" t="s">
        <v>44</v>
      </c>
      <c r="AD522" s="90">
        <f t="shared" si="71"/>
        <v>85.838360723944248</v>
      </c>
      <c r="AE522" s="17"/>
      <c r="AF522" s="2"/>
      <c r="AG522" s="2"/>
      <c r="AH522" s="55"/>
      <c r="AI522" s="2"/>
      <c r="AJ522" s="2"/>
      <c r="AK522" s="2"/>
    </row>
    <row r="523" spans="1:37" ht="180">
      <c r="A523" s="43"/>
      <c r="B523" s="39"/>
      <c r="C523" s="46" t="s">
        <v>707</v>
      </c>
      <c r="D523" s="47" t="s">
        <v>698</v>
      </c>
      <c r="E523" s="48">
        <v>36</v>
      </c>
      <c r="F523" s="77" t="s">
        <v>62</v>
      </c>
      <c r="G523" s="91">
        <v>48334700</v>
      </c>
      <c r="H523" s="101">
        <v>12</v>
      </c>
      <c r="I523" s="50">
        <v>7017500</v>
      </c>
      <c r="J523" s="51">
        <v>12</v>
      </c>
      <c r="K523" s="50">
        <v>20658600</v>
      </c>
      <c r="L523" s="33">
        <v>3</v>
      </c>
      <c r="M523" s="103" t="s">
        <v>229</v>
      </c>
      <c r="N523" s="51">
        <v>3</v>
      </c>
      <c r="O523" s="50"/>
      <c r="P523" s="51">
        <v>3</v>
      </c>
      <c r="Q523" s="50">
        <v>2932000</v>
      </c>
      <c r="R523" s="101">
        <v>3</v>
      </c>
      <c r="S523" s="50">
        <v>16731925</v>
      </c>
      <c r="T523" s="102">
        <f t="shared" si="90"/>
        <v>12</v>
      </c>
      <c r="U523" s="60">
        <f t="shared" si="87"/>
        <v>100</v>
      </c>
      <c r="V523" s="34" t="s">
        <v>44</v>
      </c>
      <c r="W523" s="52">
        <f t="shared" si="79"/>
        <v>19663925</v>
      </c>
      <c r="X523" s="60">
        <f t="shared" si="80"/>
        <v>95.185177117520055</v>
      </c>
      <c r="Y523" s="34" t="s">
        <v>44</v>
      </c>
      <c r="Z523" s="102">
        <f t="shared" si="66"/>
        <v>24</v>
      </c>
      <c r="AA523" s="52">
        <f t="shared" si="76"/>
        <v>26681425</v>
      </c>
      <c r="AB523" s="41">
        <f t="shared" si="70"/>
        <v>66.666666666666657</v>
      </c>
      <c r="AC523" s="34" t="s">
        <v>44</v>
      </c>
      <c r="AD523" s="90">
        <f t="shared" si="71"/>
        <v>55.20138740904568</v>
      </c>
      <c r="AE523" s="17"/>
      <c r="AF523" s="2"/>
      <c r="AG523" s="2"/>
      <c r="AH523" s="55"/>
      <c r="AI523" s="2"/>
      <c r="AJ523" s="2"/>
      <c r="AK523" s="2"/>
    </row>
    <row r="524" spans="1:37" ht="180">
      <c r="A524" s="43"/>
      <c r="B524" s="39"/>
      <c r="C524" s="46" t="s">
        <v>708</v>
      </c>
      <c r="D524" s="47" t="s">
        <v>698</v>
      </c>
      <c r="E524" s="48">
        <v>36</v>
      </c>
      <c r="F524" s="77" t="s">
        <v>62</v>
      </c>
      <c r="G524" s="91">
        <v>42997600</v>
      </c>
      <c r="H524" s="101">
        <v>12</v>
      </c>
      <c r="I524" s="50">
        <v>21107600</v>
      </c>
      <c r="J524" s="51">
        <v>12</v>
      </c>
      <c r="K524" s="50">
        <v>10945000</v>
      </c>
      <c r="L524" s="33">
        <v>3</v>
      </c>
      <c r="M524" s="103" t="s">
        <v>229</v>
      </c>
      <c r="N524" s="51">
        <v>3</v>
      </c>
      <c r="O524" s="50"/>
      <c r="P524" s="51">
        <v>3</v>
      </c>
      <c r="Q524" s="50">
        <v>4140000</v>
      </c>
      <c r="R524" s="101">
        <v>3</v>
      </c>
      <c r="S524" s="50">
        <v>6465000</v>
      </c>
      <c r="T524" s="102">
        <f t="shared" si="90"/>
        <v>12</v>
      </c>
      <c r="U524" s="60">
        <f t="shared" si="87"/>
        <v>100</v>
      </c>
      <c r="V524" s="34" t="s">
        <v>44</v>
      </c>
      <c r="W524" s="52">
        <f t="shared" si="79"/>
        <v>10605000</v>
      </c>
      <c r="X524" s="60">
        <f t="shared" si="80"/>
        <v>96.893558702603926</v>
      </c>
      <c r="Y524" s="34" t="s">
        <v>44</v>
      </c>
      <c r="Z524" s="102">
        <f t="shared" si="66"/>
        <v>24</v>
      </c>
      <c r="AA524" s="52">
        <f t="shared" si="76"/>
        <v>31712600</v>
      </c>
      <c r="AB524" s="41">
        <f t="shared" si="70"/>
        <v>66.666666666666657</v>
      </c>
      <c r="AC524" s="34" t="s">
        <v>44</v>
      </c>
      <c r="AD524" s="90">
        <f t="shared" si="71"/>
        <v>73.754349079948639</v>
      </c>
      <c r="AE524" s="17"/>
      <c r="AF524" s="2"/>
      <c r="AG524" s="2"/>
      <c r="AH524" s="55"/>
      <c r="AI524" s="2"/>
      <c r="AJ524" s="2"/>
      <c r="AK524" s="2"/>
    </row>
    <row r="525" spans="1:37" ht="180">
      <c r="A525" s="43"/>
      <c r="B525" s="39"/>
      <c r="C525" s="46" t="s">
        <v>709</v>
      </c>
      <c r="D525" s="47" t="s">
        <v>698</v>
      </c>
      <c r="E525" s="48">
        <v>36</v>
      </c>
      <c r="F525" s="77" t="s">
        <v>62</v>
      </c>
      <c r="G525" s="91">
        <v>20096000</v>
      </c>
      <c r="H525" s="101">
        <v>12</v>
      </c>
      <c r="I525" s="50">
        <v>4870000</v>
      </c>
      <c r="J525" s="51">
        <v>12</v>
      </c>
      <c r="K525" s="50">
        <v>20127500</v>
      </c>
      <c r="L525" s="33">
        <v>3</v>
      </c>
      <c r="M525" s="103" t="s">
        <v>229</v>
      </c>
      <c r="N525" s="51">
        <v>3</v>
      </c>
      <c r="O525" s="50">
        <v>0</v>
      </c>
      <c r="P525" s="51">
        <v>3</v>
      </c>
      <c r="Q525" s="50">
        <v>3220000</v>
      </c>
      <c r="R525" s="101">
        <v>3</v>
      </c>
      <c r="S525" s="50">
        <v>14947500</v>
      </c>
      <c r="T525" s="102">
        <f t="shared" si="90"/>
        <v>12</v>
      </c>
      <c r="U525" s="60">
        <f t="shared" si="87"/>
        <v>100</v>
      </c>
      <c r="V525" s="34" t="s">
        <v>44</v>
      </c>
      <c r="W525" s="52">
        <f t="shared" si="79"/>
        <v>18167500</v>
      </c>
      <c r="X525" s="60">
        <f t="shared" si="80"/>
        <v>90.262079244814302</v>
      </c>
      <c r="Y525" s="34" t="s">
        <v>44</v>
      </c>
      <c r="Z525" s="102">
        <f t="shared" si="66"/>
        <v>24</v>
      </c>
      <c r="AA525" s="52">
        <f t="shared" si="76"/>
        <v>23037500</v>
      </c>
      <c r="AB525" s="41">
        <f t="shared" si="70"/>
        <v>66.666666666666657</v>
      </c>
      <c r="AC525" s="34" t="s">
        <v>44</v>
      </c>
      <c r="AD525" s="90">
        <f t="shared" si="71"/>
        <v>114.63724124203823</v>
      </c>
      <c r="AE525" s="17"/>
      <c r="AF525" s="2"/>
      <c r="AG525" s="2"/>
      <c r="AH525" s="55"/>
      <c r="AI525" s="2"/>
      <c r="AJ525" s="2"/>
      <c r="AK525" s="2"/>
    </row>
    <row r="526" spans="1:37" ht="180">
      <c r="A526" s="43"/>
      <c r="B526" s="39"/>
      <c r="C526" s="46" t="s">
        <v>710</v>
      </c>
      <c r="D526" s="47" t="s">
        <v>698</v>
      </c>
      <c r="E526" s="48">
        <v>36</v>
      </c>
      <c r="F526" s="77" t="s">
        <v>62</v>
      </c>
      <c r="G526" s="91">
        <v>95631150</v>
      </c>
      <c r="H526" s="101">
        <v>12</v>
      </c>
      <c r="I526" s="50">
        <v>47866000</v>
      </c>
      <c r="J526" s="51">
        <v>12</v>
      </c>
      <c r="K526" s="50">
        <v>22123000</v>
      </c>
      <c r="L526" s="33">
        <v>3</v>
      </c>
      <c r="M526" s="103" t="s">
        <v>229</v>
      </c>
      <c r="N526" s="51">
        <v>3</v>
      </c>
      <c r="O526" s="50">
        <v>4760000</v>
      </c>
      <c r="P526" s="51">
        <v>3</v>
      </c>
      <c r="Q526" s="50">
        <v>9290000</v>
      </c>
      <c r="R526" s="101">
        <v>3</v>
      </c>
      <c r="S526" s="78">
        <v>21675000</v>
      </c>
      <c r="T526" s="102">
        <f t="shared" si="90"/>
        <v>12</v>
      </c>
      <c r="U526" s="60">
        <f t="shared" si="87"/>
        <v>100</v>
      </c>
      <c r="V526" s="34" t="s">
        <v>44</v>
      </c>
      <c r="W526" s="52">
        <f t="shared" si="79"/>
        <v>35725000</v>
      </c>
      <c r="X526" s="60">
        <f t="shared" si="80"/>
        <v>161.48352393436696</v>
      </c>
      <c r="Y526" s="34" t="s">
        <v>44</v>
      </c>
      <c r="Z526" s="102">
        <f t="shared" si="66"/>
        <v>24</v>
      </c>
      <c r="AA526" s="52">
        <f t="shared" si="76"/>
        <v>83591000</v>
      </c>
      <c r="AB526" s="41">
        <f t="shared" si="70"/>
        <v>66.666666666666657</v>
      </c>
      <c r="AC526" s="34" t="s">
        <v>44</v>
      </c>
      <c r="AD526" s="90">
        <f t="shared" si="71"/>
        <v>87.409803186514011</v>
      </c>
      <c r="AE526" s="17"/>
      <c r="AF526" s="2"/>
      <c r="AG526" s="2"/>
      <c r="AH526" s="55"/>
      <c r="AI526" s="2"/>
      <c r="AJ526" s="2"/>
      <c r="AK526" s="2"/>
    </row>
    <row r="527" spans="1:37" ht="180">
      <c r="A527" s="43"/>
      <c r="B527" s="39"/>
      <c r="C527" s="46" t="s">
        <v>711</v>
      </c>
      <c r="D527" s="47" t="s">
        <v>698</v>
      </c>
      <c r="E527" s="48">
        <v>36</v>
      </c>
      <c r="F527" s="77" t="s">
        <v>62</v>
      </c>
      <c r="G527" s="91">
        <v>44567160</v>
      </c>
      <c r="H527" s="101">
        <v>12</v>
      </c>
      <c r="I527" s="50">
        <v>22550000</v>
      </c>
      <c r="J527" s="51">
        <v>12</v>
      </c>
      <c r="K527" s="50">
        <v>8845580</v>
      </c>
      <c r="L527" s="33">
        <v>3</v>
      </c>
      <c r="M527" s="103" t="s">
        <v>229</v>
      </c>
      <c r="N527" s="51">
        <v>3</v>
      </c>
      <c r="O527" s="50">
        <v>0</v>
      </c>
      <c r="P527" s="51">
        <v>3</v>
      </c>
      <c r="Q527" s="50">
        <v>4275000</v>
      </c>
      <c r="R527" s="112">
        <v>3</v>
      </c>
      <c r="S527" s="107">
        <v>4087500</v>
      </c>
      <c r="T527" s="102">
        <f t="shared" si="90"/>
        <v>12</v>
      </c>
      <c r="U527" s="60">
        <f t="shared" si="87"/>
        <v>100</v>
      </c>
      <c r="V527" s="34" t="s">
        <v>44</v>
      </c>
      <c r="W527" s="52">
        <f t="shared" si="79"/>
        <v>8362500</v>
      </c>
      <c r="X527" s="60">
        <f t="shared" si="80"/>
        <v>94.538741382701872</v>
      </c>
      <c r="Y527" s="34" t="s">
        <v>44</v>
      </c>
      <c r="Z527" s="102">
        <f t="shared" si="66"/>
        <v>24</v>
      </c>
      <c r="AA527" s="52">
        <f t="shared" si="76"/>
        <v>30912500</v>
      </c>
      <c r="AB527" s="41">
        <f t="shared" si="70"/>
        <v>66.666666666666657</v>
      </c>
      <c r="AC527" s="34" t="s">
        <v>44</v>
      </c>
      <c r="AD527" s="90">
        <f t="shared" si="71"/>
        <v>69.361610656815458</v>
      </c>
      <c r="AE527" s="17"/>
      <c r="AF527" s="2"/>
      <c r="AG527" s="2"/>
      <c r="AH527" s="55"/>
      <c r="AI527" s="2"/>
      <c r="AJ527" s="2"/>
      <c r="AK527" s="2"/>
    </row>
    <row r="528" spans="1:37" ht="180">
      <c r="A528" s="43"/>
      <c r="B528" s="39"/>
      <c r="C528" s="46" t="s">
        <v>712</v>
      </c>
      <c r="D528" s="47" t="s">
        <v>698</v>
      </c>
      <c r="E528" s="48">
        <v>36</v>
      </c>
      <c r="F528" s="77" t="s">
        <v>62</v>
      </c>
      <c r="G528" s="91">
        <v>50827000</v>
      </c>
      <c r="H528" s="101">
        <v>12</v>
      </c>
      <c r="I528" s="50">
        <v>8764000</v>
      </c>
      <c r="J528" s="51">
        <v>12</v>
      </c>
      <c r="K528" s="50">
        <v>19419000</v>
      </c>
      <c r="L528" s="33">
        <v>2</v>
      </c>
      <c r="M528" s="103" t="s">
        <v>229</v>
      </c>
      <c r="N528" s="51">
        <v>4</v>
      </c>
      <c r="O528" s="50">
        <v>7980000</v>
      </c>
      <c r="P528" s="51">
        <v>3</v>
      </c>
      <c r="Q528" s="50">
        <v>6137798</v>
      </c>
      <c r="R528" s="112">
        <v>3</v>
      </c>
      <c r="S528" s="107">
        <v>3422202</v>
      </c>
      <c r="T528" s="102">
        <f t="shared" si="90"/>
        <v>12</v>
      </c>
      <c r="U528" s="60">
        <f t="shared" si="87"/>
        <v>100</v>
      </c>
      <c r="V528" s="34" t="s">
        <v>44</v>
      </c>
      <c r="W528" s="52">
        <f t="shared" si="79"/>
        <v>17540000</v>
      </c>
      <c r="X528" s="60">
        <f t="shared" si="80"/>
        <v>90.323909573098518</v>
      </c>
      <c r="Y528" s="34" t="s">
        <v>44</v>
      </c>
      <c r="Z528" s="102">
        <f t="shared" si="66"/>
        <v>24</v>
      </c>
      <c r="AA528" s="52">
        <f t="shared" si="76"/>
        <v>26304000</v>
      </c>
      <c r="AB528" s="41">
        <f t="shared" si="70"/>
        <v>66.666666666666657</v>
      </c>
      <c r="AC528" s="34" t="s">
        <v>44</v>
      </c>
      <c r="AD528" s="90">
        <f t="shared" si="71"/>
        <v>51.752021563342318</v>
      </c>
      <c r="AE528" s="17"/>
      <c r="AF528" s="2"/>
      <c r="AG528" s="2"/>
      <c r="AH528" s="55"/>
      <c r="AI528" s="2"/>
      <c r="AJ528" s="2"/>
      <c r="AK528" s="2"/>
    </row>
    <row r="529" spans="1:37" ht="180">
      <c r="A529" s="43"/>
      <c r="B529" s="39"/>
      <c r="C529" s="46" t="s">
        <v>713</v>
      </c>
      <c r="D529" s="47" t="s">
        <v>698</v>
      </c>
      <c r="E529" s="48">
        <v>36</v>
      </c>
      <c r="F529" s="77" t="s">
        <v>62</v>
      </c>
      <c r="G529" s="91">
        <v>30148000</v>
      </c>
      <c r="H529" s="101">
        <v>12</v>
      </c>
      <c r="I529" s="50">
        <v>8480000</v>
      </c>
      <c r="J529" s="51">
        <v>12</v>
      </c>
      <c r="K529" s="50">
        <v>10834000</v>
      </c>
      <c r="L529" s="33">
        <v>3</v>
      </c>
      <c r="M529" s="103" t="s">
        <v>229</v>
      </c>
      <c r="N529" s="51">
        <v>3</v>
      </c>
      <c r="O529" s="50"/>
      <c r="P529" s="51">
        <v>3</v>
      </c>
      <c r="Q529" s="50">
        <v>2950000</v>
      </c>
      <c r="R529" s="113">
        <v>3</v>
      </c>
      <c r="S529" s="114">
        <v>7260000</v>
      </c>
      <c r="T529" s="102">
        <f t="shared" si="90"/>
        <v>12</v>
      </c>
      <c r="U529" s="60">
        <f t="shared" si="87"/>
        <v>100</v>
      </c>
      <c r="V529" s="34" t="s">
        <v>44</v>
      </c>
      <c r="W529" s="52">
        <f t="shared" si="79"/>
        <v>10210000</v>
      </c>
      <c r="X529" s="60">
        <f t="shared" si="80"/>
        <v>94.240354439726786</v>
      </c>
      <c r="Y529" s="34" t="s">
        <v>44</v>
      </c>
      <c r="Z529" s="102">
        <f t="shared" si="66"/>
        <v>24</v>
      </c>
      <c r="AA529" s="52">
        <f t="shared" si="76"/>
        <v>18690000</v>
      </c>
      <c r="AB529" s="41">
        <f t="shared" si="70"/>
        <v>66.666666666666657</v>
      </c>
      <c r="AC529" s="34" t="s">
        <v>44</v>
      </c>
      <c r="AD529" s="90">
        <f t="shared" si="71"/>
        <v>61.994162133474859</v>
      </c>
      <c r="AE529" s="17"/>
      <c r="AF529" s="2"/>
      <c r="AG529" s="2"/>
      <c r="AH529" s="55"/>
      <c r="AI529" s="2"/>
      <c r="AJ529" s="2"/>
      <c r="AK529" s="2"/>
    </row>
    <row r="530" spans="1:37" ht="195">
      <c r="A530" s="43"/>
      <c r="B530" s="39"/>
      <c r="C530" s="46" t="s">
        <v>714</v>
      </c>
      <c r="D530" s="47" t="s">
        <v>715</v>
      </c>
      <c r="E530" s="48">
        <v>36</v>
      </c>
      <c r="F530" s="77" t="s">
        <v>62</v>
      </c>
      <c r="G530" s="91">
        <v>45540800</v>
      </c>
      <c r="H530" s="101">
        <v>12</v>
      </c>
      <c r="I530" s="50">
        <v>14283400</v>
      </c>
      <c r="J530" s="51">
        <v>12</v>
      </c>
      <c r="K530" s="50">
        <v>11861200</v>
      </c>
      <c r="L530" s="115">
        <v>1</v>
      </c>
      <c r="M530" s="116">
        <v>0</v>
      </c>
      <c r="N530" s="117">
        <v>1</v>
      </c>
      <c r="O530" s="107">
        <v>1760000</v>
      </c>
      <c r="P530" s="117">
        <v>2</v>
      </c>
      <c r="Q530" s="107">
        <v>2040000</v>
      </c>
      <c r="R530" s="118">
        <v>1</v>
      </c>
      <c r="S530" s="107">
        <v>7214900</v>
      </c>
      <c r="T530" s="102">
        <f t="shared" si="90"/>
        <v>5</v>
      </c>
      <c r="U530" s="60">
        <f t="shared" si="87"/>
        <v>41.666666666666671</v>
      </c>
      <c r="V530" s="34" t="s">
        <v>44</v>
      </c>
      <c r="W530" s="52">
        <f t="shared" si="79"/>
        <v>11014900</v>
      </c>
      <c r="X530" s="60">
        <f t="shared" si="80"/>
        <v>92.864971503726437</v>
      </c>
      <c r="Y530" s="34" t="s">
        <v>44</v>
      </c>
      <c r="Z530" s="102">
        <f t="shared" si="66"/>
        <v>17</v>
      </c>
      <c r="AA530" s="52">
        <f t="shared" si="76"/>
        <v>25298300</v>
      </c>
      <c r="AB530" s="41">
        <f t="shared" si="70"/>
        <v>47.222222222222221</v>
      </c>
      <c r="AC530" s="34" t="s">
        <v>44</v>
      </c>
      <c r="AD530" s="90">
        <f t="shared" si="71"/>
        <v>55.55084671327689</v>
      </c>
      <c r="AE530" s="17"/>
      <c r="AF530" s="2"/>
      <c r="AG530" s="2"/>
      <c r="AH530" s="55"/>
      <c r="AI530" s="2"/>
      <c r="AJ530" s="2"/>
      <c r="AK530" s="2"/>
    </row>
    <row r="531" spans="1:37" ht="180">
      <c r="A531" s="43"/>
      <c r="B531" s="39"/>
      <c r="C531" s="46" t="s">
        <v>716</v>
      </c>
      <c r="D531" s="47" t="s">
        <v>698</v>
      </c>
      <c r="E531" s="48">
        <v>36</v>
      </c>
      <c r="F531" s="77" t="s">
        <v>62</v>
      </c>
      <c r="G531" s="91">
        <v>43840000</v>
      </c>
      <c r="H531" s="101">
        <v>12</v>
      </c>
      <c r="I531" s="50">
        <v>4740000</v>
      </c>
      <c r="J531" s="51">
        <v>12</v>
      </c>
      <c r="K531" s="50">
        <v>20541750</v>
      </c>
      <c r="L531" s="33">
        <v>3</v>
      </c>
      <c r="M531" s="103" t="s">
        <v>229</v>
      </c>
      <c r="N531" s="51">
        <v>3</v>
      </c>
      <c r="O531" s="50">
        <v>0</v>
      </c>
      <c r="P531" s="51">
        <v>3</v>
      </c>
      <c r="Q531" s="50">
        <v>1530000</v>
      </c>
      <c r="R531" s="112">
        <v>3</v>
      </c>
      <c r="S531" s="107">
        <v>18960000</v>
      </c>
      <c r="T531" s="102">
        <f t="shared" si="90"/>
        <v>12</v>
      </c>
      <c r="U531" s="60">
        <f t="shared" si="87"/>
        <v>100</v>
      </c>
      <c r="V531" s="34" t="s">
        <v>44</v>
      </c>
      <c r="W531" s="52">
        <f t="shared" si="79"/>
        <v>20490000</v>
      </c>
      <c r="X531" s="60">
        <f t="shared" si="80"/>
        <v>99.748074044324369</v>
      </c>
      <c r="Y531" s="34" t="s">
        <v>44</v>
      </c>
      <c r="Z531" s="102">
        <f t="shared" si="66"/>
        <v>24</v>
      </c>
      <c r="AA531" s="52">
        <f t="shared" si="76"/>
        <v>25230000</v>
      </c>
      <c r="AB531" s="41">
        <f t="shared" si="70"/>
        <v>66.666666666666657</v>
      </c>
      <c r="AC531" s="34" t="s">
        <v>44</v>
      </c>
      <c r="AD531" s="90">
        <f t="shared" si="71"/>
        <v>57.550182481751818</v>
      </c>
      <c r="AE531" s="17"/>
      <c r="AF531" s="2"/>
      <c r="AG531" s="2"/>
      <c r="AH531" s="55"/>
      <c r="AI531" s="2"/>
      <c r="AJ531" s="2"/>
      <c r="AK531" s="2"/>
    </row>
    <row r="532" spans="1:37" ht="180">
      <c r="A532" s="43"/>
      <c r="B532" s="39"/>
      <c r="C532" s="46" t="s">
        <v>717</v>
      </c>
      <c r="D532" s="47" t="s">
        <v>698</v>
      </c>
      <c r="E532" s="48">
        <v>36</v>
      </c>
      <c r="F532" s="77" t="s">
        <v>62</v>
      </c>
      <c r="G532" s="91">
        <v>142292200</v>
      </c>
      <c r="H532" s="101">
        <v>12</v>
      </c>
      <c r="I532" s="50">
        <v>11008500</v>
      </c>
      <c r="J532" s="51">
        <v>12</v>
      </c>
      <c r="K532" s="50">
        <v>73985950</v>
      </c>
      <c r="L532" s="33">
        <v>3</v>
      </c>
      <c r="M532" s="103" t="s">
        <v>229</v>
      </c>
      <c r="N532" s="51">
        <v>3</v>
      </c>
      <c r="O532" s="50">
        <v>0</v>
      </c>
      <c r="P532" s="51">
        <v>3</v>
      </c>
      <c r="Q532" s="50">
        <v>14326850</v>
      </c>
      <c r="R532" s="101">
        <v>3</v>
      </c>
      <c r="S532" s="50">
        <v>32469350</v>
      </c>
      <c r="T532" s="102">
        <f t="shared" si="90"/>
        <v>12</v>
      </c>
      <c r="U532" s="60">
        <f t="shared" si="87"/>
        <v>100</v>
      </c>
      <c r="V532" s="34" t="s">
        <v>44</v>
      </c>
      <c r="W532" s="52">
        <f t="shared" si="79"/>
        <v>46796200</v>
      </c>
      <c r="X532" s="60">
        <f t="shared" si="80"/>
        <v>63.25011708304077</v>
      </c>
      <c r="Y532" s="34" t="s">
        <v>44</v>
      </c>
      <c r="Z532" s="102">
        <f t="shared" si="66"/>
        <v>24</v>
      </c>
      <c r="AA532" s="52">
        <f t="shared" si="76"/>
        <v>57804700</v>
      </c>
      <c r="AB532" s="41">
        <f t="shared" si="70"/>
        <v>66.666666666666657</v>
      </c>
      <c r="AC532" s="34" t="s">
        <v>44</v>
      </c>
      <c r="AD532" s="90">
        <f t="shared" si="71"/>
        <v>40.623941438813929</v>
      </c>
      <c r="AE532" s="17"/>
      <c r="AF532" s="2"/>
      <c r="AG532" s="2"/>
      <c r="AH532" s="55"/>
      <c r="AI532" s="2"/>
      <c r="AJ532" s="2"/>
      <c r="AK532" s="2"/>
    </row>
    <row r="533" spans="1:37" ht="180">
      <c r="A533" s="43"/>
      <c r="B533" s="39"/>
      <c r="C533" s="46" t="s">
        <v>718</v>
      </c>
      <c r="D533" s="47" t="s">
        <v>698</v>
      </c>
      <c r="E533" s="48">
        <v>36</v>
      </c>
      <c r="F533" s="77" t="s">
        <v>62</v>
      </c>
      <c r="G533" s="91">
        <v>65205250</v>
      </c>
      <c r="H533" s="101">
        <v>12</v>
      </c>
      <c r="I533" s="50">
        <v>25624000</v>
      </c>
      <c r="J533" s="51">
        <v>12</v>
      </c>
      <c r="K533" s="50">
        <v>15250000</v>
      </c>
      <c r="L533" s="33">
        <v>3</v>
      </c>
      <c r="M533" s="103" t="s">
        <v>229</v>
      </c>
      <c r="N533" s="51">
        <v>3</v>
      </c>
      <c r="O533" s="50">
        <v>9245000</v>
      </c>
      <c r="P533" s="51">
        <v>3</v>
      </c>
      <c r="Q533" s="50"/>
      <c r="R533" s="101">
        <v>3</v>
      </c>
      <c r="S533" s="50">
        <v>4280000</v>
      </c>
      <c r="T533" s="102">
        <f t="shared" si="90"/>
        <v>12</v>
      </c>
      <c r="U533" s="60">
        <f t="shared" si="87"/>
        <v>100</v>
      </c>
      <c r="V533" s="34" t="s">
        <v>44</v>
      </c>
      <c r="W533" s="52">
        <f t="shared" si="79"/>
        <v>13525000</v>
      </c>
      <c r="X533" s="60">
        <f t="shared" si="80"/>
        <v>88.688524590163937</v>
      </c>
      <c r="Y533" s="34" t="s">
        <v>44</v>
      </c>
      <c r="Z533" s="102">
        <f t="shared" si="66"/>
        <v>24</v>
      </c>
      <c r="AA533" s="52">
        <f t="shared" si="76"/>
        <v>39149000</v>
      </c>
      <c r="AB533" s="41">
        <f t="shared" si="70"/>
        <v>66.666666666666657</v>
      </c>
      <c r="AC533" s="34" t="s">
        <v>44</v>
      </c>
      <c r="AD533" s="90">
        <f t="shared" si="71"/>
        <v>60.039644047066766</v>
      </c>
      <c r="AE533" s="17"/>
      <c r="AF533" s="2"/>
      <c r="AG533" s="2"/>
      <c r="AH533" s="55"/>
      <c r="AI533" s="2"/>
      <c r="AJ533" s="2"/>
      <c r="AK533" s="2"/>
    </row>
    <row r="534" spans="1:37" ht="180">
      <c r="A534" s="43"/>
      <c r="B534" s="39"/>
      <c r="C534" s="46" t="s">
        <v>719</v>
      </c>
      <c r="D534" s="47" t="s">
        <v>698</v>
      </c>
      <c r="E534" s="48">
        <v>36</v>
      </c>
      <c r="F534" s="77" t="s">
        <v>62</v>
      </c>
      <c r="G534" s="50">
        <v>5647500</v>
      </c>
      <c r="H534" s="101"/>
      <c r="I534" s="50"/>
      <c r="J534" s="51">
        <v>12</v>
      </c>
      <c r="K534" s="50">
        <v>45648500</v>
      </c>
      <c r="L534" s="33">
        <v>3</v>
      </c>
      <c r="M534" s="103" t="s">
        <v>229</v>
      </c>
      <c r="N534" s="51">
        <v>3</v>
      </c>
      <c r="O534" s="50"/>
      <c r="P534" s="51">
        <v>3</v>
      </c>
      <c r="Q534" s="50"/>
      <c r="R534" s="112">
        <v>3</v>
      </c>
      <c r="S534" s="107">
        <v>36590000</v>
      </c>
      <c r="T534" s="102">
        <f t="shared" si="90"/>
        <v>12</v>
      </c>
      <c r="U534" s="60">
        <f t="shared" si="87"/>
        <v>100</v>
      </c>
      <c r="V534" s="34" t="s">
        <v>44</v>
      </c>
      <c r="W534" s="52">
        <f t="shared" si="79"/>
        <v>36590000</v>
      </c>
      <c r="X534" s="60">
        <f t="shared" si="80"/>
        <v>80.155974456992013</v>
      </c>
      <c r="Y534" s="34" t="s">
        <v>44</v>
      </c>
      <c r="Z534" s="102">
        <f t="shared" si="66"/>
        <v>12</v>
      </c>
      <c r="AA534" s="52">
        <f t="shared" si="76"/>
        <v>36590000</v>
      </c>
      <c r="AB534" s="41">
        <f t="shared" si="70"/>
        <v>33.333333333333329</v>
      </c>
      <c r="AC534" s="34" t="s">
        <v>44</v>
      </c>
      <c r="AD534" s="90">
        <f t="shared" si="71"/>
        <v>647.89729969012842</v>
      </c>
      <c r="AE534" s="17"/>
      <c r="AF534" s="2"/>
      <c r="AG534" s="2"/>
      <c r="AH534" s="55"/>
      <c r="AI534" s="2"/>
      <c r="AJ534" s="2"/>
      <c r="AK534" s="2"/>
    </row>
    <row r="535" spans="1:37" ht="14.25" customHeight="1">
      <c r="A535" s="206" t="s">
        <v>720</v>
      </c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7"/>
      <c r="U535" s="150">
        <f>AVERAGE(U16:U511)</f>
        <v>103.81953958473409</v>
      </c>
      <c r="V535" s="151"/>
      <c r="W535" s="152"/>
      <c r="X535" s="150">
        <f>AVERAGE(X16,X60,X472,X498,X509)</f>
        <v>84.142129847177856</v>
      </c>
      <c r="Y535" s="151"/>
      <c r="Z535" s="153"/>
      <c r="AA535" s="153"/>
      <c r="AB535" s="153"/>
      <c r="AC535" s="151"/>
      <c r="AD535" s="154"/>
      <c r="AE535" s="17"/>
      <c r="AF535" s="2"/>
      <c r="AG535" s="2"/>
      <c r="AH535" s="2"/>
      <c r="AI535" s="2"/>
      <c r="AJ535" s="2"/>
      <c r="AK535" s="2"/>
    </row>
    <row r="536" spans="1:37" ht="14.25" customHeight="1">
      <c r="A536" s="206" t="s">
        <v>721</v>
      </c>
      <c r="B536" s="200"/>
      <c r="C536" s="200"/>
      <c r="D536" s="200"/>
      <c r="E536" s="200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7"/>
      <c r="U536" s="155" t="str">
        <f>IF(U535&gt;=91,"Sangat Tinggi",IF(U535&gt;=76,"Tinggi",IF(U535&gt;=66,"Sedang",IF(U535&gt;=51,"Rendah",IF(U535&lt;=50,"Sangat Rendah")))))</f>
        <v>Sangat Tinggi</v>
      </c>
      <c r="V536" s="151"/>
      <c r="W536" s="156"/>
      <c r="X536" s="155" t="str">
        <f>IF(X535&gt;=91,"Sangat Tinggi",IF(X535&gt;=76,"Tinggi",IF(X535&gt;=66,"Sedang",IF(X535&gt;=51,"Rendah",IF(X535&lt;=50,"Sangat Rendah")))))</f>
        <v>Tinggi</v>
      </c>
      <c r="Y536" s="151"/>
      <c r="Z536" s="157"/>
      <c r="AA536" s="158"/>
      <c r="AB536" s="157"/>
      <c r="AC536" s="151"/>
      <c r="AD536" s="159"/>
      <c r="AE536" s="17"/>
      <c r="AF536" s="2"/>
      <c r="AG536" s="2"/>
      <c r="AH536" s="2"/>
      <c r="AI536" s="2"/>
      <c r="AJ536" s="2"/>
      <c r="AK536" s="2"/>
    </row>
    <row r="537" spans="1:37" ht="14.25" customHeight="1">
      <c r="A537" s="208" t="s">
        <v>722</v>
      </c>
      <c r="B537" s="200"/>
      <c r="C537" s="200"/>
      <c r="D537" s="200"/>
      <c r="E537" s="200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  <c r="AA537" s="200"/>
      <c r="AB537" s="200"/>
      <c r="AC537" s="200"/>
      <c r="AD537" s="199"/>
      <c r="AE537" s="17"/>
      <c r="AF537" s="2"/>
      <c r="AG537" s="2"/>
      <c r="AH537" s="2"/>
      <c r="AI537" s="2"/>
      <c r="AJ537" s="2"/>
      <c r="AK537" s="2"/>
    </row>
    <row r="538" spans="1:37" ht="14.25" customHeight="1">
      <c r="A538" s="208" t="s">
        <v>723</v>
      </c>
      <c r="B538" s="200"/>
      <c r="C538" s="200"/>
      <c r="D538" s="200"/>
      <c r="E538" s="200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  <c r="AA538" s="200"/>
      <c r="AB538" s="200"/>
      <c r="AC538" s="200"/>
      <c r="AD538" s="199"/>
      <c r="AE538" s="17"/>
      <c r="AF538" s="2"/>
      <c r="AG538" s="2"/>
      <c r="AH538" s="2"/>
      <c r="AI538" s="2"/>
      <c r="AJ538" s="2"/>
      <c r="AK538" s="2"/>
    </row>
    <row r="539" spans="1:37" ht="14.25" customHeight="1">
      <c r="A539" s="208" t="s">
        <v>724</v>
      </c>
      <c r="B539" s="200"/>
      <c r="C539" s="200"/>
      <c r="D539" s="200"/>
      <c r="E539" s="200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  <c r="AA539" s="200"/>
      <c r="AB539" s="200"/>
      <c r="AC539" s="200"/>
      <c r="AD539" s="199"/>
      <c r="AE539" s="17"/>
      <c r="AF539" s="2"/>
      <c r="AG539" s="2"/>
      <c r="AH539" s="2"/>
      <c r="AI539" s="2"/>
      <c r="AJ539" s="2"/>
      <c r="AK539" s="2"/>
    </row>
    <row r="540" spans="1:37" ht="14.25" customHeight="1">
      <c r="A540" s="208" t="s">
        <v>725</v>
      </c>
      <c r="B540" s="200"/>
      <c r="C540" s="200"/>
      <c r="D540" s="200"/>
      <c r="E540" s="200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  <c r="AA540" s="200"/>
      <c r="AB540" s="200"/>
      <c r="AC540" s="200"/>
      <c r="AD540" s="199"/>
      <c r="AE540" s="160"/>
      <c r="AF540" s="2"/>
      <c r="AG540" s="2"/>
      <c r="AH540" s="2"/>
      <c r="AI540" s="2"/>
      <c r="AJ540" s="2"/>
      <c r="AK540" s="2"/>
    </row>
    <row r="541" spans="1:37" ht="14.25" customHeight="1">
      <c r="A541" s="161"/>
      <c r="B541" s="161"/>
      <c r="C541" s="161"/>
      <c r="D541" s="161"/>
      <c r="E541" s="162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3"/>
      <c r="W541" s="161"/>
      <c r="X541" s="161"/>
      <c r="Y541" s="163"/>
      <c r="Z541" s="161"/>
      <c r="AA541" s="161"/>
      <c r="AB541" s="161"/>
      <c r="AC541" s="163"/>
      <c r="AD541" s="161"/>
      <c r="AE541" s="2"/>
      <c r="AF541" s="2"/>
      <c r="AG541" s="2"/>
      <c r="AH541" s="2"/>
      <c r="AI541" s="2"/>
      <c r="AJ541" s="2"/>
      <c r="AK541" s="2"/>
    </row>
    <row r="542" spans="1:37" ht="14.25" customHeight="1">
      <c r="A542" s="161"/>
      <c r="B542" s="161"/>
      <c r="C542" s="161"/>
      <c r="D542" s="161"/>
      <c r="E542" s="162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209" t="s">
        <v>726</v>
      </c>
      <c r="U542" s="188"/>
      <c r="V542" s="188"/>
      <c r="W542" s="188"/>
      <c r="X542" s="188"/>
      <c r="Y542" s="163"/>
      <c r="Z542" s="161"/>
      <c r="AA542" s="209"/>
      <c r="AB542" s="188"/>
      <c r="AC542" s="188"/>
      <c r="AD542" s="188"/>
      <c r="AE542" s="188"/>
      <c r="AF542" s="2"/>
      <c r="AG542" s="2"/>
      <c r="AH542" s="2"/>
      <c r="AI542" s="2"/>
      <c r="AJ542" s="2"/>
      <c r="AK542" s="2"/>
    </row>
    <row r="543" spans="1:37" ht="14.25" customHeight="1">
      <c r="A543" s="164"/>
      <c r="B543" s="161"/>
      <c r="C543" s="161"/>
      <c r="D543" s="161"/>
      <c r="E543" s="162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212" t="s">
        <v>752</v>
      </c>
      <c r="U543" s="188"/>
      <c r="V543" s="188"/>
      <c r="W543" s="188"/>
      <c r="X543" s="188"/>
      <c r="Y543" s="163"/>
      <c r="Z543" s="161"/>
      <c r="AA543" s="209"/>
      <c r="AB543" s="188"/>
      <c r="AC543" s="188"/>
      <c r="AD543" s="188"/>
      <c r="AE543" s="188"/>
      <c r="AF543" s="2"/>
      <c r="AG543" s="2"/>
      <c r="AH543" s="2"/>
      <c r="AI543" s="2"/>
      <c r="AJ543" s="2"/>
      <c r="AK543" s="2"/>
    </row>
    <row r="544" spans="1:37" ht="14.25" customHeight="1">
      <c r="A544" s="2"/>
      <c r="B544" s="2"/>
      <c r="C544" s="2"/>
      <c r="D544" s="2"/>
      <c r="E544" s="16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09" t="s">
        <v>727</v>
      </c>
      <c r="U544" s="188"/>
      <c r="V544" s="188"/>
      <c r="W544" s="188"/>
      <c r="X544" s="188"/>
      <c r="Y544" s="4"/>
      <c r="Z544" s="2"/>
      <c r="AA544" s="209"/>
      <c r="AB544" s="188"/>
      <c r="AC544" s="188"/>
      <c r="AD544" s="188"/>
      <c r="AE544" s="188"/>
      <c r="AF544" s="2"/>
      <c r="AG544" s="2"/>
      <c r="AH544" s="2"/>
      <c r="AI544" s="2"/>
      <c r="AJ544" s="2"/>
      <c r="AK544" s="2"/>
    </row>
    <row r="545" spans="1:37" ht="14.25" customHeight="1">
      <c r="A545" s="2"/>
      <c r="B545" s="2"/>
      <c r="C545" s="2"/>
      <c r="D545" s="2"/>
      <c r="E545" s="16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09" t="s">
        <v>728</v>
      </c>
      <c r="U545" s="188"/>
      <c r="V545" s="188"/>
      <c r="W545" s="188"/>
      <c r="X545" s="188"/>
      <c r="Y545" s="4"/>
      <c r="Z545" s="2"/>
      <c r="AA545" s="209"/>
      <c r="AB545" s="188"/>
      <c r="AC545" s="188"/>
      <c r="AD545" s="188"/>
      <c r="AE545" s="188"/>
      <c r="AF545" s="2"/>
      <c r="AG545" s="2"/>
      <c r="AH545" s="2"/>
      <c r="AI545" s="2"/>
      <c r="AJ545" s="2"/>
      <c r="AK545" s="2"/>
    </row>
    <row r="546" spans="1:37" ht="14.25" customHeight="1">
      <c r="A546" s="166" t="s">
        <v>729</v>
      </c>
      <c r="B546" s="166" t="s">
        <v>730</v>
      </c>
      <c r="C546" s="166" t="s">
        <v>731</v>
      </c>
      <c r="D546" s="2"/>
      <c r="E546" s="16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161"/>
      <c r="U546" s="161"/>
      <c r="V546" s="163"/>
      <c r="W546" s="161"/>
      <c r="X546" s="2"/>
      <c r="Y546" s="4"/>
      <c r="Z546" s="2"/>
      <c r="AA546" s="163"/>
      <c r="AB546" s="161"/>
      <c r="AC546" s="163"/>
      <c r="AD546" s="161"/>
      <c r="AE546" s="2"/>
      <c r="AF546" s="2"/>
      <c r="AG546" s="2"/>
      <c r="AH546" s="2"/>
      <c r="AI546" s="2"/>
      <c r="AJ546" s="2"/>
      <c r="AK546" s="2"/>
    </row>
    <row r="547" spans="1:37" ht="14.25" customHeight="1">
      <c r="A547" s="167" t="s">
        <v>732</v>
      </c>
      <c r="B547" s="167" t="s">
        <v>733</v>
      </c>
      <c r="C547" s="167" t="s">
        <v>734</v>
      </c>
      <c r="D547" s="2"/>
      <c r="E547" s="16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10" t="s">
        <v>735</v>
      </c>
      <c r="U547" s="188"/>
      <c r="V547" s="188"/>
      <c r="W547" s="188"/>
      <c r="X547" s="188"/>
      <c r="Y547" s="4"/>
      <c r="Z547" s="2"/>
      <c r="AA547" s="210"/>
      <c r="AB547" s="188"/>
      <c r="AC547" s="188"/>
      <c r="AD547" s="188"/>
      <c r="AE547" s="188"/>
      <c r="AF547" s="2"/>
      <c r="AG547" s="2"/>
      <c r="AH547" s="2"/>
      <c r="AI547" s="2"/>
      <c r="AJ547" s="2"/>
      <c r="AK547" s="2"/>
    </row>
    <row r="548" spans="1:37" ht="14.25" customHeight="1">
      <c r="A548" s="167" t="s">
        <v>736</v>
      </c>
      <c r="B548" s="167" t="s">
        <v>737</v>
      </c>
      <c r="C548" s="167" t="s">
        <v>738</v>
      </c>
      <c r="D548" s="2"/>
      <c r="E548" s="16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11" t="s">
        <v>739</v>
      </c>
      <c r="U548" s="188"/>
      <c r="V548" s="188"/>
      <c r="W548" s="188"/>
      <c r="X548" s="188"/>
      <c r="Y548" s="4"/>
      <c r="Z548" s="2"/>
      <c r="AA548" s="211"/>
      <c r="AB548" s="188"/>
      <c r="AC548" s="188"/>
      <c r="AD548" s="188"/>
      <c r="AE548" s="188"/>
      <c r="AF548" s="2"/>
      <c r="AG548" s="2"/>
      <c r="AH548" s="2"/>
      <c r="AI548" s="2"/>
      <c r="AJ548" s="2"/>
      <c r="AK548" s="2"/>
    </row>
    <row r="549" spans="1:37" ht="14.25" customHeight="1">
      <c r="A549" s="167" t="s">
        <v>740</v>
      </c>
      <c r="B549" s="167" t="s">
        <v>741</v>
      </c>
      <c r="C549" s="167" t="s">
        <v>742</v>
      </c>
      <c r="D549" s="2"/>
      <c r="E549" s="16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4"/>
      <c r="W549" s="2"/>
      <c r="X549" s="2"/>
      <c r="Y549" s="4"/>
      <c r="Z549" s="2"/>
      <c r="AA549" s="2"/>
      <c r="AB549" s="2"/>
      <c r="AC549" s="4"/>
      <c r="AD549" s="2"/>
      <c r="AE549" s="2"/>
      <c r="AF549" s="2"/>
      <c r="AG549" s="2"/>
      <c r="AH549" s="2"/>
      <c r="AI549" s="2"/>
      <c r="AJ549" s="2"/>
      <c r="AK549" s="2"/>
    </row>
    <row r="550" spans="1:37" ht="14.25" customHeight="1">
      <c r="A550" s="167" t="s">
        <v>743</v>
      </c>
      <c r="B550" s="167" t="s">
        <v>744</v>
      </c>
      <c r="C550" s="167" t="s">
        <v>745</v>
      </c>
      <c r="D550" s="2"/>
      <c r="E550" s="16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4"/>
      <c r="W550" s="2"/>
      <c r="X550" s="2"/>
      <c r="Y550" s="4"/>
      <c r="Z550" s="2"/>
      <c r="AA550" s="2"/>
      <c r="AB550" s="2"/>
      <c r="AC550" s="4"/>
      <c r="AD550" s="2"/>
      <c r="AE550" s="2"/>
      <c r="AF550" s="2"/>
      <c r="AG550" s="2"/>
      <c r="AH550" s="2"/>
      <c r="AI550" s="2"/>
      <c r="AJ550" s="2"/>
      <c r="AK550" s="2"/>
    </row>
    <row r="551" spans="1:37" ht="14.25" customHeight="1">
      <c r="A551" s="167" t="s">
        <v>746</v>
      </c>
      <c r="B551" s="168" t="s">
        <v>747</v>
      </c>
      <c r="C551" s="167" t="s">
        <v>748</v>
      </c>
      <c r="D551" s="2"/>
      <c r="E551" s="16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4"/>
      <c r="W551" s="2"/>
      <c r="X551" s="2"/>
      <c r="Y551" s="4"/>
      <c r="Z551" s="2"/>
      <c r="AA551" s="2"/>
      <c r="AB551" s="2"/>
      <c r="AC551" s="4"/>
      <c r="AD551" s="2"/>
      <c r="AE551" s="2"/>
      <c r="AF551" s="2"/>
      <c r="AG551" s="2"/>
      <c r="AH551" s="2"/>
      <c r="AI551" s="2"/>
      <c r="AJ551" s="2"/>
      <c r="AK551" s="2"/>
    </row>
    <row r="552" spans="1:37" ht="14.25" customHeight="1">
      <c r="A552" s="2"/>
      <c r="B552" s="2"/>
      <c r="C552" s="2"/>
      <c r="D552" s="2"/>
      <c r="E552" s="16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4"/>
      <c r="W552" s="2"/>
      <c r="X552" s="2"/>
      <c r="Y552" s="4"/>
      <c r="Z552" s="2"/>
      <c r="AA552" s="2"/>
      <c r="AB552" s="2"/>
      <c r="AC552" s="4"/>
      <c r="AD552" s="2"/>
      <c r="AE552" s="2"/>
      <c r="AF552" s="2"/>
      <c r="AG552" s="2"/>
      <c r="AH552" s="2"/>
      <c r="AI552" s="2"/>
      <c r="AJ552" s="2"/>
      <c r="AK552" s="2"/>
    </row>
    <row r="553" spans="1:37" ht="14.25" customHeight="1">
      <c r="A553" s="2"/>
      <c r="B553" s="2"/>
      <c r="C553" s="2"/>
      <c r="D553" s="2"/>
      <c r="E553" s="16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4"/>
      <c r="W553" s="2"/>
      <c r="X553" s="2"/>
      <c r="Y553" s="4"/>
      <c r="Z553" s="2"/>
      <c r="AA553" s="2"/>
      <c r="AB553" s="2"/>
      <c r="AC553" s="4"/>
      <c r="AD553" s="2"/>
      <c r="AE553" s="2"/>
      <c r="AF553" s="2"/>
      <c r="AG553" s="2"/>
      <c r="AH553" s="2"/>
      <c r="AI553" s="2"/>
      <c r="AJ553" s="2"/>
      <c r="AK553" s="2"/>
    </row>
    <row r="554" spans="1:37" ht="14.25" customHeight="1">
      <c r="A554" s="2"/>
      <c r="B554" s="2"/>
      <c r="C554" s="2"/>
      <c r="D554" s="2"/>
      <c r="E554" s="16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4"/>
      <c r="W554" s="2"/>
      <c r="X554" s="2"/>
      <c r="Y554" s="4"/>
      <c r="Z554" s="2"/>
      <c r="AA554" s="2"/>
      <c r="AB554" s="2"/>
      <c r="AC554" s="4"/>
      <c r="AD554" s="2"/>
      <c r="AE554" s="2"/>
      <c r="AF554" s="2"/>
      <c r="AG554" s="2"/>
      <c r="AH554" s="2"/>
      <c r="AI554" s="2"/>
      <c r="AJ554" s="2"/>
      <c r="AK554" s="2"/>
    </row>
    <row r="555" spans="1:37" ht="14.25" customHeight="1">
      <c r="A555" s="2"/>
      <c r="B555" s="2"/>
      <c r="C555" s="2"/>
      <c r="D555" s="2"/>
      <c r="E555" s="16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4"/>
      <c r="W555" s="2"/>
      <c r="X555" s="2"/>
      <c r="Y555" s="4"/>
      <c r="Z555" s="2"/>
      <c r="AA555" s="2"/>
      <c r="AB555" s="2"/>
      <c r="AC555" s="4"/>
      <c r="AD555" s="2"/>
      <c r="AE555" s="2"/>
      <c r="AF555" s="2"/>
      <c r="AG555" s="2"/>
      <c r="AH555" s="2"/>
      <c r="AI555" s="2"/>
      <c r="AJ555" s="2"/>
      <c r="AK555" s="2"/>
    </row>
    <row r="556" spans="1:37" ht="14.25" customHeight="1">
      <c r="A556" s="2"/>
      <c r="B556" s="2"/>
      <c r="C556" s="2"/>
      <c r="D556" s="2"/>
      <c r="E556" s="16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4"/>
      <c r="W556" s="2"/>
      <c r="X556" s="2"/>
      <c r="Y556" s="4"/>
      <c r="Z556" s="2"/>
      <c r="AA556" s="2"/>
      <c r="AB556" s="2"/>
      <c r="AC556" s="4"/>
      <c r="AD556" s="2"/>
      <c r="AE556" s="2"/>
      <c r="AF556" s="2"/>
      <c r="AG556" s="2"/>
      <c r="AH556" s="2"/>
      <c r="AI556" s="2"/>
      <c r="AJ556" s="2"/>
      <c r="AK556" s="2"/>
    </row>
    <row r="557" spans="1:37" ht="14.25" customHeight="1">
      <c r="A557" s="2"/>
      <c r="B557" s="2"/>
      <c r="C557" s="2"/>
      <c r="D557" s="2"/>
      <c r="E557" s="16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4"/>
      <c r="W557" s="2"/>
      <c r="X557" s="2"/>
      <c r="Y557" s="4"/>
      <c r="Z557" s="2"/>
      <c r="AA557" s="2"/>
      <c r="AB557" s="2"/>
      <c r="AC557" s="4"/>
      <c r="AD557" s="2"/>
      <c r="AE557" s="2"/>
      <c r="AF557" s="2"/>
      <c r="AG557" s="2"/>
      <c r="AH557" s="2"/>
      <c r="AI557" s="2"/>
      <c r="AJ557" s="2"/>
      <c r="AK557" s="2"/>
    </row>
    <row r="558" spans="1:37" ht="14.25" customHeight="1">
      <c r="A558" s="2"/>
      <c r="B558" s="2"/>
      <c r="C558" s="2"/>
      <c r="D558" s="2"/>
      <c r="E558" s="16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4"/>
      <c r="W558" s="2"/>
      <c r="X558" s="2"/>
      <c r="Y558" s="4"/>
      <c r="Z558" s="2"/>
      <c r="AA558" s="2"/>
      <c r="AB558" s="2"/>
      <c r="AC558" s="4"/>
      <c r="AD558" s="2"/>
      <c r="AE558" s="2"/>
      <c r="AF558" s="2"/>
      <c r="AG558" s="2"/>
      <c r="AH558" s="2"/>
      <c r="AI558" s="2"/>
      <c r="AJ558" s="2"/>
      <c r="AK558" s="2"/>
    </row>
    <row r="559" spans="1:37" ht="14.25" customHeight="1">
      <c r="A559" s="2"/>
      <c r="B559" s="2"/>
      <c r="C559" s="2"/>
      <c r="D559" s="2"/>
      <c r="E559" s="16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4"/>
      <c r="W559" s="2"/>
      <c r="X559" s="2"/>
      <c r="Y559" s="4"/>
      <c r="Z559" s="2"/>
      <c r="AA559" s="2"/>
      <c r="AB559" s="2"/>
      <c r="AC559" s="4"/>
      <c r="AD559" s="2"/>
      <c r="AE559" s="2"/>
      <c r="AF559" s="2"/>
      <c r="AG559" s="2"/>
      <c r="AH559" s="2"/>
      <c r="AI559" s="2"/>
      <c r="AJ559" s="2"/>
      <c r="AK559" s="2"/>
    </row>
    <row r="560" spans="1:37" ht="14.25" customHeight="1">
      <c r="A560" s="2"/>
      <c r="B560" s="2"/>
      <c r="C560" s="2"/>
      <c r="D560" s="2"/>
      <c r="E560" s="16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4"/>
      <c r="W560" s="2"/>
      <c r="X560" s="2"/>
      <c r="Y560" s="4"/>
      <c r="Z560" s="2"/>
      <c r="AA560" s="2"/>
      <c r="AB560" s="2"/>
      <c r="AC560" s="4"/>
      <c r="AD560" s="2"/>
      <c r="AE560" s="2"/>
      <c r="AF560" s="2"/>
      <c r="AG560" s="2"/>
      <c r="AH560" s="2"/>
      <c r="AI560" s="2"/>
      <c r="AJ560" s="2"/>
      <c r="AK560" s="2"/>
    </row>
    <row r="561" spans="1:37" ht="14.25" customHeight="1">
      <c r="A561" s="2"/>
      <c r="B561" s="2"/>
      <c r="C561" s="2"/>
      <c r="D561" s="2"/>
      <c r="E561" s="16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4"/>
      <c r="W561" s="2"/>
      <c r="X561" s="2"/>
      <c r="Y561" s="4"/>
      <c r="Z561" s="2"/>
      <c r="AA561" s="2"/>
      <c r="AB561" s="2"/>
      <c r="AC561" s="4"/>
      <c r="AD561" s="2"/>
      <c r="AE561" s="2"/>
      <c r="AF561" s="2"/>
      <c r="AG561" s="2"/>
      <c r="AH561" s="2"/>
      <c r="AI561" s="2"/>
      <c r="AJ561" s="2"/>
      <c r="AK561" s="2"/>
    </row>
    <row r="562" spans="1:37" ht="14.25" customHeight="1">
      <c r="A562" s="2"/>
      <c r="B562" s="2"/>
      <c r="C562" s="2"/>
      <c r="D562" s="2"/>
      <c r="E562" s="16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4"/>
      <c r="W562" s="2"/>
      <c r="X562" s="2"/>
      <c r="Y562" s="4"/>
      <c r="Z562" s="2"/>
      <c r="AA562" s="2"/>
      <c r="AB562" s="2"/>
      <c r="AC562" s="4"/>
      <c r="AD562" s="2"/>
      <c r="AE562" s="2"/>
      <c r="AF562" s="2"/>
      <c r="AG562" s="2"/>
      <c r="AH562" s="2"/>
      <c r="AI562" s="2"/>
      <c r="AJ562" s="2"/>
      <c r="AK562" s="2"/>
    </row>
    <row r="563" spans="1:37" ht="14.25" customHeight="1">
      <c r="A563" s="2"/>
      <c r="B563" s="2"/>
      <c r="C563" s="2"/>
      <c r="D563" s="2"/>
      <c r="E563" s="16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4"/>
      <c r="W563" s="2"/>
      <c r="X563" s="2"/>
      <c r="Y563" s="4"/>
      <c r="Z563" s="2"/>
      <c r="AA563" s="2"/>
      <c r="AB563" s="2"/>
      <c r="AC563" s="4"/>
      <c r="AD563" s="2"/>
      <c r="AE563" s="2"/>
      <c r="AF563" s="2"/>
      <c r="AG563" s="2"/>
      <c r="AH563" s="2"/>
      <c r="AI563" s="2"/>
      <c r="AJ563" s="2"/>
      <c r="AK563" s="2"/>
    </row>
    <row r="564" spans="1:37" ht="14.25" customHeight="1">
      <c r="A564" s="2"/>
      <c r="B564" s="2"/>
      <c r="C564" s="2"/>
      <c r="D564" s="2"/>
      <c r="E564" s="16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4"/>
      <c r="W564" s="2"/>
      <c r="X564" s="2"/>
      <c r="Y564" s="4"/>
      <c r="Z564" s="2"/>
      <c r="AA564" s="2"/>
      <c r="AB564" s="2"/>
      <c r="AC564" s="4"/>
      <c r="AD564" s="2"/>
      <c r="AE564" s="2"/>
      <c r="AF564" s="2"/>
      <c r="AG564" s="2"/>
      <c r="AH564" s="2"/>
      <c r="AI564" s="2"/>
      <c r="AJ564" s="2"/>
      <c r="AK564" s="2"/>
    </row>
    <row r="565" spans="1:37" ht="14.25" customHeight="1">
      <c r="A565" s="2"/>
      <c r="B565" s="2"/>
      <c r="C565" s="2"/>
      <c r="D565" s="2"/>
      <c r="E565" s="1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4"/>
      <c r="W565" s="2"/>
      <c r="X565" s="2"/>
      <c r="Y565" s="4"/>
      <c r="Z565" s="2"/>
      <c r="AA565" s="2"/>
      <c r="AB565" s="2"/>
      <c r="AC565" s="4"/>
      <c r="AD565" s="2"/>
      <c r="AE565" s="2"/>
      <c r="AF565" s="2"/>
      <c r="AG565" s="2"/>
      <c r="AH565" s="2"/>
      <c r="AI565" s="2"/>
      <c r="AJ565" s="2"/>
      <c r="AK565" s="2"/>
    </row>
    <row r="566" spans="1:37" ht="14.25" customHeight="1">
      <c r="A566" s="2"/>
      <c r="B566" s="2"/>
      <c r="C566" s="2"/>
      <c r="D566" s="2"/>
      <c r="E566" s="16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4"/>
      <c r="W566" s="2"/>
      <c r="X566" s="2"/>
      <c r="Y566" s="4"/>
      <c r="Z566" s="2"/>
      <c r="AA566" s="2"/>
      <c r="AB566" s="2"/>
      <c r="AC566" s="4"/>
      <c r="AD566" s="2"/>
      <c r="AE566" s="2"/>
      <c r="AF566" s="2"/>
      <c r="AG566" s="2"/>
      <c r="AH566" s="2"/>
      <c r="AI566" s="2"/>
      <c r="AJ566" s="2"/>
      <c r="AK566" s="2"/>
    </row>
    <row r="567" spans="1:37" ht="14.25" customHeight="1">
      <c r="A567" s="2"/>
      <c r="B567" s="2"/>
      <c r="C567" s="2"/>
      <c r="D567" s="2"/>
      <c r="E567" s="16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4"/>
      <c r="W567" s="2"/>
      <c r="X567" s="2"/>
      <c r="Y567" s="4"/>
      <c r="Z567" s="2"/>
      <c r="AA567" s="2"/>
      <c r="AB567" s="2"/>
      <c r="AC567" s="4"/>
      <c r="AD567" s="2"/>
      <c r="AE567" s="2"/>
      <c r="AF567" s="2"/>
      <c r="AG567" s="2"/>
      <c r="AH567" s="2"/>
      <c r="AI567" s="2"/>
      <c r="AJ567" s="2"/>
      <c r="AK567" s="2"/>
    </row>
    <row r="568" spans="1:37" ht="14.25" customHeight="1">
      <c r="A568" s="2"/>
      <c r="B568" s="2"/>
      <c r="C568" s="2"/>
      <c r="D568" s="2"/>
      <c r="E568" s="16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4"/>
      <c r="W568" s="2"/>
      <c r="X568" s="2"/>
      <c r="Y568" s="4"/>
      <c r="Z568" s="2"/>
      <c r="AA568" s="2"/>
      <c r="AB568" s="2"/>
      <c r="AC568" s="4"/>
      <c r="AD568" s="2"/>
      <c r="AE568" s="2"/>
      <c r="AF568" s="2"/>
      <c r="AG568" s="2"/>
      <c r="AH568" s="2"/>
      <c r="AI568" s="2"/>
      <c r="AJ568" s="2"/>
      <c r="AK568" s="2"/>
    </row>
    <row r="569" spans="1:37" ht="14.25" customHeight="1">
      <c r="A569" s="2"/>
      <c r="B569" s="2"/>
      <c r="C569" s="2"/>
      <c r="D569" s="2"/>
      <c r="E569" s="16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4"/>
      <c r="W569" s="2"/>
      <c r="X569" s="2"/>
      <c r="Y569" s="4"/>
      <c r="Z569" s="2"/>
      <c r="AA569" s="2"/>
      <c r="AB569" s="2"/>
      <c r="AC569" s="4"/>
      <c r="AD569" s="2"/>
      <c r="AE569" s="2"/>
      <c r="AF569" s="2"/>
      <c r="AG569" s="2"/>
      <c r="AH569" s="2"/>
      <c r="AI569" s="2"/>
      <c r="AJ569" s="2"/>
      <c r="AK569" s="2"/>
    </row>
    <row r="570" spans="1:37" ht="14.25" customHeight="1">
      <c r="A570" s="2"/>
      <c r="B570" s="2"/>
      <c r="C570" s="2"/>
      <c r="D570" s="2"/>
      <c r="E570" s="16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4"/>
      <c r="W570" s="2"/>
      <c r="X570" s="2"/>
      <c r="Y570" s="4"/>
      <c r="Z570" s="2"/>
      <c r="AA570" s="2"/>
      <c r="AB570" s="2"/>
      <c r="AC570" s="4"/>
      <c r="AD570" s="2"/>
      <c r="AE570" s="2"/>
      <c r="AF570" s="2"/>
      <c r="AG570" s="2"/>
      <c r="AH570" s="2"/>
      <c r="AI570" s="2"/>
      <c r="AJ570" s="2"/>
      <c r="AK570" s="2"/>
    </row>
    <row r="571" spans="1:37" ht="14.25" customHeight="1">
      <c r="A571" s="2"/>
      <c r="B571" s="2"/>
      <c r="C571" s="2"/>
      <c r="D571" s="2"/>
      <c r="E571" s="16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4"/>
      <c r="W571" s="2"/>
      <c r="X571" s="2"/>
      <c r="Y571" s="4"/>
      <c r="Z571" s="2"/>
      <c r="AA571" s="2"/>
      <c r="AB571" s="2"/>
      <c r="AC571" s="4"/>
      <c r="AD571" s="2"/>
      <c r="AE571" s="2"/>
      <c r="AF571" s="2"/>
      <c r="AG571" s="2"/>
      <c r="AH571" s="2"/>
      <c r="AI571" s="2"/>
      <c r="AJ571" s="2"/>
      <c r="AK571" s="2"/>
    </row>
    <row r="572" spans="1:37" ht="14.25" customHeight="1">
      <c r="A572" s="2"/>
      <c r="B572" s="2"/>
      <c r="C572" s="2"/>
      <c r="D572" s="2"/>
      <c r="E572" s="16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4"/>
      <c r="W572" s="2"/>
      <c r="X572" s="2"/>
      <c r="Y572" s="4"/>
      <c r="Z572" s="2"/>
      <c r="AA572" s="2"/>
      <c r="AB572" s="2"/>
      <c r="AC572" s="4"/>
      <c r="AD572" s="2"/>
      <c r="AE572" s="2"/>
      <c r="AF572" s="2"/>
      <c r="AG572" s="2"/>
      <c r="AH572" s="2"/>
      <c r="AI572" s="2"/>
      <c r="AJ572" s="2"/>
      <c r="AK572" s="2"/>
    </row>
    <row r="573" spans="1:37" ht="14.25" customHeight="1">
      <c r="A573" s="2"/>
      <c r="B573" s="2"/>
      <c r="C573" s="2"/>
      <c r="D573" s="2"/>
      <c r="E573" s="16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4"/>
      <c r="W573" s="2"/>
      <c r="X573" s="2"/>
      <c r="Y573" s="4"/>
      <c r="Z573" s="2"/>
      <c r="AA573" s="2"/>
      <c r="AB573" s="2"/>
      <c r="AC573" s="4"/>
      <c r="AD573" s="2"/>
      <c r="AE573" s="2"/>
      <c r="AF573" s="2"/>
      <c r="AG573" s="2"/>
      <c r="AH573" s="2"/>
      <c r="AI573" s="2"/>
      <c r="AJ573" s="2"/>
      <c r="AK573" s="2"/>
    </row>
    <row r="574" spans="1:37" ht="14.25" customHeight="1">
      <c r="A574" s="2"/>
      <c r="B574" s="2"/>
      <c r="C574" s="2"/>
      <c r="D574" s="2"/>
      <c r="E574" s="16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4"/>
      <c r="W574" s="2"/>
      <c r="X574" s="2"/>
      <c r="Y574" s="4"/>
      <c r="Z574" s="2"/>
      <c r="AA574" s="2"/>
      <c r="AB574" s="2"/>
      <c r="AC574" s="4"/>
      <c r="AD574" s="2"/>
      <c r="AE574" s="2"/>
      <c r="AF574" s="2"/>
      <c r="AG574" s="2"/>
      <c r="AH574" s="2"/>
      <c r="AI574" s="2"/>
      <c r="AJ574" s="2"/>
      <c r="AK574" s="2"/>
    </row>
    <row r="575" spans="1:37" ht="14.25" customHeight="1">
      <c r="A575" s="2"/>
      <c r="B575" s="2"/>
      <c r="C575" s="2"/>
      <c r="D575" s="2"/>
      <c r="E575" s="16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4"/>
      <c r="W575" s="2"/>
      <c r="X575" s="2"/>
      <c r="Y575" s="4"/>
      <c r="Z575" s="2"/>
      <c r="AA575" s="2"/>
      <c r="AB575" s="2"/>
      <c r="AC575" s="4"/>
      <c r="AD575" s="2"/>
      <c r="AE575" s="2"/>
      <c r="AF575" s="2"/>
      <c r="AG575" s="2"/>
      <c r="AH575" s="2"/>
      <c r="AI575" s="2"/>
      <c r="AJ575" s="2"/>
      <c r="AK575" s="2"/>
    </row>
    <row r="576" spans="1:37" ht="14.25" customHeight="1">
      <c r="A576" s="2"/>
      <c r="B576" s="2"/>
      <c r="C576" s="2"/>
      <c r="D576" s="2"/>
      <c r="E576" s="16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4"/>
      <c r="W576" s="2"/>
      <c r="X576" s="2"/>
      <c r="Y576" s="4"/>
      <c r="Z576" s="2"/>
      <c r="AA576" s="2"/>
      <c r="AB576" s="2"/>
      <c r="AC576" s="4"/>
      <c r="AD576" s="2"/>
      <c r="AE576" s="2"/>
      <c r="AF576" s="2"/>
      <c r="AG576" s="2"/>
      <c r="AH576" s="2"/>
      <c r="AI576" s="2"/>
      <c r="AJ576" s="2"/>
      <c r="AK576" s="2"/>
    </row>
    <row r="577" spans="1:37" ht="14.25" customHeight="1">
      <c r="A577" s="2"/>
      <c r="B577" s="2"/>
      <c r="C577" s="2"/>
      <c r="D577" s="2"/>
      <c r="E577" s="16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4"/>
      <c r="W577" s="2"/>
      <c r="X577" s="2"/>
      <c r="Y577" s="4"/>
      <c r="Z577" s="2"/>
      <c r="AA577" s="2"/>
      <c r="AB577" s="2"/>
      <c r="AC577" s="4"/>
      <c r="AD577" s="2"/>
      <c r="AE577" s="2"/>
      <c r="AF577" s="2"/>
      <c r="AG577" s="2"/>
      <c r="AH577" s="2"/>
      <c r="AI577" s="2"/>
      <c r="AJ577" s="2"/>
      <c r="AK577" s="2"/>
    </row>
    <row r="578" spans="1:37" ht="14.25" customHeight="1">
      <c r="A578" s="2"/>
      <c r="B578" s="2"/>
      <c r="C578" s="2"/>
      <c r="D578" s="2"/>
      <c r="E578" s="16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4"/>
      <c r="W578" s="2"/>
      <c r="X578" s="2"/>
      <c r="Y578" s="4"/>
      <c r="Z578" s="2"/>
      <c r="AA578" s="2"/>
      <c r="AB578" s="2"/>
      <c r="AC578" s="4"/>
      <c r="AD578" s="2"/>
      <c r="AE578" s="2"/>
      <c r="AF578" s="2"/>
      <c r="AG578" s="2"/>
      <c r="AH578" s="2"/>
      <c r="AI578" s="2"/>
      <c r="AJ578" s="2"/>
      <c r="AK578" s="2"/>
    </row>
    <row r="579" spans="1:37" ht="14.25" customHeight="1">
      <c r="A579" s="2"/>
      <c r="B579" s="2"/>
      <c r="C579" s="2"/>
      <c r="D579" s="2"/>
      <c r="E579" s="16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4"/>
      <c r="W579" s="2"/>
      <c r="X579" s="2"/>
      <c r="Y579" s="4"/>
      <c r="Z579" s="2"/>
      <c r="AA579" s="2"/>
      <c r="AB579" s="2"/>
      <c r="AC579" s="4"/>
      <c r="AD579" s="2"/>
      <c r="AE579" s="2"/>
      <c r="AF579" s="2"/>
      <c r="AG579" s="2"/>
      <c r="AH579" s="2"/>
      <c r="AI579" s="2"/>
      <c r="AJ579" s="2"/>
      <c r="AK579" s="2"/>
    </row>
    <row r="580" spans="1:37" ht="14.25" customHeight="1">
      <c r="A580" s="2"/>
      <c r="B580" s="2"/>
      <c r="C580" s="2"/>
      <c r="D580" s="2"/>
      <c r="E580" s="16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4"/>
      <c r="W580" s="2"/>
      <c r="X580" s="2"/>
      <c r="Y580" s="4"/>
      <c r="Z580" s="2"/>
      <c r="AA580" s="2"/>
      <c r="AB580" s="2"/>
      <c r="AC580" s="4"/>
      <c r="AD580" s="2"/>
      <c r="AE580" s="2"/>
      <c r="AF580" s="2"/>
      <c r="AG580" s="2"/>
      <c r="AH580" s="2"/>
      <c r="AI580" s="2"/>
      <c r="AJ580" s="2"/>
      <c r="AK580" s="2"/>
    </row>
    <row r="581" spans="1:37" ht="14.25" customHeight="1">
      <c r="A581" s="2"/>
      <c r="B581" s="2"/>
      <c r="C581" s="2"/>
      <c r="D581" s="2"/>
      <c r="E581" s="16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4"/>
      <c r="W581" s="2"/>
      <c r="X581" s="2"/>
      <c r="Y581" s="4"/>
      <c r="Z581" s="2"/>
      <c r="AA581" s="2"/>
      <c r="AB581" s="2"/>
      <c r="AC581" s="4"/>
      <c r="AD581" s="2"/>
      <c r="AE581" s="2"/>
      <c r="AF581" s="2"/>
      <c r="AG581" s="2"/>
      <c r="AH581" s="2"/>
      <c r="AI581" s="2"/>
      <c r="AJ581" s="2"/>
      <c r="AK581" s="2"/>
    </row>
    <row r="582" spans="1:37" ht="14.25" customHeight="1">
      <c r="A582" s="2"/>
      <c r="B582" s="2"/>
      <c r="C582" s="2"/>
      <c r="D582" s="2"/>
      <c r="E582" s="16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4"/>
      <c r="W582" s="2"/>
      <c r="X582" s="2"/>
      <c r="Y582" s="4"/>
      <c r="Z582" s="2"/>
      <c r="AA582" s="2"/>
      <c r="AB582" s="2"/>
      <c r="AC582" s="4"/>
      <c r="AD582" s="2"/>
      <c r="AE582" s="2"/>
      <c r="AF582" s="2"/>
      <c r="AG582" s="2"/>
      <c r="AH582" s="2"/>
      <c r="AI582" s="2"/>
      <c r="AJ582" s="2"/>
      <c r="AK582" s="2"/>
    </row>
    <row r="583" spans="1:37" ht="14.25" customHeight="1">
      <c r="A583" s="2"/>
      <c r="B583" s="2"/>
      <c r="C583" s="2"/>
      <c r="D583" s="2"/>
      <c r="E583" s="16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4"/>
      <c r="W583" s="2"/>
      <c r="X583" s="2"/>
      <c r="Y583" s="4"/>
      <c r="Z583" s="2"/>
      <c r="AA583" s="2"/>
      <c r="AB583" s="2"/>
      <c r="AC583" s="4"/>
      <c r="AD583" s="2"/>
      <c r="AE583" s="2"/>
      <c r="AF583" s="2"/>
      <c r="AG583" s="2"/>
      <c r="AH583" s="2"/>
      <c r="AI583" s="2"/>
      <c r="AJ583" s="2"/>
      <c r="AK583" s="2"/>
    </row>
    <row r="584" spans="1:37" ht="14.25" customHeight="1">
      <c r="A584" s="2"/>
      <c r="B584" s="2"/>
      <c r="C584" s="2"/>
      <c r="D584" s="2"/>
      <c r="E584" s="16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4"/>
      <c r="W584" s="2"/>
      <c r="X584" s="2"/>
      <c r="Y584" s="4"/>
      <c r="Z584" s="2"/>
      <c r="AA584" s="2"/>
      <c r="AB584" s="2"/>
      <c r="AC584" s="4"/>
      <c r="AD584" s="2"/>
      <c r="AE584" s="2"/>
      <c r="AF584" s="2"/>
      <c r="AG584" s="2"/>
      <c r="AH584" s="2"/>
      <c r="AI584" s="2"/>
      <c r="AJ584" s="2"/>
      <c r="AK584" s="2"/>
    </row>
    <row r="585" spans="1:37" ht="14.25" customHeight="1">
      <c r="A585" s="2"/>
      <c r="B585" s="2"/>
      <c r="C585" s="2"/>
      <c r="D585" s="2"/>
      <c r="E585" s="16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4"/>
      <c r="W585" s="2"/>
      <c r="X585" s="2"/>
      <c r="Y585" s="4"/>
      <c r="Z585" s="2"/>
      <c r="AA585" s="2"/>
      <c r="AB585" s="2"/>
      <c r="AC585" s="4"/>
      <c r="AD585" s="2"/>
      <c r="AE585" s="2"/>
      <c r="AF585" s="2"/>
      <c r="AG585" s="2"/>
      <c r="AH585" s="2"/>
      <c r="AI585" s="2"/>
      <c r="AJ585" s="2"/>
      <c r="AK585" s="2"/>
    </row>
    <row r="586" spans="1:37" ht="14.25" customHeight="1">
      <c r="A586" s="2"/>
      <c r="B586" s="2"/>
      <c r="C586" s="2"/>
      <c r="D586" s="2"/>
      <c r="E586" s="16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4"/>
      <c r="W586" s="2"/>
      <c r="X586" s="2"/>
      <c r="Y586" s="4"/>
      <c r="Z586" s="2"/>
      <c r="AA586" s="2"/>
      <c r="AB586" s="2"/>
      <c r="AC586" s="4"/>
      <c r="AD586" s="2"/>
      <c r="AE586" s="2"/>
      <c r="AF586" s="2"/>
      <c r="AG586" s="2"/>
      <c r="AH586" s="2"/>
      <c r="AI586" s="2"/>
      <c r="AJ586" s="2"/>
      <c r="AK586" s="2"/>
    </row>
    <row r="587" spans="1:37" ht="14.25" customHeight="1">
      <c r="A587" s="2"/>
      <c r="B587" s="2"/>
      <c r="C587" s="2"/>
      <c r="D587" s="2"/>
      <c r="E587" s="16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4"/>
      <c r="W587" s="2"/>
      <c r="X587" s="2"/>
      <c r="Y587" s="4"/>
      <c r="Z587" s="2"/>
      <c r="AA587" s="2"/>
      <c r="AB587" s="2"/>
      <c r="AC587" s="4"/>
      <c r="AD587" s="2"/>
      <c r="AE587" s="2"/>
      <c r="AF587" s="2"/>
      <c r="AG587" s="2"/>
      <c r="AH587" s="2"/>
      <c r="AI587" s="2"/>
      <c r="AJ587" s="2"/>
      <c r="AK587" s="2"/>
    </row>
    <row r="588" spans="1:37" ht="14.25" customHeight="1">
      <c r="A588" s="2"/>
      <c r="B588" s="2"/>
      <c r="C588" s="2"/>
      <c r="D588" s="2"/>
      <c r="E588" s="16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4"/>
      <c r="W588" s="2"/>
      <c r="X588" s="2"/>
      <c r="Y588" s="4"/>
      <c r="Z588" s="2"/>
      <c r="AA588" s="2"/>
      <c r="AB588" s="2"/>
      <c r="AC588" s="4"/>
      <c r="AD588" s="2"/>
      <c r="AE588" s="2"/>
      <c r="AF588" s="2"/>
      <c r="AG588" s="2"/>
      <c r="AH588" s="2"/>
      <c r="AI588" s="2"/>
      <c r="AJ588" s="2"/>
      <c r="AK588" s="2"/>
    </row>
    <row r="589" spans="1:37" ht="14.25" customHeight="1">
      <c r="A589" s="2"/>
      <c r="B589" s="2"/>
      <c r="C589" s="2"/>
      <c r="D589" s="2"/>
      <c r="E589" s="16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4"/>
      <c r="W589" s="2"/>
      <c r="X589" s="2"/>
      <c r="Y589" s="4"/>
      <c r="Z589" s="2"/>
      <c r="AA589" s="2"/>
      <c r="AB589" s="2"/>
      <c r="AC589" s="4"/>
      <c r="AD589" s="2"/>
      <c r="AE589" s="2"/>
      <c r="AF589" s="2"/>
      <c r="AG589" s="2"/>
      <c r="AH589" s="2"/>
      <c r="AI589" s="2"/>
      <c r="AJ589" s="2"/>
      <c r="AK589" s="2"/>
    </row>
    <row r="590" spans="1:37" ht="14.25" customHeight="1">
      <c r="A590" s="2"/>
      <c r="B590" s="2"/>
      <c r="C590" s="2"/>
      <c r="D590" s="2"/>
      <c r="E590" s="16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4"/>
      <c r="W590" s="2"/>
      <c r="X590" s="2"/>
      <c r="Y590" s="4"/>
      <c r="Z590" s="2"/>
      <c r="AA590" s="2"/>
      <c r="AB590" s="2"/>
      <c r="AC590" s="4"/>
      <c r="AD590" s="2"/>
      <c r="AE590" s="2"/>
      <c r="AF590" s="2"/>
      <c r="AG590" s="2"/>
      <c r="AH590" s="2"/>
      <c r="AI590" s="2"/>
      <c r="AJ590" s="2"/>
      <c r="AK590" s="2"/>
    </row>
    <row r="591" spans="1:37" ht="14.25" customHeight="1">
      <c r="A591" s="2"/>
      <c r="B591" s="2"/>
      <c r="C591" s="2"/>
      <c r="D591" s="2"/>
      <c r="E591" s="16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4"/>
      <c r="W591" s="2"/>
      <c r="X591" s="2"/>
      <c r="Y591" s="4"/>
      <c r="Z591" s="2"/>
      <c r="AA591" s="2"/>
      <c r="AB591" s="2"/>
      <c r="AC591" s="4"/>
      <c r="AD591" s="2"/>
      <c r="AE591" s="2"/>
      <c r="AF591" s="2"/>
      <c r="AG591" s="2"/>
      <c r="AH591" s="2"/>
      <c r="AI591" s="2"/>
      <c r="AJ591" s="2"/>
      <c r="AK591" s="2"/>
    </row>
    <row r="592" spans="1:37" ht="14.25" customHeight="1">
      <c r="A592" s="2"/>
      <c r="B592" s="2"/>
      <c r="C592" s="2"/>
      <c r="D592" s="2"/>
      <c r="E592" s="16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4"/>
      <c r="W592" s="2"/>
      <c r="X592" s="2"/>
      <c r="Y592" s="4"/>
      <c r="Z592" s="2"/>
      <c r="AA592" s="2"/>
      <c r="AB592" s="2"/>
      <c r="AC592" s="4"/>
      <c r="AD592" s="2"/>
      <c r="AE592" s="2"/>
      <c r="AF592" s="2"/>
      <c r="AG592" s="2"/>
      <c r="AH592" s="2"/>
      <c r="AI592" s="2"/>
      <c r="AJ592" s="2"/>
      <c r="AK592" s="2"/>
    </row>
    <row r="593" spans="1:37" ht="14.25" customHeight="1">
      <c r="A593" s="2"/>
      <c r="B593" s="2"/>
      <c r="C593" s="2"/>
      <c r="D593" s="2"/>
      <c r="E593" s="16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4"/>
      <c r="W593" s="2"/>
      <c r="X593" s="2"/>
      <c r="Y593" s="4"/>
      <c r="Z593" s="2"/>
      <c r="AA593" s="2"/>
      <c r="AB593" s="2"/>
      <c r="AC593" s="4"/>
      <c r="AD593" s="2"/>
      <c r="AE593" s="2"/>
      <c r="AF593" s="2"/>
      <c r="AG593" s="2"/>
      <c r="AH593" s="2"/>
      <c r="AI593" s="2"/>
      <c r="AJ593" s="2"/>
      <c r="AK593" s="2"/>
    </row>
    <row r="594" spans="1:37" ht="14.25" customHeight="1">
      <c r="A594" s="2"/>
      <c r="B594" s="2"/>
      <c r="C594" s="2"/>
      <c r="D594" s="2"/>
      <c r="E594" s="16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4"/>
      <c r="W594" s="2"/>
      <c r="X594" s="2"/>
      <c r="Y594" s="4"/>
      <c r="Z594" s="2"/>
      <c r="AA594" s="2"/>
      <c r="AB594" s="2"/>
      <c r="AC594" s="4"/>
      <c r="AD594" s="2"/>
      <c r="AE594" s="2"/>
      <c r="AF594" s="2"/>
      <c r="AG594" s="2"/>
      <c r="AH594" s="2"/>
      <c r="AI594" s="2"/>
      <c r="AJ594" s="2"/>
      <c r="AK594" s="2"/>
    </row>
    <row r="595" spans="1:37" ht="14.25" customHeight="1">
      <c r="A595" s="2"/>
      <c r="B595" s="2"/>
      <c r="C595" s="2"/>
      <c r="D595" s="2"/>
      <c r="E595" s="16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4"/>
      <c r="W595" s="2"/>
      <c r="X595" s="2"/>
      <c r="Y595" s="4"/>
      <c r="Z595" s="2"/>
      <c r="AA595" s="2"/>
      <c r="AB595" s="2"/>
      <c r="AC595" s="4"/>
      <c r="AD595" s="2"/>
      <c r="AE595" s="2"/>
      <c r="AF595" s="2"/>
      <c r="AG595" s="2"/>
      <c r="AH595" s="2"/>
      <c r="AI595" s="2"/>
      <c r="AJ595" s="2"/>
      <c r="AK595" s="2"/>
    </row>
    <row r="596" spans="1:37" ht="14.25" customHeight="1">
      <c r="A596" s="2"/>
      <c r="B596" s="2"/>
      <c r="C596" s="2"/>
      <c r="D596" s="2"/>
      <c r="E596" s="16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4"/>
      <c r="W596" s="2"/>
      <c r="X596" s="2"/>
      <c r="Y596" s="4"/>
      <c r="Z596" s="2"/>
      <c r="AA596" s="2"/>
      <c r="AB596" s="2"/>
      <c r="AC596" s="4"/>
      <c r="AD596" s="2"/>
      <c r="AE596" s="2"/>
      <c r="AF596" s="2"/>
      <c r="AG596" s="2"/>
      <c r="AH596" s="2"/>
      <c r="AI596" s="2"/>
      <c r="AJ596" s="2"/>
      <c r="AK596" s="2"/>
    </row>
    <row r="597" spans="1:37" ht="14.25" customHeight="1">
      <c r="A597" s="2"/>
      <c r="B597" s="2"/>
      <c r="C597" s="2"/>
      <c r="D597" s="2"/>
      <c r="E597" s="16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4"/>
      <c r="W597" s="2"/>
      <c r="X597" s="2"/>
      <c r="Y597" s="4"/>
      <c r="Z597" s="2"/>
      <c r="AA597" s="2"/>
      <c r="AB597" s="2"/>
      <c r="AC597" s="4"/>
      <c r="AD597" s="2"/>
      <c r="AE597" s="2"/>
      <c r="AF597" s="2"/>
      <c r="AG597" s="2"/>
      <c r="AH597" s="2"/>
      <c r="AI597" s="2"/>
      <c r="AJ597" s="2"/>
      <c r="AK597" s="2"/>
    </row>
    <row r="598" spans="1:37" ht="14.25" customHeight="1">
      <c r="A598" s="2"/>
      <c r="B598" s="2"/>
      <c r="C598" s="2"/>
      <c r="D598" s="2"/>
      <c r="E598" s="16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4"/>
      <c r="W598" s="2"/>
      <c r="X598" s="2"/>
      <c r="Y598" s="4"/>
      <c r="Z598" s="2"/>
      <c r="AA598" s="2"/>
      <c r="AB598" s="2"/>
      <c r="AC598" s="4"/>
      <c r="AD598" s="2"/>
      <c r="AE598" s="2"/>
      <c r="AF598" s="2"/>
      <c r="AG598" s="2"/>
      <c r="AH598" s="2"/>
      <c r="AI598" s="2"/>
      <c r="AJ598" s="2"/>
      <c r="AK598" s="2"/>
    </row>
    <row r="599" spans="1:37" ht="14.25" customHeight="1">
      <c r="A599" s="2"/>
      <c r="B599" s="2"/>
      <c r="C599" s="2"/>
      <c r="D599" s="2"/>
      <c r="E599" s="16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4"/>
      <c r="W599" s="2"/>
      <c r="X599" s="2"/>
      <c r="Y599" s="4"/>
      <c r="Z599" s="2"/>
      <c r="AA599" s="2"/>
      <c r="AB599" s="2"/>
      <c r="AC599" s="4"/>
      <c r="AD599" s="2"/>
      <c r="AE599" s="2"/>
      <c r="AF599" s="2"/>
      <c r="AG599" s="2"/>
      <c r="AH599" s="2"/>
      <c r="AI599" s="2"/>
      <c r="AJ599" s="2"/>
      <c r="AK599" s="2"/>
    </row>
    <row r="600" spans="1:37" ht="14.25" customHeight="1">
      <c r="A600" s="2"/>
      <c r="B600" s="2"/>
      <c r="C600" s="2"/>
      <c r="D600" s="2"/>
      <c r="E600" s="16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4"/>
      <c r="W600" s="2"/>
      <c r="X600" s="2"/>
      <c r="Y600" s="4"/>
      <c r="Z600" s="2"/>
      <c r="AA600" s="2"/>
      <c r="AB600" s="2"/>
      <c r="AC600" s="4"/>
      <c r="AD600" s="2"/>
      <c r="AE600" s="2"/>
      <c r="AF600" s="2"/>
      <c r="AG600" s="2"/>
      <c r="AH600" s="2"/>
      <c r="AI600" s="2"/>
      <c r="AJ600" s="2"/>
      <c r="AK600" s="2"/>
    </row>
    <row r="601" spans="1:37" ht="14.25" customHeight="1">
      <c r="A601" s="2"/>
      <c r="B601" s="2"/>
      <c r="C601" s="2"/>
      <c r="D601" s="2"/>
      <c r="E601" s="16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4"/>
      <c r="W601" s="2"/>
      <c r="X601" s="2"/>
      <c r="Y601" s="4"/>
      <c r="Z601" s="2"/>
      <c r="AA601" s="2"/>
      <c r="AB601" s="2"/>
      <c r="AC601" s="4"/>
      <c r="AD601" s="2"/>
      <c r="AE601" s="2"/>
      <c r="AF601" s="2"/>
      <c r="AG601" s="2"/>
      <c r="AH601" s="2"/>
      <c r="AI601" s="2"/>
      <c r="AJ601" s="2"/>
      <c r="AK601" s="2"/>
    </row>
    <row r="602" spans="1:37" ht="14.25" customHeight="1">
      <c r="A602" s="2"/>
      <c r="B602" s="2"/>
      <c r="C602" s="2"/>
      <c r="D602" s="2"/>
      <c r="E602" s="16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4"/>
      <c r="W602" s="2"/>
      <c r="X602" s="2"/>
      <c r="Y602" s="4"/>
      <c r="Z602" s="2"/>
      <c r="AA602" s="2"/>
      <c r="AB602" s="2"/>
      <c r="AC602" s="4"/>
      <c r="AD602" s="2"/>
      <c r="AE602" s="2"/>
      <c r="AF602" s="2"/>
      <c r="AG602" s="2"/>
      <c r="AH602" s="2"/>
      <c r="AI602" s="2"/>
      <c r="AJ602" s="2"/>
      <c r="AK602" s="2"/>
    </row>
    <row r="603" spans="1:37" ht="14.25" customHeight="1">
      <c r="A603" s="2"/>
      <c r="B603" s="2"/>
      <c r="C603" s="2"/>
      <c r="D603" s="2"/>
      <c r="E603" s="16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4"/>
      <c r="W603" s="2"/>
      <c r="X603" s="2"/>
      <c r="Y603" s="4"/>
      <c r="Z603" s="2"/>
      <c r="AA603" s="2"/>
      <c r="AB603" s="2"/>
      <c r="AC603" s="4"/>
      <c r="AD603" s="2"/>
      <c r="AE603" s="2"/>
      <c r="AF603" s="2"/>
      <c r="AG603" s="2"/>
      <c r="AH603" s="2"/>
      <c r="AI603" s="2"/>
      <c r="AJ603" s="2"/>
      <c r="AK603" s="2"/>
    </row>
    <row r="604" spans="1:37" ht="14.25" customHeight="1">
      <c r="A604" s="2"/>
      <c r="B604" s="2"/>
      <c r="C604" s="2"/>
      <c r="D604" s="2"/>
      <c r="E604" s="16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4"/>
      <c r="W604" s="2"/>
      <c r="X604" s="2"/>
      <c r="Y604" s="4"/>
      <c r="Z604" s="2"/>
      <c r="AA604" s="2"/>
      <c r="AB604" s="2"/>
      <c r="AC604" s="4"/>
      <c r="AD604" s="2"/>
      <c r="AE604" s="2"/>
      <c r="AF604" s="2"/>
      <c r="AG604" s="2"/>
      <c r="AH604" s="2"/>
      <c r="AI604" s="2"/>
      <c r="AJ604" s="2"/>
      <c r="AK604" s="2"/>
    </row>
    <row r="605" spans="1:37" ht="14.25" customHeight="1">
      <c r="A605" s="2"/>
      <c r="B605" s="2"/>
      <c r="C605" s="2"/>
      <c r="D605" s="2"/>
      <c r="E605" s="16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4"/>
      <c r="W605" s="2"/>
      <c r="X605" s="2"/>
      <c r="Y605" s="4"/>
      <c r="Z605" s="2"/>
      <c r="AA605" s="2"/>
      <c r="AB605" s="2"/>
      <c r="AC605" s="4"/>
      <c r="AD605" s="2"/>
      <c r="AE605" s="2"/>
      <c r="AF605" s="2"/>
      <c r="AG605" s="2"/>
      <c r="AH605" s="2"/>
      <c r="AI605" s="2"/>
      <c r="AJ605" s="2"/>
      <c r="AK605" s="2"/>
    </row>
    <row r="606" spans="1:37" ht="14.25" customHeight="1">
      <c r="A606" s="2"/>
      <c r="B606" s="2"/>
      <c r="C606" s="2"/>
      <c r="D606" s="2"/>
      <c r="E606" s="16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4"/>
      <c r="W606" s="2"/>
      <c r="X606" s="2"/>
      <c r="Y606" s="4"/>
      <c r="Z606" s="2"/>
      <c r="AA606" s="2"/>
      <c r="AB606" s="2"/>
      <c r="AC606" s="4"/>
      <c r="AD606" s="2"/>
      <c r="AE606" s="2"/>
      <c r="AF606" s="2"/>
      <c r="AG606" s="2"/>
      <c r="AH606" s="2"/>
      <c r="AI606" s="2"/>
      <c r="AJ606" s="2"/>
      <c r="AK606" s="2"/>
    </row>
    <row r="607" spans="1:37" ht="14.25" customHeight="1">
      <c r="A607" s="2"/>
      <c r="B607" s="2"/>
      <c r="C607" s="2"/>
      <c r="D607" s="2"/>
      <c r="E607" s="16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4"/>
      <c r="W607" s="2"/>
      <c r="X607" s="2"/>
      <c r="Y607" s="4"/>
      <c r="Z607" s="2"/>
      <c r="AA607" s="2"/>
      <c r="AB607" s="2"/>
      <c r="AC607" s="4"/>
      <c r="AD607" s="2"/>
      <c r="AE607" s="2"/>
      <c r="AF607" s="2"/>
      <c r="AG607" s="2"/>
      <c r="AH607" s="2"/>
      <c r="AI607" s="2"/>
      <c r="AJ607" s="2"/>
      <c r="AK607" s="2"/>
    </row>
    <row r="608" spans="1:37" ht="14.25" customHeight="1">
      <c r="A608" s="2"/>
      <c r="B608" s="2"/>
      <c r="C608" s="2"/>
      <c r="D608" s="2"/>
      <c r="E608" s="16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4"/>
      <c r="W608" s="2"/>
      <c r="X608" s="2"/>
      <c r="Y608" s="4"/>
      <c r="Z608" s="2"/>
      <c r="AA608" s="2"/>
      <c r="AB608" s="2"/>
      <c r="AC608" s="4"/>
      <c r="AD608" s="2"/>
      <c r="AE608" s="2"/>
      <c r="AF608" s="2"/>
      <c r="AG608" s="2"/>
      <c r="AH608" s="2"/>
      <c r="AI608" s="2"/>
      <c r="AJ608" s="2"/>
      <c r="AK608" s="2"/>
    </row>
    <row r="609" spans="1:37" ht="14.25" customHeight="1">
      <c r="A609" s="2"/>
      <c r="B609" s="2"/>
      <c r="C609" s="2"/>
      <c r="D609" s="2"/>
      <c r="E609" s="16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4"/>
      <c r="W609" s="2"/>
      <c r="X609" s="2"/>
      <c r="Y609" s="4"/>
      <c r="Z609" s="2"/>
      <c r="AA609" s="2"/>
      <c r="AB609" s="2"/>
      <c r="AC609" s="4"/>
      <c r="AD609" s="2"/>
      <c r="AE609" s="2"/>
      <c r="AF609" s="2"/>
      <c r="AG609" s="2"/>
      <c r="AH609" s="2"/>
      <c r="AI609" s="2"/>
      <c r="AJ609" s="2"/>
      <c r="AK609" s="2"/>
    </row>
    <row r="610" spans="1:37" ht="14.25" customHeight="1">
      <c r="A610" s="2"/>
      <c r="B610" s="2"/>
      <c r="C610" s="2"/>
      <c r="D610" s="2"/>
      <c r="E610" s="16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4"/>
      <c r="W610" s="2"/>
      <c r="X610" s="2"/>
      <c r="Y610" s="4"/>
      <c r="Z610" s="2"/>
      <c r="AA610" s="2"/>
      <c r="AB610" s="2"/>
      <c r="AC610" s="4"/>
      <c r="AD610" s="2"/>
      <c r="AE610" s="2"/>
      <c r="AF610" s="2"/>
      <c r="AG610" s="2"/>
      <c r="AH610" s="2"/>
      <c r="AI610" s="2"/>
      <c r="AJ610" s="2"/>
      <c r="AK610" s="2"/>
    </row>
    <row r="611" spans="1:37" ht="14.25" customHeight="1">
      <c r="A611" s="2"/>
      <c r="B611" s="2"/>
      <c r="C611" s="2"/>
      <c r="D611" s="2"/>
      <c r="E611" s="16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4"/>
      <c r="W611" s="2"/>
      <c r="X611" s="2"/>
      <c r="Y611" s="4"/>
      <c r="Z611" s="2"/>
      <c r="AA611" s="2"/>
      <c r="AB611" s="2"/>
      <c r="AC611" s="4"/>
      <c r="AD611" s="2"/>
      <c r="AE611" s="2"/>
      <c r="AF611" s="2"/>
      <c r="AG611" s="2"/>
      <c r="AH611" s="2"/>
      <c r="AI611" s="2"/>
      <c r="AJ611" s="2"/>
      <c r="AK611" s="2"/>
    </row>
    <row r="612" spans="1:37" ht="14.25" customHeight="1">
      <c r="A612" s="2"/>
      <c r="B612" s="2"/>
      <c r="C612" s="2"/>
      <c r="D612" s="2"/>
      <c r="E612" s="16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4"/>
      <c r="W612" s="2"/>
      <c r="X612" s="2"/>
      <c r="Y612" s="4"/>
      <c r="Z612" s="2"/>
      <c r="AA612" s="2"/>
      <c r="AB612" s="2"/>
      <c r="AC612" s="4"/>
      <c r="AD612" s="2"/>
      <c r="AE612" s="2"/>
      <c r="AF612" s="2"/>
      <c r="AG612" s="2"/>
      <c r="AH612" s="2"/>
      <c r="AI612" s="2"/>
      <c r="AJ612" s="2"/>
      <c r="AK612" s="2"/>
    </row>
    <row r="613" spans="1:37" ht="14.25" customHeight="1">
      <c r="A613" s="2"/>
      <c r="B613" s="2"/>
      <c r="C613" s="2"/>
      <c r="D613" s="2"/>
      <c r="E613" s="16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4"/>
      <c r="W613" s="2"/>
      <c r="X613" s="2"/>
      <c r="Y613" s="4"/>
      <c r="Z613" s="2"/>
      <c r="AA613" s="2"/>
      <c r="AB613" s="2"/>
      <c r="AC613" s="4"/>
      <c r="AD613" s="2"/>
      <c r="AE613" s="2"/>
      <c r="AF613" s="2"/>
      <c r="AG613" s="2"/>
      <c r="AH613" s="2"/>
      <c r="AI613" s="2"/>
      <c r="AJ613" s="2"/>
      <c r="AK613" s="2"/>
    </row>
    <row r="614" spans="1:37" ht="14.25" customHeight="1">
      <c r="A614" s="2"/>
      <c r="B614" s="2"/>
      <c r="C614" s="2"/>
      <c r="D614" s="2"/>
      <c r="E614" s="16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4"/>
      <c r="W614" s="2"/>
      <c r="X614" s="2"/>
      <c r="Y614" s="4"/>
      <c r="Z614" s="2"/>
      <c r="AA614" s="2"/>
      <c r="AB614" s="2"/>
      <c r="AC614" s="4"/>
      <c r="AD614" s="2"/>
      <c r="AE614" s="2"/>
      <c r="AF614" s="2"/>
      <c r="AG614" s="2"/>
      <c r="AH614" s="2"/>
      <c r="AI614" s="2"/>
      <c r="AJ614" s="2"/>
      <c r="AK614" s="2"/>
    </row>
    <row r="615" spans="1:37" ht="14.25" customHeight="1">
      <c r="A615" s="2"/>
      <c r="B615" s="2"/>
      <c r="C615" s="2"/>
      <c r="D615" s="2"/>
      <c r="E615" s="16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4"/>
      <c r="W615" s="2"/>
      <c r="X615" s="2"/>
      <c r="Y615" s="4"/>
      <c r="Z615" s="2"/>
      <c r="AA615" s="2"/>
      <c r="AB615" s="2"/>
      <c r="AC615" s="4"/>
      <c r="AD615" s="2"/>
      <c r="AE615" s="2"/>
      <c r="AF615" s="2"/>
      <c r="AG615" s="2"/>
      <c r="AH615" s="2"/>
      <c r="AI615" s="2"/>
      <c r="AJ615" s="2"/>
      <c r="AK615" s="2"/>
    </row>
    <row r="616" spans="1:37" ht="14.25" customHeight="1">
      <c r="A616" s="2"/>
      <c r="B616" s="2"/>
      <c r="C616" s="2"/>
      <c r="D616" s="2"/>
      <c r="E616" s="16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4"/>
      <c r="W616" s="2"/>
      <c r="X616" s="2"/>
      <c r="Y616" s="4"/>
      <c r="Z616" s="2"/>
      <c r="AA616" s="2"/>
      <c r="AB616" s="2"/>
      <c r="AC616" s="4"/>
      <c r="AD616" s="2"/>
      <c r="AE616" s="2"/>
      <c r="AF616" s="2"/>
      <c r="AG616" s="2"/>
      <c r="AH616" s="2"/>
      <c r="AI616" s="2"/>
      <c r="AJ616" s="2"/>
      <c r="AK616" s="2"/>
    </row>
    <row r="617" spans="1:37" ht="14.25" customHeight="1">
      <c r="A617" s="2"/>
      <c r="B617" s="2"/>
      <c r="C617" s="2"/>
      <c r="D617" s="2"/>
      <c r="E617" s="16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4"/>
      <c r="W617" s="2"/>
      <c r="X617" s="2"/>
      <c r="Y617" s="4"/>
      <c r="Z617" s="2"/>
      <c r="AA617" s="2"/>
      <c r="AB617" s="2"/>
      <c r="AC617" s="4"/>
      <c r="AD617" s="2"/>
      <c r="AE617" s="2"/>
      <c r="AF617" s="2"/>
      <c r="AG617" s="2"/>
      <c r="AH617" s="2"/>
      <c r="AI617" s="2"/>
      <c r="AJ617" s="2"/>
      <c r="AK617" s="2"/>
    </row>
    <row r="618" spans="1:37" ht="14.25" customHeight="1">
      <c r="A618" s="2"/>
      <c r="B618" s="2"/>
      <c r="C618" s="2"/>
      <c r="D618" s="2"/>
      <c r="E618" s="16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4"/>
      <c r="W618" s="2"/>
      <c r="X618" s="2"/>
      <c r="Y618" s="4"/>
      <c r="Z618" s="2"/>
      <c r="AA618" s="2"/>
      <c r="AB618" s="2"/>
      <c r="AC618" s="4"/>
      <c r="AD618" s="2"/>
      <c r="AE618" s="2"/>
      <c r="AF618" s="2"/>
      <c r="AG618" s="2"/>
      <c r="AH618" s="2"/>
      <c r="AI618" s="2"/>
      <c r="AJ618" s="2"/>
      <c r="AK618" s="2"/>
    </row>
    <row r="619" spans="1:37" ht="14.25" customHeight="1">
      <c r="A619" s="2"/>
      <c r="B619" s="2"/>
      <c r="C619" s="2"/>
      <c r="D619" s="2"/>
      <c r="E619" s="16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4"/>
      <c r="W619" s="2"/>
      <c r="X619" s="2"/>
      <c r="Y619" s="4"/>
      <c r="Z619" s="2"/>
      <c r="AA619" s="2"/>
      <c r="AB619" s="2"/>
      <c r="AC619" s="4"/>
      <c r="AD619" s="2"/>
      <c r="AE619" s="2"/>
      <c r="AF619" s="2"/>
      <c r="AG619" s="2"/>
      <c r="AH619" s="2"/>
      <c r="AI619" s="2"/>
      <c r="AJ619" s="2"/>
      <c r="AK619" s="2"/>
    </row>
    <row r="620" spans="1:37" ht="14.25" customHeight="1">
      <c r="A620" s="2"/>
      <c r="B620" s="2"/>
      <c r="C620" s="2"/>
      <c r="D620" s="2"/>
      <c r="E620" s="16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4"/>
      <c r="W620" s="2"/>
      <c r="X620" s="2"/>
      <c r="Y620" s="4"/>
      <c r="Z620" s="2"/>
      <c r="AA620" s="2"/>
      <c r="AB620" s="2"/>
      <c r="AC620" s="4"/>
      <c r="AD620" s="2"/>
      <c r="AE620" s="2"/>
      <c r="AF620" s="2"/>
      <c r="AG620" s="2"/>
      <c r="AH620" s="2"/>
      <c r="AI620" s="2"/>
      <c r="AJ620" s="2"/>
      <c r="AK620" s="2"/>
    </row>
    <row r="621" spans="1:37" ht="14.25" customHeight="1">
      <c r="A621" s="2"/>
      <c r="B621" s="2"/>
      <c r="C621" s="2"/>
      <c r="D621" s="2"/>
      <c r="E621" s="16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4"/>
      <c r="W621" s="2"/>
      <c r="X621" s="2"/>
      <c r="Y621" s="4"/>
      <c r="Z621" s="2"/>
      <c r="AA621" s="2"/>
      <c r="AB621" s="2"/>
      <c r="AC621" s="4"/>
      <c r="AD621" s="2"/>
      <c r="AE621" s="2"/>
      <c r="AF621" s="2"/>
      <c r="AG621" s="2"/>
      <c r="AH621" s="2"/>
      <c r="AI621" s="2"/>
      <c r="AJ621" s="2"/>
      <c r="AK621" s="2"/>
    </row>
    <row r="622" spans="1:37" ht="14.25" customHeight="1">
      <c r="A622" s="2"/>
      <c r="B622" s="2"/>
      <c r="C622" s="2"/>
      <c r="D622" s="2"/>
      <c r="E622" s="16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4"/>
      <c r="W622" s="2"/>
      <c r="X622" s="2"/>
      <c r="Y622" s="4"/>
      <c r="Z622" s="2"/>
      <c r="AA622" s="2"/>
      <c r="AB622" s="2"/>
      <c r="AC622" s="4"/>
      <c r="AD622" s="2"/>
      <c r="AE622" s="2"/>
      <c r="AF622" s="2"/>
      <c r="AG622" s="2"/>
      <c r="AH622" s="2"/>
      <c r="AI622" s="2"/>
      <c r="AJ622" s="2"/>
      <c r="AK622" s="2"/>
    </row>
    <row r="623" spans="1:37" ht="14.25" customHeight="1">
      <c r="A623" s="2"/>
      <c r="B623" s="2"/>
      <c r="C623" s="2"/>
      <c r="D623" s="2"/>
      <c r="E623" s="16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4"/>
      <c r="W623" s="2"/>
      <c r="X623" s="2"/>
      <c r="Y623" s="4"/>
      <c r="Z623" s="2"/>
      <c r="AA623" s="2"/>
      <c r="AB623" s="2"/>
      <c r="AC623" s="4"/>
      <c r="AD623" s="2"/>
      <c r="AE623" s="2"/>
      <c r="AF623" s="2"/>
      <c r="AG623" s="2"/>
      <c r="AH623" s="2"/>
      <c r="AI623" s="2"/>
      <c r="AJ623" s="2"/>
      <c r="AK623" s="2"/>
    </row>
    <row r="624" spans="1:37" ht="14.25" customHeight="1">
      <c r="A624" s="2"/>
      <c r="B624" s="2"/>
      <c r="C624" s="2"/>
      <c r="D624" s="2"/>
      <c r="E624" s="16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4"/>
      <c r="W624" s="2"/>
      <c r="X624" s="2"/>
      <c r="Y624" s="4"/>
      <c r="Z624" s="2"/>
      <c r="AA624" s="2"/>
      <c r="AB624" s="2"/>
      <c r="AC624" s="4"/>
      <c r="AD624" s="2"/>
      <c r="AE624" s="2"/>
      <c r="AF624" s="2"/>
      <c r="AG624" s="2"/>
      <c r="AH624" s="2"/>
      <c r="AI624" s="2"/>
      <c r="AJ624" s="2"/>
      <c r="AK624" s="2"/>
    </row>
    <row r="625" spans="1:37" ht="14.25" customHeight="1">
      <c r="A625" s="2"/>
      <c r="B625" s="2"/>
      <c r="C625" s="2"/>
      <c r="D625" s="2"/>
      <c r="E625" s="16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4"/>
      <c r="W625" s="2"/>
      <c r="X625" s="2"/>
      <c r="Y625" s="4"/>
      <c r="Z625" s="2"/>
      <c r="AA625" s="2"/>
      <c r="AB625" s="2"/>
      <c r="AC625" s="4"/>
      <c r="AD625" s="2"/>
      <c r="AE625" s="2"/>
      <c r="AF625" s="2"/>
      <c r="AG625" s="2"/>
      <c r="AH625" s="2"/>
      <c r="AI625" s="2"/>
      <c r="AJ625" s="2"/>
      <c r="AK625" s="2"/>
    </row>
    <row r="626" spans="1:37" ht="14.25" customHeight="1">
      <c r="A626" s="2"/>
      <c r="B626" s="2"/>
      <c r="C626" s="2"/>
      <c r="D626" s="2"/>
      <c r="E626" s="16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4"/>
      <c r="W626" s="2"/>
      <c r="X626" s="2"/>
      <c r="Y626" s="4"/>
      <c r="Z626" s="2"/>
      <c r="AA626" s="2"/>
      <c r="AB626" s="2"/>
      <c r="AC626" s="4"/>
      <c r="AD626" s="2"/>
      <c r="AE626" s="2"/>
      <c r="AF626" s="2"/>
      <c r="AG626" s="2"/>
      <c r="AH626" s="2"/>
      <c r="AI626" s="2"/>
      <c r="AJ626" s="2"/>
      <c r="AK626" s="2"/>
    </row>
    <row r="627" spans="1:37" ht="14.25" customHeight="1">
      <c r="A627" s="2"/>
      <c r="B627" s="2"/>
      <c r="C627" s="2"/>
      <c r="D627" s="2"/>
      <c r="E627" s="16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4"/>
      <c r="W627" s="2"/>
      <c r="X627" s="2"/>
      <c r="Y627" s="4"/>
      <c r="Z627" s="2"/>
      <c r="AA627" s="2"/>
      <c r="AB627" s="2"/>
      <c r="AC627" s="4"/>
      <c r="AD627" s="2"/>
      <c r="AE627" s="2"/>
      <c r="AF627" s="2"/>
      <c r="AG627" s="2"/>
      <c r="AH627" s="2"/>
      <c r="AI627" s="2"/>
      <c r="AJ627" s="2"/>
      <c r="AK627" s="2"/>
    </row>
    <row r="628" spans="1:37" ht="14.25" customHeight="1">
      <c r="A628" s="2"/>
      <c r="B628" s="2"/>
      <c r="C628" s="2"/>
      <c r="D628" s="2"/>
      <c r="E628" s="16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4"/>
      <c r="W628" s="2"/>
      <c r="X628" s="2"/>
      <c r="Y628" s="4"/>
      <c r="Z628" s="2"/>
      <c r="AA628" s="2"/>
      <c r="AB628" s="2"/>
      <c r="AC628" s="4"/>
      <c r="AD628" s="2"/>
      <c r="AE628" s="2"/>
      <c r="AF628" s="2"/>
      <c r="AG628" s="2"/>
      <c r="AH628" s="2"/>
      <c r="AI628" s="2"/>
      <c r="AJ628" s="2"/>
      <c r="AK628" s="2"/>
    </row>
    <row r="629" spans="1:37" ht="14.25" customHeight="1">
      <c r="A629" s="2"/>
      <c r="B629" s="2"/>
      <c r="C629" s="2"/>
      <c r="D629" s="2"/>
      <c r="E629" s="16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4"/>
      <c r="W629" s="2"/>
      <c r="X629" s="2"/>
      <c r="Y629" s="4"/>
      <c r="Z629" s="2"/>
      <c r="AA629" s="2"/>
      <c r="AB629" s="2"/>
      <c r="AC629" s="4"/>
      <c r="AD629" s="2"/>
      <c r="AE629" s="2"/>
      <c r="AF629" s="2"/>
      <c r="AG629" s="2"/>
      <c r="AH629" s="2"/>
      <c r="AI629" s="2"/>
      <c r="AJ629" s="2"/>
      <c r="AK629" s="2"/>
    </row>
    <row r="630" spans="1:37" ht="14.25" customHeight="1">
      <c r="A630" s="2"/>
      <c r="B630" s="2"/>
      <c r="C630" s="2"/>
      <c r="D630" s="2"/>
      <c r="E630" s="16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4"/>
      <c r="W630" s="2"/>
      <c r="X630" s="2"/>
      <c r="Y630" s="4"/>
      <c r="Z630" s="2"/>
      <c r="AA630" s="2"/>
      <c r="AB630" s="2"/>
      <c r="AC630" s="4"/>
      <c r="AD630" s="2"/>
      <c r="AE630" s="2"/>
      <c r="AF630" s="2"/>
      <c r="AG630" s="2"/>
      <c r="AH630" s="2"/>
      <c r="AI630" s="2"/>
      <c r="AJ630" s="2"/>
      <c r="AK630" s="2"/>
    </row>
    <row r="631" spans="1:37" ht="14.25" customHeight="1">
      <c r="A631" s="2"/>
      <c r="B631" s="2"/>
      <c r="C631" s="2"/>
      <c r="D631" s="2"/>
      <c r="E631" s="16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4"/>
      <c r="W631" s="2"/>
      <c r="X631" s="2"/>
      <c r="Y631" s="4"/>
      <c r="Z631" s="2"/>
      <c r="AA631" s="2"/>
      <c r="AB631" s="2"/>
      <c r="AC631" s="4"/>
      <c r="AD631" s="2"/>
      <c r="AE631" s="2"/>
      <c r="AF631" s="2"/>
      <c r="AG631" s="2"/>
      <c r="AH631" s="2"/>
      <c r="AI631" s="2"/>
      <c r="AJ631" s="2"/>
      <c r="AK631" s="2"/>
    </row>
    <row r="632" spans="1:37" ht="14.25" customHeight="1">
      <c r="A632" s="2"/>
      <c r="B632" s="2"/>
      <c r="C632" s="2"/>
      <c r="D632" s="2"/>
      <c r="E632" s="16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4"/>
      <c r="W632" s="2"/>
      <c r="X632" s="2"/>
      <c r="Y632" s="4"/>
      <c r="Z632" s="2"/>
      <c r="AA632" s="2"/>
      <c r="AB632" s="2"/>
      <c r="AC632" s="4"/>
      <c r="AD632" s="2"/>
      <c r="AE632" s="2"/>
      <c r="AF632" s="2"/>
      <c r="AG632" s="2"/>
      <c r="AH632" s="2"/>
      <c r="AI632" s="2"/>
      <c r="AJ632" s="2"/>
      <c r="AK632" s="2"/>
    </row>
    <row r="633" spans="1:37" ht="14.25" customHeight="1">
      <c r="A633" s="2"/>
      <c r="B633" s="2"/>
      <c r="C633" s="2"/>
      <c r="D633" s="2"/>
      <c r="E633" s="16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4"/>
      <c r="W633" s="2"/>
      <c r="X633" s="2"/>
      <c r="Y633" s="4"/>
      <c r="Z633" s="2"/>
      <c r="AA633" s="2"/>
      <c r="AB633" s="2"/>
      <c r="AC633" s="4"/>
      <c r="AD633" s="2"/>
      <c r="AE633" s="2"/>
      <c r="AF633" s="2"/>
      <c r="AG633" s="2"/>
      <c r="AH633" s="2"/>
      <c r="AI633" s="2"/>
      <c r="AJ633" s="2"/>
      <c r="AK633" s="2"/>
    </row>
    <row r="634" spans="1:37" ht="14.25" customHeight="1">
      <c r="A634" s="2"/>
      <c r="B634" s="2"/>
      <c r="C634" s="2"/>
      <c r="D634" s="2"/>
      <c r="E634" s="16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4"/>
      <c r="W634" s="2"/>
      <c r="X634" s="2"/>
      <c r="Y634" s="4"/>
      <c r="Z634" s="2"/>
      <c r="AA634" s="2"/>
      <c r="AB634" s="2"/>
      <c r="AC634" s="4"/>
      <c r="AD634" s="2"/>
      <c r="AE634" s="2"/>
      <c r="AF634" s="2"/>
      <c r="AG634" s="2"/>
      <c r="AH634" s="2"/>
      <c r="AI634" s="2"/>
      <c r="AJ634" s="2"/>
      <c r="AK634" s="2"/>
    </row>
    <row r="635" spans="1:37" ht="14.25" customHeight="1">
      <c r="A635" s="2"/>
      <c r="B635" s="2"/>
      <c r="C635" s="2"/>
      <c r="D635" s="2"/>
      <c r="E635" s="16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4"/>
      <c r="W635" s="2"/>
      <c r="X635" s="2"/>
      <c r="Y635" s="4"/>
      <c r="Z635" s="2"/>
      <c r="AA635" s="2"/>
      <c r="AB635" s="2"/>
      <c r="AC635" s="4"/>
      <c r="AD635" s="2"/>
      <c r="AE635" s="2"/>
      <c r="AF635" s="2"/>
      <c r="AG635" s="2"/>
      <c r="AH635" s="2"/>
      <c r="AI635" s="2"/>
      <c r="AJ635" s="2"/>
      <c r="AK635" s="2"/>
    </row>
    <row r="636" spans="1:37" ht="14.25" customHeight="1">
      <c r="A636" s="2"/>
      <c r="B636" s="2"/>
      <c r="C636" s="2"/>
      <c r="D636" s="2"/>
      <c r="E636" s="16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4"/>
      <c r="W636" s="2"/>
      <c r="X636" s="2"/>
      <c r="Y636" s="4"/>
      <c r="Z636" s="2"/>
      <c r="AA636" s="2"/>
      <c r="AB636" s="2"/>
      <c r="AC636" s="4"/>
      <c r="AD636" s="2"/>
      <c r="AE636" s="2"/>
      <c r="AF636" s="2"/>
      <c r="AG636" s="2"/>
      <c r="AH636" s="2"/>
      <c r="AI636" s="2"/>
      <c r="AJ636" s="2"/>
      <c r="AK636" s="2"/>
    </row>
    <row r="637" spans="1:37" ht="14.25" customHeight="1">
      <c r="A637" s="2"/>
      <c r="B637" s="2"/>
      <c r="C637" s="2"/>
      <c r="D637" s="2"/>
      <c r="E637" s="16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4"/>
      <c r="W637" s="2"/>
      <c r="X637" s="2"/>
      <c r="Y637" s="4"/>
      <c r="Z637" s="2"/>
      <c r="AA637" s="2"/>
      <c r="AB637" s="2"/>
      <c r="AC637" s="4"/>
      <c r="AD637" s="2"/>
      <c r="AE637" s="2"/>
      <c r="AF637" s="2"/>
      <c r="AG637" s="2"/>
      <c r="AH637" s="2"/>
      <c r="AI637" s="2"/>
      <c r="AJ637" s="2"/>
      <c r="AK637" s="2"/>
    </row>
    <row r="638" spans="1:37" ht="14.25" customHeight="1">
      <c r="A638" s="2"/>
      <c r="B638" s="2"/>
      <c r="C638" s="2"/>
      <c r="D638" s="2"/>
      <c r="E638" s="16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4"/>
      <c r="W638" s="2"/>
      <c r="X638" s="2"/>
      <c r="Y638" s="4"/>
      <c r="Z638" s="2"/>
      <c r="AA638" s="2"/>
      <c r="AB638" s="2"/>
      <c r="AC638" s="4"/>
      <c r="AD638" s="2"/>
      <c r="AE638" s="2"/>
      <c r="AF638" s="2"/>
      <c r="AG638" s="2"/>
      <c r="AH638" s="2"/>
      <c r="AI638" s="2"/>
      <c r="AJ638" s="2"/>
      <c r="AK638" s="2"/>
    </row>
    <row r="639" spans="1:37" ht="14.25" customHeight="1">
      <c r="A639" s="2"/>
      <c r="B639" s="2"/>
      <c r="C639" s="2"/>
      <c r="D639" s="2"/>
      <c r="E639" s="16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4"/>
      <c r="W639" s="2"/>
      <c r="X639" s="2"/>
      <c r="Y639" s="4"/>
      <c r="Z639" s="2"/>
      <c r="AA639" s="2"/>
      <c r="AB639" s="2"/>
      <c r="AC639" s="4"/>
      <c r="AD639" s="2"/>
      <c r="AE639" s="2"/>
      <c r="AF639" s="2"/>
      <c r="AG639" s="2"/>
      <c r="AH639" s="2"/>
      <c r="AI639" s="2"/>
      <c r="AJ639" s="2"/>
      <c r="AK639" s="2"/>
    </row>
    <row r="640" spans="1:37" ht="14.25" customHeight="1">
      <c r="A640" s="2"/>
      <c r="B640" s="2"/>
      <c r="C640" s="2"/>
      <c r="D640" s="2"/>
      <c r="E640" s="16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4"/>
      <c r="W640" s="2"/>
      <c r="X640" s="2"/>
      <c r="Y640" s="4"/>
      <c r="Z640" s="2"/>
      <c r="AA640" s="2"/>
      <c r="AB640" s="2"/>
      <c r="AC640" s="4"/>
      <c r="AD640" s="2"/>
      <c r="AE640" s="2"/>
      <c r="AF640" s="2"/>
      <c r="AG640" s="2"/>
      <c r="AH640" s="2"/>
      <c r="AI640" s="2"/>
      <c r="AJ640" s="2"/>
      <c r="AK640" s="2"/>
    </row>
    <row r="641" spans="1:37" ht="14.25" customHeight="1">
      <c r="A641" s="2"/>
      <c r="B641" s="2"/>
      <c r="C641" s="2"/>
      <c r="D641" s="2"/>
      <c r="E641" s="16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4"/>
      <c r="W641" s="2"/>
      <c r="X641" s="2"/>
      <c r="Y641" s="4"/>
      <c r="Z641" s="2"/>
      <c r="AA641" s="2"/>
      <c r="AB641" s="2"/>
      <c r="AC641" s="4"/>
      <c r="AD641" s="2"/>
      <c r="AE641" s="2"/>
      <c r="AF641" s="2"/>
      <c r="AG641" s="2"/>
      <c r="AH641" s="2"/>
      <c r="AI641" s="2"/>
      <c r="AJ641" s="2"/>
      <c r="AK641" s="2"/>
    </row>
    <row r="642" spans="1:37" ht="14.25" customHeight="1">
      <c r="A642" s="2"/>
      <c r="B642" s="2"/>
      <c r="C642" s="2"/>
      <c r="D642" s="2"/>
      <c r="E642" s="16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4"/>
      <c r="W642" s="2"/>
      <c r="X642" s="2"/>
      <c r="Y642" s="4"/>
      <c r="Z642" s="2"/>
      <c r="AA642" s="2"/>
      <c r="AB642" s="2"/>
      <c r="AC642" s="4"/>
      <c r="AD642" s="2"/>
      <c r="AE642" s="2"/>
      <c r="AF642" s="2"/>
      <c r="AG642" s="2"/>
      <c r="AH642" s="2"/>
      <c r="AI642" s="2"/>
      <c r="AJ642" s="2"/>
      <c r="AK642" s="2"/>
    </row>
    <row r="643" spans="1:37" ht="14.25" customHeight="1">
      <c r="A643" s="2"/>
      <c r="B643" s="2"/>
      <c r="C643" s="2"/>
      <c r="D643" s="2"/>
      <c r="E643" s="16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4"/>
      <c r="W643" s="2"/>
      <c r="X643" s="2"/>
      <c r="Y643" s="4"/>
      <c r="Z643" s="2"/>
      <c r="AA643" s="2"/>
      <c r="AB643" s="2"/>
      <c r="AC643" s="4"/>
      <c r="AD643" s="2"/>
      <c r="AE643" s="2"/>
      <c r="AF643" s="2"/>
      <c r="AG643" s="2"/>
      <c r="AH643" s="2"/>
      <c r="AI643" s="2"/>
      <c r="AJ643" s="2"/>
      <c r="AK643" s="2"/>
    </row>
    <row r="644" spans="1:37" ht="14.25" customHeight="1">
      <c r="A644" s="2"/>
      <c r="B644" s="2"/>
      <c r="C644" s="2"/>
      <c r="D644" s="2"/>
      <c r="E644" s="16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4"/>
      <c r="W644" s="2"/>
      <c r="X644" s="2"/>
      <c r="Y644" s="4"/>
      <c r="Z644" s="2"/>
      <c r="AA644" s="2"/>
      <c r="AB644" s="2"/>
      <c r="AC644" s="4"/>
      <c r="AD644" s="2"/>
      <c r="AE644" s="2"/>
      <c r="AF644" s="2"/>
      <c r="AG644" s="2"/>
      <c r="AH644" s="2"/>
      <c r="AI644" s="2"/>
      <c r="AJ644" s="2"/>
      <c r="AK644" s="2"/>
    </row>
    <row r="645" spans="1:37" ht="14.25" customHeight="1">
      <c r="A645" s="2"/>
      <c r="B645" s="2"/>
      <c r="C645" s="2"/>
      <c r="D645" s="2"/>
      <c r="E645" s="16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4"/>
      <c r="W645" s="2"/>
      <c r="X645" s="2"/>
      <c r="Y645" s="4"/>
      <c r="Z645" s="2"/>
      <c r="AA645" s="2"/>
      <c r="AB645" s="2"/>
      <c r="AC645" s="4"/>
      <c r="AD645" s="2"/>
      <c r="AE645" s="2"/>
      <c r="AF645" s="2"/>
      <c r="AG645" s="2"/>
      <c r="AH645" s="2"/>
      <c r="AI645" s="2"/>
      <c r="AJ645" s="2"/>
      <c r="AK645" s="2"/>
    </row>
    <row r="646" spans="1:37" ht="14.25" customHeight="1">
      <c r="A646" s="2"/>
      <c r="B646" s="2"/>
      <c r="C646" s="2"/>
      <c r="D646" s="2"/>
      <c r="E646" s="16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4"/>
      <c r="W646" s="2"/>
      <c r="X646" s="2"/>
      <c r="Y646" s="4"/>
      <c r="Z646" s="2"/>
      <c r="AA646" s="2"/>
      <c r="AB646" s="2"/>
      <c r="AC646" s="4"/>
      <c r="AD646" s="2"/>
      <c r="AE646" s="2"/>
      <c r="AF646" s="2"/>
      <c r="AG646" s="2"/>
      <c r="AH646" s="2"/>
      <c r="AI646" s="2"/>
      <c r="AJ646" s="2"/>
      <c r="AK646" s="2"/>
    </row>
    <row r="647" spans="1:37" ht="14.25" customHeight="1">
      <c r="A647" s="2"/>
      <c r="B647" s="2"/>
      <c r="C647" s="2"/>
      <c r="D647" s="2"/>
      <c r="E647" s="16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4"/>
      <c r="W647" s="2"/>
      <c r="X647" s="2"/>
      <c r="Y647" s="4"/>
      <c r="Z647" s="2"/>
      <c r="AA647" s="2"/>
      <c r="AB647" s="2"/>
      <c r="AC647" s="4"/>
      <c r="AD647" s="2"/>
      <c r="AE647" s="2"/>
      <c r="AF647" s="2"/>
      <c r="AG647" s="2"/>
      <c r="AH647" s="2"/>
      <c r="AI647" s="2"/>
      <c r="AJ647" s="2"/>
      <c r="AK647" s="2"/>
    </row>
    <row r="648" spans="1:37" ht="14.25" customHeight="1">
      <c r="A648" s="2"/>
      <c r="B648" s="2"/>
      <c r="C648" s="2"/>
      <c r="D648" s="2"/>
      <c r="E648" s="16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4"/>
      <c r="W648" s="2"/>
      <c r="X648" s="2"/>
      <c r="Y648" s="4"/>
      <c r="Z648" s="2"/>
      <c r="AA648" s="2"/>
      <c r="AB648" s="2"/>
      <c r="AC648" s="4"/>
      <c r="AD648" s="2"/>
      <c r="AE648" s="2"/>
      <c r="AF648" s="2"/>
      <c r="AG648" s="2"/>
      <c r="AH648" s="2"/>
      <c r="AI648" s="2"/>
      <c r="AJ648" s="2"/>
      <c r="AK648" s="2"/>
    </row>
    <row r="649" spans="1:37" ht="14.25" customHeight="1">
      <c r="A649" s="2"/>
      <c r="B649" s="2"/>
      <c r="C649" s="2"/>
      <c r="D649" s="2"/>
      <c r="E649" s="16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4"/>
      <c r="W649" s="2"/>
      <c r="X649" s="2"/>
      <c r="Y649" s="4"/>
      <c r="Z649" s="2"/>
      <c r="AA649" s="2"/>
      <c r="AB649" s="2"/>
      <c r="AC649" s="4"/>
      <c r="AD649" s="2"/>
      <c r="AE649" s="2"/>
      <c r="AF649" s="2"/>
      <c r="AG649" s="2"/>
      <c r="AH649" s="2"/>
      <c r="AI649" s="2"/>
      <c r="AJ649" s="2"/>
      <c r="AK649" s="2"/>
    </row>
    <row r="650" spans="1:37" ht="14.25" customHeight="1">
      <c r="A650" s="2"/>
      <c r="B650" s="2"/>
      <c r="C650" s="2"/>
      <c r="D650" s="2"/>
      <c r="E650" s="16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4"/>
      <c r="W650" s="2"/>
      <c r="X650" s="2"/>
      <c r="Y650" s="4"/>
      <c r="Z650" s="2"/>
      <c r="AA650" s="2"/>
      <c r="AB650" s="2"/>
      <c r="AC650" s="4"/>
      <c r="AD650" s="2"/>
      <c r="AE650" s="2"/>
      <c r="AF650" s="2"/>
      <c r="AG650" s="2"/>
      <c r="AH650" s="2"/>
      <c r="AI650" s="2"/>
      <c r="AJ650" s="2"/>
      <c r="AK650" s="2"/>
    </row>
    <row r="651" spans="1:37" ht="14.25" customHeight="1">
      <c r="A651" s="2"/>
      <c r="B651" s="2"/>
      <c r="C651" s="2"/>
      <c r="D651" s="2"/>
      <c r="E651" s="16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4"/>
      <c r="W651" s="2"/>
      <c r="X651" s="2"/>
      <c r="Y651" s="4"/>
      <c r="Z651" s="2"/>
      <c r="AA651" s="2"/>
      <c r="AB651" s="2"/>
      <c r="AC651" s="4"/>
      <c r="AD651" s="2"/>
      <c r="AE651" s="2"/>
      <c r="AF651" s="2"/>
      <c r="AG651" s="2"/>
      <c r="AH651" s="2"/>
      <c r="AI651" s="2"/>
      <c r="AJ651" s="2"/>
      <c r="AK651" s="2"/>
    </row>
    <row r="652" spans="1:37" ht="14.25" customHeight="1">
      <c r="A652" s="2"/>
      <c r="B652" s="2"/>
      <c r="C652" s="2"/>
      <c r="D652" s="2"/>
      <c r="E652" s="16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4"/>
      <c r="W652" s="2"/>
      <c r="X652" s="2"/>
      <c r="Y652" s="4"/>
      <c r="Z652" s="2"/>
      <c r="AA652" s="2"/>
      <c r="AB652" s="2"/>
      <c r="AC652" s="4"/>
      <c r="AD652" s="2"/>
      <c r="AE652" s="2"/>
      <c r="AF652" s="2"/>
      <c r="AG652" s="2"/>
      <c r="AH652" s="2"/>
      <c r="AI652" s="2"/>
      <c r="AJ652" s="2"/>
      <c r="AK652" s="2"/>
    </row>
    <row r="653" spans="1:37" ht="14.25" customHeight="1">
      <c r="A653" s="2"/>
      <c r="B653" s="2"/>
      <c r="C653" s="2"/>
      <c r="D653" s="2"/>
      <c r="E653" s="16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4"/>
      <c r="W653" s="2"/>
      <c r="X653" s="2"/>
      <c r="Y653" s="4"/>
      <c r="Z653" s="2"/>
      <c r="AA653" s="2"/>
      <c r="AB653" s="2"/>
      <c r="AC653" s="4"/>
      <c r="AD653" s="2"/>
      <c r="AE653" s="2"/>
      <c r="AF653" s="2"/>
      <c r="AG653" s="2"/>
      <c r="AH653" s="2"/>
      <c r="AI653" s="2"/>
      <c r="AJ653" s="2"/>
      <c r="AK653" s="2"/>
    </row>
    <row r="654" spans="1:37" ht="14.25" customHeight="1">
      <c r="A654" s="2"/>
      <c r="B654" s="2"/>
      <c r="C654" s="2"/>
      <c r="D654" s="2"/>
      <c r="E654" s="16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4"/>
      <c r="W654" s="2"/>
      <c r="X654" s="2"/>
      <c r="Y654" s="4"/>
      <c r="Z654" s="2"/>
      <c r="AA654" s="2"/>
      <c r="AB654" s="2"/>
      <c r="AC654" s="4"/>
      <c r="AD654" s="2"/>
      <c r="AE654" s="2"/>
      <c r="AF654" s="2"/>
      <c r="AG654" s="2"/>
      <c r="AH654" s="2"/>
      <c r="AI654" s="2"/>
      <c r="AJ654" s="2"/>
      <c r="AK654" s="2"/>
    </row>
    <row r="655" spans="1:37" ht="14.25" customHeight="1">
      <c r="A655" s="2"/>
      <c r="B655" s="2"/>
      <c r="C655" s="2"/>
      <c r="D655" s="2"/>
      <c r="E655" s="16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4"/>
      <c r="W655" s="2"/>
      <c r="X655" s="2"/>
      <c r="Y655" s="4"/>
      <c r="Z655" s="2"/>
      <c r="AA655" s="2"/>
      <c r="AB655" s="2"/>
      <c r="AC655" s="4"/>
      <c r="AD655" s="2"/>
      <c r="AE655" s="2"/>
      <c r="AF655" s="2"/>
      <c r="AG655" s="2"/>
      <c r="AH655" s="2"/>
      <c r="AI655" s="2"/>
      <c r="AJ655" s="2"/>
      <c r="AK655" s="2"/>
    </row>
    <row r="656" spans="1:37" ht="14.25" customHeight="1">
      <c r="A656" s="2"/>
      <c r="B656" s="2"/>
      <c r="C656" s="2"/>
      <c r="D656" s="2"/>
      <c r="E656" s="16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4"/>
      <c r="W656" s="2"/>
      <c r="X656" s="2"/>
      <c r="Y656" s="4"/>
      <c r="Z656" s="2"/>
      <c r="AA656" s="2"/>
      <c r="AB656" s="2"/>
      <c r="AC656" s="4"/>
      <c r="AD656" s="2"/>
      <c r="AE656" s="2"/>
      <c r="AF656" s="2"/>
      <c r="AG656" s="2"/>
      <c r="AH656" s="2"/>
      <c r="AI656" s="2"/>
      <c r="AJ656" s="2"/>
      <c r="AK656" s="2"/>
    </row>
    <row r="657" spans="1:37" ht="14.25" customHeight="1">
      <c r="A657" s="2"/>
      <c r="B657" s="2"/>
      <c r="C657" s="2"/>
      <c r="D657" s="2"/>
      <c r="E657" s="16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4"/>
      <c r="W657" s="2"/>
      <c r="X657" s="2"/>
      <c r="Y657" s="4"/>
      <c r="Z657" s="2"/>
      <c r="AA657" s="2"/>
      <c r="AB657" s="2"/>
      <c r="AC657" s="4"/>
      <c r="AD657" s="2"/>
      <c r="AE657" s="2"/>
      <c r="AF657" s="2"/>
      <c r="AG657" s="2"/>
      <c r="AH657" s="2"/>
      <c r="AI657" s="2"/>
      <c r="AJ657" s="2"/>
      <c r="AK657" s="2"/>
    </row>
    <row r="658" spans="1:37" ht="14.25" customHeight="1">
      <c r="A658" s="2"/>
      <c r="B658" s="2"/>
      <c r="C658" s="2"/>
      <c r="D658" s="2"/>
      <c r="E658" s="16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4"/>
      <c r="W658" s="2"/>
      <c r="X658" s="2"/>
      <c r="Y658" s="4"/>
      <c r="Z658" s="2"/>
      <c r="AA658" s="2"/>
      <c r="AB658" s="2"/>
      <c r="AC658" s="4"/>
      <c r="AD658" s="2"/>
      <c r="AE658" s="2"/>
      <c r="AF658" s="2"/>
      <c r="AG658" s="2"/>
      <c r="AH658" s="2"/>
      <c r="AI658" s="2"/>
      <c r="AJ658" s="2"/>
      <c r="AK658" s="2"/>
    </row>
    <row r="659" spans="1:37" ht="14.25" customHeight="1">
      <c r="A659" s="2"/>
      <c r="B659" s="2"/>
      <c r="C659" s="2"/>
      <c r="D659" s="2"/>
      <c r="E659" s="16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4"/>
      <c r="W659" s="2"/>
      <c r="X659" s="2"/>
      <c r="Y659" s="4"/>
      <c r="Z659" s="2"/>
      <c r="AA659" s="2"/>
      <c r="AB659" s="2"/>
      <c r="AC659" s="4"/>
      <c r="AD659" s="2"/>
      <c r="AE659" s="2"/>
      <c r="AF659" s="2"/>
      <c r="AG659" s="2"/>
      <c r="AH659" s="2"/>
      <c r="AI659" s="2"/>
      <c r="AJ659" s="2"/>
      <c r="AK659" s="2"/>
    </row>
    <row r="660" spans="1:37" ht="14.25" customHeight="1">
      <c r="A660" s="2"/>
      <c r="B660" s="2"/>
      <c r="C660" s="2"/>
      <c r="D660" s="2"/>
      <c r="E660" s="16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4"/>
      <c r="W660" s="2"/>
      <c r="X660" s="2"/>
      <c r="Y660" s="4"/>
      <c r="Z660" s="2"/>
      <c r="AA660" s="2"/>
      <c r="AB660" s="2"/>
      <c r="AC660" s="4"/>
      <c r="AD660" s="2"/>
      <c r="AE660" s="2"/>
      <c r="AF660" s="2"/>
      <c r="AG660" s="2"/>
      <c r="AH660" s="2"/>
      <c r="AI660" s="2"/>
      <c r="AJ660" s="2"/>
      <c r="AK660" s="2"/>
    </row>
    <row r="661" spans="1:37" ht="14.25" customHeight="1">
      <c r="A661" s="2"/>
      <c r="B661" s="2"/>
      <c r="C661" s="2"/>
      <c r="D661" s="2"/>
      <c r="E661" s="16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4"/>
      <c r="W661" s="2"/>
      <c r="X661" s="2"/>
      <c r="Y661" s="4"/>
      <c r="Z661" s="2"/>
      <c r="AA661" s="2"/>
      <c r="AB661" s="2"/>
      <c r="AC661" s="4"/>
      <c r="AD661" s="2"/>
      <c r="AE661" s="2"/>
      <c r="AF661" s="2"/>
      <c r="AG661" s="2"/>
      <c r="AH661" s="2"/>
      <c r="AI661" s="2"/>
      <c r="AJ661" s="2"/>
      <c r="AK661" s="2"/>
    </row>
    <row r="662" spans="1:37" ht="14.25" customHeight="1">
      <c r="A662" s="2"/>
      <c r="B662" s="2"/>
      <c r="C662" s="2"/>
      <c r="D662" s="2"/>
      <c r="E662" s="16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4"/>
      <c r="W662" s="2"/>
      <c r="X662" s="2"/>
      <c r="Y662" s="4"/>
      <c r="Z662" s="2"/>
      <c r="AA662" s="2"/>
      <c r="AB662" s="2"/>
      <c r="AC662" s="4"/>
      <c r="AD662" s="2"/>
      <c r="AE662" s="2"/>
      <c r="AF662" s="2"/>
      <c r="AG662" s="2"/>
      <c r="AH662" s="2"/>
      <c r="AI662" s="2"/>
      <c r="AJ662" s="2"/>
      <c r="AK662" s="2"/>
    </row>
    <row r="663" spans="1:37" ht="14.25" customHeight="1">
      <c r="A663" s="2"/>
      <c r="B663" s="2"/>
      <c r="C663" s="2"/>
      <c r="D663" s="2"/>
      <c r="E663" s="16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4"/>
      <c r="W663" s="2"/>
      <c r="X663" s="2"/>
      <c r="Y663" s="4"/>
      <c r="Z663" s="2"/>
      <c r="AA663" s="2"/>
      <c r="AB663" s="2"/>
      <c r="AC663" s="4"/>
      <c r="AD663" s="2"/>
      <c r="AE663" s="2"/>
      <c r="AF663" s="2"/>
      <c r="AG663" s="2"/>
      <c r="AH663" s="2"/>
      <c r="AI663" s="2"/>
      <c r="AJ663" s="2"/>
      <c r="AK663" s="2"/>
    </row>
    <row r="664" spans="1:37" ht="14.25" customHeight="1">
      <c r="A664" s="2"/>
      <c r="B664" s="2"/>
      <c r="C664" s="2"/>
      <c r="D664" s="2"/>
      <c r="E664" s="16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4"/>
      <c r="W664" s="2"/>
      <c r="X664" s="2"/>
      <c r="Y664" s="4"/>
      <c r="Z664" s="2"/>
      <c r="AA664" s="2"/>
      <c r="AB664" s="2"/>
      <c r="AC664" s="4"/>
      <c r="AD664" s="2"/>
      <c r="AE664" s="2"/>
      <c r="AF664" s="2"/>
      <c r="AG664" s="2"/>
      <c r="AH664" s="2"/>
      <c r="AI664" s="2"/>
      <c r="AJ664" s="2"/>
      <c r="AK664" s="2"/>
    </row>
    <row r="665" spans="1:37" ht="14.25" customHeight="1">
      <c r="A665" s="2"/>
      <c r="B665" s="2"/>
      <c r="C665" s="2"/>
      <c r="D665" s="2"/>
      <c r="E665" s="1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4"/>
      <c r="W665" s="2"/>
      <c r="X665" s="2"/>
      <c r="Y665" s="4"/>
      <c r="Z665" s="2"/>
      <c r="AA665" s="2"/>
      <c r="AB665" s="2"/>
      <c r="AC665" s="4"/>
      <c r="AD665" s="2"/>
      <c r="AE665" s="2"/>
      <c r="AF665" s="2"/>
      <c r="AG665" s="2"/>
      <c r="AH665" s="2"/>
      <c r="AI665" s="2"/>
      <c r="AJ665" s="2"/>
      <c r="AK665" s="2"/>
    </row>
    <row r="666" spans="1:37" ht="14.25" customHeight="1">
      <c r="A666" s="2"/>
      <c r="B666" s="2"/>
      <c r="C666" s="2"/>
      <c r="D666" s="2"/>
      <c r="E666" s="16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4"/>
      <c r="W666" s="2"/>
      <c r="X666" s="2"/>
      <c r="Y666" s="4"/>
      <c r="Z666" s="2"/>
      <c r="AA666" s="2"/>
      <c r="AB666" s="2"/>
      <c r="AC666" s="4"/>
      <c r="AD666" s="2"/>
      <c r="AE666" s="2"/>
      <c r="AF666" s="2"/>
      <c r="AG666" s="2"/>
      <c r="AH666" s="2"/>
      <c r="AI666" s="2"/>
      <c r="AJ666" s="2"/>
      <c r="AK666" s="2"/>
    </row>
    <row r="667" spans="1:37" ht="14.25" customHeight="1">
      <c r="A667" s="2"/>
      <c r="B667" s="2"/>
      <c r="C667" s="2"/>
      <c r="D667" s="2"/>
      <c r="E667" s="16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4"/>
      <c r="W667" s="2"/>
      <c r="X667" s="2"/>
      <c r="Y667" s="4"/>
      <c r="Z667" s="2"/>
      <c r="AA667" s="2"/>
      <c r="AB667" s="2"/>
      <c r="AC667" s="4"/>
      <c r="AD667" s="2"/>
      <c r="AE667" s="2"/>
      <c r="AF667" s="2"/>
      <c r="AG667" s="2"/>
      <c r="AH667" s="2"/>
      <c r="AI667" s="2"/>
      <c r="AJ667" s="2"/>
      <c r="AK667" s="2"/>
    </row>
    <row r="668" spans="1:37" ht="14.25" customHeight="1">
      <c r="A668" s="2"/>
      <c r="B668" s="2"/>
      <c r="C668" s="2"/>
      <c r="D668" s="2"/>
      <c r="E668" s="16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4"/>
      <c r="W668" s="2"/>
      <c r="X668" s="2"/>
      <c r="Y668" s="4"/>
      <c r="Z668" s="2"/>
      <c r="AA668" s="2"/>
      <c r="AB668" s="2"/>
      <c r="AC668" s="4"/>
      <c r="AD668" s="2"/>
      <c r="AE668" s="2"/>
      <c r="AF668" s="2"/>
      <c r="AG668" s="2"/>
      <c r="AH668" s="2"/>
      <c r="AI668" s="2"/>
      <c r="AJ668" s="2"/>
      <c r="AK668" s="2"/>
    </row>
    <row r="669" spans="1:37" ht="14.25" customHeight="1">
      <c r="A669" s="2"/>
      <c r="B669" s="2"/>
      <c r="C669" s="2"/>
      <c r="D669" s="2"/>
      <c r="E669" s="16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4"/>
      <c r="W669" s="2"/>
      <c r="X669" s="2"/>
      <c r="Y669" s="4"/>
      <c r="Z669" s="2"/>
      <c r="AA669" s="2"/>
      <c r="AB669" s="2"/>
      <c r="AC669" s="4"/>
      <c r="AD669" s="2"/>
      <c r="AE669" s="2"/>
      <c r="AF669" s="2"/>
      <c r="AG669" s="2"/>
      <c r="AH669" s="2"/>
      <c r="AI669" s="2"/>
      <c r="AJ669" s="2"/>
      <c r="AK669" s="2"/>
    </row>
    <row r="670" spans="1:37" ht="14.25" customHeight="1">
      <c r="A670" s="2"/>
      <c r="B670" s="2"/>
      <c r="C670" s="2"/>
      <c r="D670" s="2"/>
      <c r="E670" s="16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4"/>
      <c r="W670" s="2"/>
      <c r="X670" s="2"/>
      <c r="Y670" s="4"/>
      <c r="Z670" s="2"/>
      <c r="AA670" s="2"/>
      <c r="AB670" s="2"/>
      <c r="AC670" s="4"/>
      <c r="AD670" s="2"/>
      <c r="AE670" s="2"/>
      <c r="AF670" s="2"/>
      <c r="AG670" s="2"/>
      <c r="AH670" s="2"/>
      <c r="AI670" s="2"/>
      <c r="AJ670" s="2"/>
      <c r="AK670" s="2"/>
    </row>
    <row r="671" spans="1:37" ht="14.25" customHeight="1">
      <c r="A671" s="2"/>
      <c r="B671" s="2"/>
      <c r="C671" s="2"/>
      <c r="D671" s="2"/>
      <c r="E671" s="16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4"/>
      <c r="W671" s="2"/>
      <c r="X671" s="2"/>
      <c r="Y671" s="4"/>
      <c r="Z671" s="2"/>
      <c r="AA671" s="2"/>
      <c r="AB671" s="2"/>
      <c r="AC671" s="4"/>
      <c r="AD671" s="2"/>
      <c r="AE671" s="2"/>
      <c r="AF671" s="2"/>
      <c r="AG671" s="2"/>
      <c r="AH671" s="2"/>
      <c r="AI671" s="2"/>
      <c r="AJ671" s="2"/>
      <c r="AK671" s="2"/>
    </row>
    <row r="672" spans="1:37" ht="14.25" customHeight="1">
      <c r="A672" s="2"/>
      <c r="B672" s="2"/>
      <c r="C672" s="2"/>
      <c r="D672" s="2"/>
      <c r="E672" s="16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4"/>
      <c r="W672" s="2"/>
      <c r="X672" s="2"/>
      <c r="Y672" s="4"/>
      <c r="Z672" s="2"/>
      <c r="AA672" s="2"/>
      <c r="AB672" s="2"/>
      <c r="AC672" s="4"/>
      <c r="AD672" s="2"/>
      <c r="AE672" s="2"/>
      <c r="AF672" s="2"/>
      <c r="AG672" s="2"/>
      <c r="AH672" s="2"/>
      <c r="AI672" s="2"/>
      <c r="AJ672" s="2"/>
      <c r="AK672" s="2"/>
    </row>
    <row r="673" spans="1:37" ht="14.25" customHeight="1">
      <c r="A673" s="2"/>
      <c r="B673" s="2"/>
      <c r="C673" s="2"/>
      <c r="D673" s="2"/>
      <c r="E673" s="16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4"/>
      <c r="W673" s="2"/>
      <c r="X673" s="2"/>
      <c r="Y673" s="4"/>
      <c r="Z673" s="2"/>
      <c r="AA673" s="2"/>
      <c r="AB673" s="2"/>
      <c r="AC673" s="4"/>
      <c r="AD673" s="2"/>
      <c r="AE673" s="2"/>
      <c r="AF673" s="2"/>
      <c r="AG673" s="2"/>
      <c r="AH673" s="2"/>
      <c r="AI673" s="2"/>
      <c r="AJ673" s="2"/>
      <c r="AK673" s="2"/>
    </row>
    <row r="674" spans="1:37" ht="14.25" customHeight="1">
      <c r="A674" s="2"/>
      <c r="B674" s="2"/>
      <c r="C674" s="2"/>
      <c r="D674" s="2"/>
      <c r="E674" s="16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4"/>
      <c r="W674" s="2"/>
      <c r="X674" s="2"/>
      <c r="Y674" s="4"/>
      <c r="Z674" s="2"/>
      <c r="AA674" s="2"/>
      <c r="AB674" s="2"/>
      <c r="AC674" s="4"/>
      <c r="AD674" s="2"/>
      <c r="AE674" s="2"/>
      <c r="AF674" s="2"/>
      <c r="AG674" s="2"/>
      <c r="AH674" s="2"/>
      <c r="AI674" s="2"/>
      <c r="AJ674" s="2"/>
      <c r="AK674" s="2"/>
    </row>
    <row r="675" spans="1:37" ht="14.25" customHeight="1">
      <c r="A675" s="2"/>
      <c r="B675" s="2"/>
      <c r="C675" s="2"/>
      <c r="D675" s="2"/>
      <c r="E675" s="16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4"/>
      <c r="W675" s="2"/>
      <c r="X675" s="2"/>
      <c r="Y675" s="4"/>
      <c r="Z675" s="2"/>
      <c r="AA675" s="2"/>
      <c r="AB675" s="2"/>
      <c r="AC675" s="4"/>
      <c r="AD675" s="2"/>
      <c r="AE675" s="2"/>
      <c r="AF675" s="2"/>
      <c r="AG675" s="2"/>
      <c r="AH675" s="2"/>
      <c r="AI675" s="2"/>
      <c r="AJ675" s="2"/>
      <c r="AK675" s="2"/>
    </row>
    <row r="676" spans="1:37" ht="14.25" customHeight="1">
      <c r="A676" s="2"/>
      <c r="B676" s="2"/>
      <c r="C676" s="2"/>
      <c r="D676" s="2"/>
      <c r="E676" s="16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4"/>
      <c r="W676" s="2"/>
      <c r="X676" s="2"/>
      <c r="Y676" s="4"/>
      <c r="Z676" s="2"/>
      <c r="AA676" s="2"/>
      <c r="AB676" s="2"/>
      <c r="AC676" s="4"/>
      <c r="AD676" s="2"/>
      <c r="AE676" s="2"/>
      <c r="AF676" s="2"/>
      <c r="AG676" s="2"/>
      <c r="AH676" s="2"/>
      <c r="AI676" s="2"/>
      <c r="AJ676" s="2"/>
      <c r="AK676" s="2"/>
    </row>
    <row r="677" spans="1:37" ht="14.25" customHeight="1">
      <c r="A677" s="2"/>
      <c r="B677" s="2"/>
      <c r="C677" s="2"/>
      <c r="D677" s="2"/>
      <c r="E677" s="16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4"/>
      <c r="W677" s="2"/>
      <c r="X677" s="2"/>
      <c r="Y677" s="4"/>
      <c r="Z677" s="2"/>
      <c r="AA677" s="2"/>
      <c r="AB677" s="2"/>
      <c r="AC677" s="4"/>
      <c r="AD677" s="2"/>
      <c r="AE677" s="2"/>
      <c r="AF677" s="2"/>
      <c r="AG677" s="2"/>
      <c r="AH677" s="2"/>
      <c r="AI677" s="2"/>
      <c r="AJ677" s="2"/>
      <c r="AK677" s="2"/>
    </row>
    <row r="678" spans="1:37" ht="14.25" customHeight="1">
      <c r="A678" s="2"/>
      <c r="B678" s="2"/>
      <c r="C678" s="2"/>
      <c r="D678" s="2"/>
      <c r="E678" s="16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4"/>
      <c r="W678" s="2"/>
      <c r="X678" s="2"/>
      <c r="Y678" s="4"/>
      <c r="Z678" s="2"/>
      <c r="AA678" s="2"/>
      <c r="AB678" s="2"/>
      <c r="AC678" s="4"/>
      <c r="AD678" s="2"/>
      <c r="AE678" s="2"/>
      <c r="AF678" s="2"/>
      <c r="AG678" s="2"/>
      <c r="AH678" s="2"/>
      <c r="AI678" s="2"/>
      <c r="AJ678" s="2"/>
      <c r="AK678" s="2"/>
    </row>
    <row r="679" spans="1:37" ht="14.25" customHeight="1">
      <c r="A679" s="2"/>
      <c r="B679" s="2"/>
      <c r="C679" s="2"/>
      <c r="D679" s="2"/>
      <c r="E679" s="16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4"/>
      <c r="W679" s="2"/>
      <c r="X679" s="2"/>
      <c r="Y679" s="4"/>
      <c r="Z679" s="2"/>
      <c r="AA679" s="2"/>
      <c r="AB679" s="2"/>
      <c r="AC679" s="4"/>
      <c r="AD679" s="2"/>
      <c r="AE679" s="2"/>
      <c r="AF679" s="2"/>
      <c r="AG679" s="2"/>
      <c r="AH679" s="2"/>
      <c r="AI679" s="2"/>
      <c r="AJ679" s="2"/>
      <c r="AK679" s="2"/>
    </row>
    <row r="680" spans="1:37" ht="14.25" customHeight="1">
      <c r="A680" s="2"/>
      <c r="B680" s="2"/>
      <c r="C680" s="2"/>
      <c r="D680" s="2"/>
      <c r="E680" s="16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4"/>
      <c r="W680" s="2"/>
      <c r="X680" s="2"/>
      <c r="Y680" s="4"/>
      <c r="Z680" s="2"/>
      <c r="AA680" s="2"/>
      <c r="AB680" s="2"/>
      <c r="AC680" s="4"/>
      <c r="AD680" s="2"/>
      <c r="AE680" s="2"/>
      <c r="AF680" s="2"/>
      <c r="AG680" s="2"/>
      <c r="AH680" s="2"/>
      <c r="AI680" s="2"/>
      <c r="AJ680" s="2"/>
      <c r="AK680" s="2"/>
    </row>
    <row r="681" spans="1:37" ht="14.25" customHeight="1">
      <c r="A681" s="2"/>
      <c r="B681" s="2"/>
      <c r="C681" s="2"/>
      <c r="D681" s="2"/>
      <c r="E681" s="16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4"/>
      <c r="W681" s="2"/>
      <c r="X681" s="2"/>
      <c r="Y681" s="4"/>
      <c r="Z681" s="2"/>
      <c r="AA681" s="2"/>
      <c r="AB681" s="2"/>
      <c r="AC681" s="4"/>
      <c r="AD681" s="2"/>
      <c r="AE681" s="2"/>
      <c r="AF681" s="2"/>
      <c r="AG681" s="2"/>
      <c r="AH681" s="2"/>
      <c r="AI681" s="2"/>
      <c r="AJ681" s="2"/>
      <c r="AK681" s="2"/>
    </row>
    <row r="682" spans="1:37" ht="14.25" customHeight="1">
      <c r="A682" s="2"/>
      <c r="B682" s="2"/>
      <c r="C682" s="2"/>
      <c r="D682" s="2"/>
      <c r="E682" s="16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4"/>
      <c r="W682" s="2"/>
      <c r="X682" s="2"/>
      <c r="Y682" s="4"/>
      <c r="Z682" s="2"/>
      <c r="AA682" s="2"/>
      <c r="AB682" s="2"/>
      <c r="AC682" s="4"/>
      <c r="AD682" s="2"/>
      <c r="AE682" s="2"/>
      <c r="AF682" s="2"/>
      <c r="AG682" s="2"/>
      <c r="AH682" s="2"/>
      <c r="AI682" s="2"/>
      <c r="AJ682" s="2"/>
      <c r="AK682" s="2"/>
    </row>
    <row r="683" spans="1:37" ht="14.25" customHeight="1">
      <c r="A683" s="2"/>
      <c r="B683" s="2"/>
      <c r="C683" s="2"/>
      <c r="D683" s="2"/>
      <c r="E683" s="16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4"/>
      <c r="W683" s="2"/>
      <c r="X683" s="2"/>
      <c r="Y683" s="4"/>
      <c r="Z683" s="2"/>
      <c r="AA683" s="2"/>
      <c r="AB683" s="2"/>
      <c r="AC683" s="4"/>
      <c r="AD683" s="2"/>
      <c r="AE683" s="2"/>
      <c r="AF683" s="2"/>
      <c r="AG683" s="2"/>
      <c r="AH683" s="2"/>
      <c r="AI683" s="2"/>
      <c r="AJ683" s="2"/>
      <c r="AK683" s="2"/>
    </row>
    <row r="684" spans="1:37" ht="14.25" customHeight="1">
      <c r="A684" s="2"/>
      <c r="B684" s="2"/>
      <c r="C684" s="2"/>
      <c r="D684" s="2"/>
      <c r="E684" s="16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4"/>
      <c r="W684" s="2"/>
      <c r="X684" s="2"/>
      <c r="Y684" s="4"/>
      <c r="Z684" s="2"/>
      <c r="AA684" s="2"/>
      <c r="AB684" s="2"/>
      <c r="AC684" s="4"/>
      <c r="AD684" s="2"/>
      <c r="AE684" s="2"/>
      <c r="AF684" s="2"/>
      <c r="AG684" s="2"/>
      <c r="AH684" s="2"/>
      <c r="AI684" s="2"/>
      <c r="AJ684" s="2"/>
      <c r="AK684" s="2"/>
    </row>
    <row r="685" spans="1:37" ht="14.25" customHeight="1">
      <c r="A685" s="2"/>
      <c r="B685" s="2"/>
      <c r="C685" s="2"/>
      <c r="D685" s="2"/>
      <c r="E685" s="16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4"/>
      <c r="W685" s="2"/>
      <c r="X685" s="2"/>
      <c r="Y685" s="4"/>
      <c r="Z685" s="2"/>
      <c r="AA685" s="2"/>
      <c r="AB685" s="2"/>
      <c r="AC685" s="4"/>
      <c r="AD685" s="2"/>
      <c r="AE685" s="2"/>
      <c r="AF685" s="2"/>
      <c r="AG685" s="2"/>
      <c r="AH685" s="2"/>
      <c r="AI685" s="2"/>
      <c r="AJ685" s="2"/>
      <c r="AK685" s="2"/>
    </row>
    <row r="686" spans="1:37" ht="14.25" customHeight="1">
      <c r="A686" s="2"/>
      <c r="B686" s="2"/>
      <c r="C686" s="2"/>
      <c r="D686" s="2"/>
      <c r="E686" s="16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4"/>
      <c r="W686" s="2"/>
      <c r="X686" s="2"/>
      <c r="Y686" s="4"/>
      <c r="Z686" s="2"/>
      <c r="AA686" s="2"/>
      <c r="AB686" s="2"/>
      <c r="AC686" s="4"/>
      <c r="AD686" s="2"/>
      <c r="AE686" s="2"/>
      <c r="AF686" s="2"/>
      <c r="AG686" s="2"/>
      <c r="AH686" s="2"/>
      <c r="AI686" s="2"/>
      <c r="AJ686" s="2"/>
      <c r="AK686" s="2"/>
    </row>
    <row r="687" spans="1:37" ht="14.25" customHeight="1">
      <c r="A687" s="2"/>
      <c r="B687" s="2"/>
      <c r="C687" s="2"/>
      <c r="D687" s="2"/>
      <c r="E687" s="16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4"/>
      <c r="W687" s="2"/>
      <c r="X687" s="2"/>
      <c r="Y687" s="4"/>
      <c r="Z687" s="2"/>
      <c r="AA687" s="2"/>
      <c r="AB687" s="2"/>
      <c r="AC687" s="4"/>
      <c r="AD687" s="2"/>
      <c r="AE687" s="2"/>
      <c r="AF687" s="2"/>
      <c r="AG687" s="2"/>
      <c r="AH687" s="2"/>
      <c r="AI687" s="2"/>
      <c r="AJ687" s="2"/>
      <c r="AK687" s="2"/>
    </row>
    <row r="688" spans="1:37" ht="14.25" customHeight="1">
      <c r="A688" s="2"/>
      <c r="B688" s="2"/>
      <c r="C688" s="2"/>
      <c r="D688" s="2"/>
      <c r="E688" s="16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4"/>
      <c r="W688" s="2"/>
      <c r="X688" s="2"/>
      <c r="Y688" s="4"/>
      <c r="Z688" s="2"/>
      <c r="AA688" s="2"/>
      <c r="AB688" s="2"/>
      <c r="AC688" s="4"/>
      <c r="AD688" s="2"/>
      <c r="AE688" s="2"/>
      <c r="AF688" s="2"/>
      <c r="AG688" s="2"/>
      <c r="AH688" s="2"/>
      <c r="AI688" s="2"/>
      <c r="AJ688" s="2"/>
      <c r="AK688" s="2"/>
    </row>
    <row r="689" spans="1:37" ht="14.25" customHeight="1">
      <c r="A689" s="2"/>
      <c r="B689" s="2"/>
      <c r="C689" s="2"/>
      <c r="D689" s="2"/>
      <c r="E689" s="16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4"/>
      <c r="W689" s="2"/>
      <c r="X689" s="2"/>
      <c r="Y689" s="4"/>
      <c r="Z689" s="2"/>
      <c r="AA689" s="2"/>
      <c r="AB689" s="2"/>
      <c r="AC689" s="4"/>
      <c r="AD689" s="2"/>
      <c r="AE689" s="2"/>
      <c r="AF689" s="2"/>
      <c r="AG689" s="2"/>
      <c r="AH689" s="2"/>
      <c r="AI689" s="2"/>
      <c r="AJ689" s="2"/>
      <c r="AK689" s="2"/>
    </row>
    <row r="690" spans="1:37" ht="14.25" customHeight="1">
      <c r="A690" s="2"/>
      <c r="B690" s="2"/>
      <c r="C690" s="2"/>
      <c r="D690" s="2"/>
      <c r="E690" s="16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4"/>
      <c r="W690" s="2"/>
      <c r="X690" s="2"/>
      <c r="Y690" s="4"/>
      <c r="Z690" s="2"/>
      <c r="AA690" s="2"/>
      <c r="AB690" s="2"/>
      <c r="AC690" s="4"/>
      <c r="AD690" s="2"/>
      <c r="AE690" s="2"/>
      <c r="AF690" s="2"/>
      <c r="AG690" s="2"/>
      <c r="AH690" s="2"/>
      <c r="AI690" s="2"/>
      <c r="AJ690" s="2"/>
      <c r="AK690" s="2"/>
    </row>
    <row r="691" spans="1:37" ht="14.25" customHeight="1">
      <c r="A691" s="2"/>
      <c r="B691" s="2"/>
      <c r="C691" s="2"/>
      <c r="D691" s="2"/>
      <c r="E691" s="16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4"/>
      <c r="W691" s="2"/>
      <c r="X691" s="2"/>
      <c r="Y691" s="4"/>
      <c r="Z691" s="2"/>
      <c r="AA691" s="2"/>
      <c r="AB691" s="2"/>
      <c r="AC691" s="4"/>
      <c r="AD691" s="2"/>
      <c r="AE691" s="2"/>
      <c r="AF691" s="2"/>
      <c r="AG691" s="2"/>
      <c r="AH691" s="2"/>
      <c r="AI691" s="2"/>
      <c r="AJ691" s="2"/>
      <c r="AK691" s="2"/>
    </row>
    <row r="692" spans="1:37" ht="14.25" customHeight="1">
      <c r="A692" s="2"/>
      <c r="B692" s="2"/>
      <c r="C692" s="2"/>
      <c r="D692" s="2"/>
      <c r="E692" s="16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4"/>
      <c r="W692" s="2"/>
      <c r="X692" s="2"/>
      <c r="Y692" s="4"/>
      <c r="Z692" s="2"/>
      <c r="AA692" s="2"/>
      <c r="AB692" s="2"/>
      <c r="AC692" s="4"/>
      <c r="AD692" s="2"/>
      <c r="AE692" s="2"/>
      <c r="AF692" s="2"/>
      <c r="AG692" s="2"/>
      <c r="AH692" s="2"/>
      <c r="AI692" s="2"/>
      <c r="AJ692" s="2"/>
      <c r="AK692" s="2"/>
    </row>
    <row r="693" spans="1:37" ht="14.25" customHeight="1">
      <c r="A693" s="2"/>
      <c r="B693" s="2"/>
      <c r="C693" s="2"/>
      <c r="D693" s="2"/>
      <c r="E693" s="16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4"/>
      <c r="W693" s="2"/>
      <c r="X693" s="2"/>
      <c r="Y693" s="4"/>
      <c r="Z693" s="2"/>
      <c r="AA693" s="2"/>
      <c r="AB693" s="2"/>
      <c r="AC693" s="4"/>
      <c r="AD693" s="2"/>
      <c r="AE693" s="2"/>
      <c r="AF693" s="2"/>
      <c r="AG693" s="2"/>
      <c r="AH693" s="2"/>
      <c r="AI693" s="2"/>
      <c r="AJ693" s="2"/>
      <c r="AK693" s="2"/>
    </row>
    <row r="694" spans="1:37" ht="14.25" customHeight="1">
      <c r="A694" s="2"/>
      <c r="B694" s="2"/>
      <c r="C694" s="2"/>
      <c r="D694" s="2"/>
      <c r="E694" s="16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4"/>
      <c r="W694" s="2"/>
      <c r="X694" s="2"/>
      <c r="Y694" s="4"/>
      <c r="Z694" s="2"/>
      <c r="AA694" s="2"/>
      <c r="AB694" s="2"/>
      <c r="AC694" s="4"/>
      <c r="AD694" s="2"/>
      <c r="AE694" s="2"/>
      <c r="AF694" s="2"/>
      <c r="AG694" s="2"/>
      <c r="AH694" s="2"/>
      <c r="AI694" s="2"/>
      <c r="AJ694" s="2"/>
      <c r="AK694" s="2"/>
    </row>
    <row r="695" spans="1:37" ht="14.25" customHeight="1">
      <c r="A695" s="2"/>
      <c r="B695" s="2"/>
      <c r="C695" s="2"/>
      <c r="D695" s="2"/>
      <c r="E695" s="16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4"/>
      <c r="W695" s="2"/>
      <c r="X695" s="2"/>
      <c r="Y695" s="4"/>
      <c r="Z695" s="2"/>
      <c r="AA695" s="2"/>
      <c r="AB695" s="2"/>
      <c r="AC695" s="4"/>
      <c r="AD695" s="2"/>
      <c r="AE695" s="2"/>
      <c r="AF695" s="2"/>
      <c r="AG695" s="2"/>
      <c r="AH695" s="2"/>
      <c r="AI695" s="2"/>
      <c r="AJ695" s="2"/>
      <c r="AK695" s="2"/>
    </row>
    <row r="696" spans="1:37" ht="14.25" customHeight="1">
      <c r="A696" s="2"/>
      <c r="B696" s="2"/>
      <c r="C696" s="2"/>
      <c r="D696" s="2"/>
      <c r="E696" s="16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4"/>
      <c r="W696" s="2"/>
      <c r="X696" s="2"/>
      <c r="Y696" s="4"/>
      <c r="Z696" s="2"/>
      <c r="AA696" s="2"/>
      <c r="AB696" s="2"/>
      <c r="AC696" s="4"/>
      <c r="AD696" s="2"/>
      <c r="AE696" s="2"/>
      <c r="AF696" s="2"/>
      <c r="AG696" s="2"/>
      <c r="AH696" s="2"/>
      <c r="AI696" s="2"/>
      <c r="AJ696" s="2"/>
      <c r="AK696" s="2"/>
    </row>
    <row r="697" spans="1:37" ht="14.25" customHeight="1">
      <c r="A697" s="2"/>
      <c r="B697" s="2"/>
      <c r="C697" s="2"/>
      <c r="D697" s="2"/>
      <c r="E697" s="16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4"/>
      <c r="W697" s="2"/>
      <c r="X697" s="2"/>
      <c r="Y697" s="4"/>
      <c r="Z697" s="2"/>
      <c r="AA697" s="2"/>
      <c r="AB697" s="2"/>
      <c r="AC697" s="4"/>
      <c r="AD697" s="2"/>
      <c r="AE697" s="2"/>
      <c r="AF697" s="2"/>
      <c r="AG697" s="2"/>
      <c r="AH697" s="2"/>
      <c r="AI697" s="2"/>
      <c r="AJ697" s="2"/>
      <c r="AK697" s="2"/>
    </row>
    <row r="698" spans="1:37" ht="14.25" customHeight="1">
      <c r="A698" s="2"/>
      <c r="B698" s="2"/>
      <c r="C698" s="2"/>
      <c r="D698" s="2"/>
      <c r="E698" s="16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4"/>
      <c r="W698" s="2"/>
      <c r="X698" s="2"/>
      <c r="Y698" s="4"/>
      <c r="Z698" s="2"/>
      <c r="AA698" s="2"/>
      <c r="AB698" s="2"/>
      <c r="AC698" s="4"/>
      <c r="AD698" s="2"/>
      <c r="AE698" s="2"/>
      <c r="AF698" s="2"/>
      <c r="AG698" s="2"/>
      <c r="AH698" s="2"/>
      <c r="AI698" s="2"/>
      <c r="AJ698" s="2"/>
      <c r="AK698" s="2"/>
    </row>
    <row r="699" spans="1:37" ht="14.25" customHeight="1">
      <c r="A699" s="2"/>
      <c r="B699" s="2"/>
      <c r="C699" s="2"/>
      <c r="D699" s="2"/>
      <c r="E699" s="16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4"/>
      <c r="W699" s="2"/>
      <c r="X699" s="2"/>
      <c r="Y699" s="4"/>
      <c r="Z699" s="2"/>
      <c r="AA699" s="2"/>
      <c r="AB699" s="2"/>
      <c r="AC699" s="4"/>
      <c r="AD699" s="2"/>
      <c r="AE699" s="2"/>
      <c r="AF699" s="2"/>
      <c r="AG699" s="2"/>
      <c r="AH699" s="2"/>
      <c r="AI699" s="2"/>
      <c r="AJ699" s="2"/>
      <c r="AK699" s="2"/>
    </row>
    <row r="700" spans="1:37" ht="14.25" customHeight="1">
      <c r="A700" s="2"/>
      <c r="B700" s="2"/>
      <c r="C700" s="2"/>
      <c r="D700" s="2"/>
      <c r="E700" s="16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4"/>
      <c r="W700" s="2"/>
      <c r="X700" s="2"/>
      <c r="Y700" s="4"/>
      <c r="Z700" s="2"/>
      <c r="AA700" s="2"/>
      <c r="AB700" s="2"/>
      <c r="AC700" s="4"/>
      <c r="AD700" s="2"/>
      <c r="AE700" s="2"/>
      <c r="AF700" s="2"/>
      <c r="AG700" s="2"/>
      <c r="AH700" s="2"/>
      <c r="AI700" s="2"/>
      <c r="AJ700" s="2"/>
      <c r="AK700" s="2"/>
    </row>
    <row r="701" spans="1:37" ht="14.25" customHeight="1">
      <c r="A701" s="2"/>
      <c r="B701" s="2"/>
      <c r="C701" s="2"/>
      <c r="D701" s="2"/>
      <c r="E701" s="16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4"/>
      <c r="W701" s="2"/>
      <c r="X701" s="2"/>
      <c r="Y701" s="4"/>
      <c r="Z701" s="2"/>
      <c r="AA701" s="2"/>
      <c r="AB701" s="2"/>
      <c r="AC701" s="4"/>
      <c r="AD701" s="2"/>
      <c r="AE701" s="2"/>
      <c r="AF701" s="2"/>
      <c r="AG701" s="2"/>
      <c r="AH701" s="2"/>
      <c r="AI701" s="2"/>
      <c r="AJ701" s="2"/>
      <c r="AK701" s="2"/>
    </row>
    <row r="702" spans="1:37" ht="14.25" customHeight="1">
      <c r="A702" s="2"/>
      <c r="B702" s="2"/>
      <c r="C702" s="2"/>
      <c r="D702" s="2"/>
      <c r="E702" s="16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4"/>
      <c r="W702" s="2"/>
      <c r="X702" s="2"/>
      <c r="Y702" s="4"/>
      <c r="Z702" s="2"/>
      <c r="AA702" s="2"/>
      <c r="AB702" s="2"/>
      <c r="AC702" s="4"/>
      <c r="AD702" s="2"/>
      <c r="AE702" s="2"/>
      <c r="AF702" s="2"/>
      <c r="AG702" s="2"/>
      <c r="AH702" s="2"/>
      <c r="AI702" s="2"/>
      <c r="AJ702" s="2"/>
      <c r="AK702" s="2"/>
    </row>
    <row r="703" spans="1:37" ht="14.25" customHeight="1">
      <c r="A703" s="2"/>
      <c r="B703" s="2"/>
      <c r="C703" s="2"/>
      <c r="D703" s="2"/>
      <c r="E703" s="16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4"/>
      <c r="W703" s="2"/>
      <c r="X703" s="2"/>
      <c r="Y703" s="4"/>
      <c r="Z703" s="2"/>
      <c r="AA703" s="2"/>
      <c r="AB703" s="2"/>
      <c r="AC703" s="4"/>
      <c r="AD703" s="2"/>
      <c r="AE703" s="2"/>
      <c r="AF703" s="2"/>
      <c r="AG703" s="2"/>
      <c r="AH703" s="2"/>
      <c r="AI703" s="2"/>
      <c r="AJ703" s="2"/>
      <c r="AK703" s="2"/>
    </row>
    <row r="704" spans="1:37" ht="14.25" customHeight="1">
      <c r="A704" s="2"/>
      <c r="B704" s="2"/>
      <c r="C704" s="2"/>
      <c r="D704" s="2"/>
      <c r="E704" s="16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4"/>
      <c r="W704" s="2"/>
      <c r="X704" s="2"/>
      <c r="Y704" s="4"/>
      <c r="Z704" s="2"/>
      <c r="AA704" s="2"/>
      <c r="AB704" s="2"/>
      <c r="AC704" s="4"/>
      <c r="AD704" s="2"/>
      <c r="AE704" s="2"/>
      <c r="AF704" s="2"/>
      <c r="AG704" s="2"/>
      <c r="AH704" s="2"/>
      <c r="AI704" s="2"/>
      <c r="AJ704" s="2"/>
      <c r="AK704" s="2"/>
    </row>
    <row r="705" spans="1:37" ht="14.25" customHeight="1">
      <c r="A705" s="2"/>
      <c r="B705" s="2"/>
      <c r="C705" s="2"/>
      <c r="D705" s="2"/>
      <c r="E705" s="16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4"/>
      <c r="W705" s="2"/>
      <c r="X705" s="2"/>
      <c r="Y705" s="4"/>
      <c r="Z705" s="2"/>
      <c r="AA705" s="2"/>
      <c r="AB705" s="2"/>
      <c r="AC705" s="4"/>
      <c r="AD705" s="2"/>
      <c r="AE705" s="2"/>
      <c r="AF705" s="2"/>
      <c r="AG705" s="2"/>
      <c r="AH705" s="2"/>
      <c r="AI705" s="2"/>
      <c r="AJ705" s="2"/>
      <c r="AK705" s="2"/>
    </row>
    <row r="706" spans="1:37" ht="14.25" customHeight="1">
      <c r="A706" s="2"/>
      <c r="B706" s="2"/>
      <c r="C706" s="2"/>
      <c r="D706" s="2"/>
      <c r="E706" s="16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4"/>
      <c r="W706" s="2"/>
      <c r="X706" s="2"/>
      <c r="Y706" s="4"/>
      <c r="Z706" s="2"/>
      <c r="AA706" s="2"/>
      <c r="AB706" s="2"/>
      <c r="AC706" s="4"/>
      <c r="AD706" s="2"/>
      <c r="AE706" s="2"/>
      <c r="AF706" s="2"/>
      <c r="AG706" s="2"/>
      <c r="AH706" s="2"/>
      <c r="AI706" s="2"/>
      <c r="AJ706" s="2"/>
      <c r="AK706" s="2"/>
    </row>
    <row r="707" spans="1:37" ht="14.25" customHeight="1">
      <c r="A707" s="2"/>
      <c r="B707" s="2"/>
      <c r="C707" s="2"/>
      <c r="D707" s="2"/>
      <c r="E707" s="16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4"/>
      <c r="W707" s="2"/>
      <c r="X707" s="2"/>
      <c r="Y707" s="4"/>
      <c r="Z707" s="2"/>
      <c r="AA707" s="2"/>
      <c r="AB707" s="2"/>
      <c r="AC707" s="4"/>
      <c r="AD707" s="2"/>
      <c r="AE707" s="2"/>
      <c r="AF707" s="2"/>
      <c r="AG707" s="2"/>
      <c r="AH707" s="2"/>
      <c r="AI707" s="2"/>
      <c r="AJ707" s="2"/>
      <c r="AK707" s="2"/>
    </row>
    <row r="708" spans="1:37" ht="14.25" customHeight="1">
      <c r="A708" s="2"/>
      <c r="B708" s="2"/>
      <c r="C708" s="2"/>
      <c r="D708" s="2"/>
      <c r="E708" s="16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4"/>
      <c r="W708" s="2"/>
      <c r="X708" s="2"/>
      <c r="Y708" s="4"/>
      <c r="Z708" s="2"/>
      <c r="AA708" s="2"/>
      <c r="AB708" s="2"/>
      <c r="AC708" s="4"/>
      <c r="AD708" s="2"/>
      <c r="AE708" s="2"/>
      <c r="AF708" s="2"/>
      <c r="AG708" s="2"/>
      <c r="AH708" s="2"/>
      <c r="AI708" s="2"/>
      <c r="AJ708" s="2"/>
      <c r="AK708" s="2"/>
    </row>
    <row r="709" spans="1:37" ht="14.25" customHeight="1">
      <c r="A709" s="2"/>
      <c r="B709" s="2"/>
      <c r="C709" s="2"/>
      <c r="D709" s="2"/>
      <c r="E709" s="16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4"/>
      <c r="W709" s="2"/>
      <c r="X709" s="2"/>
      <c r="Y709" s="4"/>
      <c r="Z709" s="2"/>
      <c r="AA709" s="2"/>
      <c r="AB709" s="2"/>
      <c r="AC709" s="4"/>
      <c r="AD709" s="2"/>
      <c r="AE709" s="2"/>
      <c r="AF709" s="2"/>
      <c r="AG709" s="2"/>
      <c r="AH709" s="2"/>
      <c r="AI709" s="2"/>
      <c r="AJ709" s="2"/>
      <c r="AK709" s="2"/>
    </row>
    <row r="710" spans="1:37" ht="14.25" customHeight="1">
      <c r="A710" s="2"/>
      <c r="B710" s="2"/>
      <c r="C710" s="2"/>
      <c r="D710" s="2"/>
      <c r="E710" s="16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4"/>
      <c r="W710" s="2"/>
      <c r="X710" s="2"/>
      <c r="Y710" s="4"/>
      <c r="Z710" s="2"/>
      <c r="AA710" s="2"/>
      <c r="AB710" s="2"/>
      <c r="AC710" s="4"/>
      <c r="AD710" s="2"/>
      <c r="AE710" s="2"/>
      <c r="AF710" s="2"/>
      <c r="AG710" s="2"/>
      <c r="AH710" s="2"/>
      <c r="AI710" s="2"/>
      <c r="AJ710" s="2"/>
      <c r="AK710" s="2"/>
    </row>
    <row r="711" spans="1:37" ht="14.25" customHeight="1">
      <c r="A711" s="2"/>
      <c r="B711" s="2"/>
      <c r="C711" s="2"/>
      <c r="D711" s="2"/>
      <c r="E711" s="16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4"/>
      <c r="W711" s="2"/>
      <c r="X711" s="2"/>
      <c r="Y711" s="4"/>
      <c r="Z711" s="2"/>
      <c r="AA711" s="2"/>
      <c r="AB711" s="2"/>
      <c r="AC711" s="4"/>
      <c r="AD711" s="2"/>
      <c r="AE711" s="2"/>
      <c r="AF711" s="2"/>
      <c r="AG711" s="2"/>
      <c r="AH711" s="2"/>
      <c r="AI711" s="2"/>
      <c r="AJ711" s="2"/>
      <c r="AK711" s="2"/>
    </row>
    <row r="712" spans="1:37" ht="14.25" customHeight="1">
      <c r="A712" s="2"/>
      <c r="B712" s="2"/>
      <c r="C712" s="2"/>
      <c r="D712" s="2"/>
      <c r="E712" s="16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4"/>
      <c r="W712" s="2"/>
      <c r="X712" s="2"/>
      <c r="Y712" s="4"/>
      <c r="Z712" s="2"/>
      <c r="AA712" s="2"/>
      <c r="AB712" s="2"/>
      <c r="AC712" s="4"/>
      <c r="AD712" s="2"/>
      <c r="AE712" s="2"/>
      <c r="AF712" s="2"/>
      <c r="AG712" s="2"/>
      <c r="AH712" s="2"/>
      <c r="AI712" s="2"/>
      <c r="AJ712" s="2"/>
      <c r="AK712" s="2"/>
    </row>
    <row r="713" spans="1:37" ht="14.25" customHeight="1">
      <c r="A713" s="2"/>
      <c r="B713" s="2"/>
      <c r="C713" s="2"/>
      <c r="D713" s="2"/>
      <c r="E713" s="16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4"/>
      <c r="W713" s="2"/>
      <c r="X713" s="2"/>
      <c r="Y713" s="4"/>
      <c r="Z713" s="2"/>
      <c r="AA713" s="2"/>
      <c r="AB713" s="2"/>
      <c r="AC713" s="4"/>
      <c r="AD713" s="2"/>
      <c r="AE713" s="2"/>
      <c r="AF713" s="2"/>
      <c r="AG713" s="2"/>
      <c r="AH713" s="2"/>
      <c r="AI713" s="2"/>
      <c r="AJ713" s="2"/>
      <c r="AK713" s="2"/>
    </row>
    <row r="714" spans="1:37" ht="14.25" customHeight="1">
      <c r="A714" s="2"/>
      <c r="B714" s="2"/>
      <c r="C714" s="2"/>
      <c r="D714" s="2"/>
      <c r="E714" s="16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4"/>
      <c r="W714" s="2"/>
      <c r="X714" s="2"/>
      <c r="Y714" s="4"/>
      <c r="Z714" s="2"/>
      <c r="AA714" s="2"/>
      <c r="AB714" s="2"/>
      <c r="AC714" s="4"/>
      <c r="AD714" s="2"/>
      <c r="AE714" s="2"/>
      <c r="AF714" s="2"/>
      <c r="AG714" s="2"/>
      <c r="AH714" s="2"/>
      <c r="AI714" s="2"/>
      <c r="AJ714" s="2"/>
      <c r="AK714" s="2"/>
    </row>
    <row r="715" spans="1:37" ht="14.25" customHeight="1">
      <c r="A715" s="2"/>
      <c r="B715" s="2"/>
      <c r="C715" s="2"/>
      <c r="D715" s="2"/>
      <c r="E715" s="16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4"/>
      <c r="W715" s="2"/>
      <c r="X715" s="2"/>
      <c r="Y715" s="4"/>
      <c r="Z715" s="2"/>
      <c r="AA715" s="2"/>
      <c r="AB715" s="2"/>
      <c r="AC715" s="4"/>
      <c r="AD715" s="2"/>
      <c r="AE715" s="2"/>
      <c r="AF715" s="2"/>
      <c r="AG715" s="2"/>
      <c r="AH715" s="2"/>
      <c r="AI715" s="2"/>
      <c r="AJ715" s="2"/>
      <c r="AK715" s="2"/>
    </row>
    <row r="716" spans="1:37" ht="14.25" customHeight="1">
      <c r="A716" s="2"/>
      <c r="B716" s="2"/>
      <c r="C716" s="2"/>
      <c r="D716" s="2"/>
      <c r="E716" s="16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4"/>
      <c r="W716" s="2"/>
      <c r="X716" s="2"/>
      <c r="Y716" s="4"/>
      <c r="Z716" s="2"/>
      <c r="AA716" s="2"/>
      <c r="AB716" s="2"/>
      <c r="AC716" s="4"/>
      <c r="AD716" s="2"/>
      <c r="AE716" s="2"/>
      <c r="AF716" s="2"/>
      <c r="AG716" s="2"/>
      <c r="AH716" s="2"/>
      <c r="AI716" s="2"/>
      <c r="AJ716" s="2"/>
      <c r="AK716" s="2"/>
    </row>
    <row r="717" spans="1:37" ht="14.25" customHeight="1">
      <c r="A717" s="2"/>
      <c r="B717" s="2"/>
      <c r="C717" s="2"/>
      <c r="D717" s="2"/>
      <c r="E717" s="16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4"/>
      <c r="W717" s="2"/>
      <c r="X717" s="2"/>
      <c r="Y717" s="4"/>
      <c r="Z717" s="2"/>
      <c r="AA717" s="2"/>
      <c r="AB717" s="2"/>
      <c r="AC717" s="4"/>
      <c r="AD717" s="2"/>
      <c r="AE717" s="2"/>
      <c r="AF717" s="2"/>
      <c r="AG717" s="2"/>
      <c r="AH717" s="2"/>
      <c r="AI717" s="2"/>
      <c r="AJ717" s="2"/>
      <c r="AK717" s="2"/>
    </row>
    <row r="718" spans="1:37" ht="14.25" customHeight="1">
      <c r="A718" s="2"/>
      <c r="B718" s="2"/>
      <c r="C718" s="2"/>
      <c r="D718" s="2"/>
      <c r="E718" s="16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4"/>
      <c r="W718" s="2"/>
      <c r="X718" s="2"/>
      <c r="Y718" s="4"/>
      <c r="Z718" s="2"/>
      <c r="AA718" s="2"/>
      <c r="AB718" s="2"/>
      <c r="AC718" s="4"/>
      <c r="AD718" s="2"/>
      <c r="AE718" s="2"/>
      <c r="AF718" s="2"/>
      <c r="AG718" s="2"/>
      <c r="AH718" s="2"/>
      <c r="AI718" s="2"/>
      <c r="AJ718" s="2"/>
      <c r="AK718" s="2"/>
    </row>
    <row r="719" spans="1:37" ht="14.25" customHeight="1">
      <c r="A719" s="2"/>
      <c r="B719" s="2"/>
      <c r="C719" s="2"/>
      <c r="D719" s="2"/>
      <c r="E719" s="16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4"/>
      <c r="W719" s="2"/>
      <c r="X719" s="2"/>
      <c r="Y719" s="4"/>
      <c r="Z719" s="2"/>
      <c r="AA719" s="2"/>
      <c r="AB719" s="2"/>
      <c r="AC719" s="4"/>
      <c r="AD719" s="2"/>
      <c r="AE719" s="2"/>
      <c r="AF719" s="2"/>
      <c r="AG719" s="2"/>
      <c r="AH719" s="2"/>
      <c r="AI719" s="2"/>
      <c r="AJ719" s="2"/>
      <c r="AK719" s="2"/>
    </row>
    <row r="720" spans="1:37" ht="14.25" customHeight="1">
      <c r="A720" s="2"/>
      <c r="B720" s="2"/>
      <c r="C720" s="2"/>
      <c r="D720" s="2"/>
      <c r="E720" s="16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4"/>
      <c r="W720" s="2"/>
      <c r="X720" s="2"/>
      <c r="Y720" s="4"/>
      <c r="Z720" s="2"/>
      <c r="AA720" s="2"/>
      <c r="AB720" s="2"/>
      <c r="AC720" s="4"/>
      <c r="AD720" s="2"/>
      <c r="AE720" s="2"/>
      <c r="AF720" s="2"/>
      <c r="AG720" s="2"/>
      <c r="AH720" s="2"/>
      <c r="AI720" s="2"/>
      <c r="AJ720" s="2"/>
      <c r="AK720" s="2"/>
    </row>
    <row r="721" spans="1:37" ht="14.25" customHeight="1">
      <c r="A721" s="2"/>
      <c r="B721" s="2"/>
      <c r="C721" s="2"/>
      <c r="D721" s="2"/>
      <c r="E721" s="16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4"/>
      <c r="W721" s="2"/>
      <c r="X721" s="2"/>
      <c r="Y721" s="4"/>
      <c r="Z721" s="2"/>
      <c r="AA721" s="2"/>
      <c r="AB721" s="2"/>
      <c r="AC721" s="4"/>
      <c r="AD721" s="2"/>
      <c r="AE721" s="2"/>
      <c r="AF721" s="2"/>
      <c r="AG721" s="2"/>
      <c r="AH721" s="2"/>
      <c r="AI721" s="2"/>
      <c r="AJ721" s="2"/>
      <c r="AK721" s="2"/>
    </row>
    <row r="722" spans="1:37" ht="14.25" customHeight="1">
      <c r="A722" s="2"/>
      <c r="B722" s="2"/>
      <c r="C722" s="2"/>
      <c r="D722" s="2"/>
      <c r="E722" s="16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4"/>
      <c r="W722" s="2"/>
      <c r="X722" s="2"/>
      <c r="Y722" s="4"/>
      <c r="Z722" s="2"/>
      <c r="AA722" s="2"/>
      <c r="AB722" s="2"/>
      <c r="AC722" s="4"/>
      <c r="AD722" s="2"/>
      <c r="AE722" s="2"/>
      <c r="AF722" s="2"/>
      <c r="AG722" s="2"/>
      <c r="AH722" s="2"/>
      <c r="AI722" s="2"/>
      <c r="AJ722" s="2"/>
      <c r="AK722" s="2"/>
    </row>
    <row r="723" spans="1:37" ht="14.25" customHeight="1">
      <c r="A723" s="2"/>
      <c r="B723" s="2"/>
      <c r="C723" s="2"/>
      <c r="D723" s="2"/>
      <c r="E723" s="16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4"/>
      <c r="W723" s="2"/>
      <c r="X723" s="2"/>
      <c r="Y723" s="4"/>
      <c r="Z723" s="2"/>
      <c r="AA723" s="2"/>
      <c r="AB723" s="2"/>
      <c r="AC723" s="4"/>
      <c r="AD723" s="2"/>
      <c r="AE723" s="2"/>
      <c r="AF723" s="2"/>
      <c r="AG723" s="2"/>
      <c r="AH723" s="2"/>
      <c r="AI723" s="2"/>
      <c r="AJ723" s="2"/>
      <c r="AK723" s="2"/>
    </row>
    <row r="724" spans="1:37" ht="14.25" customHeight="1">
      <c r="A724" s="2"/>
      <c r="B724" s="2"/>
      <c r="C724" s="2"/>
      <c r="D724" s="2"/>
      <c r="E724" s="16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4"/>
      <c r="W724" s="2"/>
      <c r="X724" s="2"/>
      <c r="Y724" s="4"/>
      <c r="Z724" s="2"/>
      <c r="AA724" s="2"/>
      <c r="AB724" s="2"/>
      <c r="AC724" s="4"/>
      <c r="AD724" s="2"/>
      <c r="AE724" s="2"/>
      <c r="AF724" s="2"/>
      <c r="AG724" s="2"/>
      <c r="AH724" s="2"/>
      <c r="AI724" s="2"/>
      <c r="AJ724" s="2"/>
      <c r="AK724" s="2"/>
    </row>
    <row r="725" spans="1:37" ht="14.25" customHeight="1">
      <c r="A725" s="2"/>
      <c r="B725" s="2"/>
      <c r="C725" s="2"/>
      <c r="D725" s="2"/>
      <c r="E725" s="16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4"/>
      <c r="W725" s="2"/>
      <c r="X725" s="2"/>
      <c r="Y725" s="4"/>
      <c r="Z725" s="2"/>
      <c r="AA725" s="2"/>
      <c r="AB725" s="2"/>
      <c r="AC725" s="4"/>
      <c r="AD725" s="2"/>
      <c r="AE725" s="2"/>
      <c r="AF725" s="2"/>
      <c r="AG725" s="2"/>
      <c r="AH725" s="2"/>
      <c r="AI725" s="2"/>
      <c r="AJ725" s="2"/>
      <c r="AK725" s="2"/>
    </row>
    <row r="726" spans="1:37" ht="14.25" customHeight="1">
      <c r="A726" s="2"/>
      <c r="B726" s="2"/>
      <c r="C726" s="2"/>
      <c r="D726" s="2"/>
      <c r="E726" s="16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4"/>
      <c r="W726" s="2"/>
      <c r="X726" s="2"/>
      <c r="Y726" s="4"/>
      <c r="Z726" s="2"/>
      <c r="AA726" s="2"/>
      <c r="AB726" s="2"/>
      <c r="AC726" s="4"/>
      <c r="AD726" s="2"/>
      <c r="AE726" s="2"/>
      <c r="AF726" s="2"/>
      <c r="AG726" s="2"/>
      <c r="AH726" s="2"/>
      <c r="AI726" s="2"/>
      <c r="AJ726" s="2"/>
      <c r="AK726" s="2"/>
    </row>
    <row r="727" spans="1:37" ht="14.25" customHeight="1">
      <c r="A727" s="2"/>
      <c r="B727" s="2"/>
      <c r="C727" s="2"/>
      <c r="D727" s="2"/>
      <c r="E727" s="16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4"/>
      <c r="W727" s="2"/>
      <c r="X727" s="2"/>
      <c r="Y727" s="4"/>
      <c r="Z727" s="2"/>
      <c r="AA727" s="2"/>
      <c r="AB727" s="2"/>
      <c r="AC727" s="4"/>
      <c r="AD727" s="2"/>
      <c r="AE727" s="2"/>
      <c r="AF727" s="2"/>
      <c r="AG727" s="2"/>
      <c r="AH727" s="2"/>
      <c r="AI727" s="2"/>
      <c r="AJ727" s="2"/>
      <c r="AK727" s="2"/>
    </row>
    <row r="728" spans="1:37" ht="14.25" customHeight="1">
      <c r="A728" s="2"/>
      <c r="B728" s="2"/>
      <c r="C728" s="2"/>
      <c r="D728" s="2"/>
      <c r="E728" s="16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4"/>
      <c r="W728" s="2"/>
      <c r="X728" s="2"/>
      <c r="Y728" s="4"/>
      <c r="Z728" s="2"/>
      <c r="AA728" s="2"/>
      <c r="AB728" s="2"/>
      <c r="AC728" s="4"/>
      <c r="AD728" s="2"/>
      <c r="AE728" s="2"/>
      <c r="AF728" s="2"/>
      <c r="AG728" s="2"/>
      <c r="AH728" s="2"/>
      <c r="AI728" s="2"/>
      <c r="AJ728" s="2"/>
      <c r="AK728" s="2"/>
    </row>
    <row r="729" spans="1:37" ht="14.25" customHeight="1">
      <c r="A729" s="2"/>
      <c r="B729" s="2"/>
      <c r="C729" s="2"/>
      <c r="D729" s="2"/>
      <c r="E729" s="16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4"/>
      <c r="W729" s="2"/>
      <c r="X729" s="2"/>
      <c r="Y729" s="4"/>
      <c r="Z729" s="2"/>
      <c r="AA729" s="2"/>
      <c r="AB729" s="2"/>
      <c r="AC729" s="4"/>
      <c r="AD729" s="2"/>
      <c r="AE729" s="2"/>
      <c r="AF729" s="2"/>
      <c r="AG729" s="2"/>
      <c r="AH729" s="2"/>
      <c r="AI729" s="2"/>
      <c r="AJ729" s="2"/>
      <c r="AK729" s="2"/>
    </row>
    <row r="730" spans="1:37" ht="14.25" customHeight="1">
      <c r="A730" s="2"/>
      <c r="B730" s="2"/>
      <c r="C730" s="2"/>
      <c r="D730" s="2"/>
      <c r="E730" s="16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4"/>
      <c r="W730" s="2"/>
      <c r="X730" s="2"/>
      <c r="Y730" s="4"/>
      <c r="Z730" s="2"/>
      <c r="AA730" s="2"/>
      <c r="AB730" s="2"/>
      <c r="AC730" s="4"/>
      <c r="AD730" s="2"/>
      <c r="AE730" s="2"/>
      <c r="AF730" s="2"/>
      <c r="AG730" s="2"/>
      <c r="AH730" s="2"/>
      <c r="AI730" s="2"/>
      <c r="AJ730" s="2"/>
      <c r="AK730" s="2"/>
    </row>
    <row r="731" spans="1:37" ht="14.25" customHeight="1">
      <c r="A731" s="2"/>
      <c r="B731" s="2"/>
      <c r="C731" s="2"/>
      <c r="D731" s="2"/>
      <c r="E731" s="16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4"/>
      <c r="W731" s="2"/>
      <c r="X731" s="2"/>
      <c r="Y731" s="4"/>
      <c r="Z731" s="2"/>
      <c r="AA731" s="2"/>
      <c r="AB731" s="2"/>
      <c r="AC731" s="4"/>
      <c r="AD731" s="2"/>
      <c r="AE731" s="2"/>
      <c r="AF731" s="2"/>
      <c r="AG731" s="2"/>
      <c r="AH731" s="2"/>
      <c r="AI731" s="2"/>
      <c r="AJ731" s="2"/>
      <c r="AK731" s="2"/>
    </row>
    <row r="732" spans="1:37" ht="14.25" customHeight="1">
      <c r="A732" s="2"/>
      <c r="B732" s="2"/>
      <c r="C732" s="2"/>
      <c r="D732" s="2"/>
      <c r="E732" s="16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4"/>
      <c r="W732" s="2"/>
      <c r="X732" s="2"/>
      <c r="Y732" s="4"/>
      <c r="Z732" s="2"/>
      <c r="AA732" s="2"/>
      <c r="AB732" s="2"/>
      <c r="AC732" s="4"/>
      <c r="AD732" s="2"/>
      <c r="AE732" s="2"/>
      <c r="AF732" s="2"/>
      <c r="AG732" s="2"/>
      <c r="AH732" s="2"/>
      <c r="AI732" s="2"/>
      <c r="AJ732" s="2"/>
      <c r="AK732" s="2"/>
    </row>
    <row r="733" spans="1:37" ht="14.25" customHeight="1">
      <c r="A733" s="2"/>
      <c r="B733" s="2"/>
      <c r="C733" s="2"/>
      <c r="D733" s="2"/>
      <c r="E733" s="16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4"/>
      <c r="W733" s="2"/>
      <c r="X733" s="2"/>
      <c r="Y733" s="4"/>
      <c r="Z733" s="2"/>
      <c r="AA733" s="2"/>
      <c r="AB733" s="2"/>
      <c r="AC733" s="4"/>
      <c r="AD733" s="2"/>
      <c r="AE733" s="2"/>
      <c r="AF733" s="2"/>
      <c r="AG733" s="2"/>
      <c r="AH733" s="2"/>
      <c r="AI733" s="2"/>
      <c r="AJ733" s="2"/>
      <c r="AK733" s="2"/>
    </row>
    <row r="734" spans="1:37" ht="14.25" customHeight="1">
      <c r="A734" s="2"/>
      <c r="B734" s="2"/>
      <c r="C734" s="2"/>
      <c r="D734" s="2"/>
      <c r="E734" s="16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4"/>
      <c r="W734" s="2"/>
      <c r="X734" s="2"/>
      <c r="Y734" s="4"/>
      <c r="Z734" s="2"/>
      <c r="AA734" s="2"/>
      <c r="AB734" s="2"/>
      <c r="AC734" s="4"/>
      <c r="AD734" s="2"/>
      <c r="AE734" s="2"/>
      <c r="AF734" s="2"/>
      <c r="AG734" s="2"/>
      <c r="AH734" s="2"/>
      <c r="AI734" s="2"/>
      <c r="AJ734" s="2"/>
      <c r="AK734" s="2"/>
    </row>
    <row r="735" spans="1:37" ht="14.25" customHeight="1">
      <c r="A735" s="2"/>
      <c r="B735" s="2"/>
      <c r="C735" s="2"/>
      <c r="D735" s="2"/>
      <c r="E735" s="16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4"/>
      <c r="W735" s="2"/>
      <c r="X735" s="2"/>
      <c r="Y735" s="4"/>
      <c r="Z735" s="2"/>
      <c r="AA735" s="2"/>
      <c r="AB735" s="2"/>
      <c r="AC735" s="4"/>
      <c r="AD735" s="2"/>
      <c r="AE735" s="2"/>
      <c r="AF735" s="2"/>
      <c r="AG735" s="2"/>
      <c r="AH735" s="2"/>
      <c r="AI735" s="2"/>
      <c r="AJ735" s="2"/>
      <c r="AK735" s="2"/>
    </row>
    <row r="736" spans="1:37" ht="14.25" customHeight="1">
      <c r="A736" s="2"/>
      <c r="B736" s="2"/>
      <c r="C736" s="2"/>
      <c r="D736" s="2"/>
      <c r="E736" s="16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4"/>
      <c r="W736" s="2"/>
      <c r="X736" s="2"/>
      <c r="Y736" s="4"/>
      <c r="Z736" s="2"/>
      <c r="AA736" s="2"/>
      <c r="AB736" s="2"/>
      <c r="AC736" s="4"/>
      <c r="AD736" s="2"/>
      <c r="AE736" s="2"/>
      <c r="AF736" s="2"/>
      <c r="AG736" s="2"/>
      <c r="AH736" s="2"/>
      <c r="AI736" s="2"/>
      <c r="AJ736" s="2"/>
      <c r="AK736" s="2"/>
    </row>
    <row r="737" spans="1:37" ht="14.25" customHeight="1">
      <c r="A737" s="2"/>
      <c r="B737" s="2"/>
      <c r="C737" s="2"/>
      <c r="D737" s="2"/>
      <c r="E737" s="16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4"/>
      <c r="W737" s="2"/>
      <c r="X737" s="2"/>
      <c r="Y737" s="4"/>
      <c r="Z737" s="2"/>
      <c r="AA737" s="2"/>
      <c r="AB737" s="2"/>
      <c r="AC737" s="4"/>
      <c r="AD737" s="2"/>
      <c r="AE737" s="2"/>
      <c r="AF737" s="2"/>
      <c r="AG737" s="2"/>
      <c r="AH737" s="2"/>
      <c r="AI737" s="2"/>
      <c r="AJ737" s="2"/>
      <c r="AK737" s="2"/>
    </row>
    <row r="738" spans="1:37" ht="14.25" customHeight="1">
      <c r="A738" s="2"/>
      <c r="B738" s="2"/>
      <c r="C738" s="2"/>
      <c r="D738" s="2"/>
      <c r="E738" s="16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4"/>
      <c r="W738" s="2"/>
      <c r="X738" s="2"/>
      <c r="Y738" s="4"/>
      <c r="Z738" s="2"/>
      <c r="AA738" s="2"/>
      <c r="AB738" s="2"/>
      <c r="AC738" s="4"/>
      <c r="AD738" s="2"/>
      <c r="AE738" s="2"/>
      <c r="AF738" s="2"/>
      <c r="AG738" s="2"/>
      <c r="AH738" s="2"/>
      <c r="AI738" s="2"/>
      <c r="AJ738" s="2"/>
      <c r="AK738" s="2"/>
    </row>
    <row r="739" spans="1:37" ht="14.25" customHeight="1">
      <c r="A739" s="2"/>
      <c r="B739" s="2"/>
      <c r="C739" s="2"/>
      <c r="D739" s="2"/>
      <c r="E739" s="16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4"/>
      <c r="W739" s="2"/>
      <c r="X739" s="2"/>
      <c r="Y739" s="4"/>
      <c r="Z739" s="2"/>
      <c r="AA739" s="2"/>
      <c r="AB739" s="2"/>
      <c r="AC739" s="4"/>
      <c r="AD739" s="2"/>
      <c r="AE739" s="2"/>
      <c r="AF739" s="2"/>
      <c r="AG739" s="2"/>
      <c r="AH739" s="2"/>
      <c r="AI739" s="2"/>
      <c r="AJ739" s="2"/>
      <c r="AK739" s="2"/>
    </row>
    <row r="740" spans="1:37" ht="14.25" customHeight="1">
      <c r="A740" s="2"/>
      <c r="B740" s="2"/>
      <c r="C740" s="2"/>
      <c r="D740" s="2"/>
      <c r="E740" s="16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4"/>
      <c r="W740" s="2"/>
      <c r="X740" s="2"/>
      <c r="Y740" s="4"/>
      <c r="Z740" s="2"/>
      <c r="AA740" s="2"/>
      <c r="AB740" s="2"/>
      <c r="AC740" s="4"/>
      <c r="AD740" s="2"/>
      <c r="AE740" s="2"/>
      <c r="AF740" s="2"/>
      <c r="AG740" s="2"/>
      <c r="AH740" s="2"/>
      <c r="AI740" s="2"/>
      <c r="AJ740" s="2"/>
      <c r="AK740" s="2"/>
    </row>
    <row r="741" spans="1:37" ht="14.25" customHeight="1">
      <c r="A741" s="2"/>
      <c r="B741" s="2"/>
      <c r="C741" s="2"/>
      <c r="D741" s="2"/>
      <c r="E741" s="16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4"/>
      <c r="W741" s="2"/>
      <c r="X741" s="2"/>
      <c r="Y741" s="4"/>
      <c r="Z741" s="2"/>
      <c r="AA741" s="2"/>
      <c r="AB741" s="2"/>
      <c r="AC741" s="4"/>
      <c r="AD741" s="2"/>
      <c r="AE741" s="2"/>
      <c r="AF741" s="2"/>
      <c r="AG741" s="2"/>
      <c r="AH741" s="2"/>
      <c r="AI741" s="2"/>
      <c r="AJ741" s="2"/>
      <c r="AK741" s="2"/>
    </row>
    <row r="742" spans="1:37" ht="14.25" customHeight="1">
      <c r="A742" s="2"/>
      <c r="B742" s="2"/>
      <c r="C742" s="2"/>
      <c r="D742" s="2"/>
      <c r="E742" s="16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4"/>
      <c r="W742" s="2"/>
      <c r="X742" s="2"/>
      <c r="Y742" s="4"/>
      <c r="Z742" s="2"/>
      <c r="AA742" s="2"/>
      <c r="AB742" s="2"/>
      <c r="AC742" s="4"/>
      <c r="AD742" s="2"/>
      <c r="AE742" s="2"/>
      <c r="AF742" s="2"/>
      <c r="AG742" s="2"/>
      <c r="AH742" s="2"/>
      <c r="AI742" s="2"/>
      <c r="AJ742" s="2"/>
      <c r="AK742" s="2"/>
    </row>
    <row r="743" spans="1:37" ht="14.25" customHeight="1">
      <c r="A743" s="2"/>
      <c r="B743" s="2"/>
      <c r="C743" s="2"/>
      <c r="D743" s="2"/>
      <c r="E743" s="16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4"/>
      <c r="W743" s="2"/>
      <c r="X743" s="2"/>
      <c r="Y743" s="4"/>
      <c r="Z743" s="2"/>
      <c r="AA743" s="2"/>
      <c r="AB743" s="2"/>
      <c r="AC743" s="4"/>
      <c r="AD743" s="2"/>
      <c r="AE743" s="2"/>
      <c r="AF743" s="2"/>
      <c r="AG743" s="2"/>
      <c r="AH743" s="2"/>
      <c r="AI743" s="2"/>
      <c r="AJ743" s="2"/>
      <c r="AK743" s="2"/>
    </row>
    <row r="744" spans="1:37" ht="14.25" customHeight="1">
      <c r="A744" s="2"/>
      <c r="B744" s="2"/>
      <c r="C744" s="2"/>
      <c r="D744" s="2"/>
      <c r="E744" s="16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4"/>
      <c r="W744" s="2"/>
      <c r="X744" s="2"/>
      <c r="Y744" s="4"/>
      <c r="Z744" s="2"/>
      <c r="AA744" s="2"/>
      <c r="AB744" s="2"/>
      <c r="AC744" s="4"/>
      <c r="AD744" s="2"/>
      <c r="AE744" s="2"/>
      <c r="AF744" s="2"/>
      <c r="AG744" s="2"/>
      <c r="AH744" s="2"/>
      <c r="AI744" s="2"/>
      <c r="AJ744" s="2"/>
      <c r="AK744" s="2"/>
    </row>
    <row r="745" spans="1:37" ht="14.25" customHeight="1">
      <c r="A745" s="2"/>
      <c r="B745" s="2"/>
      <c r="C745" s="2"/>
      <c r="D745" s="2"/>
      <c r="E745" s="16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4"/>
      <c r="W745" s="2"/>
      <c r="X745" s="2"/>
      <c r="Y745" s="4"/>
      <c r="Z745" s="2"/>
      <c r="AA745" s="2"/>
      <c r="AB745" s="2"/>
      <c r="AC745" s="4"/>
      <c r="AD745" s="2"/>
      <c r="AE745" s="2"/>
      <c r="AF745" s="2"/>
      <c r="AG745" s="2"/>
      <c r="AH745" s="2"/>
      <c r="AI745" s="2"/>
      <c r="AJ745" s="2"/>
      <c r="AK745" s="2"/>
    </row>
    <row r="746" spans="1:37" ht="14.25" customHeight="1">
      <c r="A746" s="2"/>
      <c r="B746" s="2"/>
      <c r="C746" s="2"/>
      <c r="D746" s="2"/>
      <c r="E746" s="16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4"/>
      <c r="W746" s="2"/>
      <c r="X746" s="2"/>
      <c r="Y746" s="4"/>
      <c r="Z746" s="2"/>
      <c r="AA746" s="2"/>
      <c r="AB746" s="2"/>
      <c r="AC746" s="4"/>
      <c r="AD746" s="2"/>
      <c r="AE746" s="2"/>
      <c r="AF746" s="2"/>
      <c r="AG746" s="2"/>
      <c r="AH746" s="2"/>
      <c r="AI746" s="2"/>
      <c r="AJ746" s="2"/>
      <c r="AK746" s="2"/>
    </row>
    <row r="747" spans="1:37" ht="14.25" customHeight="1">
      <c r="A747" s="2"/>
      <c r="B747" s="2"/>
      <c r="C747" s="2"/>
      <c r="D747" s="2"/>
      <c r="E747" s="16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4"/>
      <c r="W747" s="2"/>
      <c r="X747" s="2"/>
      <c r="Y747" s="4"/>
      <c r="Z747" s="2"/>
      <c r="AA747" s="2"/>
      <c r="AB747" s="2"/>
      <c r="AC747" s="4"/>
      <c r="AD747" s="2"/>
      <c r="AE747" s="2"/>
      <c r="AF747" s="2"/>
      <c r="AG747" s="2"/>
      <c r="AH747" s="2"/>
      <c r="AI747" s="2"/>
      <c r="AJ747" s="2"/>
      <c r="AK747" s="2"/>
    </row>
    <row r="748" spans="1:37" ht="14.25" customHeight="1">
      <c r="A748" s="2"/>
      <c r="B748" s="2"/>
      <c r="C748" s="2"/>
      <c r="D748" s="2"/>
      <c r="E748" s="16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4"/>
      <c r="W748" s="2"/>
      <c r="X748" s="2"/>
      <c r="Y748" s="4"/>
      <c r="Z748" s="2"/>
      <c r="AA748" s="2"/>
      <c r="AB748" s="2"/>
      <c r="AC748" s="4"/>
      <c r="AD748" s="2"/>
      <c r="AE748" s="2"/>
      <c r="AF748" s="2"/>
      <c r="AG748" s="2"/>
      <c r="AH748" s="2"/>
      <c r="AI748" s="2"/>
      <c r="AJ748" s="2"/>
      <c r="AK748" s="2"/>
    </row>
    <row r="749" spans="1:37" ht="14.25" customHeight="1">
      <c r="A749" s="2"/>
      <c r="B749" s="2"/>
      <c r="C749" s="2"/>
      <c r="D749" s="2"/>
      <c r="E749" s="16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4"/>
      <c r="W749" s="2"/>
      <c r="X749" s="2"/>
      <c r="Y749" s="4"/>
      <c r="Z749" s="2"/>
      <c r="AA749" s="2"/>
      <c r="AB749" s="2"/>
      <c r="AC749" s="4"/>
      <c r="AD749" s="2"/>
      <c r="AE749" s="2"/>
      <c r="AF749" s="2"/>
      <c r="AG749" s="2"/>
      <c r="AH749" s="2"/>
      <c r="AI749" s="2"/>
      <c r="AJ749" s="2"/>
      <c r="AK749" s="2"/>
    </row>
    <row r="750" spans="1:37" ht="14.25" customHeight="1">
      <c r="A750" s="2"/>
      <c r="B750" s="2"/>
      <c r="C750" s="2"/>
      <c r="D750" s="2"/>
      <c r="E750" s="16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4"/>
      <c r="W750" s="2"/>
      <c r="X750" s="2"/>
      <c r="Y750" s="4"/>
      <c r="Z750" s="2"/>
      <c r="AA750" s="2"/>
      <c r="AB750" s="2"/>
      <c r="AC750" s="4"/>
      <c r="AD750" s="2"/>
      <c r="AE750" s="2"/>
      <c r="AF750" s="2"/>
      <c r="AG750" s="2"/>
      <c r="AH750" s="2"/>
      <c r="AI750" s="2"/>
      <c r="AJ750" s="2"/>
      <c r="AK750" s="2"/>
    </row>
    <row r="751" spans="1:37" ht="14.25" customHeight="1">
      <c r="A751" s="2"/>
      <c r="B751" s="2"/>
      <c r="C751" s="2"/>
      <c r="D751" s="2"/>
      <c r="E751" s="16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4"/>
      <c r="W751" s="2"/>
      <c r="X751" s="2"/>
      <c r="Y751" s="4"/>
      <c r="Z751" s="2"/>
      <c r="AA751" s="2"/>
      <c r="AB751" s="2"/>
      <c r="AC751" s="4"/>
      <c r="AD751" s="2"/>
      <c r="AE751" s="2"/>
      <c r="AF751" s="2"/>
      <c r="AG751" s="2"/>
      <c r="AH751" s="2"/>
      <c r="AI751" s="2"/>
      <c r="AJ751" s="2"/>
      <c r="AK751" s="2"/>
    </row>
    <row r="752" spans="1:37" ht="14.25" customHeight="1">
      <c r="A752" s="2"/>
      <c r="B752" s="2"/>
      <c r="C752" s="2"/>
      <c r="D752" s="2"/>
      <c r="E752" s="16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4"/>
      <c r="W752" s="2"/>
      <c r="X752" s="2"/>
      <c r="Y752" s="4"/>
      <c r="Z752" s="2"/>
      <c r="AA752" s="2"/>
      <c r="AB752" s="2"/>
      <c r="AC752" s="4"/>
      <c r="AD752" s="2"/>
      <c r="AE752" s="2"/>
      <c r="AF752" s="2"/>
      <c r="AG752" s="2"/>
      <c r="AH752" s="2"/>
      <c r="AI752" s="2"/>
      <c r="AJ752" s="2"/>
      <c r="AK752" s="2"/>
    </row>
    <row r="753" spans="1:37" ht="14.25" customHeight="1">
      <c r="A753" s="2"/>
      <c r="B753" s="2"/>
      <c r="C753" s="2"/>
      <c r="D753" s="2"/>
      <c r="E753" s="16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4"/>
      <c r="W753" s="2"/>
      <c r="X753" s="2"/>
      <c r="Y753" s="4"/>
      <c r="Z753" s="2"/>
      <c r="AA753" s="2"/>
      <c r="AB753" s="2"/>
      <c r="AC753" s="4"/>
      <c r="AD753" s="2"/>
      <c r="AE753" s="2"/>
      <c r="AF753" s="2"/>
      <c r="AG753" s="2"/>
      <c r="AH753" s="2"/>
      <c r="AI753" s="2"/>
      <c r="AJ753" s="2"/>
      <c r="AK753" s="2"/>
    </row>
    <row r="754" spans="1:37" ht="14.25" customHeight="1">
      <c r="A754" s="2"/>
      <c r="B754" s="2"/>
      <c r="C754" s="2"/>
      <c r="D754" s="2"/>
      <c r="E754" s="16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4"/>
      <c r="W754" s="2"/>
      <c r="X754" s="2"/>
      <c r="Y754" s="4"/>
      <c r="Z754" s="2"/>
      <c r="AA754" s="2"/>
      <c r="AB754" s="2"/>
      <c r="AC754" s="4"/>
      <c r="AD754" s="2"/>
      <c r="AE754" s="2"/>
      <c r="AF754" s="2"/>
      <c r="AG754" s="2"/>
      <c r="AH754" s="2"/>
      <c r="AI754" s="2"/>
      <c r="AJ754" s="2"/>
      <c r="AK754" s="2"/>
    </row>
    <row r="755" spans="1:37" ht="14.25" customHeight="1">
      <c r="A755" s="2"/>
      <c r="B755" s="2"/>
      <c r="C755" s="2"/>
      <c r="D755" s="2"/>
      <c r="E755" s="16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4"/>
      <c r="W755" s="2"/>
      <c r="X755" s="2"/>
      <c r="Y755" s="4"/>
      <c r="Z755" s="2"/>
      <c r="AA755" s="2"/>
      <c r="AB755" s="2"/>
      <c r="AC755" s="4"/>
      <c r="AD755" s="2"/>
      <c r="AE755" s="2"/>
      <c r="AF755" s="2"/>
      <c r="AG755" s="2"/>
      <c r="AH755" s="2"/>
      <c r="AI755" s="2"/>
      <c r="AJ755" s="2"/>
      <c r="AK755" s="2"/>
    </row>
    <row r="756" spans="1:37" ht="14.25" customHeight="1">
      <c r="A756" s="2"/>
      <c r="B756" s="2"/>
      <c r="C756" s="2"/>
      <c r="D756" s="2"/>
      <c r="E756" s="16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4"/>
      <c r="W756" s="2"/>
      <c r="X756" s="2"/>
      <c r="Y756" s="4"/>
      <c r="Z756" s="2"/>
      <c r="AA756" s="2"/>
      <c r="AB756" s="2"/>
      <c r="AC756" s="4"/>
      <c r="AD756" s="2"/>
      <c r="AE756" s="2"/>
      <c r="AF756" s="2"/>
      <c r="AG756" s="2"/>
      <c r="AH756" s="2"/>
      <c r="AI756" s="2"/>
      <c r="AJ756" s="2"/>
      <c r="AK756" s="2"/>
    </row>
    <row r="757" spans="1:37" ht="14.25" customHeight="1">
      <c r="A757" s="2"/>
      <c r="B757" s="2"/>
      <c r="C757" s="2"/>
      <c r="D757" s="2"/>
      <c r="E757" s="16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4"/>
      <c r="W757" s="2"/>
      <c r="X757" s="2"/>
      <c r="Y757" s="4"/>
      <c r="Z757" s="2"/>
      <c r="AA757" s="2"/>
      <c r="AB757" s="2"/>
      <c r="AC757" s="4"/>
      <c r="AD757" s="2"/>
      <c r="AE757" s="2"/>
      <c r="AF757" s="2"/>
      <c r="AG757" s="2"/>
      <c r="AH757" s="2"/>
      <c r="AI757" s="2"/>
      <c r="AJ757" s="2"/>
      <c r="AK757" s="2"/>
    </row>
    <row r="758" spans="1:37" ht="14.25" customHeight="1">
      <c r="A758" s="2"/>
      <c r="B758" s="2"/>
      <c r="C758" s="2"/>
      <c r="D758" s="2"/>
      <c r="E758" s="16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4"/>
      <c r="W758" s="2"/>
      <c r="X758" s="2"/>
      <c r="Y758" s="4"/>
      <c r="Z758" s="2"/>
      <c r="AA758" s="2"/>
      <c r="AB758" s="2"/>
      <c r="AC758" s="4"/>
      <c r="AD758" s="2"/>
      <c r="AE758" s="2"/>
      <c r="AF758" s="2"/>
      <c r="AG758" s="2"/>
      <c r="AH758" s="2"/>
      <c r="AI758" s="2"/>
      <c r="AJ758" s="2"/>
      <c r="AK758" s="2"/>
    </row>
    <row r="759" spans="1:37" ht="14.25" customHeight="1">
      <c r="A759" s="2"/>
      <c r="B759" s="2"/>
      <c r="C759" s="2"/>
      <c r="D759" s="2"/>
      <c r="E759" s="16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4"/>
      <c r="W759" s="2"/>
      <c r="X759" s="2"/>
      <c r="Y759" s="4"/>
      <c r="Z759" s="2"/>
      <c r="AA759" s="2"/>
      <c r="AB759" s="2"/>
      <c r="AC759" s="4"/>
      <c r="AD759" s="2"/>
      <c r="AE759" s="2"/>
      <c r="AF759" s="2"/>
      <c r="AG759" s="2"/>
      <c r="AH759" s="2"/>
      <c r="AI759" s="2"/>
      <c r="AJ759" s="2"/>
      <c r="AK759" s="2"/>
    </row>
    <row r="760" spans="1:37" ht="14.25" customHeight="1">
      <c r="A760" s="2"/>
      <c r="B760" s="2"/>
      <c r="C760" s="2"/>
      <c r="D760" s="2"/>
      <c r="E760" s="16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4"/>
      <c r="W760" s="2"/>
      <c r="X760" s="2"/>
      <c r="Y760" s="4"/>
      <c r="Z760" s="2"/>
      <c r="AA760" s="2"/>
      <c r="AB760" s="2"/>
      <c r="AC760" s="4"/>
      <c r="AD760" s="2"/>
      <c r="AE760" s="2"/>
      <c r="AF760" s="2"/>
      <c r="AG760" s="2"/>
      <c r="AH760" s="2"/>
      <c r="AI760" s="2"/>
      <c r="AJ760" s="2"/>
      <c r="AK760" s="2"/>
    </row>
    <row r="761" spans="1:37" ht="14.25" customHeight="1">
      <c r="A761" s="2"/>
      <c r="B761" s="2"/>
      <c r="C761" s="2"/>
      <c r="D761" s="2"/>
      <c r="E761" s="16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4"/>
      <c r="W761" s="2"/>
      <c r="X761" s="2"/>
      <c r="Y761" s="4"/>
      <c r="Z761" s="2"/>
      <c r="AA761" s="2"/>
      <c r="AB761" s="2"/>
      <c r="AC761" s="4"/>
      <c r="AD761" s="2"/>
      <c r="AE761" s="2"/>
      <c r="AF761" s="2"/>
      <c r="AG761" s="2"/>
      <c r="AH761" s="2"/>
      <c r="AI761" s="2"/>
      <c r="AJ761" s="2"/>
      <c r="AK761" s="2"/>
    </row>
    <row r="762" spans="1:37" ht="14.25" customHeight="1">
      <c r="A762" s="2"/>
      <c r="B762" s="2"/>
      <c r="C762" s="2"/>
      <c r="D762" s="2"/>
      <c r="E762" s="16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4"/>
      <c r="W762" s="2"/>
      <c r="X762" s="2"/>
      <c r="Y762" s="4"/>
      <c r="Z762" s="2"/>
      <c r="AA762" s="2"/>
      <c r="AB762" s="2"/>
      <c r="AC762" s="4"/>
      <c r="AD762" s="2"/>
      <c r="AE762" s="2"/>
      <c r="AF762" s="2"/>
      <c r="AG762" s="2"/>
      <c r="AH762" s="2"/>
      <c r="AI762" s="2"/>
      <c r="AJ762" s="2"/>
      <c r="AK762" s="2"/>
    </row>
    <row r="763" spans="1:37" ht="14.25" customHeight="1">
      <c r="A763" s="2"/>
      <c r="B763" s="2"/>
      <c r="C763" s="2"/>
      <c r="D763" s="2"/>
      <c r="E763" s="16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4"/>
      <c r="W763" s="2"/>
      <c r="X763" s="2"/>
      <c r="Y763" s="4"/>
      <c r="Z763" s="2"/>
      <c r="AA763" s="2"/>
      <c r="AB763" s="2"/>
      <c r="AC763" s="4"/>
      <c r="AD763" s="2"/>
      <c r="AE763" s="2"/>
      <c r="AF763" s="2"/>
      <c r="AG763" s="2"/>
      <c r="AH763" s="2"/>
      <c r="AI763" s="2"/>
      <c r="AJ763" s="2"/>
      <c r="AK763" s="2"/>
    </row>
    <row r="764" spans="1:37" ht="14.25" customHeight="1">
      <c r="A764" s="2"/>
      <c r="B764" s="2"/>
      <c r="C764" s="2"/>
      <c r="D764" s="2"/>
      <c r="E764" s="16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4"/>
      <c r="W764" s="2"/>
      <c r="X764" s="2"/>
      <c r="Y764" s="4"/>
      <c r="Z764" s="2"/>
      <c r="AA764" s="2"/>
      <c r="AB764" s="2"/>
      <c r="AC764" s="4"/>
      <c r="AD764" s="2"/>
      <c r="AE764" s="2"/>
      <c r="AF764" s="2"/>
      <c r="AG764" s="2"/>
      <c r="AH764" s="2"/>
      <c r="AI764" s="2"/>
      <c r="AJ764" s="2"/>
      <c r="AK764" s="2"/>
    </row>
    <row r="765" spans="1:37" ht="14.25" customHeight="1">
      <c r="A765" s="2"/>
      <c r="B765" s="2"/>
      <c r="C765" s="2"/>
      <c r="D765" s="2"/>
      <c r="E765" s="1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4"/>
      <c r="W765" s="2"/>
      <c r="X765" s="2"/>
      <c r="Y765" s="4"/>
      <c r="Z765" s="2"/>
      <c r="AA765" s="2"/>
      <c r="AB765" s="2"/>
      <c r="AC765" s="4"/>
      <c r="AD765" s="2"/>
      <c r="AE765" s="2"/>
      <c r="AF765" s="2"/>
      <c r="AG765" s="2"/>
      <c r="AH765" s="2"/>
      <c r="AI765" s="2"/>
      <c r="AJ765" s="2"/>
      <c r="AK765" s="2"/>
    </row>
    <row r="766" spans="1:37" ht="14.25" customHeight="1">
      <c r="A766" s="2"/>
      <c r="B766" s="2"/>
      <c r="C766" s="2"/>
      <c r="D766" s="2"/>
      <c r="E766" s="16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4"/>
      <c r="W766" s="2"/>
      <c r="X766" s="2"/>
      <c r="Y766" s="4"/>
      <c r="Z766" s="2"/>
      <c r="AA766" s="2"/>
      <c r="AB766" s="2"/>
      <c r="AC766" s="4"/>
      <c r="AD766" s="2"/>
      <c r="AE766" s="2"/>
      <c r="AF766" s="2"/>
      <c r="AG766" s="2"/>
      <c r="AH766" s="2"/>
      <c r="AI766" s="2"/>
      <c r="AJ766" s="2"/>
      <c r="AK766" s="2"/>
    </row>
    <row r="767" spans="1:37" ht="14.25" customHeight="1">
      <c r="A767" s="2"/>
      <c r="B767" s="2"/>
      <c r="C767" s="2"/>
      <c r="D767" s="2"/>
      <c r="E767" s="16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4"/>
      <c r="W767" s="2"/>
      <c r="X767" s="2"/>
      <c r="Y767" s="4"/>
      <c r="Z767" s="2"/>
      <c r="AA767" s="2"/>
      <c r="AB767" s="2"/>
      <c r="AC767" s="4"/>
      <c r="AD767" s="2"/>
      <c r="AE767" s="2"/>
      <c r="AF767" s="2"/>
      <c r="AG767" s="2"/>
      <c r="AH767" s="2"/>
      <c r="AI767" s="2"/>
      <c r="AJ767" s="2"/>
      <c r="AK767" s="2"/>
    </row>
    <row r="768" spans="1:37" ht="14.25" customHeight="1">
      <c r="A768" s="2"/>
      <c r="B768" s="2"/>
      <c r="C768" s="2"/>
      <c r="D768" s="2"/>
      <c r="E768" s="16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4"/>
      <c r="W768" s="2"/>
      <c r="X768" s="2"/>
      <c r="Y768" s="4"/>
      <c r="Z768" s="2"/>
      <c r="AA768" s="2"/>
      <c r="AB768" s="2"/>
      <c r="AC768" s="4"/>
      <c r="AD768" s="2"/>
      <c r="AE768" s="2"/>
      <c r="AF768" s="2"/>
      <c r="AG768" s="2"/>
      <c r="AH768" s="2"/>
      <c r="AI768" s="2"/>
      <c r="AJ768" s="2"/>
      <c r="AK768" s="2"/>
    </row>
    <row r="769" spans="1:37" ht="14.25" customHeight="1">
      <c r="A769" s="2"/>
      <c r="B769" s="2"/>
      <c r="C769" s="2"/>
      <c r="D769" s="2"/>
      <c r="E769" s="16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4"/>
      <c r="W769" s="2"/>
      <c r="X769" s="2"/>
      <c r="Y769" s="4"/>
      <c r="Z769" s="2"/>
      <c r="AA769" s="2"/>
      <c r="AB769" s="2"/>
      <c r="AC769" s="4"/>
      <c r="AD769" s="2"/>
      <c r="AE769" s="2"/>
      <c r="AF769" s="2"/>
      <c r="AG769" s="2"/>
      <c r="AH769" s="2"/>
      <c r="AI769" s="2"/>
      <c r="AJ769" s="2"/>
      <c r="AK769" s="2"/>
    </row>
    <row r="770" spans="1:37" ht="14.25" customHeight="1">
      <c r="A770" s="2"/>
      <c r="B770" s="2"/>
      <c r="C770" s="2"/>
      <c r="D770" s="2"/>
      <c r="E770" s="16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4"/>
      <c r="W770" s="2"/>
      <c r="X770" s="2"/>
      <c r="Y770" s="4"/>
      <c r="Z770" s="2"/>
      <c r="AA770" s="2"/>
      <c r="AB770" s="2"/>
      <c r="AC770" s="4"/>
      <c r="AD770" s="2"/>
      <c r="AE770" s="2"/>
      <c r="AF770" s="2"/>
      <c r="AG770" s="2"/>
      <c r="AH770" s="2"/>
      <c r="AI770" s="2"/>
      <c r="AJ770" s="2"/>
      <c r="AK770" s="2"/>
    </row>
    <row r="771" spans="1:37" ht="14.25" customHeight="1">
      <c r="A771" s="2"/>
      <c r="B771" s="2"/>
      <c r="C771" s="2"/>
      <c r="D771" s="2"/>
      <c r="E771" s="16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4"/>
      <c r="W771" s="2"/>
      <c r="X771" s="2"/>
      <c r="Y771" s="4"/>
      <c r="Z771" s="2"/>
      <c r="AA771" s="2"/>
      <c r="AB771" s="2"/>
      <c r="AC771" s="4"/>
      <c r="AD771" s="2"/>
      <c r="AE771" s="2"/>
      <c r="AF771" s="2"/>
      <c r="AG771" s="2"/>
      <c r="AH771" s="2"/>
      <c r="AI771" s="2"/>
      <c r="AJ771" s="2"/>
      <c r="AK771" s="2"/>
    </row>
    <row r="772" spans="1:37" ht="14.25" customHeight="1">
      <c r="A772" s="2"/>
      <c r="B772" s="2"/>
      <c r="C772" s="2"/>
      <c r="D772" s="2"/>
      <c r="E772" s="16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4"/>
      <c r="W772" s="2"/>
      <c r="X772" s="2"/>
      <c r="Y772" s="4"/>
      <c r="Z772" s="2"/>
      <c r="AA772" s="2"/>
      <c r="AB772" s="2"/>
      <c r="AC772" s="4"/>
      <c r="AD772" s="2"/>
      <c r="AE772" s="2"/>
      <c r="AF772" s="2"/>
      <c r="AG772" s="2"/>
      <c r="AH772" s="2"/>
      <c r="AI772" s="2"/>
      <c r="AJ772" s="2"/>
      <c r="AK772" s="2"/>
    </row>
    <row r="773" spans="1:37" ht="14.25" customHeight="1">
      <c r="A773" s="2"/>
      <c r="B773" s="2"/>
      <c r="C773" s="2"/>
      <c r="D773" s="2"/>
      <c r="E773" s="16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4"/>
      <c r="W773" s="2"/>
      <c r="X773" s="2"/>
      <c r="Y773" s="4"/>
      <c r="Z773" s="2"/>
      <c r="AA773" s="2"/>
      <c r="AB773" s="2"/>
      <c r="AC773" s="4"/>
      <c r="AD773" s="2"/>
      <c r="AE773" s="2"/>
      <c r="AF773" s="2"/>
      <c r="AG773" s="2"/>
      <c r="AH773" s="2"/>
      <c r="AI773" s="2"/>
      <c r="AJ773" s="2"/>
      <c r="AK773" s="2"/>
    </row>
    <row r="774" spans="1:37" ht="14.25" customHeight="1">
      <c r="A774" s="2"/>
      <c r="B774" s="2"/>
      <c r="C774" s="2"/>
      <c r="D774" s="2"/>
      <c r="E774" s="16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4"/>
      <c r="W774" s="2"/>
      <c r="X774" s="2"/>
      <c r="Y774" s="4"/>
      <c r="Z774" s="2"/>
      <c r="AA774" s="2"/>
      <c r="AB774" s="2"/>
      <c r="AC774" s="4"/>
      <c r="AD774" s="2"/>
      <c r="AE774" s="2"/>
      <c r="AF774" s="2"/>
      <c r="AG774" s="2"/>
      <c r="AH774" s="2"/>
      <c r="AI774" s="2"/>
      <c r="AJ774" s="2"/>
      <c r="AK774" s="2"/>
    </row>
    <row r="775" spans="1:37" ht="14.25" customHeight="1">
      <c r="A775" s="2"/>
      <c r="B775" s="2"/>
      <c r="C775" s="2"/>
      <c r="D775" s="2"/>
      <c r="E775" s="16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4"/>
      <c r="W775" s="2"/>
      <c r="X775" s="2"/>
      <c r="Y775" s="4"/>
      <c r="Z775" s="2"/>
      <c r="AA775" s="2"/>
      <c r="AB775" s="2"/>
      <c r="AC775" s="4"/>
      <c r="AD775" s="2"/>
      <c r="AE775" s="2"/>
      <c r="AF775" s="2"/>
      <c r="AG775" s="2"/>
      <c r="AH775" s="2"/>
      <c r="AI775" s="2"/>
      <c r="AJ775" s="2"/>
      <c r="AK775" s="2"/>
    </row>
    <row r="776" spans="1:37" ht="14.25" customHeight="1">
      <c r="A776" s="2"/>
      <c r="B776" s="2"/>
      <c r="C776" s="2"/>
      <c r="D776" s="2"/>
      <c r="E776" s="16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4"/>
      <c r="W776" s="2"/>
      <c r="X776" s="2"/>
      <c r="Y776" s="4"/>
      <c r="Z776" s="2"/>
      <c r="AA776" s="2"/>
      <c r="AB776" s="2"/>
      <c r="AC776" s="4"/>
      <c r="AD776" s="2"/>
      <c r="AE776" s="2"/>
      <c r="AF776" s="2"/>
      <c r="AG776" s="2"/>
      <c r="AH776" s="2"/>
      <c r="AI776" s="2"/>
      <c r="AJ776" s="2"/>
      <c r="AK776" s="2"/>
    </row>
    <row r="777" spans="1:37" ht="14.25" customHeight="1">
      <c r="A777" s="2"/>
      <c r="B777" s="2"/>
      <c r="C777" s="2"/>
      <c r="D777" s="2"/>
      <c r="E777" s="16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4"/>
      <c r="W777" s="2"/>
      <c r="X777" s="2"/>
      <c r="Y777" s="4"/>
      <c r="Z777" s="2"/>
      <c r="AA777" s="2"/>
      <c r="AB777" s="2"/>
      <c r="AC777" s="4"/>
      <c r="AD777" s="2"/>
      <c r="AE777" s="2"/>
      <c r="AF777" s="2"/>
      <c r="AG777" s="2"/>
      <c r="AH777" s="2"/>
      <c r="AI777" s="2"/>
      <c r="AJ777" s="2"/>
      <c r="AK777" s="2"/>
    </row>
    <row r="778" spans="1:37" ht="14.25" customHeight="1">
      <c r="A778" s="2"/>
      <c r="B778" s="2"/>
      <c r="C778" s="2"/>
      <c r="D778" s="2"/>
      <c r="E778" s="16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4"/>
      <c r="W778" s="2"/>
      <c r="X778" s="2"/>
      <c r="Y778" s="4"/>
      <c r="Z778" s="2"/>
      <c r="AA778" s="2"/>
      <c r="AB778" s="2"/>
      <c r="AC778" s="4"/>
      <c r="AD778" s="2"/>
      <c r="AE778" s="2"/>
      <c r="AF778" s="2"/>
      <c r="AG778" s="2"/>
      <c r="AH778" s="2"/>
      <c r="AI778" s="2"/>
      <c r="AJ778" s="2"/>
      <c r="AK778" s="2"/>
    </row>
    <row r="779" spans="1:37" ht="14.25" customHeight="1">
      <c r="A779" s="2"/>
      <c r="B779" s="2"/>
      <c r="C779" s="2"/>
      <c r="D779" s="2"/>
      <c r="E779" s="16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4"/>
      <c r="W779" s="2"/>
      <c r="X779" s="2"/>
      <c r="Y779" s="4"/>
      <c r="Z779" s="2"/>
      <c r="AA779" s="2"/>
      <c r="AB779" s="2"/>
      <c r="AC779" s="4"/>
      <c r="AD779" s="2"/>
      <c r="AE779" s="2"/>
      <c r="AF779" s="2"/>
      <c r="AG779" s="2"/>
      <c r="AH779" s="2"/>
      <c r="AI779" s="2"/>
      <c r="AJ779" s="2"/>
      <c r="AK779" s="2"/>
    </row>
    <row r="780" spans="1:37" ht="14.25" customHeight="1">
      <c r="A780" s="2"/>
      <c r="B780" s="2"/>
      <c r="C780" s="2"/>
      <c r="D780" s="2"/>
      <c r="E780" s="16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4"/>
      <c r="W780" s="2"/>
      <c r="X780" s="2"/>
      <c r="Y780" s="4"/>
      <c r="Z780" s="2"/>
      <c r="AA780" s="2"/>
      <c r="AB780" s="2"/>
      <c r="AC780" s="4"/>
      <c r="AD780" s="2"/>
      <c r="AE780" s="2"/>
      <c r="AF780" s="2"/>
      <c r="AG780" s="2"/>
      <c r="AH780" s="2"/>
      <c r="AI780" s="2"/>
      <c r="AJ780" s="2"/>
      <c r="AK780" s="2"/>
    </row>
    <row r="781" spans="1:37" ht="14.25" customHeight="1">
      <c r="A781" s="2"/>
      <c r="B781" s="2"/>
      <c r="C781" s="2"/>
      <c r="D781" s="2"/>
      <c r="E781" s="16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4"/>
      <c r="W781" s="2"/>
      <c r="X781" s="2"/>
      <c r="Y781" s="4"/>
      <c r="Z781" s="2"/>
      <c r="AA781" s="2"/>
      <c r="AB781" s="2"/>
      <c r="AC781" s="4"/>
      <c r="AD781" s="2"/>
      <c r="AE781" s="2"/>
      <c r="AF781" s="2"/>
      <c r="AG781" s="2"/>
      <c r="AH781" s="2"/>
      <c r="AI781" s="2"/>
      <c r="AJ781" s="2"/>
      <c r="AK781" s="2"/>
    </row>
    <row r="782" spans="1:37" ht="14.25" customHeight="1">
      <c r="A782" s="2"/>
      <c r="B782" s="2"/>
      <c r="C782" s="2"/>
      <c r="D782" s="2"/>
      <c r="E782" s="16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4"/>
      <c r="W782" s="2"/>
      <c r="X782" s="2"/>
      <c r="Y782" s="4"/>
      <c r="Z782" s="2"/>
      <c r="AA782" s="2"/>
      <c r="AB782" s="2"/>
      <c r="AC782" s="4"/>
      <c r="AD782" s="2"/>
      <c r="AE782" s="2"/>
      <c r="AF782" s="2"/>
      <c r="AG782" s="2"/>
      <c r="AH782" s="2"/>
      <c r="AI782" s="2"/>
      <c r="AJ782" s="2"/>
      <c r="AK782" s="2"/>
    </row>
    <row r="783" spans="1:37" ht="14.25" customHeight="1">
      <c r="A783" s="2"/>
      <c r="B783" s="2"/>
      <c r="C783" s="2"/>
      <c r="D783" s="2"/>
      <c r="E783" s="16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4"/>
      <c r="W783" s="2"/>
      <c r="X783" s="2"/>
      <c r="Y783" s="4"/>
      <c r="Z783" s="2"/>
      <c r="AA783" s="2"/>
      <c r="AB783" s="2"/>
      <c r="AC783" s="4"/>
      <c r="AD783" s="2"/>
      <c r="AE783" s="2"/>
      <c r="AF783" s="2"/>
      <c r="AG783" s="2"/>
      <c r="AH783" s="2"/>
      <c r="AI783" s="2"/>
      <c r="AJ783" s="2"/>
      <c r="AK783" s="2"/>
    </row>
    <row r="784" spans="1:37" ht="14.25" customHeight="1">
      <c r="A784" s="2"/>
      <c r="B784" s="2"/>
      <c r="C784" s="2"/>
      <c r="D784" s="2"/>
      <c r="E784" s="16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4"/>
      <c r="W784" s="2"/>
      <c r="X784" s="2"/>
      <c r="Y784" s="4"/>
      <c r="Z784" s="2"/>
      <c r="AA784" s="2"/>
      <c r="AB784" s="2"/>
      <c r="AC784" s="4"/>
      <c r="AD784" s="2"/>
      <c r="AE784" s="2"/>
      <c r="AF784" s="2"/>
      <c r="AG784" s="2"/>
      <c r="AH784" s="2"/>
      <c r="AI784" s="2"/>
      <c r="AJ784" s="2"/>
      <c r="AK784" s="2"/>
    </row>
    <row r="785" spans="1:37" ht="14.25" customHeight="1">
      <c r="A785" s="2"/>
      <c r="B785" s="2"/>
      <c r="C785" s="2"/>
      <c r="D785" s="2"/>
      <c r="E785" s="16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4"/>
      <c r="W785" s="2"/>
      <c r="X785" s="2"/>
      <c r="Y785" s="4"/>
      <c r="Z785" s="2"/>
      <c r="AA785" s="2"/>
      <c r="AB785" s="2"/>
      <c r="AC785" s="4"/>
      <c r="AD785" s="2"/>
      <c r="AE785" s="2"/>
      <c r="AF785" s="2"/>
      <c r="AG785" s="2"/>
      <c r="AH785" s="2"/>
      <c r="AI785" s="2"/>
      <c r="AJ785" s="2"/>
      <c r="AK785" s="2"/>
    </row>
    <row r="786" spans="1:37" ht="14.25" customHeight="1">
      <c r="A786" s="2"/>
      <c r="B786" s="2"/>
      <c r="C786" s="2"/>
      <c r="D786" s="2"/>
      <c r="E786" s="16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4"/>
      <c r="W786" s="2"/>
      <c r="X786" s="2"/>
      <c r="Y786" s="4"/>
      <c r="Z786" s="2"/>
      <c r="AA786" s="2"/>
      <c r="AB786" s="2"/>
      <c r="AC786" s="4"/>
      <c r="AD786" s="2"/>
      <c r="AE786" s="2"/>
      <c r="AF786" s="2"/>
      <c r="AG786" s="2"/>
      <c r="AH786" s="2"/>
      <c r="AI786" s="2"/>
      <c r="AJ786" s="2"/>
      <c r="AK786" s="2"/>
    </row>
    <row r="787" spans="1:37" ht="14.25" customHeight="1">
      <c r="A787" s="2"/>
      <c r="B787" s="2"/>
      <c r="C787" s="2"/>
      <c r="D787" s="2"/>
      <c r="E787" s="16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4"/>
      <c r="W787" s="2"/>
      <c r="X787" s="2"/>
      <c r="Y787" s="4"/>
      <c r="Z787" s="2"/>
      <c r="AA787" s="2"/>
      <c r="AB787" s="2"/>
      <c r="AC787" s="4"/>
      <c r="AD787" s="2"/>
      <c r="AE787" s="2"/>
      <c r="AF787" s="2"/>
      <c r="AG787" s="2"/>
      <c r="AH787" s="2"/>
      <c r="AI787" s="2"/>
      <c r="AJ787" s="2"/>
      <c r="AK787" s="2"/>
    </row>
    <row r="788" spans="1:37" ht="14.25" customHeight="1">
      <c r="A788" s="2"/>
      <c r="B788" s="2"/>
      <c r="C788" s="2"/>
      <c r="D788" s="2"/>
      <c r="E788" s="16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4"/>
      <c r="W788" s="2"/>
      <c r="X788" s="2"/>
      <c r="Y788" s="4"/>
      <c r="Z788" s="2"/>
      <c r="AA788" s="2"/>
      <c r="AB788" s="2"/>
      <c r="AC788" s="4"/>
      <c r="AD788" s="2"/>
      <c r="AE788" s="2"/>
      <c r="AF788" s="2"/>
      <c r="AG788" s="2"/>
      <c r="AH788" s="2"/>
      <c r="AI788" s="2"/>
      <c r="AJ788" s="2"/>
      <c r="AK788" s="2"/>
    </row>
    <row r="789" spans="1:37" ht="14.25" customHeight="1">
      <c r="A789" s="2"/>
      <c r="B789" s="2"/>
      <c r="C789" s="2"/>
      <c r="D789" s="2"/>
      <c r="E789" s="16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4"/>
      <c r="W789" s="2"/>
      <c r="X789" s="2"/>
      <c r="Y789" s="4"/>
      <c r="Z789" s="2"/>
      <c r="AA789" s="2"/>
      <c r="AB789" s="2"/>
      <c r="AC789" s="4"/>
      <c r="AD789" s="2"/>
      <c r="AE789" s="2"/>
      <c r="AF789" s="2"/>
      <c r="AG789" s="2"/>
      <c r="AH789" s="2"/>
      <c r="AI789" s="2"/>
      <c r="AJ789" s="2"/>
      <c r="AK789" s="2"/>
    </row>
    <row r="790" spans="1:37" ht="14.25" customHeight="1">
      <c r="A790" s="2"/>
      <c r="B790" s="2"/>
      <c r="C790" s="2"/>
      <c r="D790" s="2"/>
      <c r="E790" s="16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4"/>
      <c r="W790" s="2"/>
      <c r="X790" s="2"/>
      <c r="Y790" s="4"/>
      <c r="Z790" s="2"/>
      <c r="AA790" s="2"/>
      <c r="AB790" s="2"/>
      <c r="AC790" s="4"/>
      <c r="AD790" s="2"/>
      <c r="AE790" s="2"/>
      <c r="AF790" s="2"/>
      <c r="AG790" s="2"/>
      <c r="AH790" s="2"/>
      <c r="AI790" s="2"/>
      <c r="AJ790" s="2"/>
      <c r="AK790" s="2"/>
    </row>
    <row r="791" spans="1:37" ht="14.25" customHeight="1">
      <c r="A791" s="2"/>
      <c r="B791" s="2"/>
      <c r="C791" s="2"/>
      <c r="D791" s="2"/>
      <c r="E791" s="16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4"/>
      <c r="W791" s="2"/>
      <c r="X791" s="2"/>
      <c r="Y791" s="4"/>
      <c r="Z791" s="2"/>
      <c r="AA791" s="2"/>
      <c r="AB791" s="2"/>
      <c r="AC791" s="4"/>
      <c r="AD791" s="2"/>
      <c r="AE791" s="2"/>
      <c r="AF791" s="2"/>
      <c r="AG791" s="2"/>
      <c r="AH791" s="2"/>
      <c r="AI791" s="2"/>
      <c r="AJ791" s="2"/>
      <c r="AK791" s="2"/>
    </row>
    <row r="792" spans="1:37" ht="14.25" customHeight="1">
      <c r="A792" s="2"/>
      <c r="B792" s="2"/>
      <c r="C792" s="2"/>
      <c r="D792" s="2"/>
      <c r="E792" s="16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4"/>
      <c r="W792" s="2"/>
      <c r="X792" s="2"/>
      <c r="Y792" s="4"/>
      <c r="Z792" s="2"/>
      <c r="AA792" s="2"/>
      <c r="AB792" s="2"/>
      <c r="AC792" s="4"/>
      <c r="AD792" s="2"/>
      <c r="AE792" s="2"/>
      <c r="AF792" s="2"/>
      <c r="AG792" s="2"/>
      <c r="AH792" s="2"/>
      <c r="AI792" s="2"/>
      <c r="AJ792" s="2"/>
      <c r="AK792" s="2"/>
    </row>
    <row r="793" spans="1:37" ht="14.25" customHeight="1">
      <c r="A793" s="2"/>
      <c r="B793" s="2"/>
      <c r="C793" s="2"/>
      <c r="D793" s="2"/>
      <c r="E793" s="16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4"/>
      <c r="W793" s="2"/>
      <c r="X793" s="2"/>
      <c r="Y793" s="4"/>
      <c r="Z793" s="2"/>
      <c r="AA793" s="2"/>
      <c r="AB793" s="2"/>
      <c r="AC793" s="4"/>
      <c r="AD793" s="2"/>
      <c r="AE793" s="2"/>
      <c r="AF793" s="2"/>
      <c r="AG793" s="2"/>
      <c r="AH793" s="2"/>
      <c r="AI793" s="2"/>
      <c r="AJ793" s="2"/>
      <c r="AK793" s="2"/>
    </row>
    <row r="794" spans="1:37" ht="14.25" customHeight="1">
      <c r="A794" s="2"/>
      <c r="B794" s="2"/>
      <c r="C794" s="2"/>
      <c r="D794" s="2"/>
      <c r="E794" s="16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4"/>
      <c r="W794" s="2"/>
      <c r="X794" s="2"/>
      <c r="Y794" s="4"/>
      <c r="Z794" s="2"/>
      <c r="AA794" s="2"/>
      <c r="AB794" s="2"/>
      <c r="AC794" s="4"/>
      <c r="AD794" s="2"/>
      <c r="AE794" s="2"/>
      <c r="AF794" s="2"/>
      <c r="AG794" s="2"/>
      <c r="AH794" s="2"/>
      <c r="AI794" s="2"/>
      <c r="AJ794" s="2"/>
      <c r="AK794" s="2"/>
    </row>
    <row r="795" spans="1:37" ht="14.25" customHeight="1">
      <c r="A795" s="2"/>
      <c r="B795" s="2"/>
      <c r="C795" s="2"/>
      <c r="D795" s="2"/>
      <c r="E795" s="16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4"/>
      <c r="W795" s="2"/>
      <c r="X795" s="2"/>
      <c r="Y795" s="4"/>
      <c r="Z795" s="2"/>
      <c r="AA795" s="2"/>
      <c r="AB795" s="2"/>
      <c r="AC795" s="4"/>
      <c r="AD795" s="2"/>
      <c r="AE795" s="2"/>
      <c r="AF795" s="2"/>
      <c r="AG795" s="2"/>
      <c r="AH795" s="2"/>
      <c r="AI795" s="2"/>
      <c r="AJ795" s="2"/>
      <c r="AK795" s="2"/>
    </row>
    <row r="796" spans="1:37" ht="14.25" customHeight="1">
      <c r="A796" s="2"/>
      <c r="B796" s="2"/>
      <c r="C796" s="2"/>
      <c r="D796" s="2"/>
      <c r="E796" s="16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4"/>
      <c r="W796" s="2"/>
      <c r="X796" s="2"/>
      <c r="Y796" s="4"/>
      <c r="Z796" s="2"/>
      <c r="AA796" s="2"/>
      <c r="AB796" s="2"/>
      <c r="AC796" s="4"/>
      <c r="AD796" s="2"/>
      <c r="AE796" s="2"/>
      <c r="AF796" s="2"/>
      <c r="AG796" s="2"/>
      <c r="AH796" s="2"/>
      <c r="AI796" s="2"/>
      <c r="AJ796" s="2"/>
      <c r="AK796" s="2"/>
    </row>
    <row r="797" spans="1:37" ht="14.25" customHeight="1">
      <c r="A797" s="2"/>
      <c r="B797" s="2"/>
      <c r="C797" s="2"/>
      <c r="D797" s="2"/>
      <c r="E797" s="16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4"/>
      <c r="W797" s="2"/>
      <c r="X797" s="2"/>
      <c r="Y797" s="4"/>
      <c r="Z797" s="2"/>
      <c r="AA797" s="2"/>
      <c r="AB797" s="2"/>
      <c r="AC797" s="4"/>
      <c r="AD797" s="2"/>
      <c r="AE797" s="2"/>
      <c r="AF797" s="2"/>
      <c r="AG797" s="2"/>
      <c r="AH797" s="2"/>
      <c r="AI797" s="2"/>
      <c r="AJ797" s="2"/>
      <c r="AK797" s="2"/>
    </row>
    <row r="798" spans="1:37" ht="14.25" customHeight="1">
      <c r="A798" s="2"/>
      <c r="B798" s="2"/>
      <c r="C798" s="2"/>
      <c r="D798" s="2"/>
      <c r="E798" s="16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4"/>
      <c r="W798" s="2"/>
      <c r="X798" s="2"/>
      <c r="Y798" s="4"/>
      <c r="Z798" s="2"/>
      <c r="AA798" s="2"/>
      <c r="AB798" s="2"/>
      <c r="AC798" s="4"/>
      <c r="AD798" s="2"/>
      <c r="AE798" s="2"/>
      <c r="AF798" s="2"/>
      <c r="AG798" s="2"/>
      <c r="AH798" s="2"/>
      <c r="AI798" s="2"/>
      <c r="AJ798" s="2"/>
      <c r="AK798" s="2"/>
    </row>
    <row r="799" spans="1:37" ht="14.25" customHeight="1">
      <c r="A799" s="2"/>
      <c r="B799" s="2"/>
      <c r="C799" s="2"/>
      <c r="D799" s="2"/>
      <c r="E799" s="16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4"/>
      <c r="W799" s="2"/>
      <c r="X799" s="2"/>
      <c r="Y799" s="4"/>
      <c r="Z799" s="2"/>
      <c r="AA799" s="2"/>
      <c r="AB799" s="2"/>
      <c r="AC799" s="4"/>
      <c r="AD799" s="2"/>
      <c r="AE799" s="2"/>
      <c r="AF799" s="2"/>
      <c r="AG799" s="2"/>
      <c r="AH799" s="2"/>
      <c r="AI799" s="2"/>
      <c r="AJ799" s="2"/>
      <c r="AK799" s="2"/>
    </row>
    <row r="800" spans="1:37" ht="14.25" customHeight="1">
      <c r="A800" s="2"/>
      <c r="B800" s="2"/>
      <c r="C800" s="2"/>
      <c r="D800" s="2"/>
      <c r="E800" s="16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4"/>
      <c r="W800" s="2"/>
      <c r="X800" s="2"/>
      <c r="Y800" s="4"/>
      <c r="Z800" s="2"/>
      <c r="AA800" s="2"/>
      <c r="AB800" s="2"/>
      <c r="AC800" s="4"/>
      <c r="AD800" s="2"/>
      <c r="AE800" s="2"/>
      <c r="AF800" s="2"/>
      <c r="AG800" s="2"/>
      <c r="AH800" s="2"/>
      <c r="AI800" s="2"/>
      <c r="AJ800" s="2"/>
      <c r="AK800" s="2"/>
    </row>
    <row r="801" spans="1:37" ht="14.25" customHeight="1">
      <c r="A801" s="2"/>
      <c r="B801" s="2"/>
      <c r="C801" s="2"/>
      <c r="D801" s="2"/>
      <c r="E801" s="16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4"/>
      <c r="W801" s="2"/>
      <c r="X801" s="2"/>
      <c r="Y801" s="4"/>
      <c r="Z801" s="2"/>
      <c r="AA801" s="2"/>
      <c r="AB801" s="2"/>
      <c r="AC801" s="4"/>
      <c r="AD801" s="2"/>
      <c r="AE801" s="2"/>
      <c r="AF801" s="2"/>
      <c r="AG801" s="2"/>
      <c r="AH801" s="2"/>
      <c r="AI801" s="2"/>
      <c r="AJ801" s="2"/>
      <c r="AK801" s="2"/>
    </row>
    <row r="802" spans="1:37" ht="14.25" customHeight="1">
      <c r="A802" s="2"/>
      <c r="B802" s="2"/>
      <c r="C802" s="2"/>
      <c r="D802" s="2"/>
      <c r="E802" s="16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4"/>
      <c r="W802" s="2"/>
      <c r="X802" s="2"/>
      <c r="Y802" s="4"/>
      <c r="Z802" s="2"/>
      <c r="AA802" s="2"/>
      <c r="AB802" s="2"/>
      <c r="AC802" s="4"/>
      <c r="AD802" s="2"/>
      <c r="AE802" s="2"/>
      <c r="AF802" s="2"/>
      <c r="AG802" s="2"/>
      <c r="AH802" s="2"/>
      <c r="AI802" s="2"/>
      <c r="AJ802" s="2"/>
      <c r="AK802" s="2"/>
    </row>
    <row r="803" spans="1:37" ht="14.25" customHeight="1">
      <c r="A803" s="2"/>
      <c r="B803" s="2"/>
      <c r="C803" s="2"/>
      <c r="D803" s="2"/>
      <c r="E803" s="16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4"/>
      <c r="W803" s="2"/>
      <c r="X803" s="2"/>
      <c r="Y803" s="4"/>
      <c r="Z803" s="2"/>
      <c r="AA803" s="2"/>
      <c r="AB803" s="2"/>
      <c r="AC803" s="4"/>
      <c r="AD803" s="2"/>
      <c r="AE803" s="2"/>
      <c r="AF803" s="2"/>
      <c r="AG803" s="2"/>
      <c r="AH803" s="2"/>
      <c r="AI803" s="2"/>
      <c r="AJ803" s="2"/>
      <c r="AK803" s="2"/>
    </row>
    <row r="804" spans="1:37" ht="14.25" customHeight="1">
      <c r="A804" s="2"/>
      <c r="B804" s="2"/>
      <c r="C804" s="2"/>
      <c r="D804" s="2"/>
      <c r="E804" s="16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4"/>
      <c r="W804" s="2"/>
      <c r="X804" s="2"/>
      <c r="Y804" s="4"/>
      <c r="Z804" s="2"/>
      <c r="AA804" s="2"/>
      <c r="AB804" s="2"/>
      <c r="AC804" s="4"/>
      <c r="AD804" s="2"/>
      <c r="AE804" s="2"/>
      <c r="AF804" s="2"/>
      <c r="AG804" s="2"/>
      <c r="AH804" s="2"/>
      <c r="AI804" s="2"/>
      <c r="AJ804" s="2"/>
      <c r="AK804" s="2"/>
    </row>
    <row r="805" spans="1:37" ht="14.25" customHeight="1">
      <c r="A805" s="2"/>
      <c r="B805" s="2"/>
      <c r="C805" s="2"/>
      <c r="D805" s="2"/>
      <c r="E805" s="16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4"/>
      <c r="W805" s="2"/>
      <c r="X805" s="2"/>
      <c r="Y805" s="4"/>
      <c r="Z805" s="2"/>
      <c r="AA805" s="2"/>
      <c r="AB805" s="2"/>
      <c r="AC805" s="4"/>
      <c r="AD805" s="2"/>
      <c r="AE805" s="2"/>
      <c r="AF805" s="2"/>
      <c r="AG805" s="2"/>
      <c r="AH805" s="2"/>
      <c r="AI805" s="2"/>
      <c r="AJ805" s="2"/>
      <c r="AK805" s="2"/>
    </row>
    <row r="806" spans="1:37" ht="14.25" customHeight="1">
      <c r="A806" s="2"/>
      <c r="B806" s="2"/>
      <c r="C806" s="2"/>
      <c r="D806" s="2"/>
      <c r="E806" s="16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4"/>
      <c r="W806" s="2"/>
      <c r="X806" s="2"/>
      <c r="Y806" s="4"/>
      <c r="Z806" s="2"/>
      <c r="AA806" s="2"/>
      <c r="AB806" s="2"/>
      <c r="AC806" s="4"/>
      <c r="AD806" s="2"/>
      <c r="AE806" s="2"/>
      <c r="AF806" s="2"/>
      <c r="AG806" s="2"/>
      <c r="AH806" s="2"/>
      <c r="AI806" s="2"/>
      <c r="AJ806" s="2"/>
      <c r="AK806" s="2"/>
    </row>
    <row r="807" spans="1:37" ht="14.25" customHeight="1">
      <c r="A807" s="2"/>
      <c r="B807" s="2"/>
      <c r="C807" s="2"/>
      <c r="D807" s="2"/>
      <c r="E807" s="16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4"/>
      <c r="W807" s="2"/>
      <c r="X807" s="2"/>
      <c r="Y807" s="4"/>
      <c r="Z807" s="2"/>
      <c r="AA807" s="2"/>
      <c r="AB807" s="2"/>
      <c r="AC807" s="4"/>
      <c r="AD807" s="2"/>
      <c r="AE807" s="2"/>
      <c r="AF807" s="2"/>
      <c r="AG807" s="2"/>
      <c r="AH807" s="2"/>
      <c r="AI807" s="2"/>
      <c r="AJ807" s="2"/>
      <c r="AK807" s="2"/>
    </row>
    <row r="808" spans="1:37" ht="14.25" customHeight="1">
      <c r="A808" s="2"/>
      <c r="B808" s="2"/>
      <c r="C808" s="2"/>
      <c r="D808" s="2"/>
      <c r="E808" s="16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4"/>
      <c r="W808" s="2"/>
      <c r="X808" s="2"/>
      <c r="Y808" s="4"/>
      <c r="Z808" s="2"/>
      <c r="AA808" s="2"/>
      <c r="AB808" s="2"/>
      <c r="AC808" s="4"/>
      <c r="AD808" s="2"/>
      <c r="AE808" s="2"/>
      <c r="AF808" s="2"/>
      <c r="AG808" s="2"/>
      <c r="AH808" s="2"/>
      <c r="AI808" s="2"/>
      <c r="AJ808" s="2"/>
      <c r="AK808" s="2"/>
    </row>
    <row r="809" spans="1:37" ht="14.25" customHeight="1">
      <c r="A809" s="2"/>
      <c r="B809" s="2"/>
      <c r="C809" s="2"/>
      <c r="D809" s="2"/>
      <c r="E809" s="16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4"/>
      <c r="W809" s="2"/>
      <c r="X809" s="2"/>
      <c r="Y809" s="4"/>
      <c r="Z809" s="2"/>
      <c r="AA809" s="2"/>
      <c r="AB809" s="2"/>
      <c r="AC809" s="4"/>
      <c r="AD809" s="2"/>
      <c r="AE809" s="2"/>
      <c r="AF809" s="2"/>
      <c r="AG809" s="2"/>
      <c r="AH809" s="2"/>
      <c r="AI809" s="2"/>
      <c r="AJ809" s="2"/>
      <c r="AK809" s="2"/>
    </row>
    <row r="810" spans="1:37" ht="14.25" customHeight="1">
      <c r="A810" s="2"/>
      <c r="B810" s="2"/>
      <c r="C810" s="2"/>
      <c r="D810" s="2"/>
      <c r="E810" s="16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4"/>
      <c r="W810" s="2"/>
      <c r="X810" s="2"/>
      <c r="Y810" s="4"/>
      <c r="Z810" s="2"/>
      <c r="AA810" s="2"/>
      <c r="AB810" s="2"/>
      <c r="AC810" s="4"/>
      <c r="AD810" s="2"/>
      <c r="AE810" s="2"/>
      <c r="AF810" s="2"/>
      <c r="AG810" s="2"/>
      <c r="AH810" s="2"/>
      <c r="AI810" s="2"/>
      <c r="AJ810" s="2"/>
      <c r="AK810" s="2"/>
    </row>
    <row r="811" spans="1:37" ht="14.25" customHeight="1">
      <c r="A811" s="2"/>
      <c r="B811" s="2"/>
      <c r="C811" s="2"/>
      <c r="D811" s="2"/>
      <c r="E811" s="16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4"/>
      <c r="W811" s="2"/>
      <c r="X811" s="2"/>
      <c r="Y811" s="4"/>
      <c r="Z811" s="2"/>
      <c r="AA811" s="2"/>
      <c r="AB811" s="2"/>
      <c r="AC811" s="4"/>
      <c r="AD811" s="2"/>
      <c r="AE811" s="2"/>
      <c r="AF811" s="2"/>
      <c r="AG811" s="2"/>
      <c r="AH811" s="2"/>
      <c r="AI811" s="2"/>
      <c r="AJ811" s="2"/>
      <c r="AK811" s="2"/>
    </row>
    <row r="812" spans="1:37" ht="14.25" customHeight="1">
      <c r="A812" s="2"/>
      <c r="B812" s="2"/>
      <c r="C812" s="2"/>
      <c r="D812" s="2"/>
      <c r="E812" s="16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4"/>
      <c r="W812" s="2"/>
      <c r="X812" s="2"/>
      <c r="Y812" s="4"/>
      <c r="Z812" s="2"/>
      <c r="AA812" s="2"/>
      <c r="AB812" s="2"/>
      <c r="AC812" s="4"/>
      <c r="AD812" s="2"/>
      <c r="AE812" s="2"/>
      <c r="AF812" s="2"/>
      <c r="AG812" s="2"/>
      <c r="AH812" s="2"/>
      <c r="AI812" s="2"/>
      <c r="AJ812" s="2"/>
      <c r="AK812" s="2"/>
    </row>
    <row r="813" spans="1:37" ht="14.25" customHeight="1">
      <c r="A813" s="2"/>
      <c r="B813" s="2"/>
      <c r="C813" s="2"/>
      <c r="D813" s="2"/>
      <c r="E813" s="16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4"/>
      <c r="W813" s="2"/>
      <c r="X813" s="2"/>
      <c r="Y813" s="4"/>
      <c r="Z813" s="2"/>
      <c r="AA813" s="2"/>
      <c r="AB813" s="2"/>
      <c r="AC813" s="4"/>
      <c r="AD813" s="2"/>
      <c r="AE813" s="2"/>
      <c r="AF813" s="2"/>
      <c r="AG813" s="2"/>
      <c r="AH813" s="2"/>
      <c r="AI813" s="2"/>
      <c r="AJ813" s="2"/>
      <c r="AK813" s="2"/>
    </row>
    <row r="814" spans="1:37" ht="14.25" customHeight="1">
      <c r="A814" s="2"/>
      <c r="B814" s="2"/>
      <c r="C814" s="2"/>
      <c r="D814" s="2"/>
      <c r="E814" s="16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4"/>
      <c r="W814" s="2"/>
      <c r="X814" s="2"/>
      <c r="Y814" s="4"/>
      <c r="Z814" s="2"/>
      <c r="AA814" s="2"/>
      <c r="AB814" s="2"/>
      <c r="AC814" s="4"/>
      <c r="AD814" s="2"/>
      <c r="AE814" s="2"/>
      <c r="AF814" s="2"/>
      <c r="AG814" s="2"/>
      <c r="AH814" s="2"/>
      <c r="AI814" s="2"/>
      <c r="AJ814" s="2"/>
      <c r="AK814" s="2"/>
    </row>
    <row r="815" spans="1:37" ht="14.25" customHeight="1">
      <c r="A815" s="2"/>
      <c r="B815" s="2"/>
      <c r="C815" s="2"/>
      <c r="D815" s="2"/>
      <c r="E815" s="16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4"/>
      <c r="W815" s="2"/>
      <c r="X815" s="2"/>
      <c r="Y815" s="4"/>
      <c r="Z815" s="2"/>
      <c r="AA815" s="2"/>
      <c r="AB815" s="2"/>
      <c r="AC815" s="4"/>
      <c r="AD815" s="2"/>
      <c r="AE815" s="2"/>
      <c r="AF815" s="2"/>
      <c r="AG815" s="2"/>
      <c r="AH815" s="2"/>
      <c r="AI815" s="2"/>
      <c r="AJ815" s="2"/>
      <c r="AK815" s="2"/>
    </row>
    <row r="816" spans="1:37" ht="14.25" customHeight="1">
      <c r="A816" s="2"/>
      <c r="B816" s="2"/>
      <c r="C816" s="2"/>
      <c r="D816" s="2"/>
      <c r="E816" s="16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4"/>
      <c r="W816" s="2"/>
      <c r="X816" s="2"/>
      <c r="Y816" s="4"/>
      <c r="Z816" s="2"/>
      <c r="AA816" s="2"/>
      <c r="AB816" s="2"/>
      <c r="AC816" s="4"/>
      <c r="AD816" s="2"/>
      <c r="AE816" s="2"/>
      <c r="AF816" s="2"/>
      <c r="AG816" s="2"/>
      <c r="AH816" s="2"/>
      <c r="AI816" s="2"/>
      <c r="AJ816" s="2"/>
      <c r="AK816" s="2"/>
    </row>
    <row r="817" spans="1:37" ht="14.25" customHeight="1">
      <c r="A817" s="2"/>
      <c r="B817" s="2"/>
      <c r="C817" s="2"/>
      <c r="D817" s="2"/>
      <c r="E817" s="16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4"/>
      <c r="W817" s="2"/>
      <c r="X817" s="2"/>
      <c r="Y817" s="4"/>
      <c r="Z817" s="2"/>
      <c r="AA817" s="2"/>
      <c r="AB817" s="2"/>
      <c r="AC817" s="4"/>
      <c r="AD817" s="2"/>
      <c r="AE817" s="2"/>
      <c r="AF817" s="2"/>
      <c r="AG817" s="2"/>
      <c r="AH817" s="2"/>
      <c r="AI817" s="2"/>
      <c r="AJ817" s="2"/>
      <c r="AK817" s="2"/>
    </row>
    <row r="818" spans="1:37" ht="14.25" customHeight="1">
      <c r="A818" s="2"/>
      <c r="B818" s="2"/>
      <c r="C818" s="2"/>
      <c r="D818" s="2"/>
      <c r="E818" s="16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4"/>
      <c r="W818" s="2"/>
      <c r="X818" s="2"/>
      <c r="Y818" s="4"/>
      <c r="Z818" s="2"/>
      <c r="AA818" s="2"/>
      <c r="AB818" s="2"/>
      <c r="AC818" s="4"/>
      <c r="AD818" s="2"/>
      <c r="AE818" s="2"/>
      <c r="AF818" s="2"/>
      <c r="AG818" s="2"/>
      <c r="AH818" s="2"/>
      <c r="AI818" s="2"/>
      <c r="AJ818" s="2"/>
      <c r="AK818" s="2"/>
    </row>
    <row r="819" spans="1:37" ht="14.25" customHeight="1">
      <c r="A819" s="2"/>
      <c r="B819" s="2"/>
      <c r="C819" s="2"/>
      <c r="D819" s="2"/>
      <c r="E819" s="16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4"/>
      <c r="W819" s="2"/>
      <c r="X819" s="2"/>
      <c r="Y819" s="4"/>
      <c r="Z819" s="2"/>
      <c r="AA819" s="2"/>
      <c r="AB819" s="2"/>
      <c r="AC819" s="4"/>
      <c r="AD819" s="2"/>
      <c r="AE819" s="2"/>
      <c r="AF819" s="2"/>
      <c r="AG819" s="2"/>
      <c r="AH819" s="2"/>
      <c r="AI819" s="2"/>
      <c r="AJ819" s="2"/>
      <c r="AK819" s="2"/>
    </row>
    <row r="820" spans="1:37" ht="14.25" customHeight="1">
      <c r="A820" s="2"/>
      <c r="B820" s="2"/>
      <c r="C820" s="2"/>
      <c r="D820" s="2"/>
      <c r="E820" s="16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4"/>
      <c r="W820" s="2"/>
      <c r="X820" s="2"/>
      <c r="Y820" s="4"/>
      <c r="Z820" s="2"/>
      <c r="AA820" s="2"/>
      <c r="AB820" s="2"/>
      <c r="AC820" s="4"/>
      <c r="AD820" s="2"/>
      <c r="AE820" s="2"/>
      <c r="AF820" s="2"/>
      <c r="AG820" s="2"/>
      <c r="AH820" s="2"/>
      <c r="AI820" s="2"/>
      <c r="AJ820" s="2"/>
      <c r="AK820" s="2"/>
    </row>
    <row r="821" spans="1:37" ht="14.25" customHeight="1">
      <c r="A821" s="2"/>
      <c r="B821" s="2"/>
      <c r="C821" s="2"/>
      <c r="D821" s="2"/>
      <c r="E821" s="16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4"/>
      <c r="W821" s="2"/>
      <c r="X821" s="2"/>
      <c r="Y821" s="4"/>
      <c r="Z821" s="2"/>
      <c r="AA821" s="2"/>
      <c r="AB821" s="2"/>
      <c r="AC821" s="4"/>
      <c r="AD821" s="2"/>
      <c r="AE821" s="2"/>
      <c r="AF821" s="2"/>
      <c r="AG821" s="2"/>
      <c r="AH821" s="2"/>
      <c r="AI821" s="2"/>
      <c r="AJ821" s="2"/>
      <c r="AK821" s="2"/>
    </row>
    <row r="822" spans="1:37" ht="14.25" customHeight="1">
      <c r="A822" s="2"/>
      <c r="B822" s="2"/>
      <c r="C822" s="2"/>
      <c r="D822" s="2"/>
      <c r="E822" s="16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4"/>
      <c r="W822" s="2"/>
      <c r="X822" s="2"/>
      <c r="Y822" s="4"/>
      <c r="Z822" s="2"/>
      <c r="AA822" s="2"/>
      <c r="AB822" s="2"/>
      <c r="AC822" s="4"/>
      <c r="AD822" s="2"/>
      <c r="AE822" s="2"/>
      <c r="AF822" s="2"/>
      <c r="AG822" s="2"/>
      <c r="AH822" s="2"/>
      <c r="AI822" s="2"/>
      <c r="AJ822" s="2"/>
      <c r="AK822" s="2"/>
    </row>
    <row r="823" spans="1:37" ht="14.25" customHeight="1">
      <c r="A823" s="2"/>
      <c r="B823" s="2"/>
      <c r="C823" s="2"/>
      <c r="D823" s="2"/>
      <c r="E823" s="16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4"/>
      <c r="W823" s="2"/>
      <c r="X823" s="2"/>
      <c r="Y823" s="4"/>
      <c r="Z823" s="2"/>
      <c r="AA823" s="2"/>
      <c r="AB823" s="2"/>
      <c r="AC823" s="4"/>
      <c r="AD823" s="2"/>
      <c r="AE823" s="2"/>
      <c r="AF823" s="2"/>
      <c r="AG823" s="2"/>
      <c r="AH823" s="2"/>
      <c r="AI823" s="2"/>
      <c r="AJ823" s="2"/>
      <c r="AK823" s="2"/>
    </row>
    <row r="824" spans="1:37" ht="14.25" customHeight="1">
      <c r="A824" s="2"/>
      <c r="B824" s="2"/>
      <c r="C824" s="2"/>
      <c r="D824" s="2"/>
      <c r="E824" s="16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4"/>
      <c r="W824" s="2"/>
      <c r="X824" s="2"/>
      <c r="Y824" s="4"/>
      <c r="Z824" s="2"/>
      <c r="AA824" s="2"/>
      <c r="AB824" s="2"/>
      <c r="AC824" s="4"/>
      <c r="AD824" s="2"/>
      <c r="AE824" s="2"/>
      <c r="AF824" s="2"/>
      <c r="AG824" s="2"/>
      <c r="AH824" s="2"/>
      <c r="AI824" s="2"/>
      <c r="AJ824" s="2"/>
      <c r="AK824" s="2"/>
    </row>
    <row r="825" spans="1:37" ht="14.25" customHeight="1">
      <c r="A825" s="2"/>
      <c r="B825" s="2"/>
      <c r="C825" s="2"/>
      <c r="D825" s="2"/>
      <c r="E825" s="16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4"/>
      <c r="W825" s="2"/>
      <c r="X825" s="2"/>
      <c r="Y825" s="4"/>
      <c r="Z825" s="2"/>
      <c r="AA825" s="2"/>
      <c r="AB825" s="2"/>
      <c r="AC825" s="4"/>
      <c r="AD825" s="2"/>
      <c r="AE825" s="2"/>
      <c r="AF825" s="2"/>
      <c r="AG825" s="2"/>
      <c r="AH825" s="2"/>
      <c r="AI825" s="2"/>
      <c r="AJ825" s="2"/>
      <c r="AK825" s="2"/>
    </row>
    <row r="826" spans="1:37" ht="14.25" customHeight="1">
      <c r="A826" s="2"/>
      <c r="B826" s="2"/>
      <c r="C826" s="2"/>
      <c r="D826" s="2"/>
      <c r="E826" s="16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4"/>
      <c r="W826" s="2"/>
      <c r="X826" s="2"/>
      <c r="Y826" s="4"/>
      <c r="Z826" s="2"/>
      <c r="AA826" s="2"/>
      <c r="AB826" s="2"/>
      <c r="AC826" s="4"/>
      <c r="AD826" s="2"/>
      <c r="AE826" s="2"/>
      <c r="AF826" s="2"/>
      <c r="AG826" s="2"/>
      <c r="AH826" s="2"/>
      <c r="AI826" s="2"/>
      <c r="AJ826" s="2"/>
      <c r="AK826" s="2"/>
    </row>
    <row r="827" spans="1:37" ht="14.25" customHeight="1">
      <c r="A827" s="2"/>
      <c r="B827" s="2"/>
      <c r="C827" s="2"/>
      <c r="D827" s="2"/>
      <c r="E827" s="16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4"/>
      <c r="W827" s="2"/>
      <c r="X827" s="2"/>
      <c r="Y827" s="4"/>
      <c r="Z827" s="2"/>
      <c r="AA827" s="2"/>
      <c r="AB827" s="2"/>
      <c r="AC827" s="4"/>
      <c r="AD827" s="2"/>
      <c r="AE827" s="2"/>
      <c r="AF827" s="2"/>
      <c r="AG827" s="2"/>
      <c r="AH827" s="2"/>
      <c r="AI827" s="2"/>
      <c r="AJ827" s="2"/>
      <c r="AK827" s="2"/>
    </row>
    <row r="828" spans="1:37" ht="14.25" customHeight="1">
      <c r="A828" s="2"/>
      <c r="B828" s="2"/>
      <c r="C828" s="2"/>
      <c r="D828" s="2"/>
      <c r="E828" s="16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4"/>
      <c r="W828" s="2"/>
      <c r="X828" s="2"/>
      <c r="Y828" s="4"/>
      <c r="Z828" s="2"/>
      <c r="AA828" s="2"/>
      <c r="AB828" s="2"/>
      <c r="AC828" s="4"/>
      <c r="AD828" s="2"/>
      <c r="AE828" s="2"/>
      <c r="AF828" s="2"/>
      <c r="AG828" s="2"/>
      <c r="AH828" s="2"/>
      <c r="AI828" s="2"/>
      <c r="AJ828" s="2"/>
      <c r="AK828" s="2"/>
    </row>
    <row r="829" spans="1:37" ht="14.25" customHeight="1">
      <c r="A829" s="2"/>
      <c r="B829" s="2"/>
      <c r="C829" s="2"/>
      <c r="D829" s="2"/>
      <c r="E829" s="16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4"/>
      <c r="W829" s="2"/>
      <c r="X829" s="2"/>
      <c r="Y829" s="4"/>
      <c r="Z829" s="2"/>
      <c r="AA829" s="2"/>
      <c r="AB829" s="2"/>
      <c r="AC829" s="4"/>
      <c r="AD829" s="2"/>
      <c r="AE829" s="2"/>
      <c r="AF829" s="2"/>
      <c r="AG829" s="2"/>
      <c r="AH829" s="2"/>
      <c r="AI829" s="2"/>
      <c r="AJ829" s="2"/>
      <c r="AK829" s="2"/>
    </row>
    <row r="830" spans="1:37" ht="14.25" customHeight="1">
      <c r="A830" s="2"/>
      <c r="B830" s="2"/>
      <c r="C830" s="2"/>
      <c r="D830" s="2"/>
      <c r="E830" s="16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4"/>
      <c r="W830" s="2"/>
      <c r="X830" s="2"/>
      <c r="Y830" s="4"/>
      <c r="Z830" s="2"/>
      <c r="AA830" s="2"/>
      <c r="AB830" s="2"/>
      <c r="AC830" s="4"/>
      <c r="AD830" s="2"/>
      <c r="AE830" s="2"/>
      <c r="AF830" s="2"/>
      <c r="AG830" s="2"/>
      <c r="AH830" s="2"/>
      <c r="AI830" s="2"/>
      <c r="AJ830" s="2"/>
      <c r="AK830" s="2"/>
    </row>
    <row r="831" spans="1:37" ht="14.25" customHeight="1">
      <c r="A831" s="2"/>
      <c r="B831" s="2"/>
      <c r="C831" s="2"/>
      <c r="D831" s="2"/>
      <c r="E831" s="16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4"/>
      <c r="W831" s="2"/>
      <c r="X831" s="2"/>
      <c r="Y831" s="4"/>
      <c r="Z831" s="2"/>
      <c r="AA831" s="2"/>
      <c r="AB831" s="2"/>
      <c r="AC831" s="4"/>
      <c r="AD831" s="2"/>
      <c r="AE831" s="2"/>
      <c r="AF831" s="2"/>
      <c r="AG831" s="2"/>
      <c r="AH831" s="2"/>
      <c r="AI831" s="2"/>
      <c r="AJ831" s="2"/>
      <c r="AK831" s="2"/>
    </row>
    <row r="832" spans="1:37" ht="14.25" customHeight="1">
      <c r="A832" s="2"/>
      <c r="B832" s="2"/>
      <c r="C832" s="2"/>
      <c r="D832" s="2"/>
      <c r="E832" s="16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4"/>
      <c r="W832" s="2"/>
      <c r="X832" s="2"/>
      <c r="Y832" s="4"/>
      <c r="Z832" s="2"/>
      <c r="AA832" s="2"/>
      <c r="AB832" s="2"/>
      <c r="AC832" s="4"/>
      <c r="AD832" s="2"/>
      <c r="AE832" s="2"/>
      <c r="AF832" s="2"/>
      <c r="AG832" s="2"/>
      <c r="AH832" s="2"/>
      <c r="AI832" s="2"/>
      <c r="AJ832" s="2"/>
      <c r="AK832" s="2"/>
    </row>
    <row r="833" spans="1:37" ht="14.25" customHeight="1">
      <c r="A833" s="2"/>
      <c r="B833" s="2"/>
      <c r="C833" s="2"/>
      <c r="D833" s="2"/>
      <c r="E833" s="16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4"/>
      <c r="W833" s="2"/>
      <c r="X833" s="2"/>
      <c r="Y833" s="4"/>
      <c r="Z833" s="2"/>
      <c r="AA833" s="2"/>
      <c r="AB833" s="2"/>
      <c r="AC833" s="4"/>
      <c r="AD833" s="2"/>
      <c r="AE833" s="2"/>
      <c r="AF833" s="2"/>
      <c r="AG833" s="2"/>
      <c r="AH833" s="2"/>
      <c r="AI833" s="2"/>
      <c r="AJ833" s="2"/>
      <c r="AK833" s="2"/>
    </row>
    <row r="834" spans="1:37" ht="14.25" customHeight="1">
      <c r="A834" s="2"/>
      <c r="B834" s="2"/>
      <c r="C834" s="2"/>
      <c r="D834" s="2"/>
      <c r="E834" s="16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4"/>
      <c r="W834" s="2"/>
      <c r="X834" s="2"/>
      <c r="Y834" s="4"/>
      <c r="Z834" s="2"/>
      <c r="AA834" s="2"/>
      <c r="AB834" s="2"/>
      <c r="AC834" s="4"/>
      <c r="AD834" s="2"/>
      <c r="AE834" s="2"/>
      <c r="AF834" s="2"/>
      <c r="AG834" s="2"/>
      <c r="AH834" s="2"/>
      <c r="AI834" s="2"/>
      <c r="AJ834" s="2"/>
      <c r="AK834" s="2"/>
    </row>
    <row r="835" spans="1:37" ht="14.25" customHeight="1">
      <c r="A835" s="2"/>
      <c r="B835" s="2"/>
      <c r="C835" s="2"/>
      <c r="D835" s="2"/>
      <c r="E835" s="16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4"/>
      <c r="W835" s="2"/>
      <c r="X835" s="2"/>
      <c r="Y835" s="4"/>
      <c r="Z835" s="2"/>
      <c r="AA835" s="2"/>
      <c r="AB835" s="2"/>
      <c r="AC835" s="4"/>
      <c r="AD835" s="2"/>
      <c r="AE835" s="2"/>
      <c r="AF835" s="2"/>
      <c r="AG835" s="2"/>
      <c r="AH835" s="2"/>
      <c r="AI835" s="2"/>
      <c r="AJ835" s="2"/>
      <c r="AK835" s="2"/>
    </row>
    <row r="836" spans="1:37" ht="14.25" customHeight="1">
      <c r="A836" s="2"/>
      <c r="B836" s="2"/>
      <c r="C836" s="2"/>
      <c r="D836" s="2"/>
      <c r="E836" s="16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4"/>
      <c r="W836" s="2"/>
      <c r="X836" s="2"/>
      <c r="Y836" s="4"/>
      <c r="Z836" s="2"/>
      <c r="AA836" s="2"/>
      <c r="AB836" s="2"/>
      <c r="AC836" s="4"/>
      <c r="AD836" s="2"/>
      <c r="AE836" s="2"/>
      <c r="AF836" s="2"/>
      <c r="AG836" s="2"/>
      <c r="AH836" s="2"/>
      <c r="AI836" s="2"/>
      <c r="AJ836" s="2"/>
      <c r="AK836" s="2"/>
    </row>
    <row r="837" spans="1:37" ht="14.25" customHeight="1">
      <c r="A837" s="2"/>
      <c r="B837" s="2"/>
      <c r="C837" s="2"/>
      <c r="D837" s="2"/>
      <c r="E837" s="16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4"/>
      <c r="W837" s="2"/>
      <c r="X837" s="2"/>
      <c r="Y837" s="4"/>
      <c r="Z837" s="2"/>
      <c r="AA837" s="2"/>
      <c r="AB837" s="2"/>
      <c r="AC837" s="4"/>
      <c r="AD837" s="2"/>
      <c r="AE837" s="2"/>
      <c r="AF837" s="2"/>
      <c r="AG837" s="2"/>
      <c r="AH837" s="2"/>
      <c r="AI837" s="2"/>
      <c r="AJ837" s="2"/>
      <c r="AK837" s="2"/>
    </row>
    <row r="838" spans="1:37" ht="14.25" customHeight="1">
      <c r="A838" s="2"/>
      <c r="B838" s="2"/>
      <c r="C838" s="2"/>
      <c r="D838" s="2"/>
      <c r="E838" s="16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4"/>
      <c r="W838" s="2"/>
      <c r="X838" s="2"/>
      <c r="Y838" s="4"/>
      <c r="Z838" s="2"/>
      <c r="AA838" s="2"/>
      <c r="AB838" s="2"/>
      <c r="AC838" s="4"/>
      <c r="AD838" s="2"/>
      <c r="AE838" s="2"/>
      <c r="AF838" s="2"/>
      <c r="AG838" s="2"/>
      <c r="AH838" s="2"/>
      <c r="AI838" s="2"/>
      <c r="AJ838" s="2"/>
      <c r="AK838" s="2"/>
    </row>
    <row r="839" spans="1:37" ht="14.25" customHeight="1">
      <c r="A839" s="2"/>
      <c r="B839" s="2"/>
      <c r="C839" s="2"/>
      <c r="D839" s="2"/>
      <c r="E839" s="16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4"/>
      <c r="W839" s="2"/>
      <c r="X839" s="2"/>
      <c r="Y839" s="4"/>
      <c r="Z839" s="2"/>
      <c r="AA839" s="2"/>
      <c r="AB839" s="2"/>
      <c r="AC839" s="4"/>
      <c r="AD839" s="2"/>
      <c r="AE839" s="2"/>
      <c r="AF839" s="2"/>
      <c r="AG839" s="2"/>
      <c r="AH839" s="2"/>
      <c r="AI839" s="2"/>
      <c r="AJ839" s="2"/>
      <c r="AK839" s="2"/>
    </row>
    <row r="840" spans="1:37" ht="14.25" customHeight="1">
      <c r="A840" s="2"/>
      <c r="B840" s="2"/>
      <c r="C840" s="2"/>
      <c r="D840" s="2"/>
      <c r="E840" s="16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4"/>
      <c r="W840" s="2"/>
      <c r="X840" s="2"/>
      <c r="Y840" s="4"/>
      <c r="Z840" s="2"/>
      <c r="AA840" s="2"/>
      <c r="AB840" s="2"/>
      <c r="AC840" s="4"/>
      <c r="AD840" s="2"/>
      <c r="AE840" s="2"/>
      <c r="AF840" s="2"/>
      <c r="AG840" s="2"/>
      <c r="AH840" s="2"/>
      <c r="AI840" s="2"/>
      <c r="AJ840" s="2"/>
      <c r="AK840" s="2"/>
    </row>
    <row r="841" spans="1:37" ht="14.25" customHeight="1">
      <c r="A841" s="2"/>
      <c r="B841" s="2"/>
      <c r="C841" s="2"/>
      <c r="D841" s="2"/>
      <c r="E841" s="16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4"/>
      <c r="W841" s="2"/>
      <c r="X841" s="2"/>
      <c r="Y841" s="4"/>
      <c r="Z841" s="2"/>
      <c r="AA841" s="2"/>
      <c r="AB841" s="2"/>
      <c r="AC841" s="4"/>
      <c r="AD841" s="2"/>
      <c r="AE841" s="2"/>
      <c r="AF841" s="2"/>
      <c r="AG841" s="2"/>
      <c r="AH841" s="2"/>
      <c r="AI841" s="2"/>
      <c r="AJ841" s="2"/>
      <c r="AK841" s="2"/>
    </row>
    <row r="842" spans="1:37" ht="14.25" customHeight="1">
      <c r="A842" s="2"/>
      <c r="B842" s="2"/>
      <c r="C842" s="2"/>
      <c r="D842" s="2"/>
      <c r="E842" s="16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4"/>
      <c r="W842" s="2"/>
      <c r="X842" s="2"/>
      <c r="Y842" s="4"/>
      <c r="Z842" s="2"/>
      <c r="AA842" s="2"/>
      <c r="AB842" s="2"/>
      <c r="AC842" s="4"/>
      <c r="AD842" s="2"/>
      <c r="AE842" s="2"/>
      <c r="AF842" s="2"/>
      <c r="AG842" s="2"/>
      <c r="AH842" s="2"/>
      <c r="AI842" s="2"/>
      <c r="AJ842" s="2"/>
      <c r="AK842" s="2"/>
    </row>
    <row r="843" spans="1:37" ht="14.25" customHeight="1">
      <c r="A843" s="2"/>
      <c r="B843" s="2"/>
      <c r="C843" s="2"/>
      <c r="D843" s="2"/>
      <c r="E843" s="16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4"/>
      <c r="W843" s="2"/>
      <c r="X843" s="2"/>
      <c r="Y843" s="4"/>
      <c r="Z843" s="2"/>
      <c r="AA843" s="2"/>
      <c r="AB843" s="2"/>
      <c r="AC843" s="4"/>
      <c r="AD843" s="2"/>
      <c r="AE843" s="2"/>
      <c r="AF843" s="2"/>
      <c r="AG843" s="2"/>
      <c r="AH843" s="2"/>
      <c r="AI843" s="2"/>
      <c r="AJ843" s="2"/>
      <c r="AK843" s="2"/>
    </row>
    <row r="844" spans="1:37" ht="14.25" customHeight="1">
      <c r="A844" s="2"/>
      <c r="B844" s="2"/>
      <c r="C844" s="2"/>
      <c r="D844" s="2"/>
      <c r="E844" s="16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4"/>
      <c r="W844" s="2"/>
      <c r="X844" s="2"/>
      <c r="Y844" s="4"/>
      <c r="Z844" s="2"/>
      <c r="AA844" s="2"/>
      <c r="AB844" s="2"/>
      <c r="AC844" s="4"/>
      <c r="AD844" s="2"/>
      <c r="AE844" s="2"/>
      <c r="AF844" s="2"/>
      <c r="AG844" s="2"/>
      <c r="AH844" s="2"/>
      <c r="AI844" s="2"/>
      <c r="AJ844" s="2"/>
      <c r="AK844" s="2"/>
    </row>
    <row r="845" spans="1:37" ht="14.25" customHeight="1">
      <c r="A845" s="2"/>
      <c r="B845" s="2"/>
      <c r="C845" s="2"/>
      <c r="D845" s="2"/>
      <c r="E845" s="16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4"/>
      <c r="W845" s="2"/>
      <c r="X845" s="2"/>
      <c r="Y845" s="4"/>
      <c r="Z845" s="2"/>
      <c r="AA845" s="2"/>
      <c r="AB845" s="2"/>
      <c r="AC845" s="4"/>
      <c r="AD845" s="2"/>
      <c r="AE845" s="2"/>
      <c r="AF845" s="2"/>
      <c r="AG845" s="2"/>
      <c r="AH845" s="2"/>
      <c r="AI845" s="2"/>
      <c r="AJ845" s="2"/>
      <c r="AK845" s="2"/>
    </row>
    <row r="846" spans="1:37" ht="14.25" customHeight="1">
      <c r="A846" s="2"/>
      <c r="B846" s="2"/>
      <c r="C846" s="2"/>
      <c r="D846" s="2"/>
      <c r="E846" s="16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4"/>
      <c r="W846" s="2"/>
      <c r="X846" s="2"/>
      <c r="Y846" s="4"/>
      <c r="Z846" s="2"/>
      <c r="AA846" s="2"/>
      <c r="AB846" s="2"/>
      <c r="AC846" s="4"/>
      <c r="AD846" s="2"/>
      <c r="AE846" s="2"/>
      <c r="AF846" s="2"/>
      <c r="AG846" s="2"/>
      <c r="AH846" s="2"/>
      <c r="AI846" s="2"/>
      <c r="AJ846" s="2"/>
      <c r="AK846" s="2"/>
    </row>
    <row r="847" spans="1:37" ht="14.25" customHeight="1">
      <c r="A847" s="2"/>
      <c r="B847" s="2"/>
      <c r="C847" s="2"/>
      <c r="D847" s="2"/>
      <c r="E847" s="16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4"/>
      <c r="W847" s="2"/>
      <c r="X847" s="2"/>
      <c r="Y847" s="4"/>
      <c r="Z847" s="2"/>
      <c r="AA847" s="2"/>
      <c r="AB847" s="2"/>
      <c r="AC847" s="4"/>
      <c r="AD847" s="2"/>
      <c r="AE847" s="2"/>
      <c r="AF847" s="2"/>
      <c r="AG847" s="2"/>
      <c r="AH847" s="2"/>
      <c r="AI847" s="2"/>
      <c r="AJ847" s="2"/>
      <c r="AK847" s="2"/>
    </row>
    <row r="848" spans="1:37" ht="14.25" customHeight="1">
      <c r="A848" s="2"/>
      <c r="B848" s="2"/>
      <c r="C848" s="2"/>
      <c r="D848" s="2"/>
      <c r="E848" s="16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4"/>
      <c r="W848" s="2"/>
      <c r="X848" s="2"/>
      <c r="Y848" s="4"/>
      <c r="Z848" s="2"/>
      <c r="AA848" s="2"/>
      <c r="AB848" s="2"/>
      <c r="AC848" s="4"/>
      <c r="AD848" s="2"/>
      <c r="AE848" s="2"/>
      <c r="AF848" s="2"/>
      <c r="AG848" s="2"/>
      <c r="AH848" s="2"/>
      <c r="AI848" s="2"/>
      <c r="AJ848" s="2"/>
      <c r="AK848" s="2"/>
    </row>
    <row r="849" spans="1:37" ht="14.25" customHeight="1">
      <c r="A849" s="2"/>
      <c r="B849" s="2"/>
      <c r="C849" s="2"/>
      <c r="D849" s="2"/>
      <c r="E849" s="16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4"/>
      <c r="W849" s="2"/>
      <c r="X849" s="2"/>
      <c r="Y849" s="4"/>
      <c r="Z849" s="2"/>
      <c r="AA849" s="2"/>
      <c r="AB849" s="2"/>
      <c r="AC849" s="4"/>
      <c r="AD849" s="2"/>
      <c r="AE849" s="2"/>
      <c r="AF849" s="2"/>
      <c r="AG849" s="2"/>
      <c r="AH849" s="2"/>
      <c r="AI849" s="2"/>
      <c r="AJ849" s="2"/>
      <c r="AK849" s="2"/>
    </row>
    <row r="850" spans="1:37" ht="14.25" customHeight="1">
      <c r="A850" s="2"/>
      <c r="B850" s="2"/>
      <c r="C850" s="2"/>
      <c r="D850" s="2"/>
      <c r="E850" s="16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4"/>
      <c r="W850" s="2"/>
      <c r="X850" s="2"/>
      <c r="Y850" s="4"/>
      <c r="Z850" s="2"/>
      <c r="AA850" s="2"/>
      <c r="AB850" s="2"/>
      <c r="AC850" s="4"/>
      <c r="AD850" s="2"/>
      <c r="AE850" s="2"/>
      <c r="AF850" s="2"/>
      <c r="AG850" s="2"/>
      <c r="AH850" s="2"/>
      <c r="AI850" s="2"/>
      <c r="AJ850" s="2"/>
      <c r="AK850" s="2"/>
    </row>
    <row r="851" spans="1:37" ht="14.25" customHeight="1">
      <c r="A851" s="2"/>
      <c r="B851" s="2"/>
      <c r="C851" s="2"/>
      <c r="D851" s="2"/>
      <c r="E851" s="16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4"/>
      <c r="W851" s="2"/>
      <c r="X851" s="2"/>
      <c r="Y851" s="4"/>
      <c r="Z851" s="2"/>
      <c r="AA851" s="2"/>
      <c r="AB851" s="2"/>
      <c r="AC851" s="4"/>
      <c r="AD851" s="2"/>
      <c r="AE851" s="2"/>
      <c r="AF851" s="2"/>
      <c r="AG851" s="2"/>
      <c r="AH851" s="2"/>
      <c r="AI851" s="2"/>
      <c r="AJ851" s="2"/>
      <c r="AK851" s="2"/>
    </row>
    <row r="852" spans="1:37" ht="14.25" customHeight="1">
      <c r="A852" s="2"/>
      <c r="B852" s="2"/>
      <c r="C852" s="2"/>
      <c r="D852" s="2"/>
      <c r="E852" s="16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4"/>
      <c r="W852" s="2"/>
      <c r="X852" s="2"/>
      <c r="Y852" s="4"/>
      <c r="Z852" s="2"/>
      <c r="AA852" s="2"/>
      <c r="AB852" s="2"/>
      <c r="AC852" s="4"/>
      <c r="AD852" s="2"/>
      <c r="AE852" s="2"/>
      <c r="AF852" s="2"/>
      <c r="AG852" s="2"/>
      <c r="AH852" s="2"/>
      <c r="AI852" s="2"/>
      <c r="AJ852" s="2"/>
      <c r="AK852" s="2"/>
    </row>
    <row r="853" spans="1:37" ht="14.25" customHeight="1">
      <c r="A853" s="2"/>
      <c r="B853" s="2"/>
      <c r="C853" s="2"/>
      <c r="D853" s="2"/>
      <c r="E853" s="16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4"/>
      <c r="W853" s="2"/>
      <c r="X853" s="2"/>
      <c r="Y853" s="4"/>
      <c r="Z853" s="2"/>
      <c r="AA853" s="2"/>
      <c r="AB853" s="2"/>
      <c r="AC853" s="4"/>
      <c r="AD853" s="2"/>
      <c r="AE853" s="2"/>
      <c r="AF853" s="2"/>
      <c r="AG853" s="2"/>
      <c r="AH853" s="2"/>
      <c r="AI853" s="2"/>
      <c r="AJ853" s="2"/>
      <c r="AK853" s="2"/>
    </row>
    <row r="854" spans="1:37" ht="14.25" customHeight="1">
      <c r="A854" s="2"/>
      <c r="B854" s="2"/>
      <c r="C854" s="2"/>
      <c r="D854" s="2"/>
      <c r="E854" s="16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4"/>
      <c r="W854" s="2"/>
      <c r="X854" s="2"/>
      <c r="Y854" s="4"/>
      <c r="Z854" s="2"/>
      <c r="AA854" s="2"/>
      <c r="AB854" s="2"/>
      <c r="AC854" s="4"/>
      <c r="AD854" s="2"/>
      <c r="AE854" s="2"/>
      <c r="AF854" s="2"/>
      <c r="AG854" s="2"/>
      <c r="AH854" s="2"/>
      <c r="AI854" s="2"/>
      <c r="AJ854" s="2"/>
      <c r="AK854" s="2"/>
    </row>
    <row r="855" spans="1:37" ht="14.25" customHeight="1">
      <c r="A855" s="2"/>
      <c r="B855" s="2"/>
      <c r="C855" s="2"/>
      <c r="D855" s="2"/>
      <c r="E855" s="16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4"/>
      <c r="W855" s="2"/>
      <c r="X855" s="2"/>
      <c r="Y855" s="4"/>
      <c r="Z855" s="2"/>
      <c r="AA855" s="2"/>
      <c r="AB855" s="2"/>
      <c r="AC855" s="4"/>
      <c r="AD855" s="2"/>
      <c r="AE855" s="2"/>
      <c r="AF855" s="2"/>
      <c r="AG855" s="2"/>
      <c r="AH855" s="2"/>
      <c r="AI855" s="2"/>
      <c r="AJ855" s="2"/>
      <c r="AK855" s="2"/>
    </row>
    <row r="856" spans="1:37" ht="14.25" customHeight="1">
      <c r="A856" s="2"/>
      <c r="B856" s="2"/>
      <c r="C856" s="2"/>
      <c r="D856" s="2"/>
      <c r="E856" s="16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4"/>
      <c r="W856" s="2"/>
      <c r="X856" s="2"/>
      <c r="Y856" s="4"/>
      <c r="Z856" s="2"/>
      <c r="AA856" s="2"/>
      <c r="AB856" s="2"/>
      <c r="AC856" s="4"/>
      <c r="AD856" s="2"/>
      <c r="AE856" s="2"/>
      <c r="AF856" s="2"/>
      <c r="AG856" s="2"/>
      <c r="AH856" s="2"/>
      <c r="AI856" s="2"/>
      <c r="AJ856" s="2"/>
      <c r="AK856" s="2"/>
    </row>
    <row r="857" spans="1:37" ht="14.25" customHeight="1">
      <c r="A857" s="2"/>
      <c r="B857" s="2"/>
      <c r="C857" s="2"/>
      <c r="D857" s="2"/>
      <c r="E857" s="16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4"/>
      <c r="W857" s="2"/>
      <c r="X857" s="2"/>
      <c r="Y857" s="4"/>
      <c r="Z857" s="2"/>
      <c r="AA857" s="2"/>
      <c r="AB857" s="2"/>
      <c r="AC857" s="4"/>
      <c r="AD857" s="2"/>
      <c r="AE857" s="2"/>
      <c r="AF857" s="2"/>
      <c r="AG857" s="2"/>
      <c r="AH857" s="2"/>
      <c r="AI857" s="2"/>
      <c r="AJ857" s="2"/>
      <c r="AK857" s="2"/>
    </row>
    <row r="858" spans="1:37" ht="14.25" customHeight="1">
      <c r="A858" s="2"/>
      <c r="B858" s="2"/>
      <c r="C858" s="2"/>
      <c r="D858" s="2"/>
      <c r="E858" s="16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4"/>
      <c r="W858" s="2"/>
      <c r="X858" s="2"/>
      <c r="Y858" s="4"/>
      <c r="Z858" s="2"/>
      <c r="AA858" s="2"/>
      <c r="AB858" s="2"/>
      <c r="AC858" s="4"/>
      <c r="AD858" s="2"/>
      <c r="AE858" s="2"/>
      <c r="AF858" s="2"/>
      <c r="AG858" s="2"/>
      <c r="AH858" s="2"/>
      <c r="AI858" s="2"/>
      <c r="AJ858" s="2"/>
      <c r="AK858" s="2"/>
    </row>
    <row r="859" spans="1:37" ht="14.25" customHeight="1">
      <c r="A859" s="2"/>
      <c r="B859" s="2"/>
      <c r="C859" s="2"/>
      <c r="D859" s="2"/>
      <c r="E859" s="16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4"/>
      <c r="W859" s="2"/>
      <c r="X859" s="2"/>
      <c r="Y859" s="4"/>
      <c r="Z859" s="2"/>
      <c r="AA859" s="2"/>
      <c r="AB859" s="2"/>
      <c r="AC859" s="4"/>
      <c r="AD859" s="2"/>
      <c r="AE859" s="2"/>
      <c r="AF859" s="2"/>
      <c r="AG859" s="2"/>
      <c r="AH859" s="2"/>
      <c r="AI859" s="2"/>
      <c r="AJ859" s="2"/>
      <c r="AK859" s="2"/>
    </row>
    <row r="860" spans="1:37" ht="14.25" customHeight="1">
      <c r="A860" s="2"/>
      <c r="B860" s="2"/>
      <c r="C860" s="2"/>
      <c r="D860" s="2"/>
      <c r="E860" s="16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4"/>
      <c r="W860" s="2"/>
      <c r="X860" s="2"/>
      <c r="Y860" s="4"/>
      <c r="Z860" s="2"/>
      <c r="AA860" s="2"/>
      <c r="AB860" s="2"/>
      <c r="AC860" s="4"/>
      <c r="AD860" s="2"/>
      <c r="AE860" s="2"/>
      <c r="AF860" s="2"/>
      <c r="AG860" s="2"/>
      <c r="AH860" s="2"/>
      <c r="AI860" s="2"/>
      <c r="AJ860" s="2"/>
      <c r="AK860" s="2"/>
    </row>
    <row r="861" spans="1:37" ht="14.25" customHeight="1">
      <c r="A861" s="2"/>
      <c r="B861" s="2"/>
      <c r="C861" s="2"/>
      <c r="D861" s="2"/>
      <c r="E861" s="16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4"/>
      <c r="W861" s="2"/>
      <c r="X861" s="2"/>
      <c r="Y861" s="4"/>
      <c r="Z861" s="2"/>
      <c r="AA861" s="2"/>
      <c r="AB861" s="2"/>
      <c r="AC861" s="4"/>
      <c r="AD861" s="2"/>
      <c r="AE861" s="2"/>
      <c r="AF861" s="2"/>
      <c r="AG861" s="2"/>
      <c r="AH861" s="2"/>
      <c r="AI861" s="2"/>
      <c r="AJ861" s="2"/>
      <c r="AK861" s="2"/>
    </row>
    <row r="862" spans="1:37" ht="14.25" customHeight="1">
      <c r="A862" s="2"/>
      <c r="B862" s="2"/>
      <c r="C862" s="2"/>
      <c r="D862" s="2"/>
      <c r="E862" s="16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4"/>
      <c r="W862" s="2"/>
      <c r="X862" s="2"/>
      <c r="Y862" s="4"/>
      <c r="Z862" s="2"/>
      <c r="AA862" s="2"/>
      <c r="AB862" s="2"/>
      <c r="AC862" s="4"/>
      <c r="AD862" s="2"/>
      <c r="AE862" s="2"/>
      <c r="AF862" s="2"/>
      <c r="AG862" s="2"/>
      <c r="AH862" s="2"/>
      <c r="AI862" s="2"/>
      <c r="AJ862" s="2"/>
      <c r="AK862" s="2"/>
    </row>
    <row r="863" spans="1:37" ht="14.25" customHeight="1">
      <c r="A863" s="2"/>
      <c r="B863" s="2"/>
      <c r="C863" s="2"/>
      <c r="D863" s="2"/>
      <c r="E863" s="16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4"/>
      <c r="W863" s="2"/>
      <c r="X863" s="2"/>
      <c r="Y863" s="4"/>
      <c r="Z863" s="2"/>
      <c r="AA863" s="2"/>
      <c r="AB863" s="2"/>
      <c r="AC863" s="4"/>
      <c r="AD863" s="2"/>
      <c r="AE863" s="2"/>
      <c r="AF863" s="2"/>
      <c r="AG863" s="2"/>
      <c r="AH863" s="2"/>
      <c r="AI863" s="2"/>
      <c r="AJ863" s="2"/>
      <c r="AK863" s="2"/>
    </row>
    <row r="864" spans="1:37" ht="14.25" customHeight="1">
      <c r="A864" s="2"/>
      <c r="B864" s="2"/>
      <c r="C864" s="2"/>
      <c r="D864" s="2"/>
      <c r="E864" s="16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4"/>
      <c r="W864" s="2"/>
      <c r="X864" s="2"/>
      <c r="Y864" s="4"/>
      <c r="Z864" s="2"/>
      <c r="AA864" s="2"/>
      <c r="AB864" s="2"/>
      <c r="AC864" s="4"/>
      <c r="AD864" s="2"/>
      <c r="AE864" s="2"/>
      <c r="AF864" s="2"/>
      <c r="AG864" s="2"/>
      <c r="AH864" s="2"/>
      <c r="AI864" s="2"/>
      <c r="AJ864" s="2"/>
      <c r="AK864" s="2"/>
    </row>
    <row r="865" spans="1:37" ht="14.25" customHeight="1">
      <c r="A865" s="2"/>
      <c r="B865" s="2"/>
      <c r="C865" s="2"/>
      <c r="D865" s="2"/>
      <c r="E865" s="1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4"/>
      <c r="W865" s="2"/>
      <c r="X865" s="2"/>
      <c r="Y865" s="4"/>
      <c r="Z865" s="2"/>
      <c r="AA865" s="2"/>
      <c r="AB865" s="2"/>
      <c r="AC865" s="4"/>
      <c r="AD865" s="2"/>
      <c r="AE865" s="2"/>
      <c r="AF865" s="2"/>
      <c r="AG865" s="2"/>
      <c r="AH865" s="2"/>
      <c r="AI865" s="2"/>
      <c r="AJ865" s="2"/>
      <c r="AK865" s="2"/>
    </row>
    <row r="866" spans="1:37" ht="14.25" customHeight="1">
      <c r="A866" s="2"/>
      <c r="B866" s="2"/>
      <c r="C866" s="2"/>
      <c r="D866" s="2"/>
      <c r="E866" s="16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4"/>
      <c r="W866" s="2"/>
      <c r="X866" s="2"/>
      <c r="Y866" s="4"/>
      <c r="Z866" s="2"/>
      <c r="AA866" s="2"/>
      <c r="AB866" s="2"/>
      <c r="AC866" s="4"/>
      <c r="AD866" s="2"/>
      <c r="AE866" s="2"/>
      <c r="AF866" s="2"/>
      <c r="AG866" s="2"/>
      <c r="AH866" s="2"/>
      <c r="AI866" s="2"/>
      <c r="AJ866" s="2"/>
      <c r="AK866" s="2"/>
    </row>
    <row r="867" spans="1:37" ht="14.25" customHeight="1">
      <c r="A867" s="2"/>
      <c r="B867" s="2"/>
      <c r="C867" s="2"/>
      <c r="D867" s="2"/>
      <c r="E867" s="16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4"/>
      <c r="W867" s="2"/>
      <c r="X867" s="2"/>
      <c r="Y867" s="4"/>
      <c r="Z867" s="2"/>
      <c r="AA867" s="2"/>
      <c r="AB867" s="2"/>
      <c r="AC867" s="4"/>
      <c r="AD867" s="2"/>
      <c r="AE867" s="2"/>
      <c r="AF867" s="2"/>
      <c r="AG867" s="2"/>
      <c r="AH867" s="2"/>
      <c r="AI867" s="2"/>
      <c r="AJ867" s="2"/>
      <c r="AK867" s="2"/>
    </row>
    <row r="868" spans="1:37" ht="14.25" customHeight="1">
      <c r="A868" s="2"/>
      <c r="B868" s="2"/>
      <c r="C868" s="2"/>
      <c r="D868" s="2"/>
      <c r="E868" s="16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4"/>
      <c r="W868" s="2"/>
      <c r="X868" s="2"/>
      <c r="Y868" s="4"/>
      <c r="Z868" s="2"/>
      <c r="AA868" s="2"/>
      <c r="AB868" s="2"/>
      <c r="AC868" s="4"/>
      <c r="AD868" s="2"/>
      <c r="AE868" s="2"/>
      <c r="AF868" s="2"/>
      <c r="AG868" s="2"/>
      <c r="AH868" s="2"/>
      <c r="AI868" s="2"/>
      <c r="AJ868" s="2"/>
      <c r="AK868" s="2"/>
    </row>
    <row r="869" spans="1:37" ht="14.25" customHeight="1">
      <c r="A869" s="2"/>
      <c r="B869" s="2"/>
      <c r="C869" s="2"/>
      <c r="D869" s="2"/>
      <c r="E869" s="16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4"/>
      <c r="W869" s="2"/>
      <c r="X869" s="2"/>
      <c r="Y869" s="4"/>
      <c r="Z869" s="2"/>
      <c r="AA869" s="2"/>
      <c r="AB869" s="2"/>
      <c r="AC869" s="4"/>
      <c r="AD869" s="2"/>
      <c r="AE869" s="2"/>
      <c r="AF869" s="2"/>
      <c r="AG869" s="2"/>
      <c r="AH869" s="2"/>
      <c r="AI869" s="2"/>
      <c r="AJ869" s="2"/>
      <c r="AK869" s="2"/>
    </row>
    <row r="870" spans="1:37" ht="14.25" customHeight="1">
      <c r="A870" s="2"/>
      <c r="B870" s="2"/>
      <c r="C870" s="2"/>
      <c r="D870" s="2"/>
      <c r="E870" s="16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4"/>
      <c r="W870" s="2"/>
      <c r="X870" s="2"/>
      <c r="Y870" s="4"/>
      <c r="Z870" s="2"/>
      <c r="AA870" s="2"/>
      <c r="AB870" s="2"/>
      <c r="AC870" s="4"/>
      <c r="AD870" s="2"/>
      <c r="AE870" s="2"/>
      <c r="AF870" s="2"/>
      <c r="AG870" s="2"/>
      <c r="AH870" s="2"/>
      <c r="AI870" s="2"/>
      <c r="AJ870" s="2"/>
      <c r="AK870" s="2"/>
    </row>
    <row r="871" spans="1:37" ht="14.25" customHeight="1">
      <c r="A871" s="2"/>
      <c r="B871" s="2"/>
      <c r="C871" s="2"/>
      <c r="D871" s="2"/>
      <c r="E871" s="16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4"/>
      <c r="W871" s="2"/>
      <c r="X871" s="2"/>
      <c r="Y871" s="4"/>
      <c r="Z871" s="2"/>
      <c r="AA871" s="2"/>
      <c r="AB871" s="2"/>
      <c r="AC871" s="4"/>
      <c r="AD871" s="2"/>
      <c r="AE871" s="2"/>
      <c r="AF871" s="2"/>
      <c r="AG871" s="2"/>
      <c r="AH871" s="2"/>
      <c r="AI871" s="2"/>
      <c r="AJ871" s="2"/>
      <c r="AK871" s="2"/>
    </row>
    <row r="872" spans="1:37" ht="14.25" customHeight="1">
      <c r="A872" s="2"/>
      <c r="B872" s="2"/>
      <c r="C872" s="2"/>
      <c r="D872" s="2"/>
      <c r="E872" s="16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4"/>
      <c r="W872" s="2"/>
      <c r="X872" s="2"/>
      <c r="Y872" s="4"/>
      <c r="Z872" s="2"/>
      <c r="AA872" s="2"/>
      <c r="AB872" s="2"/>
      <c r="AC872" s="4"/>
      <c r="AD872" s="2"/>
      <c r="AE872" s="2"/>
      <c r="AF872" s="2"/>
      <c r="AG872" s="2"/>
      <c r="AH872" s="2"/>
      <c r="AI872" s="2"/>
      <c r="AJ872" s="2"/>
      <c r="AK872" s="2"/>
    </row>
    <row r="873" spans="1:37" ht="14.25" customHeight="1">
      <c r="A873" s="2"/>
      <c r="B873" s="2"/>
      <c r="C873" s="2"/>
      <c r="D873" s="2"/>
      <c r="E873" s="16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4"/>
      <c r="W873" s="2"/>
      <c r="X873" s="2"/>
      <c r="Y873" s="4"/>
      <c r="Z873" s="2"/>
      <c r="AA873" s="2"/>
      <c r="AB873" s="2"/>
      <c r="AC873" s="4"/>
      <c r="AD873" s="2"/>
      <c r="AE873" s="2"/>
      <c r="AF873" s="2"/>
      <c r="AG873" s="2"/>
      <c r="AH873" s="2"/>
      <c r="AI873" s="2"/>
      <c r="AJ873" s="2"/>
      <c r="AK873" s="2"/>
    </row>
    <row r="874" spans="1:37" ht="14.25" customHeight="1">
      <c r="A874" s="2"/>
      <c r="B874" s="2"/>
      <c r="C874" s="2"/>
      <c r="D874" s="2"/>
      <c r="E874" s="16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4"/>
      <c r="W874" s="2"/>
      <c r="X874" s="2"/>
      <c r="Y874" s="4"/>
      <c r="Z874" s="2"/>
      <c r="AA874" s="2"/>
      <c r="AB874" s="2"/>
      <c r="AC874" s="4"/>
      <c r="AD874" s="2"/>
      <c r="AE874" s="2"/>
      <c r="AF874" s="2"/>
      <c r="AG874" s="2"/>
      <c r="AH874" s="2"/>
      <c r="AI874" s="2"/>
      <c r="AJ874" s="2"/>
      <c r="AK874" s="2"/>
    </row>
    <row r="875" spans="1:37" ht="14.25" customHeight="1">
      <c r="A875" s="2"/>
      <c r="B875" s="2"/>
      <c r="C875" s="2"/>
      <c r="D875" s="2"/>
      <c r="E875" s="16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4"/>
      <c r="W875" s="2"/>
      <c r="X875" s="2"/>
      <c r="Y875" s="4"/>
      <c r="Z875" s="2"/>
      <c r="AA875" s="2"/>
      <c r="AB875" s="2"/>
      <c r="AC875" s="4"/>
      <c r="AD875" s="2"/>
      <c r="AE875" s="2"/>
      <c r="AF875" s="2"/>
      <c r="AG875" s="2"/>
      <c r="AH875" s="2"/>
      <c r="AI875" s="2"/>
      <c r="AJ875" s="2"/>
      <c r="AK875" s="2"/>
    </row>
    <row r="876" spans="1:37" ht="14.25" customHeight="1">
      <c r="A876" s="2"/>
      <c r="B876" s="2"/>
      <c r="C876" s="2"/>
      <c r="D876" s="2"/>
      <c r="E876" s="16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4"/>
      <c r="W876" s="2"/>
      <c r="X876" s="2"/>
      <c r="Y876" s="4"/>
      <c r="Z876" s="2"/>
      <c r="AA876" s="2"/>
      <c r="AB876" s="2"/>
      <c r="AC876" s="4"/>
      <c r="AD876" s="2"/>
      <c r="AE876" s="2"/>
      <c r="AF876" s="2"/>
      <c r="AG876" s="2"/>
      <c r="AH876" s="2"/>
      <c r="AI876" s="2"/>
      <c r="AJ876" s="2"/>
      <c r="AK876" s="2"/>
    </row>
    <row r="877" spans="1:37" ht="14.25" customHeight="1">
      <c r="A877" s="2"/>
      <c r="B877" s="2"/>
      <c r="C877" s="2"/>
      <c r="D877" s="2"/>
      <c r="E877" s="16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4"/>
      <c r="W877" s="2"/>
      <c r="X877" s="2"/>
      <c r="Y877" s="4"/>
      <c r="Z877" s="2"/>
      <c r="AA877" s="2"/>
      <c r="AB877" s="2"/>
      <c r="AC877" s="4"/>
      <c r="AD877" s="2"/>
      <c r="AE877" s="2"/>
      <c r="AF877" s="2"/>
      <c r="AG877" s="2"/>
      <c r="AH877" s="2"/>
      <c r="AI877" s="2"/>
      <c r="AJ877" s="2"/>
      <c r="AK877" s="2"/>
    </row>
    <row r="878" spans="1:37" ht="14.25" customHeight="1">
      <c r="A878" s="2"/>
      <c r="B878" s="2"/>
      <c r="C878" s="2"/>
      <c r="D878" s="2"/>
      <c r="E878" s="16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4"/>
      <c r="W878" s="2"/>
      <c r="X878" s="2"/>
      <c r="Y878" s="4"/>
      <c r="Z878" s="2"/>
      <c r="AA878" s="2"/>
      <c r="AB878" s="2"/>
      <c r="AC878" s="4"/>
      <c r="AD878" s="2"/>
      <c r="AE878" s="2"/>
      <c r="AF878" s="2"/>
      <c r="AG878" s="2"/>
      <c r="AH878" s="2"/>
      <c r="AI878" s="2"/>
      <c r="AJ878" s="2"/>
      <c r="AK878" s="2"/>
    </row>
    <row r="879" spans="1:37" ht="14.25" customHeight="1">
      <c r="A879" s="2"/>
      <c r="B879" s="2"/>
      <c r="C879" s="2"/>
      <c r="D879" s="2"/>
      <c r="E879" s="16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4"/>
      <c r="W879" s="2"/>
      <c r="X879" s="2"/>
      <c r="Y879" s="4"/>
      <c r="Z879" s="2"/>
      <c r="AA879" s="2"/>
      <c r="AB879" s="2"/>
      <c r="AC879" s="4"/>
      <c r="AD879" s="2"/>
      <c r="AE879" s="2"/>
      <c r="AF879" s="2"/>
      <c r="AG879" s="2"/>
      <c r="AH879" s="2"/>
      <c r="AI879" s="2"/>
      <c r="AJ879" s="2"/>
      <c r="AK879" s="2"/>
    </row>
    <row r="880" spans="1:37" ht="14.25" customHeight="1">
      <c r="A880" s="2"/>
      <c r="B880" s="2"/>
      <c r="C880" s="2"/>
      <c r="D880" s="2"/>
      <c r="E880" s="16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4"/>
      <c r="W880" s="2"/>
      <c r="X880" s="2"/>
      <c r="Y880" s="4"/>
      <c r="Z880" s="2"/>
      <c r="AA880" s="2"/>
      <c r="AB880" s="2"/>
      <c r="AC880" s="4"/>
      <c r="AD880" s="2"/>
      <c r="AE880" s="2"/>
      <c r="AF880" s="2"/>
      <c r="AG880" s="2"/>
      <c r="AH880" s="2"/>
      <c r="AI880" s="2"/>
      <c r="AJ880" s="2"/>
      <c r="AK880" s="2"/>
    </row>
    <row r="881" spans="1:37" ht="14.25" customHeight="1">
      <c r="A881" s="2"/>
      <c r="B881" s="2"/>
      <c r="C881" s="2"/>
      <c r="D881" s="2"/>
      <c r="E881" s="16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4"/>
      <c r="W881" s="2"/>
      <c r="X881" s="2"/>
      <c r="Y881" s="4"/>
      <c r="Z881" s="2"/>
      <c r="AA881" s="2"/>
      <c r="AB881" s="2"/>
      <c r="AC881" s="4"/>
      <c r="AD881" s="2"/>
      <c r="AE881" s="2"/>
      <c r="AF881" s="2"/>
      <c r="AG881" s="2"/>
      <c r="AH881" s="2"/>
      <c r="AI881" s="2"/>
      <c r="AJ881" s="2"/>
      <c r="AK881" s="2"/>
    </row>
    <row r="882" spans="1:37" ht="14.25" customHeight="1">
      <c r="A882" s="2"/>
      <c r="B882" s="2"/>
      <c r="C882" s="2"/>
      <c r="D882" s="2"/>
      <c r="E882" s="16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4"/>
      <c r="W882" s="2"/>
      <c r="X882" s="2"/>
      <c r="Y882" s="4"/>
      <c r="Z882" s="2"/>
      <c r="AA882" s="2"/>
      <c r="AB882" s="2"/>
      <c r="AC882" s="4"/>
      <c r="AD882" s="2"/>
      <c r="AE882" s="2"/>
      <c r="AF882" s="2"/>
      <c r="AG882" s="2"/>
      <c r="AH882" s="2"/>
      <c r="AI882" s="2"/>
      <c r="AJ882" s="2"/>
      <c r="AK882" s="2"/>
    </row>
    <row r="883" spans="1:37" ht="14.25" customHeight="1">
      <c r="A883" s="2"/>
      <c r="B883" s="2"/>
      <c r="C883" s="2"/>
      <c r="D883" s="2"/>
      <c r="E883" s="16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4"/>
      <c r="W883" s="2"/>
      <c r="X883" s="2"/>
      <c r="Y883" s="4"/>
      <c r="Z883" s="2"/>
      <c r="AA883" s="2"/>
      <c r="AB883" s="2"/>
      <c r="AC883" s="4"/>
      <c r="AD883" s="2"/>
      <c r="AE883" s="2"/>
      <c r="AF883" s="2"/>
      <c r="AG883" s="2"/>
      <c r="AH883" s="2"/>
      <c r="AI883" s="2"/>
      <c r="AJ883" s="2"/>
      <c r="AK883" s="2"/>
    </row>
    <row r="884" spans="1:37" ht="14.25" customHeight="1">
      <c r="A884" s="2"/>
      <c r="B884" s="2"/>
      <c r="C884" s="2"/>
      <c r="D884" s="2"/>
      <c r="E884" s="16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4"/>
      <c r="W884" s="2"/>
      <c r="X884" s="2"/>
      <c r="Y884" s="4"/>
      <c r="Z884" s="2"/>
      <c r="AA884" s="2"/>
      <c r="AB884" s="2"/>
      <c r="AC884" s="4"/>
      <c r="AD884" s="2"/>
      <c r="AE884" s="2"/>
      <c r="AF884" s="2"/>
      <c r="AG884" s="2"/>
      <c r="AH884" s="2"/>
      <c r="AI884" s="2"/>
      <c r="AJ884" s="2"/>
      <c r="AK884" s="2"/>
    </row>
    <row r="885" spans="1:37" ht="14.25" customHeight="1">
      <c r="A885" s="2"/>
      <c r="B885" s="2"/>
      <c r="C885" s="2"/>
      <c r="D885" s="2"/>
      <c r="E885" s="16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4"/>
      <c r="W885" s="2"/>
      <c r="X885" s="2"/>
      <c r="Y885" s="4"/>
      <c r="Z885" s="2"/>
      <c r="AA885" s="2"/>
      <c r="AB885" s="2"/>
      <c r="AC885" s="4"/>
      <c r="AD885" s="2"/>
      <c r="AE885" s="2"/>
      <c r="AF885" s="2"/>
      <c r="AG885" s="2"/>
      <c r="AH885" s="2"/>
      <c r="AI885" s="2"/>
      <c r="AJ885" s="2"/>
      <c r="AK885" s="2"/>
    </row>
    <row r="886" spans="1:37" ht="14.25" customHeight="1">
      <c r="A886" s="2"/>
      <c r="B886" s="2"/>
      <c r="C886" s="2"/>
      <c r="D886" s="2"/>
      <c r="E886" s="16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4"/>
      <c r="W886" s="2"/>
      <c r="X886" s="2"/>
      <c r="Y886" s="4"/>
      <c r="Z886" s="2"/>
      <c r="AA886" s="2"/>
      <c r="AB886" s="2"/>
      <c r="AC886" s="4"/>
      <c r="AD886" s="2"/>
      <c r="AE886" s="2"/>
      <c r="AF886" s="2"/>
      <c r="AG886" s="2"/>
      <c r="AH886" s="2"/>
      <c r="AI886" s="2"/>
      <c r="AJ886" s="2"/>
      <c r="AK886" s="2"/>
    </row>
    <row r="887" spans="1:37" ht="14.25" customHeight="1">
      <c r="A887" s="2"/>
      <c r="B887" s="2"/>
      <c r="C887" s="2"/>
      <c r="D887" s="2"/>
      <c r="E887" s="16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4"/>
      <c r="W887" s="2"/>
      <c r="X887" s="2"/>
      <c r="Y887" s="4"/>
      <c r="Z887" s="2"/>
      <c r="AA887" s="2"/>
      <c r="AB887" s="2"/>
      <c r="AC887" s="4"/>
      <c r="AD887" s="2"/>
      <c r="AE887" s="2"/>
      <c r="AF887" s="2"/>
      <c r="AG887" s="2"/>
      <c r="AH887" s="2"/>
      <c r="AI887" s="2"/>
      <c r="AJ887" s="2"/>
      <c r="AK887" s="2"/>
    </row>
    <row r="888" spans="1:37" ht="14.25" customHeight="1">
      <c r="A888" s="2"/>
      <c r="B888" s="2"/>
      <c r="C888" s="2"/>
      <c r="D888" s="2"/>
      <c r="E888" s="16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4"/>
      <c r="W888" s="2"/>
      <c r="X888" s="2"/>
      <c r="Y888" s="4"/>
      <c r="Z888" s="2"/>
      <c r="AA888" s="2"/>
      <c r="AB888" s="2"/>
      <c r="AC888" s="4"/>
      <c r="AD888" s="2"/>
      <c r="AE888" s="2"/>
      <c r="AF888" s="2"/>
      <c r="AG888" s="2"/>
      <c r="AH888" s="2"/>
      <c r="AI888" s="2"/>
      <c r="AJ888" s="2"/>
      <c r="AK888" s="2"/>
    </row>
    <row r="889" spans="1:37" ht="14.25" customHeight="1">
      <c r="A889" s="2"/>
      <c r="B889" s="2"/>
      <c r="C889" s="2"/>
      <c r="D889" s="2"/>
      <c r="E889" s="16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4"/>
      <c r="W889" s="2"/>
      <c r="X889" s="2"/>
      <c r="Y889" s="4"/>
      <c r="Z889" s="2"/>
      <c r="AA889" s="2"/>
      <c r="AB889" s="2"/>
      <c r="AC889" s="4"/>
      <c r="AD889" s="2"/>
      <c r="AE889" s="2"/>
      <c r="AF889" s="2"/>
      <c r="AG889" s="2"/>
      <c r="AH889" s="2"/>
      <c r="AI889" s="2"/>
      <c r="AJ889" s="2"/>
      <c r="AK889" s="2"/>
    </row>
    <row r="890" spans="1:37" ht="14.25" customHeight="1">
      <c r="A890" s="2"/>
      <c r="B890" s="2"/>
      <c r="C890" s="2"/>
      <c r="D890" s="2"/>
      <c r="E890" s="16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4"/>
      <c r="W890" s="2"/>
      <c r="X890" s="2"/>
      <c r="Y890" s="4"/>
      <c r="Z890" s="2"/>
      <c r="AA890" s="2"/>
      <c r="AB890" s="2"/>
      <c r="AC890" s="4"/>
      <c r="AD890" s="2"/>
      <c r="AE890" s="2"/>
      <c r="AF890" s="2"/>
      <c r="AG890" s="2"/>
      <c r="AH890" s="2"/>
      <c r="AI890" s="2"/>
      <c r="AJ890" s="2"/>
      <c r="AK890" s="2"/>
    </row>
    <row r="891" spans="1:37" ht="14.25" customHeight="1">
      <c r="A891" s="2"/>
      <c r="B891" s="2"/>
      <c r="C891" s="2"/>
      <c r="D891" s="2"/>
      <c r="E891" s="16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4"/>
      <c r="W891" s="2"/>
      <c r="X891" s="2"/>
      <c r="Y891" s="4"/>
      <c r="Z891" s="2"/>
      <c r="AA891" s="2"/>
      <c r="AB891" s="2"/>
      <c r="AC891" s="4"/>
      <c r="AD891" s="2"/>
      <c r="AE891" s="2"/>
      <c r="AF891" s="2"/>
      <c r="AG891" s="2"/>
      <c r="AH891" s="2"/>
      <c r="AI891" s="2"/>
      <c r="AJ891" s="2"/>
      <c r="AK891" s="2"/>
    </row>
    <row r="892" spans="1:37" ht="14.25" customHeight="1">
      <c r="A892" s="2"/>
      <c r="B892" s="2"/>
      <c r="C892" s="2"/>
      <c r="D892" s="2"/>
      <c r="E892" s="16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4"/>
      <c r="W892" s="2"/>
      <c r="X892" s="2"/>
      <c r="Y892" s="4"/>
      <c r="Z892" s="2"/>
      <c r="AA892" s="2"/>
      <c r="AB892" s="2"/>
      <c r="AC892" s="4"/>
      <c r="AD892" s="2"/>
      <c r="AE892" s="2"/>
      <c r="AF892" s="2"/>
      <c r="AG892" s="2"/>
      <c r="AH892" s="2"/>
      <c r="AI892" s="2"/>
      <c r="AJ892" s="2"/>
      <c r="AK892" s="2"/>
    </row>
    <row r="893" spans="1:37" ht="14.25" customHeight="1">
      <c r="A893" s="2"/>
      <c r="B893" s="2"/>
      <c r="C893" s="2"/>
      <c r="D893" s="2"/>
      <c r="E893" s="16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4"/>
      <c r="W893" s="2"/>
      <c r="X893" s="2"/>
      <c r="Y893" s="4"/>
      <c r="Z893" s="2"/>
      <c r="AA893" s="2"/>
      <c r="AB893" s="2"/>
      <c r="AC893" s="4"/>
      <c r="AD893" s="2"/>
      <c r="AE893" s="2"/>
      <c r="AF893" s="2"/>
      <c r="AG893" s="2"/>
      <c r="AH893" s="2"/>
      <c r="AI893" s="2"/>
      <c r="AJ893" s="2"/>
      <c r="AK893" s="2"/>
    </row>
    <row r="894" spans="1:37" ht="14.25" customHeight="1">
      <c r="A894" s="2"/>
      <c r="B894" s="2"/>
      <c r="C894" s="2"/>
      <c r="D894" s="2"/>
      <c r="E894" s="16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4"/>
      <c r="W894" s="2"/>
      <c r="X894" s="2"/>
      <c r="Y894" s="4"/>
      <c r="Z894" s="2"/>
      <c r="AA894" s="2"/>
      <c r="AB894" s="2"/>
      <c r="AC894" s="4"/>
      <c r="AD894" s="2"/>
      <c r="AE894" s="2"/>
      <c r="AF894" s="2"/>
      <c r="AG894" s="2"/>
      <c r="AH894" s="2"/>
      <c r="AI894" s="2"/>
      <c r="AJ894" s="2"/>
      <c r="AK894" s="2"/>
    </row>
    <row r="895" spans="1:37" ht="14.25" customHeight="1">
      <c r="A895" s="2"/>
      <c r="B895" s="2"/>
      <c r="C895" s="2"/>
      <c r="D895" s="2"/>
      <c r="E895" s="16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4"/>
      <c r="W895" s="2"/>
      <c r="X895" s="2"/>
      <c r="Y895" s="4"/>
      <c r="Z895" s="2"/>
      <c r="AA895" s="2"/>
      <c r="AB895" s="2"/>
      <c r="AC895" s="4"/>
      <c r="AD895" s="2"/>
      <c r="AE895" s="2"/>
      <c r="AF895" s="2"/>
      <c r="AG895" s="2"/>
      <c r="AH895" s="2"/>
      <c r="AI895" s="2"/>
      <c r="AJ895" s="2"/>
      <c r="AK895" s="2"/>
    </row>
    <row r="896" spans="1:37" ht="14.25" customHeight="1">
      <c r="A896" s="2"/>
      <c r="B896" s="2"/>
      <c r="C896" s="2"/>
      <c r="D896" s="2"/>
      <c r="E896" s="16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4"/>
      <c r="W896" s="2"/>
      <c r="X896" s="2"/>
      <c r="Y896" s="4"/>
      <c r="Z896" s="2"/>
      <c r="AA896" s="2"/>
      <c r="AB896" s="2"/>
      <c r="AC896" s="4"/>
      <c r="AD896" s="2"/>
      <c r="AE896" s="2"/>
      <c r="AF896" s="2"/>
      <c r="AG896" s="2"/>
      <c r="AH896" s="2"/>
      <c r="AI896" s="2"/>
      <c r="AJ896" s="2"/>
      <c r="AK896" s="2"/>
    </row>
    <row r="897" spans="1:37" ht="14.25" customHeight="1">
      <c r="A897" s="2"/>
      <c r="B897" s="2"/>
      <c r="C897" s="2"/>
      <c r="D897" s="2"/>
      <c r="E897" s="16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4"/>
      <c r="W897" s="2"/>
      <c r="X897" s="2"/>
      <c r="Y897" s="4"/>
      <c r="Z897" s="2"/>
      <c r="AA897" s="2"/>
      <c r="AB897" s="2"/>
      <c r="AC897" s="4"/>
      <c r="AD897" s="2"/>
      <c r="AE897" s="2"/>
      <c r="AF897" s="2"/>
      <c r="AG897" s="2"/>
      <c r="AH897" s="2"/>
      <c r="AI897" s="2"/>
      <c r="AJ897" s="2"/>
      <c r="AK897" s="2"/>
    </row>
    <row r="898" spans="1:37" ht="14.25" customHeight="1">
      <c r="A898" s="2"/>
      <c r="B898" s="2"/>
      <c r="C898" s="2"/>
      <c r="D898" s="2"/>
      <c r="E898" s="16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4"/>
      <c r="W898" s="2"/>
      <c r="X898" s="2"/>
      <c r="Y898" s="4"/>
      <c r="Z898" s="2"/>
      <c r="AA898" s="2"/>
      <c r="AB898" s="2"/>
      <c r="AC898" s="4"/>
      <c r="AD898" s="2"/>
      <c r="AE898" s="2"/>
      <c r="AF898" s="2"/>
      <c r="AG898" s="2"/>
      <c r="AH898" s="2"/>
      <c r="AI898" s="2"/>
      <c r="AJ898" s="2"/>
      <c r="AK898" s="2"/>
    </row>
    <row r="899" spans="1:37" ht="14.25" customHeight="1">
      <c r="A899" s="2"/>
      <c r="B899" s="2"/>
      <c r="C899" s="2"/>
      <c r="D899" s="2"/>
      <c r="E899" s="16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4"/>
      <c r="W899" s="2"/>
      <c r="X899" s="2"/>
      <c r="Y899" s="4"/>
      <c r="Z899" s="2"/>
      <c r="AA899" s="2"/>
      <c r="AB899" s="2"/>
      <c r="AC899" s="4"/>
      <c r="AD899" s="2"/>
      <c r="AE899" s="2"/>
      <c r="AF899" s="2"/>
      <c r="AG899" s="2"/>
      <c r="AH899" s="2"/>
      <c r="AI899" s="2"/>
      <c r="AJ899" s="2"/>
      <c r="AK899" s="2"/>
    </row>
    <row r="900" spans="1:37" ht="14.25" customHeight="1">
      <c r="A900" s="2"/>
      <c r="B900" s="2"/>
      <c r="C900" s="2"/>
      <c r="D900" s="2"/>
      <c r="E900" s="16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4"/>
      <c r="W900" s="2"/>
      <c r="X900" s="2"/>
      <c r="Y900" s="4"/>
      <c r="Z900" s="2"/>
      <c r="AA900" s="2"/>
      <c r="AB900" s="2"/>
      <c r="AC900" s="4"/>
      <c r="AD900" s="2"/>
      <c r="AE900" s="2"/>
      <c r="AF900" s="2"/>
      <c r="AG900" s="2"/>
      <c r="AH900" s="2"/>
      <c r="AI900" s="2"/>
      <c r="AJ900" s="2"/>
      <c r="AK900" s="2"/>
    </row>
    <row r="901" spans="1:37" ht="14.25" customHeight="1">
      <c r="A901" s="2"/>
      <c r="B901" s="2"/>
      <c r="C901" s="2"/>
      <c r="D901" s="2"/>
      <c r="E901" s="16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4"/>
      <c r="W901" s="2"/>
      <c r="X901" s="2"/>
      <c r="Y901" s="4"/>
      <c r="Z901" s="2"/>
      <c r="AA901" s="2"/>
      <c r="AB901" s="2"/>
      <c r="AC901" s="4"/>
      <c r="AD901" s="2"/>
      <c r="AE901" s="2"/>
      <c r="AF901" s="2"/>
      <c r="AG901" s="2"/>
      <c r="AH901" s="2"/>
      <c r="AI901" s="2"/>
      <c r="AJ901" s="2"/>
      <c r="AK901" s="2"/>
    </row>
    <row r="902" spans="1:37" ht="14.25" customHeight="1">
      <c r="A902" s="2"/>
      <c r="B902" s="2"/>
      <c r="C902" s="2"/>
      <c r="D902" s="2"/>
      <c r="E902" s="16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4"/>
      <c r="W902" s="2"/>
      <c r="X902" s="2"/>
      <c r="Y902" s="4"/>
      <c r="Z902" s="2"/>
      <c r="AA902" s="2"/>
      <c r="AB902" s="2"/>
      <c r="AC902" s="4"/>
      <c r="AD902" s="2"/>
      <c r="AE902" s="2"/>
      <c r="AF902" s="2"/>
      <c r="AG902" s="2"/>
      <c r="AH902" s="2"/>
      <c r="AI902" s="2"/>
      <c r="AJ902" s="2"/>
      <c r="AK902" s="2"/>
    </row>
    <row r="903" spans="1:37" ht="14.25" customHeight="1">
      <c r="A903" s="2"/>
      <c r="B903" s="2"/>
      <c r="C903" s="2"/>
      <c r="D903" s="2"/>
      <c r="E903" s="16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4"/>
      <c r="W903" s="2"/>
      <c r="X903" s="2"/>
      <c r="Y903" s="4"/>
      <c r="Z903" s="2"/>
      <c r="AA903" s="2"/>
      <c r="AB903" s="2"/>
      <c r="AC903" s="4"/>
      <c r="AD903" s="2"/>
      <c r="AE903" s="2"/>
      <c r="AF903" s="2"/>
      <c r="AG903" s="2"/>
      <c r="AH903" s="2"/>
      <c r="AI903" s="2"/>
      <c r="AJ903" s="2"/>
      <c r="AK903" s="2"/>
    </row>
    <row r="904" spans="1:37" ht="14.25" customHeight="1">
      <c r="A904" s="2"/>
      <c r="B904" s="2"/>
      <c r="C904" s="2"/>
      <c r="D904" s="2"/>
      <c r="E904" s="16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4"/>
      <c r="W904" s="2"/>
      <c r="X904" s="2"/>
      <c r="Y904" s="4"/>
      <c r="Z904" s="2"/>
      <c r="AA904" s="2"/>
      <c r="AB904" s="2"/>
      <c r="AC904" s="4"/>
      <c r="AD904" s="2"/>
      <c r="AE904" s="2"/>
      <c r="AF904" s="2"/>
      <c r="AG904" s="2"/>
      <c r="AH904" s="2"/>
      <c r="AI904" s="2"/>
      <c r="AJ904" s="2"/>
      <c r="AK904" s="2"/>
    </row>
    <row r="905" spans="1:37" ht="14.25" customHeight="1">
      <c r="A905" s="2"/>
      <c r="B905" s="2"/>
      <c r="C905" s="2"/>
      <c r="D905" s="2"/>
      <c r="E905" s="16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4"/>
      <c r="W905" s="2"/>
      <c r="X905" s="2"/>
      <c r="Y905" s="4"/>
      <c r="Z905" s="2"/>
      <c r="AA905" s="2"/>
      <c r="AB905" s="2"/>
      <c r="AC905" s="4"/>
      <c r="AD905" s="2"/>
      <c r="AE905" s="2"/>
      <c r="AF905" s="2"/>
      <c r="AG905" s="2"/>
      <c r="AH905" s="2"/>
      <c r="AI905" s="2"/>
      <c r="AJ905" s="2"/>
      <c r="AK905" s="2"/>
    </row>
    <row r="906" spans="1:37" ht="14.25" customHeight="1">
      <c r="A906" s="2"/>
      <c r="B906" s="2"/>
      <c r="C906" s="2"/>
      <c r="D906" s="2"/>
      <c r="E906" s="16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4"/>
      <c r="W906" s="2"/>
      <c r="X906" s="2"/>
      <c r="Y906" s="4"/>
      <c r="Z906" s="2"/>
      <c r="AA906" s="2"/>
      <c r="AB906" s="2"/>
      <c r="AC906" s="4"/>
      <c r="AD906" s="2"/>
      <c r="AE906" s="2"/>
      <c r="AF906" s="2"/>
      <c r="AG906" s="2"/>
      <c r="AH906" s="2"/>
      <c r="AI906" s="2"/>
      <c r="AJ906" s="2"/>
      <c r="AK906" s="2"/>
    </row>
    <row r="907" spans="1:37" ht="14.25" customHeight="1">
      <c r="A907" s="2"/>
      <c r="B907" s="2"/>
      <c r="C907" s="2"/>
      <c r="D907" s="2"/>
      <c r="E907" s="16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4"/>
      <c r="W907" s="2"/>
      <c r="X907" s="2"/>
      <c r="Y907" s="4"/>
      <c r="Z907" s="2"/>
      <c r="AA907" s="2"/>
      <c r="AB907" s="2"/>
      <c r="AC907" s="4"/>
      <c r="AD907" s="2"/>
      <c r="AE907" s="2"/>
      <c r="AF907" s="2"/>
      <c r="AG907" s="2"/>
      <c r="AH907" s="2"/>
      <c r="AI907" s="2"/>
      <c r="AJ907" s="2"/>
      <c r="AK907" s="2"/>
    </row>
    <row r="908" spans="1:37" ht="14.25" customHeight="1">
      <c r="A908" s="2"/>
      <c r="B908" s="2"/>
      <c r="C908" s="2"/>
      <c r="D908" s="2"/>
      <c r="E908" s="16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4"/>
      <c r="W908" s="2"/>
      <c r="X908" s="2"/>
      <c r="Y908" s="4"/>
      <c r="Z908" s="2"/>
      <c r="AA908" s="2"/>
      <c r="AB908" s="2"/>
      <c r="AC908" s="4"/>
      <c r="AD908" s="2"/>
      <c r="AE908" s="2"/>
      <c r="AF908" s="2"/>
      <c r="AG908" s="2"/>
      <c r="AH908" s="2"/>
      <c r="AI908" s="2"/>
      <c r="AJ908" s="2"/>
      <c r="AK908" s="2"/>
    </row>
    <row r="909" spans="1:37" ht="14.25" customHeight="1">
      <c r="A909" s="2"/>
      <c r="B909" s="2"/>
      <c r="C909" s="2"/>
      <c r="D909" s="2"/>
      <c r="E909" s="16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4"/>
      <c r="W909" s="2"/>
      <c r="X909" s="2"/>
      <c r="Y909" s="4"/>
      <c r="Z909" s="2"/>
      <c r="AA909" s="2"/>
      <c r="AB909" s="2"/>
      <c r="AC909" s="4"/>
      <c r="AD909" s="2"/>
      <c r="AE909" s="2"/>
      <c r="AF909" s="2"/>
      <c r="AG909" s="2"/>
      <c r="AH909" s="2"/>
      <c r="AI909" s="2"/>
      <c r="AJ909" s="2"/>
      <c r="AK909" s="2"/>
    </row>
    <row r="910" spans="1:37" ht="14.25" customHeight="1">
      <c r="A910" s="2"/>
      <c r="B910" s="2"/>
      <c r="C910" s="2"/>
      <c r="D910" s="2"/>
      <c r="E910" s="16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4"/>
      <c r="W910" s="2"/>
      <c r="X910" s="2"/>
      <c r="Y910" s="4"/>
      <c r="Z910" s="2"/>
      <c r="AA910" s="2"/>
      <c r="AB910" s="2"/>
      <c r="AC910" s="4"/>
      <c r="AD910" s="2"/>
      <c r="AE910" s="2"/>
      <c r="AF910" s="2"/>
      <c r="AG910" s="2"/>
      <c r="AH910" s="2"/>
      <c r="AI910" s="2"/>
      <c r="AJ910" s="2"/>
      <c r="AK910" s="2"/>
    </row>
    <row r="911" spans="1:37" ht="14.25" customHeight="1">
      <c r="A911" s="2"/>
      <c r="B911" s="2"/>
      <c r="C911" s="2"/>
      <c r="D911" s="2"/>
      <c r="E911" s="16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4"/>
      <c r="W911" s="2"/>
      <c r="X911" s="2"/>
      <c r="Y911" s="4"/>
      <c r="Z911" s="2"/>
      <c r="AA911" s="2"/>
      <c r="AB911" s="2"/>
      <c r="AC911" s="4"/>
      <c r="AD911" s="2"/>
      <c r="AE911" s="2"/>
      <c r="AF911" s="2"/>
      <c r="AG911" s="2"/>
      <c r="AH911" s="2"/>
      <c r="AI911" s="2"/>
      <c r="AJ911" s="2"/>
      <c r="AK911" s="2"/>
    </row>
    <row r="912" spans="1:37" ht="14.25" customHeight="1">
      <c r="A912" s="2"/>
      <c r="B912" s="2"/>
      <c r="C912" s="2"/>
      <c r="D912" s="2"/>
      <c r="E912" s="16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4"/>
      <c r="W912" s="2"/>
      <c r="X912" s="2"/>
      <c r="Y912" s="4"/>
      <c r="Z912" s="2"/>
      <c r="AA912" s="2"/>
      <c r="AB912" s="2"/>
      <c r="AC912" s="4"/>
      <c r="AD912" s="2"/>
      <c r="AE912" s="2"/>
      <c r="AF912" s="2"/>
      <c r="AG912" s="2"/>
      <c r="AH912" s="2"/>
      <c r="AI912" s="2"/>
      <c r="AJ912" s="2"/>
      <c r="AK912" s="2"/>
    </row>
    <row r="913" spans="1:37" ht="14.25" customHeight="1">
      <c r="A913" s="2"/>
      <c r="B913" s="2"/>
      <c r="C913" s="2"/>
      <c r="D913" s="2"/>
      <c r="E913" s="16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4"/>
      <c r="W913" s="2"/>
      <c r="X913" s="2"/>
      <c r="Y913" s="4"/>
      <c r="Z913" s="2"/>
      <c r="AA913" s="2"/>
      <c r="AB913" s="2"/>
      <c r="AC913" s="4"/>
      <c r="AD913" s="2"/>
      <c r="AE913" s="2"/>
      <c r="AF913" s="2"/>
      <c r="AG913" s="2"/>
      <c r="AH913" s="2"/>
      <c r="AI913" s="2"/>
      <c r="AJ913" s="2"/>
      <c r="AK913" s="2"/>
    </row>
    <row r="914" spans="1:37" ht="14.25" customHeight="1">
      <c r="A914" s="2"/>
      <c r="B914" s="2"/>
      <c r="C914" s="2"/>
      <c r="D914" s="2"/>
      <c r="E914" s="16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4"/>
      <c r="W914" s="2"/>
      <c r="X914" s="2"/>
      <c r="Y914" s="4"/>
      <c r="Z914" s="2"/>
      <c r="AA914" s="2"/>
      <c r="AB914" s="2"/>
      <c r="AC914" s="4"/>
      <c r="AD914" s="2"/>
      <c r="AE914" s="2"/>
      <c r="AF914" s="2"/>
      <c r="AG914" s="2"/>
      <c r="AH914" s="2"/>
      <c r="AI914" s="2"/>
      <c r="AJ914" s="2"/>
      <c r="AK914" s="2"/>
    </row>
    <row r="915" spans="1:37" ht="14.25" customHeight="1">
      <c r="A915" s="2"/>
      <c r="B915" s="2"/>
      <c r="C915" s="2"/>
      <c r="D915" s="2"/>
      <c r="E915" s="16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4"/>
      <c r="W915" s="2"/>
      <c r="X915" s="2"/>
      <c r="Y915" s="4"/>
      <c r="Z915" s="2"/>
      <c r="AA915" s="2"/>
      <c r="AB915" s="2"/>
      <c r="AC915" s="4"/>
      <c r="AD915" s="2"/>
      <c r="AE915" s="2"/>
      <c r="AF915" s="2"/>
      <c r="AG915" s="2"/>
      <c r="AH915" s="2"/>
      <c r="AI915" s="2"/>
      <c r="AJ915" s="2"/>
      <c r="AK915" s="2"/>
    </row>
    <row r="916" spans="1:37" ht="14.25" customHeight="1">
      <c r="A916" s="2"/>
      <c r="B916" s="2"/>
      <c r="C916" s="2"/>
      <c r="D916" s="2"/>
      <c r="E916" s="16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4"/>
      <c r="W916" s="2"/>
      <c r="X916" s="2"/>
      <c r="Y916" s="4"/>
      <c r="Z916" s="2"/>
      <c r="AA916" s="2"/>
      <c r="AB916" s="2"/>
      <c r="AC916" s="4"/>
      <c r="AD916" s="2"/>
      <c r="AE916" s="2"/>
      <c r="AF916" s="2"/>
      <c r="AG916" s="2"/>
      <c r="AH916" s="2"/>
      <c r="AI916" s="2"/>
      <c r="AJ916" s="2"/>
      <c r="AK916" s="2"/>
    </row>
    <row r="917" spans="1:37" ht="14.25" customHeight="1">
      <c r="A917" s="2"/>
      <c r="B917" s="2"/>
      <c r="C917" s="2"/>
      <c r="D917" s="2"/>
      <c r="E917" s="16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4"/>
      <c r="W917" s="2"/>
      <c r="X917" s="2"/>
      <c r="Y917" s="4"/>
      <c r="Z917" s="2"/>
      <c r="AA917" s="2"/>
      <c r="AB917" s="2"/>
      <c r="AC917" s="4"/>
      <c r="AD917" s="2"/>
      <c r="AE917" s="2"/>
      <c r="AF917" s="2"/>
      <c r="AG917" s="2"/>
      <c r="AH917" s="2"/>
      <c r="AI917" s="2"/>
      <c r="AJ917" s="2"/>
      <c r="AK917" s="2"/>
    </row>
    <row r="918" spans="1:37" ht="14.25" customHeight="1">
      <c r="A918" s="2"/>
      <c r="B918" s="2"/>
      <c r="C918" s="2"/>
      <c r="D918" s="2"/>
      <c r="E918" s="16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4"/>
      <c r="W918" s="2"/>
      <c r="X918" s="2"/>
      <c r="Y918" s="4"/>
      <c r="Z918" s="2"/>
      <c r="AA918" s="2"/>
      <c r="AB918" s="2"/>
      <c r="AC918" s="4"/>
      <c r="AD918" s="2"/>
      <c r="AE918" s="2"/>
      <c r="AF918" s="2"/>
      <c r="AG918" s="2"/>
      <c r="AH918" s="2"/>
      <c r="AI918" s="2"/>
      <c r="AJ918" s="2"/>
      <c r="AK918" s="2"/>
    </row>
    <row r="919" spans="1:37" ht="14.25" customHeight="1">
      <c r="A919" s="2"/>
      <c r="B919" s="2"/>
      <c r="C919" s="2"/>
      <c r="D919" s="2"/>
      <c r="E919" s="16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4"/>
      <c r="W919" s="2"/>
      <c r="X919" s="2"/>
      <c r="Y919" s="4"/>
      <c r="Z919" s="2"/>
      <c r="AA919" s="2"/>
      <c r="AB919" s="2"/>
      <c r="AC919" s="4"/>
      <c r="AD919" s="2"/>
      <c r="AE919" s="2"/>
      <c r="AF919" s="2"/>
      <c r="AG919" s="2"/>
      <c r="AH919" s="2"/>
      <c r="AI919" s="2"/>
      <c r="AJ919" s="2"/>
      <c r="AK919" s="2"/>
    </row>
    <row r="920" spans="1:37" ht="14.25" customHeight="1">
      <c r="A920" s="2"/>
      <c r="B920" s="2"/>
      <c r="C920" s="2"/>
      <c r="D920" s="2"/>
      <c r="E920" s="16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4"/>
      <c r="W920" s="2"/>
      <c r="X920" s="2"/>
      <c r="Y920" s="4"/>
      <c r="Z920" s="2"/>
      <c r="AA920" s="2"/>
      <c r="AB920" s="2"/>
      <c r="AC920" s="4"/>
      <c r="AD920" s="2"/>
      <c r="AE920" s="2"/>
      <c r="AF920" s="2"/>
      <c r="AG920" s="2"/>
      <c r="AH920" s="2"/>
      <c r="AI920" s="2"/>
      <c r="AJ920" s="2"/>
      <c r="AK920" s="2"/>
    </row>
    <row r="921" spans="1:37" ht="14.25" customHeight="1">
      <c r="A921" s="2"/>
      <c r="B921" s="2"/>
      <c r="C921" s="2"/>
      <c r="D921" s="2"/>
      <c r="E921" s="16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4"/>
      <c r="W921" s="2"/>
      <c r="X921" s="2"/>
      <c r="Y921" s="4"/>
      <c r="Z921" s="2"/>
      <c r="AA921" s="2"/>
      <c r="AB921" s="2"/>
      <c r="AC921" s="4"/>
      <c r="AD921" s="2"/>
      <c r="AE921" s="2"/>
      <c r="AF921" s="2"/>
      <c r="AG921" s="2"/>
      <c r="AH921" s="2"/>
      <c r="AI921" s="2"/>
      <c r="AJ921" s="2"/>
      <c r="AK921" s="2"/>
    </row>
    <row r="922" spans="1:37" ht="14.25" customHeight="1">
      <c r="A922" s="2"/>
      <c r="B922" s="2"/>
      <c r="C922" s="2"/>
      <c r="D922" s="2"/>
      <c r="E922" s="16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4"/>
      <c r="W922" s="2"/>
      <c r="X922" s="2"/>
      <c r="Y922" s="4"/>
      <c r="Z922" s="2"/>
      <c r="AA922" s="2"/>
      <c r="AB922" s="2"/>
      <c r="AC922" s="4"/>
      <c r="AD922" s="2"/>
      <c r="AE922" s="2"/>
      <c r="AF922" s="2"/>
      <c r="AG922" s="2"/>
      <c r="AH922" s="2"/>
      <c r="AI922" s="2"/>
      <c r="AJ922" s="2"/>
      <c r="AK922" s="2"/>
    </row>
    <row r="923" spans="1:37" ht="14.25" customHeight="1">
      <c r="A923" s="2"/>
      <c r="B923" s="2"/>
      <c r="C923" s="2"/>
      <c r="D923" s="2"/>
      <c r="E923" s="16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4"/>
      <c r="W923" s="2"/>
      <c r="X923" s="2"/>
      <c r="Y923" s="4"/>
      <c r="Z923" s="2"/>
      <c r="AA923" s="2"/>
      <c r="AB923" s="2"/>
      <c r="AC923" s="4"/>
      <c r="AD923" s="2"/>
      <c r="AE923" s="2"/>
      <c r="AF923" s="2"/>
      <c r="AG923" s="2"/>
      <c r="AH923" s="2"/>
      <c r="AI923" s="2"/>
      <c r="AJ923" s="2"/>
      <c r="AK923" s="2"/>
    </row>
    <row r="924" spans="1:37" ht="14.25" customHeight="1">
      <c r="A924" s="2"/>
      <c r="B924" s="2"/>
      <c r="C924" s="2"/>
      <c r="D924" s="2"/>
      <c r="E924" s="16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4"/>
      <c r="W924" s="2"/>
      <c r="X924" s="2"/>
      <c r="Y924" s="4"/>
      <c r="Z924" s="2"/>
      <c r="AA924" s="2"/>
      <c r="AB924" s="2"/>
      <c r="AC924" s="4"/>
      <c r="AD924" s="2"/>
      <c r="AE924" s="2"/>
      <c r="AF924" s="2"/>
      <c r="AG924" s="2"/>
      <c r="AH924" s="2"/>
      <c r="AI924" s="2"/>
      <c r="AJ924" s="2"/>
      <c r="AK924" s="2"/>
    </row>
    <row r="925" spans="1:37" ht="14.25" customHeight="1">
      <c r="A925" s="2"/>
      <c r="B925" s="2"/>
      <c r="C925" s="2"/>
      <c r="D925" s="2"/>
      <c r="E925" s="16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4"/>
      <c r="W925" s="2"/>
      <c r="X925" s="2"/>
      <c r="Y925" s="4"/>
      <c r="Z925" s="2"/>
      <c r="AA925" s="2"/>
      <c r="AB925" s="2"/>
      <c r="AC925" s="4"/>
      <c r="AD925" s="2"/>
      <c r="AE925" s="2"/>
      <c r="AF925" s="2"/>
      <c r="AG925" s="2"/>
      <c r="AH925" s="2"/>
      <c r="AI925" s="2"/>
      <c r="AJ925" s="2"/>
      <c r="AK925" s="2"/>
    </row>
    <row r="926" spans="1:37" ht="14.25" customHeight="1">
      <c r="A926" s="2"/>
      <c r="B926" s="2"/>
      <c r="C926" s="2"/>
      <c r="D926" s="2"/>
      <c r="E926" s="16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4"/>
      <c r="W926" s="2"/>
      <c r="X926" s="2"/>
      <c r="Y926" s="4"/>
      <c r="Z926" s="2"/>
      <c r="AA926" s="2"/>
      <c r="AB926" s="2"/>
      <c r="AC926" s="4"/>
      <c r="AD926" s="2"/>
      <c r="AE926" s="2"/>
      <c r="AF926" s="2"/>
      <c r="AG926" s="2"/>
      <c r="AH926" s="2"/>
      <c r="AI926" s="2"/>
      <c r="AJ926" s="2"/>
      <c r="AK926" s="2"/>
    </row>
    <row r="927" spans="1:37" ht="14.25" customHeight="1">
      <c r="A927" s="2"/>
      <c r="B927" s="2"/>
      <c r="C927" s="2"/>
      <c r="D927" s="2"/>
      <c r="E927" s="16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4"/>
      <c r="W927" s="2"/>
      <c r="X927" s="2"/>
      <c r="Y927" s="4"/>
      <c r="Z927" s="2"/>
      <c r="AA927" s="2"/>
      <c r="AB927" s="2"/>
      <c r="AC927" s="4"/>
      <c r="AD927" s="2"/>
      <c r="AE927" s="2"/>
      <c r="AF927" s="2"/>
      <c r="AG927" s="2"/>
      <c r="AH927" s="2"/>
      <c r="AI927" s="2"/>
      <c r="AJ927" s="2"/>
      <c r="AK927" s="2"/>
    </row>
    <row r="928" spans="1:37" ht="14.25" customHeight="1">
      <c r="A928" s="2"/>
      <c r="B928" s="2"/>
      <c r="C928" s="2"/>
      <c r="D928" s="2"/>
      <c r="E928" s="16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4"/>
      <c r="W928" s="2"/>
      <c r="X928" s="2"/>
      <c r="Y928" s="4"/>
      <c r="Z928" s="2"/>
      <c r="AA928" s="2"/>
      <c r="AB928" s="2"/>
      <c r="AC928" s="4"/>
      <c r="AD928" s="2"/>
      <c r="AE928" s="2"/>
      <c r="AF928" s="2"/>
      <c r="AG928" s="2"/>
      <c r="AH928" s="2"/>
      <c r="AI928" s="2"/>
      <c r="AJ928" s="2"/>
      <c r="AK928" s="2"/>
    </row>
    <row r="929" spans="1:37" ht="14.25" customHeight="1">
      <c r="A929" s="2"/>
      <c r="B929" s="2"/>
      <c r="C929" s="2"/>
      <c r="D929" s="2"/>
      <c r="E929" s="16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4"/>
      <c r="W929" s="2"/>
      <c r="X929" s="2"/>
      <c r="Y929" s="4"/>
      <c r="Z929" s="2"/>
      <c r="AA929" s="2"/>
      <c r="AB929" s="2"/>
      <c r="AC929" s="4"/>
      <c r="AD929" s="2"/>
      <c r="AE929" s="2"/>
      <c r="AF929" s="2"/>
      <c r="AG929" s="2"/>
      <c r="AH929" s="2"/>
      <c r="AI929" s="2"/>
      <c r="AJ929" s="2"/>
      <c r="AK929" s="2"/>
    </row>
    <row r="930" spans="1:37" ht="14.25" customHeight="1">
      <c r="A930" s="2"/>
      <c r="B930" s="2"/>
      <c r="C930" s="2"/>
      <c r="D930" s="2"/>
      <c r="E930" s="16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4"/>
      <c r="W930" s="2"/>
      <c r="X930" s="2"/>
      <c r="Y930" s="4"/>
      <c r="Z930" s="2"/>
      <c r="AA930" s="2"/>
      <c r="AB930" s="2"/>
      <c r="AC930" s="4"/>
      <c r="AD930" s="2"/>
      <c r="AE930" s="2"/>
      <c r="AF930" s="2"/>
      <c r="AG930" s="2"/>
      <c r="AH930" s="2"/>
      <c r="AI930" s="2"/>
      <c r="AJ930" s="2"/>
      <c r="AK930" s="2"/>
    </row>
    <row r="931" spans="1:37" ht="14.25" customHeight="1">
      <c r="A931" s="2"/>
      <c r="B931" s="2"/>
      <c r="C931" s="2"/>
      <c r="D931" s="2"/>
      <c r="E931" s="16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4"/>
      <c r="W931" s="2"/>
      <c r="X931" s="2"/>
      <c r="Y931" s="4"/>
      <c r="Z931" s="2"/>
      <c r="AA931" s="2"/>
      <c r="AB931" s="2"/>
      <c r="AC931" s="4"/>
      <c r="AD931" s="2"/>
      <c r="AE931" s="2"/>
      <c r="AF931" s="2"/>
      <c r="AG931" s="2"/>
      <c r="AH931" s="2"/>
      <c r="AI931" s="2"/>
      <c r="AJ931" s="2"/>
      <c r="AK931" s="2"/>
    </row>
    <row r="932" spans="1:37" ht="14.25" customHeight="1">
      <c r="A932" s="2"/>
      <c r="B932" s="2"/>
      <c r="C932" s="2"/>
      <c r="D932" s="2"/>
      <c r="E932" s="16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4"/>
      <c r="W932" s="2"/>
      <c r="X932" s="2"/>
      <c r="Y932" s="4"/>
      <c r="Z932" s="2"/>
      <c r="AA932" s="2"/>
      <c r="AB932" s="2"/>
      <c r="AC932" s="4"/>
      <c r="AD932" s="2"/>
      <c r="AE932" s="2"/>
      <c r="AF932" s="2"/>
      <c r="AG932" s="2"/>
      <c r="AH932" s="2"/>
      <c r="AI932" s="2"/>
      <c r="AJ932" s="2"/>
      <c r="AK932" s="2"/>
    </row>
    <row r="933" spans="1:37" ht="14.25" customHeight="1">
      <c r="A933" s="2"/>
      <c r="B933" s="2"/>
      <c r="C933" s="2"/>
      <c r="D933" s="2"/>
      <c r="E933" s="16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4"/>
      <c r="W933" s="2"/>
      <c r="X933" s="2"/>
      <c r="Y933" s="4"/>
      <c r="Z933" s="2"/>
      <c r="AA933" s="2"/>
      <c r="AB933" s="2"/>
      <c r="AC933" s="4"/>
      <c r="AD933" s="2"/>
      <c r="AE933" s="2"/>
      <c r="AF933" s="2"/>
      <c r="AG933" s="2"/>
      <c r="AH933" s="2"/>
      <c r="AI933" s="2"/>
      <c r="AJ933" s="2"/>
      <c r="AK933" s="2"/>
    </row>
    <row r="934" spans="1:37" ht="14.25" customHeight="1">
      <c r="A934" s="2"/>
      <c r="B934" s="2"/>
      <c r="C934" s="2"/>
      <c r="D934" s="2"/>
      <c r="E934" s="16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4"/>
      <c r="W934" s="2"/>
      <c r="X934" s="2"/>
      <c r="Y934" s="4"/>
      <c r="Z934" s="2"/>
      <c r="AA934" s="2"/>
      <c r="AB934" s="2"/>
      <c r="AC934" s="4"/>
      <c r="AD934" s="2"/>
      <c r="AE934" s="2"/>
      <c r="AF934" s="2"/>
      <c r="AG934" s="2"/>
      <c r="AH934" s="2"/>
      <c r="AI934" s="2"/>
      <c r="AJ934" s="2"/>
      <c r="AK934" s="2"/>
    </row>
    <row r="935" spans="1:37" ht="14.25" customHeight="1">
      <c r="A935" s="2"/>
      <c r="B935" s="2"/>
      <c r="C935" s="2"/>
      <c r="D935" s="2"/>
      <c r="E935" s="16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4"/>
      <c r="W935" s="2"/>
      <c r="X935" s="2"/>
      <c r="Y935" s="4"/>
      <c r="Z935" s="2"/>
      <c r="AA935" s="2"/>
      <c r="AB935" s="2"/>
      <c r="AC935" s="4"/>
      <c r="AD935" s="2"/>
      <c r="AE935" s="2"/>
      <c r="AF935" s="2"/>
      <c r="AG935" s="2"/>
      <c r="AH935" s="2"/>
      <c r="AI935" s="2"/>
      <c r="AJ935" s="2"/>
      <c r="AK935" s="2"/>
    </row>
    <row r="936" spans="1:37" ht="14.25" customHeight="1">
      <c r="A936" s="2"/>
      <c r="B936" s="2"/>
      <c r="C936" s="2"/>
      <c r="D936" s="2"/>
      <c r="E936" s="16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4"/>
      <c r="W936" s="2"/>
      <c r="X936" s="2"/>
      <c r="Y936" s="4"/>
      <c r="Z936" s="2"/>
      <c r="AA936" s="2"/>
      <c r="AB936" s="2"/>
      <c r="AC936" s="4"/>
      <c r="AD936" s="2"/>
      <c r="AE936" s="2"/>
      <c r="AF936" s="2"/>
      <c r="AG936" s="2"/>
      <c r="AH936" s="2"/>
      <c r="AI936" s="2"/>
      <c r="AJ936" s="2"/>
      <c r="AK936" s="2"/>
    </row>
    <row r="937" spans="1:37" ht="14.25" customHeight="1">
      <c r="A937" s="2"/>
      <c r="B937" s="2"/>
      <c r="C937" s="2"/>
      <c r="D937" s="2"/>
      <c r="E937" s="16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4"/>
      <c r="W937" s="2"/>
      <c r="X937" s="2"/>
      <c r="Y937" s="4"/>
      <c r="Z937" s="2"/>
      <c r="AA937" s="2"/>
      <c r="AB937" s="2"/>
      <c r="AC937" s="4"/>
      <c r="AD937" s="2"/>
      <c r="AE937" s="2"/>
      <c r="AF937" s="2"/>
      <c r="AG937" s="2"/>
      <c r="AH937" s="2"/>
      <c r="AI937" s="2"/>
      <c r="AJ937" s="2"/>
      <c r="AK937" s="2"/>
    </row>
    <row r="938" spans="1:37" ht="14.25" customHeight="1">
      <c r="A938" s="2"/>
      <c r="B938" s="2"/>
      <c r="C938" s="2"/>
      <c r="D938" s="2"/>
      <c r="E938" s="16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4"/>
      <c r="W938" s="2"/>
      <c r="X938" s="2"/>
      <c r="Y938" s="4"/>
      <c r="Z938" s="2"/>
      <c r="AA938" s="2"/>
      <c r="AB938" s="2"/>
      <c r="AC938" s="4"/>
      <c r="AD938" s="2"/>
      <c r="AE938" s="2"/>
      <c r="AF938" s="2"/>
      <c r="AG938" s="2"/>
      <c r="AH938" s="2"/>
      <c r="AI938" s="2"/>
      <c r="AJ938" s="2"/>
      <c r="AK938" s="2"/>
    </row>
    <row r="939" spans="1:37" ht="14.25" customHeight="1">
      <c r="A939" s="2"/>
      <c r="B939" s="2"/>
      <c r="C939" s="2"/>
      <c r="D939" s="2"/>
      <c r="E939" s="16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4"/>
      <c r="W939" s="2"/>
      <c r="X939" s="2"/>
      <c r="Y939" s="4"/>
      <c r="Z939" s="2"/>
      <c r="AA939" s="2"/>
      <c r="AB939" s="2"/>
      <c r="AC939" s="4"/>
      <c r="AD939" s="2"/>
      <c r="AE939" s="2"/>
      <c r="AF939" s="2"/>
      <c r="AG939" s="2"/>
      <c r="AH939" s="2"/>
      <c r="AI939" s="2"/>
      <c r="AJ939" s="2"/>
      <c r="AK939" s="2"/>
    </row>
    <row r="940" spans="1:37" ht="14.25" customHeight="1">
      <c r="A940" s="2"/>
      <c r="B940" s="2"/>
      <c r="C940" s="2"/>
      <c r="D940" s="2"/>
      <c r="E940" s="16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4"/>
      <c r="W940" s="2"/>
      <c r="X940" s="2"/>
      <c r="Y940" s="4"/>
      <c r="Z940" s="2"/>
      <c r="AA940" s="2"/>
      <c r="AB940" s="2"/>
      <c r="AC940" s="4"/>
      <c r="AD940" s="2"/>
      <c r="AE940" s="2"/>
      <c r="AF940" s="2"/>
      <c r="AG940" s="2"/>
      <c r="AH940" s="2"/>
      <c r="AI940" s="2"/>
      <c r="AJ940" s="2"/>
      <c r="AK940" s="2"/>
    </row>
    <row r="941" spans="1:37" ht="14.25" customHeight="1">
      <c r="A941" s="2"/>
      <c r="B941" s="2"/>
      <c r="C941" s="2"/>
      <c r="D941" s="2"/>
      <c r="E941" s="16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4"/>
      <c r="W941" s="2"/>
      <c r="X941" s="2"/>
      <c r="Y941" s="4"/>
      <c r="Z941" s="2"/>
      <c r="AA941" s="2"/>
      <c r="AB941" s="2"/>
      <c r="AC941" s="4"/>
      <c r="AD941" s="2"/>
      <c r="AE941" s="2"/>
      <c r="AF941" s="2"/>
      <c r="AG941" s="2"/>
      <c r="AH941" s="2"/>
      <c r="AI941" s="2"/>
      <c r="AJ941" s="2"/>
      <c r="AK941" s="2"/>
    </row>
    <row r="942" spans="1:37" ht="14.25" customHeight="1">
      <c r="A942" s="2"/>
      <c r="B942" s="2"/>
      <c r="C942" s="2"/>
      <c r="D942" s="2"/>
      <c r="E942" s="16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4"/>
      <c r="W942" s="2"/>
      <c r="X942" s="2"/>
      <c r="Y942" s="4"/>
      <c r="Z942" s="2"/>
      <c r="AA942" s="2"/>
      <c r="AB942" s="2"/>
      <c r="AC942" s="4"/>
      <c r="AD942" s="2"/>
      <c r="AE942" s="2"/>
      <c r="AF942" s="2"/>
      <c r="AG942" s="2"/>
      <c r="AH942" s="2"/>
      <c r="AI942" s="2"/>
      <c r="AJ942" s="2"/>
      <c r="AK942" s="2"/>
    </row>
    <row r="943" spans="1:37" ht="14.25" customHeight="1">
      <c r="A943" s="2"/>
      <c r="B943" s="2"/>
      <c r="C943" s="2"/>
      <c r="D943" s="2"/>
      <c r="E943" s="16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4"/>
      <c r="W943" s="2"/>
      <c r="X943" s="2"/>
      <c r="Y943" s="4"/>
      <c r="Z943" s="2"/>
      <c r="AA943" s="2"/>
      <c r="AB943" s="2"/>
      <c r="AC943" s="4"/>
      <c r="AD943" s="2"/>
      <c r="AE943" s="2"/>
      <c r="AF943" s="2"/>
      <c r="AG943" s="2"/>
      <c r="AH943" s="2"/>
      <c r="AI943" s="2"/>
      <c r="AJ943" s="2"/>
      <c r="AK943" s="2"/>
    </row>
    <row r="944" spans="1:37" ht="14.25" customHeight="1">
      <c r="A944" s="2"/>
      <c r="B944" s="2"/>
      <c r="C944" s="2"/>
      <c r="D944" s="2"/>
      <c r="E944" s="16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4"/>
      <c r="W944" s="2"/>
      <c r="X944" s="2"/>
      <c r="Y944" s="4"/>
      <c r="Z944" s="2"/>
      <c r="AA944" s="2"/>
      <c r="AB944" s="2"/>
      <c r="AC944" s="4"/>
      <c r="AD944" s="2"/>
      <c r="AE944" s="2"/>
      <c r="AF944" s="2"/>
      <c r="AG944" s="2"/>
      <c r="AH944" s="2"/>
      <c r="AI944" s="2"/>
      <c r="AJ944" s="2"/>
      <c r="AK944" s="2"/>
    </row>
    <row r="945" spans="1:37" ht="14.25" customHeight="1">
      <c r="A945" s="2"/>
      <c r="B945" s="2"/>
      <c r="C945" s="2"/>
      <c r="D945" s="2"/>
      <c r="E945" s="16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4"/>
      <c r="W945" s="2"/>
      <c r="X945" s="2"/>
      <c r="Y945" s="4"/>
      <c r="Z945" s="2"/>
      <c r="AA945" s="2"/>
      <c r="AB945" s="2"/>
      <c r="AC945" s="4"/>
      <c r="AD945" s="2"/>
      <c r="AE945" s="2"/>
      <c r="AF945" s="2"/>
      <c r="AG945" s="2"/>
      <c r="AH945" s="2"/>
      <c r="AI945" s="2"/>
      <c r="AJ945" s="2"/>
      <c r="AK945" s="2"/>
    </row>
    <row r="946" spans="1:37" ht="14.25" customHeight="1">
      <c r="A946" s="2"/>
      <c r="B946" s="2"/>
      <c r="C946" s="2"/>
      <c r="D946" s="2"/>
      <c r="E946" s="16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4"/>
      <c r="W946" s="2"/>
      <c r="X946" s="2"/>
      <c r="Y946" s="4"/>
      <c r="Z946" s="2"/>
      <c r="AA946" s="2"/>
      <c r="AB946" s="2"/>
      <c r="AC946" s="4"/>
      <c r="AD946" s="2"/>
      <c r="AE946" s="2"/>
      <c r="AF946" s="2"/>
      <c r="AG946" s="2"/>
      <c r="AH946" s="2"/>
      <c r="AI946" s="2"/>
      <c r="AJ946" s="2"/>
      <c r="AK946" s="2"/>
    </row>
    <row r="947" spans="1:37" ht="14.25" customHeight="1">
      <c r="A947" s="2"/>
      <c r="B947" s="2"/>
      <c r="C947" s="2"/>
      <c r="D947" s="2"/>
      <c r="E947" s="16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4"/>
      <c r="W947" s="2"/>
      <c r="X947" s="2"/>
      <c r="Y947" s="4"/>
      <c r="Z947" s="2"/>
      <c r="AA947" s="2"/>
      <c r="AB947" s="2"/>
      <c r="AC947" s="4"/>
      <c r="AD947" s="2"/>
      <c r="AE947" s="2"/>
      <c r="AF947" s="2"/>
      <c r="AG947" s="2"/>
      <c r="AH947" s="2"/>
      <c r="AI947" s="2"/>
      <c r="AJ947" s="2"/>
      <c r="AK947" s="2"/>
    </row>
    <row r="948" spans="1:37" ht="14.25" customHeight="1">
      <c r="A948" s="2"/>
      <c r="B948" s="2"/>
      <c r="C948" s="2"/>
      <c r="D948" s="2"/>
      <c r="E948" s="16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4"/>
      <c r="W948" s="2"/>
      <c r="X948" s="2"/>
      <c r="Y948" s="4"/>
      <c r="Z948" s="2"/>
      <c r="AA948" s="2"/>
      <c r="AB948" s="2"/>
      <c r="AC948" s="4"/>
      <c r="AD948" s="2"/>
      <c r="AE948" s="2"/>
      <c r="AF948" s="2"/>
      <c r="AG948" s="2"/>
      <c r="AH948" s="2"/>
      <c r="AI948" s="2"/>
      <c r="AJ948" s="2"/>
      <c r="AK948" s="2"/>
    </row>
    <row r="949" spans="1:37" ht="14.25" customHeight="1">
      <c r="A949" s="2"/>
      <c r="B949" s="2"/>
      <c r="C949" s="2"/>
      <c r="D949" s="2"/>
      <c r="E949" s="16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4"/>
      <c r="W949" s="2"/>
      <c r="X949" s="2"/>
      <c r="Y949" s="4"/>
      <c r="Z949" s="2"/>
      <c r="AA949" s="2"/>
      <c r="AB949" s="2"/>
      <c r="AC949" s="4"/>
      <c r="AD949" s="2"/>
      <c r="AE949" s="2"/>
      <c r="AF949" s="2"/>
      <c r="AG949" s="2"/>
      <c r="AH949" s="2"/>
      <c r="AI949" s="2"/>
      <c r="AJ949" s="2"/>
      <c r="AK949" s="2"/>
    </row>
    <row r="950" spans="1:37" ht="14.25" customHeight="1">
      <c r="A950" s="2"/>
      <c r="B950" s="2"/>
      <c r="C950" s="2"/>
      <c r="D950" s="2"/>
      <c r="E950" s="16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4"/>
      <c r="W950" s="2"/>
      <c r="X950" s="2"/>
      <c r="Y950" s="4"/>
      <c r="Z950" s="2"/>
      <c r="AA950" s="2"/>
      <c r="AB950" s="2"/>
      <c r="AC950" s="4"/>
      <c r="AD950" s="2"/>
      <c r="AE950" s="2"/>
      <c r="AF950" s="2"/>
      <c r="AG950" s="2"/>
      <c r="AH950" s="2"/>
      <c r="AI950" s="2"/>
      <c r="AJ950" s="2"/>
      <c r="AK950" s="2"/>
    </row>
    <row r="951" spans="1:37" ht="14.25" customHeight="1">
      <c r="A951" s="2"/>
      <c r="B951" s="2"/>
      <c r="C951" s="2"/>
      <c r="D951" s="2"/>
      <c r="E951" s="16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4"/>
      <c r="W951" s="2"/>
      <c r="X951" s="2"/>
      <c r="Y951" s="4"/>
      <c r="Z951" s="2"/>
      <c r="AA951" s="2"/>
      <c r="AB951" s="2"/>
      <c r="AC951" s="4"/>
      <c r="AD951" s="2"/>
      <c r="AE951" s="2"/>
      <c r="AF951" s="2"/>
      <c r="AG951" s="2"/>
      <c r="AH951" s="2"/>
      <c r="AI951" s="2"/>
      <c r="AJ951" s="2"/>
      <c r="AK951" s="2"/>
    </row>
    <row r="952" spans="1:37" ht="14.25" customHeight="1">
      <c r="A952" s="2"/>
      <c r="B952" s="2"/>
      <c r="C952" s="2"/>
      <c r="D952" s="2"/>
      <c r="E952" s="16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4"/>
      <c r="W952" s="2"/>
      <c r="X952" s="2"/>
      <c r="Y952" s="4"/>
      <c r="Z952" s="2"/>
      <c r="AA952" s="2"/>
      <c r="AB952" s="2"/>
      <c r="AC952" s="4"/>
      <c r="AD952" s="2"/>
      <c r="AE952" s="2"/>
      <c r="AF952" s="2"/>
      <c r="AG952" s="2"/>
      <c r="AH952" s="2"/>
      <c r="AI952" s="2"/>
      <c r="AJ952" s="2"/>
      <c r="AK952" s="2"/>
    </row>
    <row r="953" spans="1:37" ht="14.25" customHeight="1">
      <c r="A953" s="2"/>
      <c r="B953" s="2"/>
      <c r="C953" s="2"/>
      <c r="D953" s="2"/>
      <c r="E953" s="16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4"/>
      <c r="W953" s="2"/>
      <c r="X953" s="2"/>
      <c r="Y953" s="4"/>
      <c r="Z953" s="2"/>
      <c r="AA953" s="2"/>
      <c r="AB953" s="2"/>
      <c r="AC953" s="4"/>
      <c r="AD953" s="2"/>
      <c r="AE953" s="2"/>
      <c r="AF953" s="2"/>
      <c r="AG953" s="2"/>
      <c r="AH953" s="2"/>
      <c r="AI953" s="2"/>
      <c r="AJ953" s="2"/>
      <c r="AK953" s="2"/>
    </row>
    <row r="954" spans="1:37" ht="14.25" customHeight="1">
      <c r="A954" s="2"/>
      <c r="B954" s="2"/>
      <c r="C954" s="2"/>
      <c r="D954" s="2"/>
      <c r="E954" s="16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4"/>
      <c r="W954" s="2"/>
      <c r="X954" s="2"/>
      <c r="Y954" s="4"/>
      <c r="Z954" s="2"/>
      <c r="AA954" s="2"/>
      <c r="AB954" s="2"/>
      <c r="AC954" s="4"/>
      <c r="AD954" s="2"/>
      <c r="AE954" s="2"/>
      <c r="AF954" s="2"/>
      <c r="AG954" s="2"/>
      <c r="AH954" s="2"/>
      <c r="AI954" s="2"/>
      <c r="AJ954" s="2"/>
      <c r="AK954" s="2"/>
    </row>
    <row r="955" spans="1:37" ht="14.25" customHeight="1">
      <c r="A955" s="2"/>
      <c r="B955" s="2"/>
      <c r="C955" s="2"/>
      <c r="D955" s="2"/>
      <c r="E955" s="16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4"/>
      <c r="W955" s="2"/>
      <c r="X955" s="2"/>
      <c r="Y955" s="4"/>
      <c r="Z955" s="2"/>
      <c r="AA955" s="2"/>
      <c r="AB955" s="2"/>
      <c r="AC955" s="4"/>
      <c r="AD955" s="2"/>
      <c r="AE955" s="2"/>
      <c r="AF955" s="2"/>
      <c r="AG955" s="2"/>
      <c r="AH955" s="2"/>
      <c r="AI955" s="2"/>
      <c r="AJ955" s="2"/>
      <c r="AK955" s="2"/>
    </row>
    <row r="956" spans="1:37" ht="14.25" customHeight="1">
      <c r="A956" s="2"/>
      <c r="B956" s="2"/>
      <c r="C956" s="2"/>
      <c r="D956" s="2"/>
      <c r="E956" s="16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4"/>
      <c r="W956" s="2"/>
      <c r="X956" s="2"/>
      <c r="Y956" s="4"/>
      <c r="Z956" s="2"/>
      <c r="AA956" s="2"/>
      <c r="AB956" s="2"/>
      <c r="AC956" s="4"/>
      <c r="AD956" s="2"/>
      <c r="AE956" s="2"/>
      <c r="AF956" s="2"/>
      <c r="AG956" s="2"/>
      <c r="AH956" s="2"/>
      <c r="AI956" s="2"/>
      <c r="AJ956" s="2"/>
      <c r="AK956" s="2"/>
    </row>
    <row r="957" spans="1:37" ht="14.25" customHeight="1">
      <c r="A957" s="2"/>
      <c r="B957" s="2"/>
      <c r="C957" s="2"/>
      <c r="D957" s="2"/>
      <c r="E957" s="16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4"/>
      <c r="W957" s="2"/>
      <c r="X957" s="2"/>
      <c r="Y957" s="4"/>
      <c r="Z957" s="2"/>
      <c r="AA957" s="2"/>
      <c r="AB957" s="2"/>
      <c r="AC957" s="4"/>
      <c r="AD957" s="2"/>
      <c r="AE957" s="2"/>
      <c r="AF957" s="2"/>
      <c r="AG957" s="2"/>
      <c r="AH957" s="2"/>
      <c r="AI957" s="2"/>
      <c r="AJ957" s="2"/>
      <c r="AK957" s="2"/>
    </row>
    <row r="958" spans="1:37" ht="14.25" customHeight="1">
      <c r="A958" s="2"/>
      <c r="B958" s="2"/>
      <c r="C958" s="2"/>
      <c r="D958" s="2"/>
      <c r="E958" s="16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4"/>
      <c r="W958" s="2"/>
      <c r="X958" s="2"/>
      <c r="Y958" s="4"/>
      <c r="Z958" s="2"/>
      <c r="AA958" s="2"/>
      <c r="AB958" s="2"/>
      <c r="AC958" s="4"/>
      <c r="AD958" s="2"/>
      <c r="AE958" s="2"/>
      <c r="AF958" s="2"/>
      <c r="AG958" s="2"/>
      <c r="AH958" s="2"/>
      <c r="AI958" s="2"/>
      <c r="AJ958" s="2"/>
      <c r="AK958" s="2"/>
    </row>
    <row r="959" spans="1:37" ht="14.25" customHeight="1">
      <c r="A959" s="2"/>
      <c r="B959" s="2"/>
      <c r="C959" s="2"/>
      <c r="D959" s="2"/>
      <c r="E959" s="16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4"/>
      <c r="W959" s="2"/>
      <c r="X959" s="2"/>
      <c r="Y959" s="4"/>
      <c r="Z959" s="2"/>
      <c r="AA959" s="2"/>
      <c r="AB959" s="2"/>
      <c r="AC959" s="4"/>
      <c r="AD959" s="2"/>
      <c r="AE959" s="2"/>
      <c r="AF959" s="2"/>
      <c r="AG959" s="2"/>
      <c r="AH959" s="2"/>
      <c r="AI959" s="2"/>
      <c r="AJ959" s="2"/>
      <c r="AK959" s="2"/>
    </row>
    <row r="960" spans="1:37" ht="14.25" customHeight="1">
      <c r="A960" s="2"/>
      <c r="B960" s="2"/>
      <c r="C960" s="2"/>
      <c r="D960" s="2"/>
      <c r="E960" s="16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4"/>
      <c r="W960" s="2"/>
      <c r="X960" s="2"/>
      <c r="Y960" s="4"/>
      <c r="Z960" s="2"/>
      <c r="AA960" s="2"/>
      <c r="AB960" s="2"/>
      <c r="AC960" s="4"/>
      <c r="AD960" s="2"/>
      <c r="AE960" s="2"/>
      <c r="AF960" s="2"/>
      <c r="AG960" s="2"/>
      <c r="AH960" s="2"/>
      <c r="AI960" s="2"/>
      <c r="AJ960" s="2"/>
      <c r="AK960" s="2"/>
    </row>
    <row r="961" spans="1:37" ht="14.25" customHeight="1">
      <c r="A961" s="2"/>
      <c r="B961" s="2"/>
      <c r="C961" s="2"/>
      <c r="D961" s="2"/>
      <c r="E961" s="16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4"/>
      <c r="W961" s="2"/>
      <c r="X961" s="2"/>
      <c r="Y961" s="4"/>
      <c r="Z961" s="2"/>
      <c r="AA961" s="2"/>
      <c r="AB961" s="2"/>
      <c r="AC961" s="4"/>
      <c r="AD961" s="2"/>
      <c r="AE961" s="2"/>
      <c r="AF961" s="2"/>
      <c r="AG961" s="2"/>
      <c r="AH961" s="2"/>
      <c r="AI961" s="2"/>
      <c r="AJ961" s="2"/>
      <c r="AK961" s="2"/>
    </row>
    <row r="962" spans="1:37" ht="14.25" customHeight="1">
      <c r="A962" s="2"/>
      <c r="B962" s="2"/>
      <c r="C962" s="2"/>
      <c r="D962" s="2"/>
      <c r="E962" s="16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4"/>
      <c r="W962" s="2"/>
      <c r="X962" s="2"/>
      <c r="Y962" s="4"/>
      <c r="Z962" s="2"/>
      <c r="AA962" s="2"/>
      <c r="AB962" s="2"/>
      <c r="AC962" s="4"/>
      <c r="AD962" s="2"/>
      <c r="AE962" s="2"/>
      <c r="AF962" s="2"/>
      <c r="AG962" s="2"/>
      <c r="AH962" s="2"/>
      <c r="AI962" s="2"/>
      <c r="AJ962" s="2"/>
      <c r="AK962" s="2"/>
    </row>
    <row r="963" spans="1:37" ht="14.25" customHeight="1">
      <c r="A963" s="2"/>
      <c r="B963" s="2"/>
      <c r="C963" s="2"/>
      <c r="D963" s="2"/>
      <c r="E963" s="16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4"/>
      <c r="W963" s="2"/>
      <c r="X963" s="2"/>
      <c r="Y963" s="4"/>
      <c r="Z963" s="2"/>
      <c r="AA963" s="2"/>
      <c r="AB963" s="2"/>
      <c r="AC963" s="4"/>
      <c r="AD963" s="2"/>
      <c r="AE963" s="2"/>
      <c r="AF963" s="2"/>
      <c r="AG963" s="2"/>
      <c r="AH963" s="2"/>
      <c r="AI963" s="2"/>
      <c r="AJ963" s="2"/>
      <c r="AK963" s="2"/>
    </row>
    <row r="964" spans="1:37" ht="14.25" customHeight="1">
      <c r="A964" s="2"/>
      <c r="B964" s="2"/>
      <c r="C964" s="2"/>
      <c r="D964" s="2"/>
      <c r="E964" s="16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4"/>
      <c r="W964" s="2"/>
      <c r="X964" s="2"/>
      <c r="Y964" s="4"/>
      <c r="Z964" s="2"/>
      <c r="AA964" s="2"/>
      <c r="AB964" s="2"/>
      <c r="AC964" s="4"/>
      <c r="AD964" s="2"/>
      <c r="AE964" s="2"/>
      <c r="AF964" s="2"/>
      <c r="AG964" s="2"/>
      <c r="AH964" s="2"/>
      <c r="AI964" s="2"/>
      <c r="AJ964" s="2"/>
      <c r="AK964" s="2"/>
    </row>
    <row r="965" spans="1:37" ht="14.25" customHeight="1">
      <c r="A965" s="2"/>
      <c r="B965" s="2"/>
      <c r="C965" s="2"/>
      <c r="D965" s="2"/>
      <c r="E965" s="1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4"/>
      <c r="W965" s="2"/>
      <c r="X965" s="2"/>
      <c r="Y965" s="4"/>
      <c r="Z965" s="2"/>
      <c r="AA965" s="2"/>
      <c r="AB965" s="2"/>
      <c r="AC965" s="4"/>
      <c r="AD965" s="2"/>
      <c r="AE965" s="2"/>
      <c r="AF965" s="2"/>
      <c r="AG965" s="2"/>
      <c r="AH965" s="2"/>
      <c r="AI965" s="2"/>
      <c r="AJ965" s="2"/>
      <c r="AK965" s="2"/>
    </row>
    <row r="966" spans="1:37" ht="14.25" customHeight="1">
      <c r="A966" s="2"/>
      <c r="B966" s="2"/>
      <c r="C966" s="2"/>
      <c r="D966" s="2"/>
      <c r="E966" s="16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4"/>
      <c r="W966" s="2"/>
      <c r="X966" s="2"/>
      <c r="Y966" s="4"/>
      <c r="Z966" s="2"/>
      <c r="AA966" s="2"/>
      <c r="AB966" s="2"/>
      <c r="AC966" s="4"/>
      <c r="AD966" s="2"/>
      <c r="AE966" s="2"/>
      <c r="AF966" s="2"/>
      <c r="AG966" s="2"/>
      <c r="AH966" s="2"/>
      <c r="AI966" s="2"/>
      <c r="AJ966" s="2"/>
      <c r="AK966" s="2"/>
    </row>
    <row r="967" spans="1:37" ht="14.25" customHeight="1">
      <c r="A967" s="2"/>
      <c r="B967" s="2"/>
      <c r="C967" s="2"/>
      <c r="D967" s="2"/>
      <c r="E967" s="16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4"/>
      <c r="W967" s="2"/>
      <c r="X967" s="2"/>
      <c r="Y967" s="4"/>
      <c r="Z967" s="2"/>
      <c r="AA967" s="2"/>
      <c r="AB967" s="2"/>
      <c r="AC967" s="4"/>
      <c r="AD967" s="2"/>
      <c r="AE967" s="2"/>
      <c r="AF967" s="2"/>
      <c r="AG967" s="2"/>
      <c r="AH967" s="2"/>
      <c r="AI967" s="2"/>
      <c r="AJ967" s="2"/>
      <c r="AK967" s="2"/>
    </row>
    <row r="968" spans="1:37" ht="14.25" customHeight="1">
      <c r="A968" s="2"/>
      <c r="B968" s="2"/>
      <c r="C968" s="2"/>
      <c r="D968" s="2"/>
      <c r="E968" s="16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4"/>
      <c r="W968" s="2"/>
      <c r="X968" s="2"/>
      <c r="Y968" s="4"/>
      <c r="Z968" s="2"/>
      <c r="AA968" s="2"/>
      <c r="AB968" s="2"/>
      <c r="AC968" s="4"/>
      <c r="AD968" s="2"/>
      <c r="AE968" s="2"/>
      <c r="AF968" s="2"/>
      <c r="AG968" s="2"/>
      <c r="AH968" s="2"/>
      <c r="AI968" s="2"/>
      <c r="AJ968" s="2"/>
      <c r="AK968" s="2"/>
    </row>
    <row r="969" spans="1:37" ht="14.25" customHeight="1">
      <c r="A969" s="2"/>
      <c r="B969" s="2"/>
      <c r="C969" s="2"/>
      <c r="D969" s="2"/>
      <c r="E969" s="16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4"/>
      <c r="W969" s="2"/>
      <c r="X969" s="2"/>
      <c r="Y969" s="4"/>
      <c r="Z969" s="2"/>
      <c r="AA969" s="2"/>
      <c r="AB969" s="2"/>
      <c r="AC969" s="4"/>
      <c r="AD969" s="2"/>
      <c r="AE969" s="2"/>
      <c r="AF969" s="2"/>
      <c r="AG969" s="2"/>
      <c r="AH969" s="2"/>
      <c r="AI969" s="2"/>
      <c r="AJ969" s="2"/>
      <c r="AK969" s="2"/>
    </row>
    <row r="970" spans="1:37" ht="14.25" customHeight="1">
      <c r="A970" s="2"/>
      <c r="B970" s="2"/>
      <c r="C970" s="2"/>
      <c r="D970" s="2"/>
      <c r="E970" s="16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4"/>
      <c r="W970" s="2"/>
      <c r="X970" s="2"/>
      <c r="Y970" s="4"/>
      <c r="Z970" s="2"/>
      <c r="AA970" s="2"/>
      <c r="AB970" s="2"/>
      <c r="AC970" s="4"/>
      <c r="AD970" s="2"/>
      <c r="AE970" s="2"/>
      <c r="AF970" s="2"/>
      <c r="AG970" s="2"/>
      <c r="AH970" s="2"/>
      <c r="AI970" s="2"/>
      <c r="AJ970" s="2"/>
      <c r="AK970" s="2"/>
    </row>
    <row r="971" spans="1:37" ht="14.25" customHeight="1">
      <c r="A971" s="2"/>
      <c r="B971" s="2"/>
      <c r="C971" s="2"/>
      <c r="D971" s="2"/>
      <c r="E971" s="16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4"/>
      <c r="W971" s="2"/>
      <c r="X971" s="2"/>
      <c r="Y971" s="4"/>
      <c r="Z971" s="2"/>
      <c r="AA971" s="2"/>
      <c r="AB971" s="2"/>
      <c r="AC971" s="4"/>
      <c r="AD971" s="2"/>
      <c r="AE971" s="2"/>
      <c r="AF971" s="2"/>
      <c r="AG971" s="2"/>
      <c r="AH971" s="2"/>
      <c r="AI971" s="2"/>
      <c r="AJ971" s="2"/>
      <c r="AK971" s="2"/>
    </row>
    <row r="972" spans="1:37" ht="14.25" customHeight="1">
      <c r="A972" s="2"/>
      <c r="B972" s="2"/>
      <c r="C972" s="2"/>
      <c r="D972" s="2"/>
      <c r="E972" s="16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4"/>
      <c r="W972" s="2"/>
      <c r="X972" s="2"/>
      <c r="Y972" s="4"/>
      <c r="Z972" s="2"/>
      <c r="AA972" s="2"/>
      <c r="AB972" s="2"/>
      <c r="AC972" s="4"/>
      <c r="AD972" s="2"/>
      <c r="AE972" s="2"/>
      <c r="AF972" s="2"/>
      <c r="AG972" s="2"/>
      <c r="AH972" s="2"/>
      <c r="AI972" s="2"/>
      <c r="AJ972" s="2"/>
      <c r="AK972" s="2"/>
    </row>
    <row r="973" spans="1:37" ht="14.25" customHeight="1">
      <c r="A973" s="2"/>
      <c r="B973" s="2"/>
      <c r="C973" s="2"/>
      <c r="D973" s="2"/>
      <c r="E973" s="16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4"/>
      <c r="W973" s="2"/>
      <c r="X973" s="2"/>
      <c r="Y973" s="4"/>
      <c r="Z973" s="2"/>
      <c r="AA973" s="2"/>
      <c r="AB973" s="2"/>
      <c r="AC973" s="4"/>
      <c r="AD973" s="2"/>
      <c r="AE973" s="2"/>
      <c r="AF973" s="2"/>
      <c r="AG973" s="2"/>
      <c r="AH973" s="2"/>
      <c r="AI973" s="2"/>
      <c r="AJ973" s="2"/>
      <c r="AK973" s="2"/>
    </row>
    <row r="974" spans="1:37" ht="14.25" customHeight="1">
      <c r="A974" s="2"/>
      <c r="B974" s="2"/>
      <c r="C974" s="2"/>
      <c r="D974" s="2"/>
      <c r="E974" s="16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4"/>
      <c r="W974" s="2"/>
      <c r="X974" s="2"/>
      <c r="Y974" s="4"/>
      <c r="Z974" s="2"/>
      <c r="AA974" s="2"/>
      <c r="AB974" s="2"/>
      <c r="AC974" s="4"/>
      <c r="AD974" s="2"/>
      <c r="AE974" s="2"/>
      <c r="AF974" s="2"/>
      <c r="AG974" s="2"/>
      <c r="AH974" s="2"/>
      <c r="AI974" s="2"/>
      <c r="AJ974" s="2"/>
      <c r="AK974" s="2"/>
    </row>
    <row r="975" spans="1:37" ht="14.25" customHeight="1">
      <c r="A975" s="2"/>
      <c r="B975" s="2"/>
      <c r="C975" s="2"/>
      <c r="D975" s="2"/>
      <c r="E975" s="16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4"/>
      <c r="W975" s="2"/>
      <c r="X975" s="2"/>
      <c r="Y975" s="4"/>
      <c r="Z975" s="2"/>
      <c r="AA975" s="2"/>
      <c r="AB975" s="2"/>
      <c r="AC975" s="4"/>
      <c r="AD975" s="2"/>
      <c r="AE975" s="2"/>
      <c r="AF975" s="2"/>
      <c r="AG975" s="2"/>
      <c r="AH975" s="2"/>
      <c r="AI975" s="2"/>
      <c r="AJ975" s="2"/>
      <c r="AK975" s="2"/>
    </row>
    <row r="976" spans="1:37" ht="14.25" customHeight="1">
      <c r="A976" s="2"/>
      <c r="B976" s="2"/>
      <c r="C976" s="2"/>
      <c r="D976" s="2"/>
      <c r="E976" s="16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4"/>
      <c r="W976" s="2"/>
      <c r="X976" s="2"/>
      <c r="Y976" s="4"/>
      <c r="Z976" s="2"/>
      <c r="AA976" s="2"/>
      <c r="AB976" s="2"/>
      <c r="AC976" s="4"/>
      <c r="AD976" s="2"/>
      <c r="AE976" s="2"/>
      <c r="AF976" s="2"/>
      <c r="AG976" s="2"/>
      <c r="AH976" s="2"/>
      <c r="AI976" s="2"/>
      <c r="AJ976" s="2"/>
      <c r="AK976" s="2"/>
    </row>
    <row r="977" spans="1:37" ht="14.25" customHeight="1">
      <c r="A977" s="2"/>
      <c r="B977" s="2"/>
      <c r="C977" s="2"/>
      <c r="D977" s="2"/>
      <c r="E977" s="16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4"/>
      <c r="W977" s="2"/>
      <c r="X977" s="2"/>
      <c r="Y977" s="4"/>
      <c r="Z977" s="2"/>
      <c r="AA977" s="2"/>
      <c r="AB977" s="2"/>
      <c r="AC977" s="4"/>
      <c r="AD977" s="2"/>
      <c r="AE977" s="2"/>
      <c r="AF977" s="2"/>
      <c r="AG977" s="2"/>
      <c r="AH977" s="2"/>
      <c r="AI977" s="2"/>
      <c r="AJ977" s="2"/>
      <c r="AK977" s="2"/>
    </row>
    <row r="978" spans="1:37" ht="14.25" customHeight="1">
      <c r="A978" s="2"/>
      <c r="B978" s="2"/>
      <c r="C978" s="2"/>
      <c r="D978" s="2"/>
      <c r="E978" s="16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4"/>
      <c r="W978" s="2"/>
      <c r="X978" s="2"/>
      <c r="Y978" s="4"/>
      <c r="Z978" s="2"/>
      <c r="AA978" s="2"/>
      <c r="AB978" s="2"/>
      <c r="AC978" s="4"/>
      <c r="AD978" s="2"/>
      <c r="AE978" s="2"/>
      <c r="AF978" s="2"/>
      <c r="AG978" s="2"/>
      <c r="AH978" s="2"/>
      <c r="AI978" s="2"/>
      <c r="AJ978" s="2"/>
      <c r="AK978" s="2"/>
    </row>
    <row r="979" spans="1:37" ht="14.25" customHeight="1">
      <c r="A979" s="2"/>
      <c r="B979" s="2"/>
      <c r="C979" s="2"/>
      <c r="D979" s="2"/>
      <c r="E979" s="16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4"/>
      <c r="W979" s="2"/>
      <c r="X979" s="2"/>
      <c r="Y979" s="4"/>
      <c r="Z979" s="2"/>
      <c r="AA979" s="2"/>
      <c r="AB979" s="2"/>
      <c r="AC979" s="4"/>
      <c r="AD979" s="2"/>
      <c r="AE979" s="2"/>
      <c r="AF979" s="2"/>
      <c r="AG979" s="2"/>
      <c r="AH979" s="2"/>
      <c r="AI979" s="2"/>
      <c r="AJ979" s="2"/>
      <c r="AK979" s="2"/>
    </row>
    <row r="980" spans="1:37" ht="14.25" customHeight="1">
      <c r="A980" s="2"/>
      <c r="B980" s="2"/>
      <c r="C980" s="2"/>
      <c r="D980" s="2"/>
      <c r="E980" s="16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4"/>
      <c r="W980" s="2"/>
      <c r="X980" s="2"/>
      <c r="Y980" s="4"/>
      <c r="Z980" s="2"/>
      <c r="AA980" s="2"/>
      <c r="AB980" s="2"/>
      <c r="AC980" s="4"/>
      <c r="AD980" s="2"/>
      <c r="AE980" s="2"/>
      <c r="AF980" s="2"/>
      <c r="AG980" s="2"/>
      <c r="AH980" s="2"/>
      <c r="AI980" s="2"/>
      <c r="AJ980" s="2"/>
      <c r="AK980" s="2"/>
    </row>
    <row r="981" spans="1:37" ht="14.25" customHeight="1">
      <c r="A981" s="2"/>
      <c r="B981" s="2"/>
      <c r="C981" s="2"/>
      <c r="D981" s="2"/>
      <c r="E981" s="16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4"/>
      <c r="W981" s="2"/>
      <c r="X981" s="2"/>
      <c r="Y981" s="4"/>
      <c r="Z981" s="2"/>
      <c r="AA981" s="2"/>
      <c r="AB981" s="2"/>
      <c r="AC981" s="4"/>
      <c r="AD981" s="2"/>
      <c r="AE981" s="2"/>
      <c r="AF981" s="2"/>
      <c r="AG981" s="2"/>
      <c r="AH981" s="2"/>
      <c r="AI981" s="2"/>
      <c r="AJ981" s="2"/>
      <c r="AK981" s="2"/>
    </row>
    <row r="982" spans="1:37" ht="14.25" customHeight="1">
      <c r="A982" s="2"/>
      <c r="B982" s="2"/>
      <c r="C982" s="2"/>
      <c r="D982" s="2"/>
      <c r="E982" s="16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4"/>
      <c r="W982" s="2"/>
      <c r="X982" s="2"/>
      <c r="Y982" s="4"/>
      <c r="Z982" s="2"/>
      <c r="AA982" s="2"/>
      <c r="AB982" s="2"/>
      <c r="AC982" s="4"/>
      <c r="AD982" s="2"/>
      <c r="AE982" s="2"/>
      <c r="AF982" s="2"/>
      <c r="AG982" s="2"/>
      <c r="AH982" s="2"/>
      <c r="AI982" s="2"/>
      <c r="AJ982" s="2"/>
      <c r="AK982" s="2"/>
    </row>
    <row r="983" spans="1:37" ht="14.25" customHeight="1">
      <c r="A983" s="2"/>
      <c r="B983" s="2"/>
      <c r="C983" s="2"/>
      <c r="D983" s="2"/>
      <c r="E983" s="16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4"/>
      <c r="W983" s="2"/>
      <c r="X983" s="2"/>
      <c r="Y983" s="4"/>
      <c r="Z983" s="2"/>
      <c r="AA983" s="2"/>
      <c r="AB983" s="2"/>
      <c r="AC983" s="4"/>
      <c r="AD983" s="2"/>
      <c r="AE983" s="2"/>
      <c r="AF983" s="2"/>
      <c r="AG983" s="2"/>
      <c r="AH983" s="2"/>
      <c r="AI983" s="2"/>
      <c r="AJ983" s="2"/>
      <c r="AK983" s="2"/>
    </row>
    <row r="984" spans="1:37" ht="14.25" customHeight="1">
      <c r="A984" s="2"/>
      <c r="B984" s="2"/>
      <c r="C984" s="2"/>
      <c r="D984" s="2"/>
      <c r="E984" s="16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4"/>
      <c r="W984" s="2"/>
      <c r="X984" s="2"/>
      <c r="Y984" s="4"/>
      <c r="Z984" s="2"/>
      <c r="AA984" s="2"/>
      <c r="AB984" s="2"/>
      <c r="AC984" s="4"/>
      <c r="AD984" s="2"/>
      <c r="AE984" s="2"/>
      <c r="AF984" s="2"/>
      <c r="AG984" s="2"/>
      <c r="AH984" s="2"/>
      <c r="AI984" s="2"/>
      <c r="AJ984" s="2"/>
      <c r="AK984" s="2"/>
    </row>
    <row r="985" spans="1:37" ht="14.25" customHeight="1">
      <c r="A985" s="2"/>
      <c r="B985" s="2"/>
      <c r="C985" s="2"/>
      <c r="D985" s="2"/>
      <c r="E985" s="16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4"/>
      <c r="W985" s="2"/>
      <c r="X985" s="2"/>
      <c r="Y985" s="4"/>
      <c r="Z985" s="2"/>
      <c r="AA985" s="2"/>
      <c r="AB985" s="2"/>
      <c r="AC985" s="4"/>
      <c r="AD985" s="2"/>
      <c r="AE985" s="2"/>
      <c r="AF985" s="2"/>
      <c r="AG985" s="2"/>
      <c r="AH985" s="2"/>
      <c r="AI985" s="2"/>
      <c r="AJ985" s="2"/>
      <c r="AK985" s="2"/>
    </row>
    <row r="986" spans="1:37" ht="14.25" customHeight="1">
      <c r="A986" s="2"/>
      <c r="B986" s="2"/>
      <c r="C986" s="2"/>
      <c r="D986" s="2"/>
      <c r="E986" s="16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4"/>
      <c r="W986" s="2"/>
      <c r="X986" s="2"/>
      <c r="Y986" s="4"/>
      <c r="Z986" s="2"/>
      <c r="AA986" s="2"/>
      <c r="AB986" s="2"/>
      <c r="AC986" s="4"/>
      <c r="AD986" s="2"/>
      <c r="AE986" s="2"/>
      <c r="AF986" s="2"/>
      <c r="AG986" s="2"/>
      <c r="AH986" s="2"/>
      <c r="AI986" s="2"/>
      <c r="AJ986" s="2"/>
      <c r="AK986" s="2"/>
    </row>
    <row r="987" spans="1:37" ht="14.25" customHeight="1">
      <c r="A987" s="2"/>
      <c r="B987" s="2"/>
      <c r="C987" s="2"/>
      <c r="D987" s="2"/>
      <c r="E987" s="16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4"/>
      <c r="W987" s="2"/>
      <c r="X987" s="2"/>
      <c r="Y987" s="4"/>
      <c r="Z987" s="2"/>
      <c r="AA987" s="2"/>
      <c r="AB987" s="2"/>
      <c r="AC987" s="4"/>
      <c r="AD987" s="2"/>
      <c r="AE987" s="2"/>
      <c r="AF987" s="2"/>
      <c r="AG987" s="2"/>
      <c r="AH987" s="2"/>
      <c r="AI987" s="2"/>
      <c r="AJ987" s="2"/>
      <c r="AK987" s="2"/>
    </row>
    <row r="988" spans="1:37" ht="14.25" customHeight="1">
      <c r="A988" s="2"/>
      <c r="B988" s="2"/>
      <c r="C988" s="2"/>
      <c r="D988" s="2"/>
      <c r="E988" s="16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4"/>
      <c r="W988" s="2"/>
      <c r="X988" s="2"/>
      <c r="Y988" s="4"/>
      <c r="Z988" s="2"/>
      <c r="AA988" s="2"/>
      <c r="AB988" s="2"/>
      <c r="AC988" s="4"/>
      <c r="AD988" s="2"/>
      <c r="AE988" s="2"/>
      <c r="AF988" s="2"/>
      <c r="AG988" s="2"/>
      <c r="AH988" s="2"/>
      <c r="AI988" s="2"/>
      <c r="AJ988" s="2"/>
      <c r="AK988" s="2"/>
    </row>
    <row r="989" spans="1:37" ht="14.25" customHeight="1">
      <c r="A989" s="2"/>
      <c r="B989" s="2"/>
      <c r="C989" s="2"/>
      <c r="D989" s="2"/>
      <c r="E989" s="16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4"/>
      <c r="W989" s="2"/>
      <c r="X989" s="2"/>
      <c r="Y989" s="4"/>
      <c r="Z989" s="2"/>
      <c r="AA989" s="2"/>
      <c r="AB989" s="2"/>
      <c r="AC989" s="4"/>
      <c r="AD989" s="2"/>
      <c r="AE989" s="2"/>
      <c r="AF989" s="2"/>
      <c r="AG989" s="2"/>
      <c r="AH989" s="2"/>
      <c r="AI989" s="2"/>
      <c r="AJ989" s="2"/>
      <c r="AK989" s="2"/>
    </row>
    <row r="990" spans="1:37" ht="14.25" customHeight="1">
      <c r="A990" s="2"/>
      <c r="B990" s="2"/>
      <c r="C990" s="2"/>
      <c r="D990" s="2"/>
      <c r="E990" s="16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4"/>
      <c r="W990" s="2"/>
      <c r="X990" s="2"/>
      <c r="Y990" s="4"/>
      <c r="Z990" s="2"/>
      <c r="AA990" s="2"/>
      <c r="AB990" s="2"/>
      <c r="AC990" s="4"/>
      <c r="AD990" s="2"/>
      <c r="AE990" s="2"/>
      <c r="AF990" s="2"/>
      <c r="AG990" s="2"/>
      <c r="AH990" s="2"/>
      <c r="AI990" s="2"/>
      <c r="AJ990" s="2"/>
      <c r="AK990" s="2"/>
    </row>
    <row r="991" spans="1:37" ht="14.25" customHeight="1">
      <c r="A991" s="2"/>
      <c r="B991" s="2"/>
      <c r="C991" s="2"/>
      <c r="D991" s="2"/>
      <c r="E991" s="16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4"/>
      <c r="W991" s="2"/>
      <c r="X991" s="2"/>
      <c r="Y991" s="4"/>
      <c r="Z991" s="2"/>
      <c r="AA991" s="2"/>
      <c r="AB991" s="2"/>
      <c r="AC991" s="4"/>
      <c r="AD991" s="2"/>
      <c r="AE991" s="2"/>
      <c r="AF991" s="2"/>
      <c r="AG991" s="2"/>
      <c r="AH991" s="2"/>
      <c r="AI991" s="2"/>
      <c r="AJ991" s="2"/>
      <c r="AK991" s="2"/>
    </row>
    <row r="992" spans="1:37" ht="14.25" customHeight="1">
      <c r="A992" s="2"/>
      <c r="B992" s="2"/>
      <c r="C992" s="2"/>
      <c r="D992" s="2"/>
      <c r="E992" s="16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4"/>
      <c r="W992" s="2"/>
      <c r="X992" s="2"/>
      <c r="Y992" s="4"/>
      <c r="Z992" s="2"/>
      <c r="AA992" s="2"/>
      <c r="AB992" s="2"/>
      <c r="AC992" s="4"/>
      <c r="AD992" s="2"/>
      <c r="AE992" s="2"/>
      <c r="AF992" s="2"/>
      <c r="AG992" s="2"/>
      <c r="AH992" s="2"/>
      <c r="AI992" s="2"/>
      <c r="AJ992" s="2"/>
      <c r="AK992" s="2"/>
    </row>
    <row r="993" spans="1:37" ht="14.25" customHeight="1">
      <c r="A993" s="2"/>
      <c r="B993" s="2"/>
      <c r="C993" s="2"/>
      <c r="D993" s="2"/>
      <c r="E993" s="16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4"/>
      <c r="W993" s="2"/>
      <c r="X993" s="2"/>
      <c r="Y993" s="4"/>
      <c r="Z993" s="2"/>
      <c r="AA993" s="2"/>
      <c r="AB993" s="2"/>
      <c r="AC993" s="4"/>
      <c r="AD993" s="2"/>
      <c r="AE993" s="2"/>
      <c r="AF993" s="2"/>
      <c r="AG993" s="2"/>
      <c r="AH993" s="2"/>
      <c r="AI993" s="2"/>
      <c r="AJ993" s="2"/>
      <c r="AK993" s="2"/>
    </row>
    <row r="994" spans="1:37" ht="14.25" customHeight="1">
      <c r="A994" s="2"/>
      <c r="B994" s="2"/>
      <c r="C994" s="2"/>
      <c r="D994" s="2"/>
      <c r="E994" s="16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4"/>
      <c r="W994" s="2"/>
      <c r="X994" s="2"/>
      <c r="Y994" s="4"/>
      <c r="Z994" s="2"/>
      <c r="AA994" s="2"/>
      <c r="AB994" s="2"/>
      <c r="AC994" s="4"/>
      <c r="AD994" s="2"/>
      <c r="AE994" s="2"/>
      <c r="AF994" s="2"/>
      <c r="AG994" s="2"/>
      <c r="AH994" s="2"/>
      <c r="AI994" s="2"/>
      <c r="AJ994" s="2"/>
      <c r="AK994" s="2"/>
    </row>
    <row r="995" spans="1:37" ht="14.25" customHeight="1">
      <c r="A995" s="2"/>
      <c r="B995" s="2"/>
      <c r="C995" s="2"/>
      <c r="D995" s="2"/>
      <c r="E995" s="16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4"/>
      <c r="W995" s="2"/>
      <c r="X995" s="2"/>
      <c r="Y995" s="4"/>
      <c r="Z995" s="2"/>
      <c r="AA995" s="2"/>
      <c r="AB995" s="2"/>
      <c r="AC995" s="4"/>
      <c r="AD995" s="2"/>
      <c r="AE995" s="2"/>
      <c r="AF995" s="2"/>
      <c r="AG995" s="2"/>
      <c r="AH995" s="2"/>
      <c r="AI995" s="2"/>
      <c r="AJ995" s="2"/>
      <c r="AK995" s="2"/>
    </row>
    <row r="996" spans="1:37" ht="14.25" customHeight="1">
      <c r="A996" s="2"/>
      <c r="B996" s="2"/>
      <c r="C996" s="2"/>
      <c r="D996" s="2"/>
      <c r="E996" s="16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4"/>
      <c r="W996" s="2"/>
      <c r="X996" s="2"/>
      <c r="Y996" s="4"/>
      <c r="Z996" s="2"/>
      <c r="AA996" s="2"/>
      <c r="AB996" s="2"/>
      <c r="AC996" s="4"/>
      <c r="AD996" s="2"/>
      <c r="AE996" s="2"/>
      <c r="AF996" s="2"/>
      <c r="AG996" s="2"/>
      <c r="AH996" s="2"/>
      <c r="AI996" s="2"/>
      <c r="AJ996" s="2"/>
      <c r="AK996" s="2"/>
    </row>
    <row r="997" spans="1:37" ht="14.25" customHeight="1">
      <c r="A997" s="2"/>
      <c r="B997" s="2"/>
      <c r="C997" s="2"/>
      <c r="D997" s="2"/>
      <c r="E997" s="16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4"/>
      <c r="W997" s="2"/>
      <c r="X997" s="2"/>
      <c r="Y997" s="4"/>
      <c r="Z997" s="2"/>
      <c r="AA997" s="2"/>
      <c r="AB997" s="2"/>
      <c r="AC997" s="4"/>
      <c r="AD997" s="2"/>
      <c r="AE997" s="2"/>
      <c r="AF997" s="2"/>
      <c r="AG997" s="2"/>
      <c r="AH997" s="2"/>
      <c r="AI997" s="2"/>
      <c r="AJ997" s="2"/>
      <c r="AK997" s="2"/>
    </row>
    <row r="998" spans="1:37" ht="14.25" customHeight="1">
      <c r="A998" s="2"/>
      <c r="B998" s="2"/>
      <c r="C998" s="2"/>
      <c r="D998" s="2"/>
      <c r="E998" s="16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4"/>
      <c r="W998" s="2"/>
      <c r="X998" s="2"/>
      <c r="Y998" s="4"/>
      <c r="Z998" s="2"/>
      <c r="AA998" s="2"/>
      <c r="AB998" s="2"/>
      <c r="AC998" s="4"/>
      <c r="AD998" s="2"/>
      <c r="AE998" s="2"/>
      <c r="AF998" s="2"/>
      <c r="AG998" s="2"/>
      <c r="AH998" s="2"/>
      <c r="AI998" s="2"/>
      <c r="AJ998" s="2"/>
      <c r="AK998" s="2"/>
    </row>
    <row r="999" spans="1:37" ht="14.25" customHeight="1">
      <c r="A999" s="2"/>
      <c r="B999" s="2"/>
      <c r="C999" s="2"/>
      <c r="D999" s="2"/>
      <c r="E999" s="16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4"/>
      <c r="W999" s="2"/>
      <c r="X999" s="2"/>
      <c r="Y999" s="4"/>
      <c r="Z999" s="2"/>
      <c r="AA999" s="2"/>
      <c r="AB999" s="2"/>
      <c r="AC999" s="4"/>
      <c r="AD999" s="2"/>
      <c r="AE999" s="2"/>
      <c r="AF999" s="2"/>
      <c r="AG999" s="2"/>
      <c r="AH999" s="2"/>
      <c r="AI999" s="2"/>
      <c r="AJ999" s="2"/>
      <c r="AK999" s="2"/>
    </row>
    <row r="1000" spans="1:37" ht="14.25" customHeight="1">
      <c r="A1000" s="2"/>
      <c r="B1000" s="2"/>
      <c r="C1000" s="2"/>
      <c r="D1000" s="2"/>
      <c r="E1000" s="16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4"/>
      <c r="W1000" s="2"/>
      <c r="X1000" s="2"/>
      <c r="Y1000" s="4"/>
      <c r="Z1000" s="2"/>
      <c r="AA1000" s="2"/>
      <c r="AB1000" s="2"/>
      <c r="AC1000" s="4"/>
      <c r="AD1000" s="2"/>
      <c r="AE1000" s="2"/>
      <c r="AF1000" s="2"/>
      <c r="AG1000" s="2"/>
      <c r="AH1000" s="2"/>
      <c r="AI1000" s="2"/>
      <c r="AJ1000" s="2"/>
      <c r="AK1000" s="2"/>
    </row>
  </sheetData>
  <mergeCells count="171">
    <mergeCell ref="G51:G53"/>
    <mergeCell ref="I51:I53"/>
    <mergeCell ref="K51:K53"/>
    <mergeCell ref="O51:O53"/>
    <mergeCell ref="G35:G39"/>
    <mergeCell ref="G45:G47"/>
    <mergeCell ref="C32:C33"/>
    <mergeCell ref="G32:G33"/>
    <mergeCell ref="K32:K33"/>
    <mergeCell ref="O32:O33"/>
    <mergeCell ref="K35:K39"/>
    <mergeCell ref="O35:O39"/>
    <mergeCell ref="C45:C47"/>
    <mergeCell ref="I45:I47"/>
    <mergeCell ref="K45:K47"/>
    <mergeCell ref="S32:S33"/>
    <mergeCell ref="W32:W33"/>
    <mergeCell ref="X32:X33"/>
    <mergeCell ref="Y32:Y33"/>
    <mergeCell ref="AA32:AA33"/>
    <mergeCell ref="AD32:AD33"/>
    <mergeCell ref="I32:I33"/>
    <mergeCell ref="I35:I39"/>
    <mergeCell ref="M32:M33"/>
    <mergeCell ref="M35:M39"/>
    <mergeCell ref="Q32:Q33"/>
    <mergeCell ref="Q35:Q39"/>
    <mergeCell ref="S35:S39"/>
    <mergeCell ref="W35:W39"/>
    <mergeCell ref="X35:X39"/>
    <mergeCell ref="Y35:Y39"/>
    <mergeCell ref="AA35:AA39"/>
    <mergeCell ref="AD35:AD39"/>
    <mergeCell ref="AA45:AA47"/>
    <mergeCell ref="AD45:AD47"/>
    <mergeCell ref="AD60:AD68"/>
    <mergeCell ref="B63:B65"/>
    <mergeCell ref="B81:B82"/>
    <mergeCell ref="C81:C92"/>
    <mergeCell ref="B84:B85"/>
    <mergeCell ref="B87:B89"/>
    <mergeCell ref="M45:M47"/>
    <mergeCell ref="O45:O47"/>
    <mergeCell ref="Q45:Q47"/>
    <mergeCell ref="S45:S47"/>
    <mergeCell ref="W45:W47"/>
    <mergeCell ref="X45:X47"/>
    <mergeCell ref="Y45:Y47"/>
    <mergeCell ref="M51:M53"/>
    <mergeCell ref="Q51:Q53"/>
    <mergeCell ref="S51:S53"/>
    <mergeCell ref="W51:W53"/>
    <mergeCell ref="X51:X53"/>
    <mergeCell ref="Y51:Y53"/>
    <mergeCell ref="AA51:AA53"/>
    <mergeCell ref="AD51:AD53"/>
    <mergeCell ref="C51:C53"/>
    <mergeCell ref="S26:S30"/>
    <mergeCell ref="W26:W30"/>
    <mergeCell ref="B26:B29"/>
    <mergeCell ref="C26:C30"/>
    <mergeCell ref="I26:I30"/>
    <mergeCell ref="K26:K30"/>
    <mergeCell ref="M26:M30"/>
    <mergeCell ref="O26:O30"/>
    <mergeCell ref="Q26:Q30"/>
    <mergeCell ref="G26:G30"/>
    <mergeCell ref="I21:I22"/>
    <mergeCell ref="K21:K22"/>
    <mergeCell ref="M21:M22"/>
    <mergeCell ref="O21:O22"/>
    <mergeCell ref="Q21:Q22"/>
    <mergeCell ref="S21:S22"/>
    <mergeCell ref="W21:W22"/>
    <mergeCell ref="A13:A15"/>
    <mergeCell ref="B13:B15"/>
    <mergeCell ref="C13:C15"/>
    <mergeCell ref="D13:D15"/>
    <mergeCell ref="E13:F15"/>
    <mergeCell ref="H13:H15"/>
    <mergeCell ref="C21:C22"/>
    <mergeCell ref="I13:I15"/>
    <mergeCell ref="J13:J15"/>
    <mergeCell ref="K13:K15"/>
    <mergeCell ref="L13:L15"/>
    <mergeCell ref="G13:G15"/>
    <mergeCell ref="G21:G22"/>
    <mergeCell ref="A1:AD1"/>
    <mergeCell ref="A2:AD2"/>
    <mergeCell ref="A3:AD3"/>
    <mergeCell ref="A4:AD4"/>
    <mergeCell ref="A5:AD5"/>
    <mergeCell ref="A6:AD6"/>
    <mergeCell ref="AB9:AD9"/>
    <mergeCell ref="J10:K10"/>
    <mergeCell ref="L10:M10"/>
    <mergeCell ref="N10:O10"/>
    <mergeCell ref="P10:Q10"/>
    <mergeCell ref="R10:S10"/>
    <mergeCell ref="T10:Y10"/>
    <mergeCell ref="Z10:AA10"/>
    <mergeCell ref="AB10:AD10"/>
    <mergeCell ref="A7:A9"/>
    <mergeCell ref="A10:A12"/>
    <mergeCell ref="B10:B12"/>
    <mergeCell ref="C10:C12"/>
    <mergeCell ref="D10:D12"/>
    <mergeCell ref="E10:G10"/>
    <mergeCell ref="H10:I10"/>
    <mergeCell ref="B7:B9"/>
    <mergeCell ref="C7:C9"/>
    <mergeCell ref="T547:X547"/>
    <mergeCell ref="AA547:AE547"/>
    <mergeCell ref="T548:X548"/>
    <mergeCell ref="AA548:AE548"/>
    <mergeCell ref="A540:AD540"/>
    <mergeCell ref="T542:X542"/>
    <mergeCell ref="AA542:AE542"/>
    <mergeCell ref="T543:X543"/>
    <mergeCell ref="AA543:AE543"/>
    <mergeCell ref="T544:X544"/>
    <mergeCell ref="T545:X545"/>
    <mergeCell ref="AB11:AC11"/>
    <mergeCell ref="AB12:AC12"/>
    <mergeCell ref="A535:T535"/>
    <mergeCell ref="A536:T536"/>
    <mergeCell ref="A537:AD537"/>
    <mergeCell ref="A538:AD538"/>
    <mergeCell ref="A539:AD539"/>
    <mergeCell ref="AA544:AE544"/>
    <mergeCell ref="AA545:AE545"/>
    <mergeCell ref="X26:X30"/>
    <mergeCell ref="Y26:Y30"/>
    <mergeCell ref="AA26:AA30"/>
    <mergeCell ref="AD26:AD30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AA21:AA22"/>
    <mergeCell ref="AD21:AD22"/>
    <mergeCell ref="O11:O12"/>
    <mergeCell ref="P11:P12"/>
    <mergeCell ref="Q11:Q12"/>
    <mergeCell ref="R11:R12"/>
    <mergeCell ref="S11:S12"/>
    <mergeCell ref="X11:Y11"/>
    <mergeCell ref="X12:Y12"/>
    <mergeCell ref="U11:V11"/>
    <mergeCell ref="U12:V12"/>
    <mergeCell ref="D7:D9"/>
    <mergeCell ref="E7:G9"/>
    <mergeCell ref="H7:I9"/>
    <mergeCell ref="J7:K8"/>
    <mergeCell ref="J9:K9"/>
    <mergeCell ref="Z7:AA8"/>
    <mergeCell ref="AB7:AD8"/>
    <mergeCell ref="AE7:AE8"/>
    <mergeCell ref="L9:M9"/>
    <mergeCell ref="N9:O9"/>
    <mergeCell ref="P9:Q9"/>
    <mergeCell ref="R9:S9"/>
    <mergeCell ref="T9:Y9"/>
    <mergeCell ref="Z9:AA9"/>
    <mergeCell ref="L7:S8"/>
    <mergeCell ref="T7:Y8"/>
  </mergeCells>
  <printOptions horizontalCentered="1"/>
  <pageMargins left="0.23622047244094491" right="0.23622047244094491" top="3.937007874015748E-2" bottom="3.937007874015748E-2" header="0" footer="0"/>
  <pageSetup paperSize="5" scale="3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Dinas Kesehatan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</cp:lastModifiedBy>
  <dcterms:modified xsi:type="dcterms:W3CDTF">2023-01-10T07:44:09Z</dcterms:modified>
</cp:coreProperties>
</file>