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CER\Desktop\SAKIP 2022\EVALUASI RENJA KEC. ANGKINANG TW IV 2022\"/>
    </mc:Choice>
  </mc:AlternateContent>
  <xr:revisionPtr revIDLastSave="0" documentId="13_ncr:1_{60C19CE4-0C93-4A97-B950-56CE0A61BA7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Angkinang" sheetId="1" r:id="rId1"/>
  </sheets>
  <definedNames>
    <definedName name="_xlnm.Print_Area" localSheetId="0">Angkinang!$A$1:$AE$83</definedName>
    <definedName name="_xlnm.Print_Titles" localSheetId="0">Angkinang!$7:$12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5" i="1" l="1"/>
  <c r="Q35" i="1"/>
  <c r="O35" i="1"/>
  <c r="M35" i="1"/>
  <c r="K35" i="1"/>
  <c r="I35" i="1"/>
  <c r="W35" i="1"/>
  <c r="S13" i="1"/>
  <c r="M13" i="1"/>
  <c r="K13" i="1"/>
  <c r="Q13" i="1"/>
  <c r="O13" i="1"/>
  <c r="S18" i="1"/>
  <c r="W18" i="1"/>
  <c r="W14" i="1"/>
  <c r="Z16" i="1"/>
  <c r="Z52" i="1"/>
  <c r="S52" i="1"/>
  <c r="S22" i="1"/>
  <c r="W13" i="1" l="1"/>
  <c r="G23" i="1" l="1"/>
  <c r="Z23" i="1"/>
  <c r="X62" i="1"/>
  <c r="AA23" i="1"/>
  <c r="AA24" i="1"/>
  <c r="AD23" i="1"/>
  <c r="T23" i="1"/>
  <c r="S59" i="1"/>
  <c r="S58" i="1"/>
  <c r="S57" i="1"/>
  <c r="S54" i="1"/>
  <c r="S53" i="1"/>
  <c r="S51" i="1"/>
  <c r="S50" i="1"/>
  <c r="S48" i="1"/>
  <c r="S46" i="1"/>
  <c r="S45" i="1"/>
  <c r="S41" i="1"/>
  <c r="S40" i="1"/>
  <c r="S38" i="1"/>
  <c r="S37" i="1"/>
  <c r="S36" i="1"/>
  <c r="S31" i="1"/>
  <c r="S34" i="1"/>
  <c r="S33" i="1"/>
  <c r="S28" i="1"/>
  <c r="S26" i="1"/>
  <c r="S25" i="1"/>
  <c r="S24" i="1"/>
  <c r="S17" i="1"/>
  <c r="S14" i="1"/>
  <c r="T38" i="1" l="1"/>
  <c r="U38" i="1" s="1"/>
  <c r="U37" i="1"/>
  <c r="Q48" i="1" l="1"/>
  <c r="Q38" i="1"/>
  <c r="Q37" i="1"/>
  <c r="Q36" i="1"/>
  <c r="Q34" i="1"/>
  <c r="Q33" i="1"/>
  <c r="Q28" i="1"/>
  <c r="Q26" i="1"/>
  <c r="Q25" i="1"/>
  <c r="Q24" i="1"/>
  <c r="Q18" i="1"/>
  <c r="Q58" i="1"/>
  <c r="Q57" i="1" s="1"/>
  <c r="Q54" i="1"/>
  <c r="Q53" i="1"/>
  <c r="Q51" i="1"/>
  <c r="Q50" i="1" s="1"/>
  <c r="Q46" i="1"/>
  <c r="Q45" i="1" s="1"/>
  <c r="Q41" i="1"/>
  <c r="Q40" i="1"/>
  <c r="Q31" i="1"/>
  <c r="Q29" i="1"/>
  <c r="Q22" i="1"/>
  <c r="Q17" i="1"/>
  <c r="Q14" i="1"/>
  <c r="M29" i="1" l="1"/>
  <c r="O29" i="1"/>
  <c r="W29" i="1"/>
  <c r="G60" i="1" l="1"/>
  <c r="G61" i="1"/>
  <c r="G62" i="1"/>
  <c r="G59" i="1"/>
  <c r="G56" i="1"/>
  <c r="G55" i="1"/>
  <c r="G54" i="1"/>
  <c r="G52" i="1"/>
  <c r="G48" i="1"/>
  <c r="G49" i="1"/>
  <c r="G47" i="1"/>
  <c r="G42" i="1"/>
  <c r="G37" i="1"/>
  <c r="G38" i="1"/>
  <c r="G39" i="1"/>
  <c r="G36" i="1"/>
  <c r="G33" i="1"/>
  <c r="G34" i="1"/>
  <c r="G32" i="1"/>
  <c r="G30" i="1"/>
  <c r="G24" i="1"/>
  <c r="G25" i="1"/>
  <c r="G26" i="1"/>
  <c r="G27" i="1"/>
  <c r="G28" i="1"/>
  <c r="G19" i="1"/>
  <c r="G20" i="1"/>
  <c r="G21" i="1"/>
  <c r="G18" i="1"/>
  <c r="G16" i="1"/>
  <c r="G15" i="1"/>
  <c r="W36" i="1"/>
  <c r="X36" i="1" s="1"/>
  <c r="U18" i="1" l="1"/>
  <c r="U47" i="1"/>
  <c r="U19" i="1"/>
  <c r="U36" i="1"/>
  <c r="T13" i="1"/>
  <c r="U13" i="1" l="1"/>
  <c r="Z13" i="1"/>
  <c r="AB13" i="1" s="1"/>
  <c r="O58" i="1"/>
  <c r="O57" i="1"/>
  <c r="O54" i="1"/>
  <c r="O53" i="1"/>
  <c r="O51" i="1"/>
  <c r="O50" i="1"/>
  <c r="O46" i="1"/>
  <c r="O45" i="1"/>
  <c r="O41" i="1"/>
  <c r="O40" i="1"/>
  <c r="O31" i="1"/>
  <c r="O14" i="1"/>
  <c r="O22" i="1"/>
  <c r="O17" i="1"/>
  <c r="E38" i="1"/>
  <c r="T15" i="1"/>
  <c r="U15" i="1" s="1"/>
  <c r="I17" i="1" l="1"/>
  <c r="K17" i="1" l="1"/>
  <c r="K22" i="1"/>
  <c r="K31" i="1"/>
  <c r="G35" i="1"/>
  <c r="K46" i="1"/>
  <c r="K58" i="1"/>
  <c r="G31" i="1"/>
  <c r="I31" i="1"/>
  <c r="G29" i="1"/>
  <c r="I29" i="1"/>
  <c r="G22" i="1"/>
  <c r="I22" i="1"/>
  <c r="G17" i="1"/>
  <c r="G14" i="1"/>
  <c r="I14" i="1"/>
  <c r="G58" i="1"/>
  <c r="G57" i="1" s="1"/>
  <c r="I58" i="1"/>
  <c r="I57" i="1" s="1"/>
  <c r="G53" i="1"/>
  <c r="I54" i="1"/>
  <c r="I53" i="1" s="1"/>
  <c r="G51" i="1"/>
  <c r="G50" i="1" s="1"/>
  <c r="I51" i="1"/>
  <c r="I50" i="1" s="1"/>
  <c r="G46" i="1"/>
  <c r="G45" i="1" s="1"/>
  <c r="I46" i="1"/>
  <c r="I45" i="1" s="1"/>
  <c r="I43" i="1"/>
  <c r="Z43" i="1"/>
  <c r="AA44" i="1"/>
  <c r="AD44" i="1" s="1"/>
  <c r="Z44" i="1"/>
  <c r="G43" i="1"/>
  <c r="G41" i="1"/>
  <c r="I41" i="1"/>
  <c r="I40" i="1" s="1"/>
  <c r="W42" i="1"/>
  <c r="X42" i="1" s="1"/>
  <c r="T42" i="1"/>
  <c r="U42" i="1" s="1"/>
  <c r="T41" i="1"/>
  <c r="U41" i="1" s="1"/>
  <c r="M41" i="1"/>
  <c r="W41" i="1" s="1"/>
  <c r="K41" i="1"/>
  <c r="K40" i="1" s="1"/>
  <c r="G40" i="1" l="1"/>
  <c r="X41" i="1"/>
  <c r="AA41" i="1"/>
  <c r="AD41" i="1" s="1"/>
  <c r="AA42" i="1"/>
  <c r="AD42" i="1" s="1"/>
  <c r="Z42" i="1"/>
  <c r="AB42" i="1" s="1"/>
  <c r="G13" i="1"/>
  <c r="I13" i="1"/>
  <c r="AA43" i="1"/>
  <c r="AD43" i="1" s="1"/>
  <c r="Z41" i="1"/>
  <c r="AB41" i="1" s="1"/>
  <c r="T62" i="1" l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6" i="1"/>
  <c r="U46" i="1" s="1"/>
  <c r="T45" i="1"/>
  <c r="U45" i="1" s="1"/>
  <c r="T40" i="1"/>
  <c r="U40" i="1" s="1"/>
  <c r="T39" i="1"/>
  <c r="U39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U23" i="1"/>
  <c r="T22" i="1"/>
  <c r="U22" i="1" s="1"/>
  <c r="T21" i="1"/>
  <c r="U21" i="1" s="1"/>
  <c r="T20" i="1"/>
  <c r="U20" i="1" s="1"/>
  <c r="Z18" i="1"/>
  <c r="T16" i="1"/>
  <c r="U16" i="1" s="1"/>
  <c r="W60" i="1" l="1"/>
  <c r="X60" i="1" s="1"/>
  <c r="Z60" i="1"/>
  <c r="AB60" i="1" s="1"/>
  <c r="W61" i="1"/>
  <c r="X61" i="1" s="1"/>
  <c r="W39" i="1"/>
  <c r="AA39" i="1" s="1"/>
  <c r="AD39" i="1" s="1"/>
  <c r="Z39" i="1"/>
  <c r="AB39" i="1" s="1"/>
  <c r="K29" i="1"/>
  <c r="X29" i="1" s="1"/>
  <c r="W30" i="1"/>
  <c r="X30" i="1" s="1"/>
  <c r="Z30" i="1"/>
  <c r="AB30" i="1" s="1"/>
  <c r="Z29" i="1"/>
  <c r="AB29" i="1" s="1"/>
  <c r="W27" i="1"/>
  <c r="X27" i="1" s="1"/>
  <c r="Z27" i="1"/>
  <c r="AB27" i="1" s="1"/>
  <c r="AA61" i="1" l="1"/>
  <c r="AD61" i="1" s="1"/>
  <c r="Z61" i="1"/>
  <c r="AB61" i="1" s="1"/>
  <c r="AA60" i="1"/>
  <c r="AD60" i="1" s="1"/>
  <c r="X39" i="1"/>
  <c r="AA30" i="1"/>
  <c r="AD30" i="1" s="1"/>
  <c r="AA27" i="1"/>
  <c r="AD27" i="1" s="1"/>
  <c r="M14" i="1" l="1"/>
  <c r="K14" i="1"/>
  <c r="M17" i="1"/>
  <c r="M22" i="1"/>
  <c r="M31" i="1"/>
  <c r="M40" i="1"/>
  <c r="M46" i="1"/>
  <c r="M45" i="1" s="1"/>
  <c r="K45" i="1"/>
  <c r="M51" i="1"/>
  <c r="M50" i="1" s="1"/>
  <c r="K51" i="1"/>
  <c r="K50" i="1" s="1"/>
  <c r="M54" i="1"/>
  <c r="M53" i="1" s="1"/>
  <c r="K54" i="1"/>
  <c r="K53" i="1" s="1"/>
  <c r="M58" i="1"/>
  <c r="M57" i="1" s="1"/>
  <c r="K57" i="1"/>
  <c r="W38" i="1"/>
  <c r="X38" i="1" s="1"/>
  <c r="W37" i="1"/>
  <c r="X37" i="1" s="1"/>
  <c r="W20" i="1"/>
  <c r="X20" i="1" s="1"/>
  <c r="T17" i="1"/>
  <c r="U17" i="1" s="1"/>
  <c r="T14" i="1"/>
  <c r="Z14" i="1" l="1"/>
  <c r="U14" i="1"/>
  <c r="U63" i="1" s="1"/>
  <c r="AA29" i="1"/>
  <c r="AD29" i="1" s="1"/>
  <c r="W62" i="1"/>
  <c r="W59" i="1"/>
  <c r="AA59" i="1" s="1"/>
  <c r="AD59" i="1" s="1"/>
  <c r="Z58" i="1"/>
  <c r="AB58" i="1" s="1"/>
  <c r="W58" i="1"/>
  <c r="Z57" i="1"/>
  <c r="AB57" i="1" s="1"/>
  <c r="W57" i="1"/>
  <c r="W55" i="1"/>
  <c r="X55" i="1" s="1"/>
  <c r="Z53" i="1"/>
  <c r="AB53" i="1" s="1"/>
  <c r="Z45" i="1"/>
  <c r="AB45" i="1" s="1"/>
  <c r="AA38" i="1"/>
  <c r="AD38" i="1" s="1"/>
  <c r="Z38" i="1"/>
  <c r="AB38" i="1" s="1"/>
  <c r="Z36" i="1"/>
  <c r="AB36" i="1" s="1"/>
  <c r="W28" i="1"/>
  <c r="X28" i="1" s="1"/>
  <c r="W26" i="1"/>
  <c r="X26" i="1" s="1"/>
  <c r="W25" i="1"/>
  <c r="X25" i="1" s="1"/>
  <c r="X13" i="1" l="1"/>
  <c r="AA13" i="1"/>
  <c r="AD13" i="1" s="1"/>
  <c r="AA14" i="1"/>
  <c r="AD14" i="1" s="1"/>
  <c r="X14" i="1"/>
  <c r="AA62" i="1"/>
  <c r="AD62" i="1" s="1"/>
  <c r="X59" i="1"/>
  <c r="AA25" i="1"/>
  <c r="AD25" i="1" s="1"/>
  <c r="AA36" i="1"/>
  <c r="AD36" i="1" s="1"/>
  <c r="Z28" i="1"/>
  <c r="AB28" i="1" s="1"/>
  <c r="AA55" i="1"/>
  <c r="AD55" i="1" s="1"/>
  <c r="AA26" i="1"/>
  <c r="AD26" i="1" s="1"/>
  <c r="AA28" i="1"/>
  <c r="AD28" i="1" s="1"/>
  <c r="X58" i="1"/>
  <c r="AA58" i="1"/>
  <c r="AD58" i="1" s="1"/>
  <c r="X57" i="1"/>
  <c r="AA57" i="1"/>
  <c r="AD57" i="1" s="1"/>
  <c r="W53" i="1"/>
  <c r="X53" i="1" s="1"/>
  <c r="Z59" i="1"/>
  <c r="AB59" i="1" s="1"/>
  <c r="Z62" i="1"/>
  <c r="AB62" i="1" s="1"/>
  <c r="Z54" i="1"/>
  <c r="AB54" i="1" s="1"/>
  <c r="Z55" i="1"/>
  <c r="AB55" i="1" s="1"/>
  <c r="W54" i="1"/>
  <c r="W51" i="1"/>
  <c r="Z50" i="1"/>
  <c r="AB50" i="1" s="1"/>
  <c r="Z51" i="1"/>
  <c r="AB51" i="1" s="1"/>
  <c r="Z46" i="1"/>
  <c r="AB46" i="1" s="1"/>
  <c r="AB43" i="1"/>
  <c r="Z35" i="1"/>
  <c r="AB35" i="1" s="1"/>
  <c r="Z25" i="1"/>
  <c r="AB25" i="1" s="1"/>
  <c r="Z26" i="1"/>
  <c r="AB26" i="1" s="1"/>
  <c r="Z22" i="1"/>
  <c r="AB22" i="1" s="1"/>
  <c r="AA53" i="1" l="1"/>
  <c r="AD53" i="1" s="1"/>
  <c r="W45" i="1"/>
  <c r="AA45" i="1" s="1"/>
  <c r="AD45" i="1" s="1"/>
  <c r="W46" i="1"/>
  <c r="X54" i="1"/>
  <c r="AA54" i="1"/>
  <c r="AD54" i="1" s="1"/>
  <c r="W50" i="1"/>
  <c r="AA51" i="1"/>
  <c r="AD51" i="1" s="1"/>
  <c r="X51" i="1"/>
  <c r="AA50" i="1" l="1"/>
  <c r="X50" i="1"/>
  <c r="X63" i="1" s="1"/>
  <c r="X45" i="1"/>
  <c r="AA46" i="1"/>
  <c r="AD46" i="1" s="1"/>
  <c r="X46" i="1"/>
  <c r="AD50" i="1"/>
  <c r="X35" i="1" l="1"/>
  <c r="AA37" i="1"/>
  <c r="AD37" i="1" s="1"/>
  <c r="Z37" i="1"/>
  <c r="AB37" i="1" s="1"/>
  <c r="W22" i="1" l="1"/>
  <c r="AA22" i="1" s="1"/>
  <c r="AD22" i="1" s="1"/>
  <c r="AA35" i="1"/>
  <c r="AD35" i="1" s="1"/>
  <c r="X22" i="1" l="1"/>
  <c r="AA52" i="1" l="1"/>
  <c r="AD52" i="1" s="1"/>
  <c r="X52" i="1"/>
  <c r="AB52" i="1"/>
  <c r="AB44" i="1" l="1"/>
  <c r="AB14" i="1" l="1"/>
  <c r="W34" i="1"/>
  <c r="AA34" i="1" l="1"/>
  <c r="AD34" i="1" s="1"/>
  <c r="X34" i="1"/>
  <c r="Z34" i="1"/>
  <c r="AB34" i="1" s="1"/>
  <c r="W56" i="1"/>
  <c r="W49" i="1"/>
  <c r="W48" i="1"/>
  <c r="W47" i="1"/>
  <c r="W40" i="1"/>
  <c r="W33" i="1"/>
  <c r="W32" i="1"/>
  <c r="W31" i="1"/>
  <c r="W24" i="1"/>
  <c r="W23" i="1"/>
  <c r="W21" i="1"/>
  <c r="W19" i="1"/>
  <c r="X18" i="1"/>
  <c r="W17" i="1"/>
  <c r="X17" i="1" s="1"/>
  <c r="W15" i="1"/>
  <c r="W16" i="1"/>
  <c r="X15" i="1" l="1"/>
  <c r="AA15" i="1"/>
  <c r="Z15" i="1"/>
  <c r="AB15" i="1" s="1"/>
  <c r="AB23" i="1"/>
  <c r="Z33" i="1"/>
  <c r="AB33" i="1" s="1"/>
  <c r="Z49" i="1"/>
  <c r="AB49" i="1" s="1"/>
  <c r="AD15" i="1"/>
  <c r="AA31" i="1"/>
  <c r="AD31" i="1" s="1"/>
  <c r="X31" i="1"/>
  <c r="AA33" i="1"/>
  <c r="AD33" i="1" s="1"/>
  <c r="X33" i="1"/>
  <c r="AA49" i="1"/>
  <c r="AD49" i="1" s="1"/>
  <c r="X49" i="1"/>
  <c r="AB18" i="1"/>
  <c r="Z31" i="1"/>
  <c r="AB31" i="1" s="1"/>
  <c r="Z47" i="1"/>
  <c r="AB47" i="1" s="1"/>
  <c r="AA18" i="1"/>
  <c r="AD18" i="1" s="1"/>
  <c r="Z21" i="1"/>
  <c r="AB21" i="1" s="1"/>
  <c r="X23" i="1"/>
  <c r="AA47" i="1"/>
  <c r="AD47" i="1" s="1"/>
  <c r="X47" i="1"/>
  <c r="AB16" i="1"/>
  <c r="Z17" i="1"/>
  <c r="AB17" i="1" s="1"/>
  <c r="Z20" i="1"/>
  <c r="AB20" i="1" s="1"/>
  <c r="AA21" i="1"/>
  <c r="AD21" i="1" s="1"/>
  <c r="X21" i="1"/>
  <c r="Z24" i="1"/>
  <c r="AB24" i="1" s="1"/>
  <c r="Z32" i="1"/>
  <c r="AB32" i="1" s="1"/>
  <c r="Z40" i="1"/>
  <c r="AB40" i="1" s="1"/>
  <c r="Z48" i="1"/>
  <c r="AB48" i="1" s="1"/>
  <c r="Z56" i="1"/>
  <c r="AB56" i="1" s="1"/>
  <c r="AA19" i="1"/>
  <c r="AD19" i="1" s="1"/>
  <c r="X19" i="1"/>
  <c r="AA16" i="1"/>
  <c r="AD16" i="1" s="1"/>
  <c r="X16" i="1"/>
  <c r="AA17" i="1"/>
  <c r="AD17" i="1" s="1"/>
  <c r="Z19" i="1"/>
  <c r="AB19" i="1" s="1"/>
  <c r="AA20" i="1"/>
  <c r="AD20" i="1" s="1"/>
  <c r="AD24" i="1"/>
  <c r="X24" i="1"/>
  <c r="AA32" i="1"/>
  <c r="AD32" i="1" s="1"/>
  <c r="X32" i="1"/>
  <c r="AA40" i="1"/>
  <c r="AD40" i="1" s="1"/>
  <c r="X40" i="1"/>
  <c r="AA48" i="1"/>
  <c r="AD48" i="1" s="1"/>
  <c r="X48" i="1"/>
  <c r="AA56" i="1"/>
  <c r="AD56" i="1" s="1"/>
  <c r="X56" i="1"/>
  <c r="X64" i="1" l="1"/>
  <c r="U64" i="1" l="1"/>
</calcChain>
</file>

<file path=xl/sharedStrings.xml><?xml version="1.0" encoding="utf-8"?>
<sst xmlns="http://schemas.openxmlformats.org/spreadsheetml/2006/main" count="385" uniqueCount="183">
  <si>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</si>
  <si>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</si>
  <si>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</si>
  <si>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</si>
  <si>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</si>
  <si>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</si>
  <si>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</si>
  <si>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</si>
  <si>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</si>
  <si>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</si>
  <si>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</si>
  <si>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</si>
  <si>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</si>
  <si>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</si>
  <si>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</si>
  <si>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</si>
  <si>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</si>
  <si>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</si>
  <si>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</si>
  <si>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</si>
  <si>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</si>
  <si>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</si>
  <si>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</si>
  <si>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</si>
  <si>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</si>
  <si>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</si>
  <si>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</si>
  <si>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</si>
  <si>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</si>
  <si>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</si>
  <si>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</si>
  <si>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</si>
  <si>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</si>
  <si>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</si>
  <si>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</si>
  <si>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</si>
  <si>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</si>
  <si>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</si>
  <si>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</si>
  <si>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</si>
  <si>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</si>
  <si>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</si>
  <si>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</si>
  <si>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</si>
  <si>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</si>
  <si>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</si>
  <si>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</si>
  <si>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</si>
  <si>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</si>
  <si>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</si>
  <si>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</si>
  <si>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</si>
  <si>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</si>
  <si>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</si>
  <si>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</si>
  <si>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</si>
  <si>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</si>
  <si>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</si>
  <si>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</si>
  <si>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</si>
  <si>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</si>
  <si>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</si>
  <si>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</si>
  <si>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</si>
  <si>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</si>
  <si>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</si>
  <si>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</si>
  <si>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</si>
  <si>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</si>
  <si>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</si>
  <si>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</si>
  <si>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</si>
  <si>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</si>
  <si>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</si>
  <si>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</si>
  <si>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</si>
  <si>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</si>
  <si>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</si>
  <si>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</si>
  <si>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</si>
  <si>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</si>
  <si>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</si>
  <si>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</si>
  <si>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</si>
  <si>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</si>
  <si>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Pelaksanaan Tugas Forum Koordinasi Pimpinan di Kecamatan</t>
  </si>
  <si>
    <t>Program Pembinaan Dan Pengawasan Pemerintahan Desa</t>
  </si>
  <si>
    <t>Fasilitasi, Rekomendasi dan Koordinasi Pembinaan dan Pengawasan Pemerintahan Desa</t>
  </si>
  <si>
    <t>Fasilitasi Penyusunan Peraturan Desa dan Peraturan Kepala Desa</t>
  </si>
  <si>
    <t>Fasilitasi Penataan, Pemanfaatan, dan Pendayagunaan Ruang Desa Serta Penetapan dan Penegasan Batas Desa</t>
  </si>
  <si>
    <t>Koordinasi Pendampingan Desa di Wilayahnya</t>
  </si>
  <si>
    <t>Lap</t>
  </si>
  <si>
    <t>Tingkat Pelayanan Adminstrasi Umum sesuai Standar</t>
  </si>
  <si>
    <t>Persentase Pelayanan Administrasi Terpadu Kecamatan (PATEN) dilaksanakan dengan baik</t>
  </si>
  <si>
    <t>Persentase Pelayanan Sesuai Kewenangan Yang dilimpahkan dilaksanakan dengan baik</t>
  </si>
  <si>
    <t>Persentase Penyelenggaraan Tugas Pemberdayaan Masyarakat yang dilaksanakan dengan baik</t>
  </si>
  <si>
    <t>Persentase Penyelenggaraan Kegiatan Pemberdayaan Masyarakat di Desa yang dilaksanakan dengan baik</t>
  </si>
  <si>
    <t>Persentase Penyelenggaraan Tugas Ketertiban Umum yang dilaksanakan dengan baik</t>
  </si>
  <si>
    <t>Persentase Koordinasi Penyelenggaraan Ketertiban Umum yang dilaksanakan dengan baik</t>
  </si>
  <si>
    <t>Persentase Penyelenggaraan Urusan Pemerintahan Umum yang dilaksanakan dengan baik</t>
  </si>
  <si>
    <t>Persentase Penyeleneggaraan Urusan Pemerintahan Umum Sesuai Penugasan Kepala Daerah yang dilaksanakan dengan baik</t>
  </si>
  <si>
    <t>Persentase Penyelenggaraan Tugas Pemerintahan Desa yang dilaksanakan dengan baik</t>
  </si>
  <si>
    <t>Persentase Pelaksanaan Fasilitasi dan Pembinaan Pemerintahan Desa yang dilaksanakan dengan baik</t>
  </si>
  <si>
    <t>Penyediaan Bahan Bacaan dan Peraturan Perundang-undangan</t>
  </si>
  <si>
    <t>Pengadaan Barang Milik Daerah Penunjang Urusan Pemerintah Daerah</t>
  </si>
  <si>
    <t>Pemeliharaan/Rehabilitasi Sarana dan Prasarana Pendukung Gedung Kantor atau Bangunan Lainnya</t>
  </si>
  <si>
    <t>Fasilitasi Administrasi Tata Pemerintahan Desa</t>
  </si>
  <si>
    <t>KECAMATAN ANGKINANG</t>
  </si>
  <si>
    <t>SABILARRASAD, S.Sos</t>
  </si>
  <si>
    <t>NIP. 19811230 200904 1 002</t>
  </si>
  <si>
    <t>Pengadaan Sarana dan Prasarana Gedung Kantor atau Bangunan Lainnya</t>
  </si>
  <si>
    <t>Paket</t>
  </si>
  <si>
    <t>Kecamatan Angkinang</t>
  </si>
  <si>
    <t>Jumlah Dokumen Perencanaan Perangkat Daerah</t>
  </si>
  <si>
    <t>Jumlah Laporan Evaluasi Kinerja Perangkat Daerah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</si>
  <si>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</si>
  <si>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</si>
  <si>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</si>
  <si>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</si>
  <si>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Penyelenggaraan Urusan Pemerintahan yang tidak Dilaksanakan oleh Unit Kerja Perangkat Daerah yang ada di Kecamatan</t>
  </si>
  <si>
    <t>Peningkatan Efektifitas Pelaksanaan Pelayanan kepada Masyarakat di Wilayah Kecamatan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</si>
  <si>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</si>
  <si>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</si>
  <si>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</si>
  <si>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</si>
  <si>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Org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</si>
  <si>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</si>
  <si>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</si>
  <si>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</si>
  <si>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</si>
  <si>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</si>
  <si>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Dokumen Bahan Bacaan dan Peraturan Perundang-Undangan yang Disediakan</t>
  </si>
  <si>
    <t>Jumlah Unit Sarana dan Prasarana Gedung Kantor atau Bangunan Lainnya yang Disediakan</t>
  </si>
  <si>
    <t>Unit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</si>
  <si>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</si>
  <si>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</si>
  <si>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</si>
  <si>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</si>
  <si>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Gedung Kantor dan Bangunan Lainnya yang  Dipelihara/Direhabilitasi</t>
  </si>
  <si>
    <t>Jumlah Sarana dan Prasarana Gedung Kantor atau Bangunan Lainnya yang Dipelihara/Direhabilitasi</t>
  </si>
  <si>
    <t>Jumlah Sarana dan Prasarana Pendukung Gedung Kantor atau Bangunan Lainnya yang Dipelihara/Direhabilitasi</t>
  </si>
  <si>
    <t>Jumlah Laporan Peningkatan Efektifitas Pelaksanaan Pelayanan kepadaMasyarakat di Wilayah Kecamatan</t>
  </si>
  <si>
    <t>Jumlah Laporan Pelaksanaan Kewenangan Lain yang Dilimpahkan</t>
  </si>
  <si>
    <t>Jumlah Lembaga Kemasyarakatan yang Berpartisipasi dalam Forum Musyawarah Perencanaan Pembangunan di Desa</t>
  </si>
  <si>
    <t>Lembaga Kemasyarakatan</t>
  </si>
  <si>
    <t>Jumlah Dokumen Sinkronisasi Program Kerja dan Kegiatan Pemberdayaan Masyarakat yang Dilakukan oleh Pemerintah dan Swasta di Wilayah Kerja Kecamatan</t>
  </si>
  <si>
    <t>Jumlah Laporan Peningkatan Efektivitas Kegiatan Pemberdayaan Masyarakat di Wilayah Kecamatan</t>
  </si>
  <si>
    <t>Jumlah Laporan Hasil Sinergitas dengan Kepolisian Negara Republik Indonesia, Tentara Nasional Indonesia dan Instansi Vertikal di Wilayah Kecamatan</t>
  </si>
  <si>
    <t>Jumlah Orang yang Mengikuti Pembinaan Persatuan dan Kesatuan Bangsa</t>
  </si>
  <si>
    <t>Jumlah Dokumen Tugas Forum Koordinasi Pimpinan di Kecamatan</t>
  </si>
  <si>
    <t>Jumlah Dokumen yang Difasilitasi dalam rangka Penyusunan Peraturan Desa dan Peraturan Kepala Desa</t>
  </si>
  <si>
    <t>Jumlah Dokumen yang Difasilitasi dalam rangka Administrasi Tata Pemerintahan Desa</t>
  </si>
  <si>
    <t>Jumlah Dokumen Fasilitasi dalam rangka Penataan, Pemanfaatan, dan Pendayagunaan Ruang Desa serta Penetapan dan Penegasan Batas Desa</t>
  </si>
  <si>
    <t>Jumlah Laporan Hasil Koordinasi Pendampingan Desa di Wilayahnya</t>
  </si>
  <si>
    <t>Persentase Kegiatan Perencanaan dan Umum yang Dilaksanakan</t>
  </si>
  <si>
    <t>Terlaksananya Kegiatan Perencanaan dan Umum</t>
  </si>
  <si>
    <t>Tersusunnya Dokumen Perencanaan Kinerja dan Evaluasi Kinerja di Kecamatan</t>
  </si>
  <si>
    <t>Tersusunnya Dokumen Keuangan di Kecamatan</t>
  </si>
  <si>
    <t>Terlaksananya Pelayanan Administrasi Umum di Kecamatan</t>
  </si>
  <si>
    <t>Terlaksananya Pengadaan Barang Milik Daerah Penunjang Urusan Pemrintah Daerah di Kecamatan</t>
  </si>
  <si>
    <t>Tersedianya Penunjang Urusan Pemerintahan Daerah di Kecamatan</t>
  </si>
  <si>
    <t>Terpeliharanya Barang Milik Daerah di Kecamatan</t>
  </si>
  <si>
    <t>Terselenggaranya Pelayanan Publik di Kecamatan</t>
  </si>
  <si>
    <t>Terlaksananya Kegiatan Paten dan IMB di Kecamatan</t>
  </si>
  <si>
    <t>Terselenggaranya Pemberdayaan Masyarakat yang dilaksanakan dengan baik</t>
  </si>
  <si>
    <t>Terlaksananya Kegiatan Musrenbang, MTQ, Distribusi Rastra dan Kegiatan PKK di Kecamatan</t>
  </si>
  <si>
    <t>Terselenggaranya urusan pemerintahan umum yang dilaksanakan dengan baik</t>
  </si>
  <si>
    <t>Terlaksananya Kegiatan HUT RI dan Forkopimca di Kecamatan</t>
  </si>
  <si>
    <t>Terselenggaranya Pemerintahan Desa yang dilaksanakan dengan baik</t>
  </si>
  <si>
    <t>Terlaksananya Kegiatan Tapal Batas Wilayah, Lomba Gotomg Royong, Lomba Desa dan Pembinaan BUMDes di Kecamatan</t>
  </si>
  <si>
    <t>Terlaksananya Kegiatan Karhutla, Pengawasan IMB dan Lomba Siskamling di Kecamatan</t>
  </si>
  <si>
    <t>Persentase pelayanan administrasi umum sesuai kebutuhan</t>
  </si>
  <si>
    <t>Persentase dokumen administrasi keuangan sesuai dengan standar</t>
  </si>
  <si>
    <t>Persentase jasa penunjang urusan pemerintahan daerah sesuai kebutuhan</t>
  </si>
  <si>
    <t>Persentase Pengadaan Barang Milik Daerah Penunjang Urusan Pemerintah Daerah</t>
  </si>
  <si>
    <t>Persentase Dokumen Perencanaan dan Evaluasi Kinerja Kecamatan yang berkualitas</t>
  </si>
  <si>
    <t>Camat Angkinang</t>
  </si>
  <si>
    <t>Tindak lanjut yang diperlukan dalam Renja Perangkat Daerah Kabupaten berikutnya*): realisasi anggaran disesuaikan dan direalisasikan sesuai dengan rencana dan kebutuhan</t>
  </si>
  <si>
    <t>Angkinang, 30 Desember 2022</t>
  </si>
  <si>
    <t>Tindak lanjut yang diperlukan dalam triwulan berikutnya*): -</t>
  </si>
  <si>
    <t>PERIODE PELAKSANAAN TRIWULAN IV TAHUN 2022</t>
  </si>
  <si>
    <t>Faktor penghambat pencapaian kinerja: Pengesahan perubahan anggaran, beberapa kegiatan direalisasikan dengan alasan efisiensi</t>
  </si>
  <si>
    <t>Faktor pendorong keberhasilan pencapaian: Kegiatan dilaksanakan sesuai jadwal perencanaan dan penyesuaian anggaran sesuai kebutuhan pada APBD Perubahan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</si>
</sst>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theme="1"/>
      <name val="Bookman Old Style"/>
      <family val="1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6" fillId="0" borderId="0" xfId="0" applyFont="1"/>
    <xf numFmtId="164" fontId="8" fillId="0" borderId="2" xfId="0" applyNumberFormat="1" applyFont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 wrapText="1"/>
    </xf>
    <xf numFmtId="0" fontId="8" fillId="0" borderId="2" xfId="0" quotePrefix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9" fontId="8" fillId="0" borderId="2" xfId="0" applyNumberFormat="1" applyFont="1" applyBorder="1" applyAlignment="1">
      <alignment horizontal="center" vertical="top" wrapText="1"/>
    </xf>
    <xf numFmtId="1" fontId="8" fillId="0" borderId="0" xfId="0" applyNumberFormat="1" applyFont="1"/>
    <xf numFmtId="0" fontId="15" fillId="0" borderId="2" xfId="0" applyFont="1" applyBorder="1" applyAlignment="1">
      <alignment vertical="top" wrapText="1"/>
    </xf>
    <xf numFmtId="0" fontId="6" fillId="0" borderId="6" xfId="0" quotePrefix="1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center" vertical="top"/>
    </xf>
    <xf numFmtId="2" fontId="16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2" fontId="16" fillId="0" borderId="15" xfId="0" applyNumberFormat="1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7" fillId="0" borderId="2" xfId="0" quotePrefix="1" applyFont="1" applyBorder="1" applyAlignment="1">
      <alignment horizontal="left" vertical="top" wrapText="1"/>
    </xf>
    <xf numFmtId="0" fontId="6" fillId="0" borderId="15" xfId="0" quotePrefix="1" applyFont="1" applyBorder="1" applyAlignment="1">
      <alignment horizontal="left" vertical="top" wrapText="1"/>
    </xf>
    <xf numFmtId="164" fontId="4" fillId="0" borderId="0" xfId="0" applyNumberFormat="1" applyFont="1"/>
    <xf numFmtId="166" fontId="4" fillId="0" borderId="0" xfId="0" applyNumberFormat="1" applyFont="1"/>
    <xf numFmtId="0" fontId="8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79"/>
  <sheetViews>
    <sheetView tabSelected="1" showRuler="0" view="pageBreakPreview" topLeftCell="A61" zoomScale="50" zoomScaleNormal="40" zoomScaleSheetLayoutView="50" zoomScalePageLayoutView="55" workbookViewId="0">
      <selection activeCell="M77" sqref="M7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4" width="16" style="2" customWidth="1"/>
    <col min="5" max="5" width="7" style="2" bestFit="1" customWidth="1"/>
    <col min="6" max="6" width="7.28515625" style="2" bestFit="1" customWidth="1"/>
    <col min="7" max="7" width="17.5703125" style="2" bestFit="1" customWidth="1"/>
    <col min="8" max="8" width="5.140625" style="2" bestFit="1" customWidth="1"/>
    <col min="9" max="9" width="17.5703125" style="2" bestFit="1" customWidth="1"/>
    <col min="10" max="10" width="5.140625" style="2" bestFit="1" customWidth="1"/>
    <col min="11" max="11" width="17.5703125" style="2" bestFit="1" customWidth="1"/>
    <col min="12" max="12" width="6.5703125" style="2" customWidth="1"/>
    <col min="13" max="13" width="15.5703125" style="2" bestFit="1" customWidth="1"/>
    <col min="14" max="14" width="5.7109375" style="2" customWidth="1"/>
    <col min="15" max="15" width="15.5703125" style="2" bestFit="1" customWidth="1"/>
    <col min="16" max="16" width="5.5703125" style="2" customWidth="1"/>
    <col min="17" max="17" width="17.5703125" style="2" bestFit="1" customWidth="1"/>
    <col min="18" max="18" width="5.5703125" style="2" bestFit="1" customWidth="1"/>
    <col min="19" max="19" width="15.5703125" style="2" customWidth="1"/>
    <col min="20" max="20" width="7.7109375" style="2" bestFit="1" customWidth="1"/>
    <col min="21" max="21" width="9" style="2" bestFit="1" customWidth="1"/>
    <col min="22" max="22" width="3.5703125" style="4" bestFit="1" customWidth="1"/>
    <col min="23" max="23" width="17.5703125" style="2" bestFit="1" customWidth="1"/>
    <col min="24" max="24" width="10.42578125" style="2" bestFit="1" customWidth="1"/>
    <col min="25" max="25" width="5.5703125" style="4" customWidth="1"/>
    <col min="26" max="26" width="9" style="2" bestFit="1" customWidth="1"/>
    <col min="27" max="27" width="18.7109375" style="2" bestFit="1" customWidth="1"/>
    <col min="28" max="28" width="8.85546875" style="2" bestFit="1" customWidth="1"/>
    <col min="29" max="29" width="3.5703125" style="4" bestFit="1" customWidth="1"/>
    <col min="30" max="30" width="9.85546875" style="2" bestFit="1" customWidth="1"/>
    <col min="31" max="31" width="14.140625" style="2" bestFit="1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"/>
    </row>
    <row r="2" spans="1:37" ht="23.25" x14ac:dyDescent="0.3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3"/>
    </row>
    <row r="3" spans="1:37" ht="23.25" x14ac:dyDescent="0.35">
      <c r="A3" s="101" t="s">
        <v>107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3"/>
    </row>
    <row r="4" spans="1:37" ht="23.25" x14ac:dyDescent="0.35">
      <c r="A4" s="102" t="s">
        <v>180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"/>
    </row>
    <row r="5" spans="1:37" ht="18" x14ac:dyDescent="0.2">
      <c r="A5" s="103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37" ht="18" x14ac:dyDescent="0.25">
      <c r="A6" s="97" t="s">
        <v>107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</row>
    <row r="7" spans="1:37" ht="81" customHeight="1" x14ac:dyDescent="0.2">
      <c r="A7" s="104" t="s">
        <v>3</v>
      </c>
      <c r="B7" s="104" t="s">
        <v>4</v>
      </c>
      <c r="C7" s="105" t="s">
        <v>5</v>
      </c>
      <c r="D7" s="105" t="s">
        <v>6</v>
      </c>
      <c r="E7" s="91" t="s">
        <v>7</v>
      </c>
      <c r="F7" s="106"/>
      <c r="G7" s="92"/>
      <c r="H7" s="91" t="s">
        <v>118</v>
      </c>
      <c r="I7" s="92"/>
      <c r="J7" s="91" t="s">
        <v>115</v>
      </c>
      <c r="K7" s="106"/>
      <c r="L7" s="91" t="s">
        <v>8</v>
      </c>
      <c r="M7" s="106"/>
      <c r="N7" s="106"/>
      <c r="O7" s="106"/>
      <c r="P7" s="106"/>
      <c r="Q7" s="106"/>
      <c r="R7" s="106"/>
      <c r="S7" s="92"/>
      <c r="T7" s="91" t="s">
        <v>44</v>
      </c>
      <c r="U7" s="106"/>
      <c r="V7" s="106"/>
      <c r="W7" s="106"/>
      <c r="X7" s="106"/>
      <c r="Y7" s="92"/>
      <c r="Z7" s="91" t="s">
        <v>116</v>
      </c>
      <c r="AA7" s="92"/>
      <c r="AB7" s="91" t="s">
        <v>117</v>
      </c>
      <c r="AC7" s="106"/>
      <c r="AD7" s="106"/>
      <c r="AE7" s="109" t="s">
        <v>9</v>
      </c>
      <c r="AG7" s="4"/>
      <c r="AH7" s="4"/>
      <c r="AI7" s="4"/>
      <c r="AJ7" s="4"/>
      <c r="AK7" s="4"/>
    </row>
    <row r="8" spans="1:37" ht="18" customHeight="1" x14ac:dyDescent="0.2">
      <c r="A8" s="104"/>
      <c r="B8" s="104"/>
      <c r="C8" s="105"/>
      <c r="D8" s="105"/>
      <c r="E8" s="93"/>
      <c r="F8" s="107"/>
      <c r="G8" s="94"/>
      <c r="H8" s="93"/>
      <c r="I8" s="94"/>
      <c r="J8" s="95"/>
      <c r="K8" s="108"/>
      <c r="L8" s="95"/>
      <c r="M8" s="108"/>
      <c r="N8" s="108"/>
      <c r="O8" s="108"/>
      <c r="P8" s="108"/>
      <c r="Q8" s="108"/>
      <c r="R8" s="108"/>
      <c r="S8" s="96"/>
      <c r="T8" s="95"/>
      <c r="U8" s="108"/>
      <c r="V8" s="108"/>
      <c r="W8" s="108"/>
      <c r="X8" s="108"/>
      <c r="Y8" s="96"/>
      <c r="Z8" s="95"/>
      <c r="AA8" s="96"/>
      <c r="AB8" s="95"/>
      <c r="AC8" s="108"/>
      <c r="AD8" s="108"/>
      <c r="AE8" s="110"/>
    </row>
    <row r="9" spans="1:37" ht="15.75" customHeight="1" x14ac:dyDescent="0.2">
      <c r="A9" s="104"/>
      <c r="B9" s="104"/>
      <c r="C9" s="105"/>
      <c r="D9" s="105"/>
      <c r="E9" s="95"/>
      <c r="F9" s="108"/>
      <c r="G9" s="96"/>
      <c r="H9" s="95"/>
      <c r="I9" s="96"/>
      <c r="J9" s="111">
        <v>2022</v>
      </c>
      <c r="K9" s="112"/>
      <c r="L9" s="98" t="s">
        <v>10</v>
      </c>
      <c r="M9" s="100"/>
      <c r="N9" s="98" t="s">
        <v>11</v>
      </c>
      <c r="O9" s="100"/>
      <c r="P9" s="98" t="s">
        <v>12</v>
      </c>
      <c r="Q9" s="100"/>
      <c r="R9" s="98" t="s">
        <v>13</v>
      </c>
      <c r="S9" s="100"/>
      <c r="T9" s="98">
        <v>2022</v>
      </c>
      <c r="U9" s="99"/>
      <c r="V9" s="99"/>
      <c r="W9" s="99"/>
      <c r="X9" s="99"/>
      <c r="Y9" s="100"/>
      <c r="Z9" s="98">
        <v>2022</v>
      </c>
      <c r="AA9" s="100"/>
      <c r="AB9" s="98">
        <v>2022</v>
      </c>
      <c r="AC9" s="99"/>
      <c r="AD9" s="100"/>
      <c r="AE9" s="5"/>
    </row>
    <row r="10" spans="1:37" s="7" customFormat="1" ht="15.75" x14ac:dyDescent="0.25">
      <c r="A10" s="125">
        <v>1</v>
      </c>
      <c r="B10" s="125">
        <v>2</v>
      </c>
      <c r="C10" s="125">
        <v>3</v>
      </c>
      <c r="D10" s="125">
        <v>4</v>
      </c>
      <c r="E10" s="128">
        <v>5</v>
      </c>
      <c r="F10" s="134"/>
      <c r="G10" s="129"/>
      <c r="H10" s="128">
        <v>6</v>
      </c>
      <c r="I10" s="129"/>
      <c r="J10" s="116">
        <v>7</v>
      </c>
      <c r="K10" s="117"/>
      <c r="L10" s="116">
        <v>8</v>
      </c>
      <c r="M10" s="117"/>
      <c r="N10" s="116">
        <v>9</v>
      </c>
      <c r="O10" s="117"/>
      <c r="P10" s="116">
        <v>10</v>
      </c>
      <c r="Q10" s="117"/>
      <c r="R10" s="116">
        <v>11</v>
      </c>
      <c r="S10" s="117"/>
      <c r="T10" s="113">
        <v>12</v>
      </c>
      <c r="U10" s="115"/>
      <c r="V10" s="115"/>
      <c r="W10" s="115"/>
      <c r="X10" s="115"/>
      <c r="Y10" s="114"/>
      <c r="Z10" s="113">
        <v>13</v>
      </c>
      <c r="AA10" s="114"/>
      <c r="AB10" s="113">
        <v>14</v>
      </c>
      <c r="AC10" s="115"/>
      <c r="AD10" s="114"/>
      <c r="AE10" s="6">
        <v>15</v>
      </c>
    </row>
    <row r="11" spans="1:37" s="7" customFormat="1" ht="87" customHeight="1" x14ac:dyDescent="0.2">
      <c r="A11" s="133"/>
      <c r="B11" s="133"/>
      <c r="C11" s="133"/>
      <c r="D11" s="133"/>
      <c r="E11" s="119" t="s">
        <v>14</v>
      </c>
      <c r="F11" s="120"/>
      <c r="G11" s="123" t="s">
        <v>15</v>
      </c>
      <c r="H11" s="119" t="s">
        <v>14</v>
      </c>
      <c r="I11" s="123" t="s">
        <v>15</v>
      </c>
      <c r="J11" s="119" t="s">
        <v>14</v>
      </c>
      <c r="K11" s="125" t="s">
        <v>15</v>
      </c>
      <c r="L11" s="119" t="s">
        <v>14</v>
      </c>
      <c r="M11" s="125" t="s">
        <v>15</v>
      </c>
      <c r="N11" s="119" t="s">
        <v>14</v>
      </c>
      <c r="O11" s="125" t="s">
        <v>15</v>
      </c>
      <c r="P11" s="119" t="s">
        <v>14</v>
      </c>
      <c r="Q11" s="125" t="s">
        <v>15</v>
      </c>
      <c r="R11" s="119" t="s">
        <v>14</v>
      </c>
      <c r="S11" s="125" t="s">
        <v>15</v>
      </c>
      <c r="T11" s="66" t="s">
        <v>16</v>
      </c>
      <c r="U11" s="128" t="s">
        <v>45</v>
      </c>
      <c r="V11" s="129"/>
      <c r="W11" s="8" t="s">
        <v>17</v>
      </c>
      <c r="X11" s="128" t="s">
        <v>46</v>
      </c>
      <c r="Y11" s="129"/>
      <c r="Z11" s="66" t="s">
        <v>18</v>
      </c>
      <c r="AA11" s="8" t="s">
        <v>19</v>
      </c>
      <c r="AB11" s="128" t="s">
        <v>20</v>
      </c>
      <c r="AC11" s="129"/>
      <c r="AD11" s="8" t="s">
        <v>21</v>
      </c>
      <c r="AE11" s="9"/>
    </row>
    <row r="12" spans="1:37" s="7" customFormat="1" ht="15.75" x14ac:dyDescent="0.2">
      <c r="A12" s="123"/>
      <c r="B12" s="123"/>
      <c r="C12" s="123"/>
      <c r="D12" s="123"/>
      <c r="E12" s="121"/>
      <c r="F12" s="122"/>
      <c r="G12" s="124"/>
      <c r="H12" s="121"/>
      <c r="I12" s="124"/>
      <c r="J12" s="121"/>
      <c r="K12" s="123"/>
      <c r="L12" s="121"/>
      <c r="M12" s="123"/>
      <c r="N12" s="121"/>
      <c r="O12" s="123"/>
      <c r="P12" s="121"/>
      <c r="Q12" s="123"/>
      <c r="R12" s="121"/>
      <c r="S12" s="123"/>
      <c r="T12" s="65" t="s">
        <v>14</v>
      </c>
      <c r="U12" s="121" t="s">
        <v>14</v>
      </c>
      <c r="V12" s="122"/>
      <c r="W12" s="10" t="s">
        <v>15</v>
      </c>
      <c r="X12" s="121" t="s">
        <v>15</v>
      </c>
      <c r="Y12" s="122"/>
      <c r="Z12" s="65" t="s">
        <v>14</v>
      </c>
      <c r="AA12" s="10" t="s">
        <v>15</v>
      </c>
      <c r="AB12" s="121" t="s">
        <v>14</v>
      </c>
      <c r="AC12" s="122"/>
      <c r="AD12" s="10" t="s">
        <v>15</v>
      </c>
      <c r="AE12" s="60"/>
    </row>
    <row r="13" spans="1:37" ht="110.25" x14ac:dyDescent="0.2">
      <c r="A13" s="40"/>
      <c r="B13" s="13" t="s">
        <v>155</v>
      </c>
      <c r="C13" s="15" t="s">
        <v>48</v>
      </c>
      <c r="D13" s="15" t="s">
        <v>154</v>
      </c>
      <c r="E13" s="38">
        <v>100</v>
      </c>
      <c r="F13" s="39" t="s">
        <v>43</v>
      </c>
      <c r="G13" s="36">
        <f>G14+G17+G22+G31+G35</f>
        <v>8028919917</v>
      </c>
      <c r="H13" s="38">
        <v>100</v>
      </c>
      <c r="I13" s="36">
        <f>I14+I17+I22+I31+I35</f>
        <v>2617106900</v>
      </c>
      <c r="J13" s="63">
        <v>100</v>
      </c>
      <c r="K13" s="36">
        <f>K14+K17+K22+K29+K31+K35</f>
        <v>2676306639</v>
      </c>
      <c r="L13" s="38">
        <v>25</v>
      </c>
      <c r="M13" s="36">
        <f>M14+M17+M22+M31+M35</f>
        <v>449930697</v>
      </c>
      <c r="N13" s="38">
        <v>25</v>
      </c>
      <c r="O13" s="36">
        <f>O14+O17+O22+O31+O35</f>
        <v>691829649</v>
      </c>
      <c r="P13" s="38">
        <v>25</v>
      </c>
      <c r="Q13" s="36">
        <f>Q14+Q17+Q22+Q31+Q35</f>
        <v>710631542</v>
      </c>
      <c r="R13" s="38">
        <v>25</v>
      </c>
      <c r="S13" s="36">
        <f>S14+S17+S22+S31+S35</f>
        <v>708608201</v>
      </c>
      <c r="T13" s="57">
        <f>SUM(L13,N13,P13,R13)</f>
        <v>100</v>
      </c>
      <c r="U13" s="57">
        <f>T13/J13*100</f>
        <v>100</v>
      </c>
      <c r="V13" s="56" t="s">
        <v>43</v>
      </c>
      <c r="W13" s="54">
        <f>M13+O13+Q13+S13</f>
        <v>2561000089</v>
      </c>
      <c r="X13" s="55">
        <f>W13/K13*100</f>
        <v>95.691579271234616</v>
      </c>
      <c r="Y13" s="56" t="s">
        <v>43</v>
      </c>
      <c r="Z13" s="55">
        <f>H13+T13</f>
        <v>200</v>
      </c>
      <c r="AA13" s="54">
        <f>I13+W13</f>
        <v>5178106989</v>
      </c>
      <c r="AB13" s="77">
        <f>Z13/E13*100</f>
        <v>200</v>
      </c>
      <c r="AC13" s="78" t="s">
        <v>43</v>
      </c>
      <c r="AD13" s="77">
        <f>AA13/G13*100</f>
        <v>64.493195131217547</v>
      </c>
      <c r="AE13" s="19" t="s">
        <v>112</v>
      </c>
      <c r="AH13" s="20"/>
    </row>
    <row r="14" spans="1:37" ht="126" x14ac:dyDescent="0.2">
      <c r="A14" s="40"/>
      <c r="B14" s="75" t="s">
        <v>156</v>
      </c>
      <c r="C14" s="14" t="s">
        <v>49</v>
      </c>
      <c r="D14" s="82" t="s">
        <v>175</v>
      </c>
      <c r="E14" s="38">
        <v>100</v>
      </c>
      <c r="F14" s="39" t="s">
        <v>43</v>
      </c>
      <c r="G14" s="35">
        <f>SUM(G15:G16)</f>
        <v>28499100</v>
      </c>
      <c r="H14" s="63">
        <v>100</v>
      </c>
      <c r="I14" s="35">
        <f t="shared" ref="I14:O14" si="0">SUM(I15:I16)</f>
        <v>0</v>
      </c>
      <c r="J14" s="63">
        <v>100</v>
      </c>
      <c r="K14" s="35">
        <f t="shared" si="0"/>
        <v>9499700</v>
      </c>
      <c r="L14" s="63">
        <v>25</v>
      </c>
      <c r="M14" s="35">
        <f t="shared" si="0"/>
        <v>0</v>
      </c>
      <c r="N14" s="63">
        <v>25</v>
      </c>
      <c r="O14" s="35">
        <f t="shared" si="0"/>
        <v>1362500</v>
      </c>
      <c r="P14" s="63">
        <v>25</v>
      </c>
      <c r="Q14" s="35">
        <f t="shared" ref="Q14" si="1">SUM(Q15:Q16)</f>
        <v>0</v>
      </c>
      <c r="R14" s="63">
        <v>25</v>
      </c>
      <c r="S14" s="35">
        <f>SUM(S15:S16)</f>
        <v>1493400</v>
      </c>
      <c r="T14" s="64">
        <f t="shared" ref="T14:T42" si="2">SUM(L14,N14,P14,R14)</f>
        <v>100</v>
      </c>
      <c r="U14" s="57">
        <f>T14/J14*100</f>
        <v>100</v>
      </c>
      <c r="V14" s="59" t="s">
        <v>43</v>
      </c>
      <c r="W14" s="54">
        <f>M14+O14+Q14+S14</f>
        <v>2855900</v>
      </c>
      <c r="X14" s="55">
        <f>W14/K14*100</f>
        <v>30.063054622777564</v>
      </c>
      <c r="Y14" s="59"/>
      <c r="Z14" s="58">
        <f>H14+T14</f>
        <v>200</v>
      </c>
      <c r="AA14" s="54">
        <f t="shared" ref="AA14:AA44" si="3">I14+W14</f>
        <v>2855900</v>
      </c>
      <c r="AB14" s="79">
        <f t="shared" ref="AB14:AB44" si="4">Z14/E14*100</f>
        <v>200</v>
      </c>
      <c r="AC14" s="80" t="s">
        <v>43</v>
      </c>
      <c r="AD14" s="77">
        <f>AA14/G14*100</f>
        <v>10.021018207592521</v>
      </c>
      <c r="AE14" s="19"/>
      <c r="AH14" s="20"/>
    </row>
    <row r="15" spans="1:37" ht="75" x14ac:dyDescent="0.2">
      <c r="A15" s="12"/>
      <c r="B15" s="13"/>
      <c r="C15" s="21" t="s">
        <v>50</v>
      </c>
      <c r="D15" s="24" t="s">
        <v>113</v>
      </c>
      <c r="E15" s="16">
        <v>15</v>
      </c>
      <c r="F15" s="17" t="s">
        <v>42</v>
      </c>
      <c r="G15" s="18">
        <f>K15*3</f>
        <v>23999850</v>
      </c>
      <c r="H15" s="16">
        <v>5</v>
      </c>
      <c r="I15" s="18">
        <v>0</v>
      </c>
      <c r="J15" s="16">
        <v>5</v>
      </c>
      <c r="K15" s="18">
        <v>7999950</v>
      </c>
      <c r="L15" s="16">
        <v>2</v>
      </c>
      <c r="M15" s="18">
        <v>0</v>
      </c>
      <c r="N15" s="16">
        <v>1</v>
      </c>
      <c r="O15" s="18">
        <v>1362500</v>
      </c>
      <c r="P15" s="16">
        <v>0</v>
      </c>
      <c r="Q15" s="18">
        <v>0</v>
      </c>
      <c r="R15" s="16">
        <v>2</v>
      </c>
      <c r="S15" s="18">
        <v>0</v>
      </c>
      <c r="T15" s="45">
        <f>SUM(L15,N15,P15,R15)</f>
        <v>5</v>
      </c>
      <c r="U15" s="45">
        <f>T15/J15*100</f>
        <v>100</v>
      </c>
      <c r="V15" s="29" t="s">
        <v>43</v>
      </c>
      <c r="W15" s="34">
        <f t="shared" ref="W15:W42" si="5">M15+O15+Q15+S15</f>
        <v>1362500</v>
      </c>
      <c r="X15" s="44">
        <f>W15/K15*100</f>
        <v>17.031356445977789</v>
      </c>
      <c r="Y15" s="29" t="s">
        <v>43</v>
      </c>
      <c r="Z15" s="45">
        <f t="shared" ref="Z15:Z44" si="6">H15+T15</f>
        <v>10</v>
      </c>
      <c r="AA15" s="34">
        <f>I15+W15</f>
        <v>1362500</v>
      </c>
      <c r="AB15" s="76">
        <f t="shared" si="4"/>
        <v>66.666666666666657</v>
      </c>
      <c r="AC15" s="81" t="s">
        <v>43</v>
      </c>
      <c r="AD15" s="76">
        <f t="shared" ref="AD15:AD62" si="7">AA15/G15*100</f>
        <v>5.6771188153259295</v>
      </c>
      <c r="AE15" s="11"/>
      <c r="AH15" s="20"/>
    </row>
    <row r="16" spans="1:37" ht="90" x14ac:dyDescent="0.2">
      <c r="A16" s="12"/>
      <c r="B16" s="13"/>
      <c r="C16" s="21" t="s">
        <v>51</v>
      </c>
      <c r="D16" s="24" t="s">
        <v>114</v>
      </c>
      <c r="E16" s="16">
        <v>30</v>
      </c>
      <c r="F16" s="17" t="s">
        <v>91</v>
      </c>
      <c r="G16" s="18">
        <f>K16*3</f>
        <v>4499250</v>
      </c>
      <c r="H16" s="16">
        <v>10</v>
      </c>
      <c r="I16" s="18">
        <v>0</v>
      </c>
      <c r="J16" s="16">
        <v>10</v>
      </c>
      <c r="K16" s="18">
        <v>1499750</v>
      </c>
      <c r="L16" s="16">
        <v>3</v>
      </c>
      <c r="M16" s="18">
        <v>0</v>
      </c>
      <c r="N16" s="16">
        <v>2</v>
      </c>
      <c r="O16" s="18">
        <v>0</v>
      </c>
      <c r="P16" s="16">
        <v>2</v>
      </c>
      <c r="Q16" s="18">
        <v>0</v>
      </c>
      <c r="R16" s="16">
        <v>3</v>
      </c>
      <c r="S16" s="18">
        <v>1493400</v>
      </c>
      <c r="T16" s="45">
        <f t="shared" si="2"/>
        <v>10</v>
      </c>
      <c r="U16" s="45">
        <f t="shared" ref="U16:U42" si="8">T16/J16*100</f>
        <v>100</v>
      </c>
      <c r="V16" s="29" t="s">
        <v>43</v>
      </c>
      <c r="W16" s="34">
        <f t="shared" si="5"/>
        <v>1493400</v>
      </c>
      <c r="X16" s="44">
        <f t="shared" ref="X16:X42" si="9">W16/K16*100</f>
        <v>99.576596099349885</v>
      </c>
      <c r="Y16" s="29" t="s">
        <v>43</v>
      </c>
      <c r="Z16" s="45">
        <f>H16+T16</f>
        <v>20</v>
      </c>
      <c r="AA16" s="34">
        <f t="shared" si="3"/>
        <v>1493400</v>
      </c>
      <c r="AB16" s="76">
        <f t="shared" si="4"/>
        <v>66.666666666666657</v>
      </c>
      <c r="AC16" s="81" t="s">
        <v>43</v>
      </c>
      <c r="AD16" s="76">
        <f t="shared" si="7"/>
        <v>33.192198699783297</v>
      </c>
      <c r="AE16" s="11"/>
      <c r="AH16" s="20"/>
    </row>
    <row r="17" spans="1:34" ht="110.25" x14ac:dyDescent="0.2">
      <c r="A17" s="12"/>
      <c r="B17" s="13" t="s">
        <v>157</v>
      </c>
      <c r="C17" s="13" t="s">
        <v>52</v>
      </c>
      <c r="D17" s="83" t="s">
        <v>172</v>
      </c>
      <c r="E17" s="38">
        <v>100</v>
      </c>
      <c r="F17" s="39" t="s">
        <v>43</v>
      </c>
      <c r="G17" s="35">
        <f>SUM(G18:G21)</f>
        <v>6662432115</v>
      </c>
      <c r="H17" s="38">
        <v>100</v>
      </c>
      <c r="I17" s="35">
        <f>SUM(I18:I21)</f>
        <v>1929518271</v>
      </c>
      <c r="J17" s="43">
        <v>100</v>
      </c>
      <c r="K17" s="35">
        <f>SUM(K18:K21)</f>
        <v>2220810705</v>
      </c>
      <c r="L17" s="43">
        <v>25</v>
      </c>
      <c r="M17" s="35">
        <f>SUM(M18:M21)</f>
        <v>391435697</v>
      </c>
      <c r="N17" s="43">
        <v>25</v>
      </c>
      <c r="O17" s="35">
        <f>SUM(O18:O21)</f>
        <v>644218920</v>
      </c>
      <c r="P17" s="43">
        <v>25</v>
      </c>
      <c r="Q17" s="35">
        <f>SUM(Q18:Q21)</f>
        <v>630485611</v>
      </c>
      <c r="R17" s="43">
        <v>25</v>
      </c>
      <c r="S17" s="35">
        <f>SUM(S18:S21)</f>
        <v>534413779</v>
      </c>
      <c r="T17" s="57">
        <f t="shared" si="2"/>
        <v>100</v>
      </c>
      <c r="U17" s="57">
        <f t="shared" si="8"/>
        <v>100</v>
      </c>
      <c r="V17" s="56" t="s">
        <v>43</v>
      </c>
      <c r="W17" s="54">
        <f t="shared" si="5"/>
        <v>2200554007</v>
      </c>
      <c r="X17" s="55">
        <f>W17/K17*100</f>
        <v>99.087869220262974</v>
      </c>
      <c r="Y17" s="56" t="s">
        <v>43</v>
      </c>
      <c r="Z17" s="57">
        <f t="shared" si="6"/>
        <v>200</v>
      </c>
      <c r="AA17" s="54">
        <f t="shared" si="3"/>
        <v>4130072278</v>
      </c>
      <c r="AB17" s="77">
        <f>Z17/E17*100</f>
        <v>200</v>
      </c>
      <c r="AC17" s="78" t="s">
        <v>43</v>
      </c>
      <c r="AD17" s="77">
        <f t="shared" si="7"/>
        <v>61.990459440501176</v>
      </c>
      <c r="AE17" s="11"/>
      <c r="AH17" s="20"/>
    </row>
    <row r="18" spans="1:34" ht="75" x14ac:dyDescent="0.2">
      <c r="A18" s="12"/>
      <c r="B18" s="13"/>
      <c r="C18" s="24" t="s">
        <v>53</v>
      </c>
      <c r="D18" s="21" t="s">
        <v>121</v>
      </c>
      <c r="E18" s="16">
        <v>57</v>
      </c>
      <c r="F18" s="22" t="s">
        <v>125</v>
      </c>
      <c r="G18" s="23">
        <f>K18*3</f>
        <v>6647432115</v>
      </c>
      <c r="H18" s="37">
        <v>19</v>
      </c>
      <c r="I18" s="23">
        <v>1926925771</v>
      </c>
      <c r="J18" s="37">
        <v>19</v>
      </c>
      <c r="K18" s="23">
        <v>2215810705</v>
      </c>
      <c r="L18" s="37">
        <v>19</v>
      </c>
      <c r="M18" s="23">
        <v>391435697</v>
      </c>
      <c r="N18" s="37">
        <v>19</v>
      </c>
      <c r="O18" s="23">
        <v>642756420</v>
      </c>
      <c r="P18" s="37">
        <v>19</v>
      </c>
      <c r="Q18" s="23">
        <f>1664420228-O18-M18</f>
        <v>630228111</v>
      </c>
      <c r="R18" s="37">
        <v>19</v>
      </c>
      <c r="S18" s="23">
        <f>2198834007-Q18-O18-M18</f>
        <v>534413779</v>
      </c>
      <c r="T18" s="45">
        <v>19</v>
      </c>
      <c r="U18" s="45">
        <f>T18/J18*100</f>
        <v>100</v>
      </c>
      <c r="V18" s="29" t="s">
        <v>43</v>
      </c>
      <c r="W18" s="34">
        <f>M18+O18+Q18+S18</f>
        <v>2198834007</v>
      </c>
      <c r="X18" s="44">
        <f>W18/K18*100</f>
        <v>99.233838072824014</v>
      </c>
      <c r="Y18" s="29" t="s">
        <v>43</v>
      </c>
      <c r="Z18" s="45">
        <f>H18+T18</f>
        <v>38</v>
      </c>
      <c r="AA18" s="34">
        <f t="shared" si="3"/>
        <v>4125759778</v>
      </c>
      <c r="AB18" s="76">
        <f t="shared" si="4"/>
        <v>66.666666666666657</v>
      </c>
      <c r="AC18" s="81" t="s">
        <v>43</v>
      </c>
      <c r="AD18" s="76">
        <f t="shared" si="7"/>
        <v>62.065466884425646</v>
      </c>
      <c r="AE18" s="25"/>
      <c r="AH18" s="20"/>
    </row>
    <row r="19" spans="1:34" ht="180" x14ac:dyDescent="0.2">
      <c r="A19" s="12"/>
      <c r="B19" s="13"/>
      <c r="C19" s="24" t="s">
        <v>54</v>
      </c>
      <c r="D19" s="24" t="s">
        <v>122</v>
      </c>
      <c r="E19" s="16">
        <v>3</v>
      </c>
      <c r="F19" s="22" t="s">
        <v>91</v>
      </c>
      <c r="G19" s="23">
        <f t="shared" ref="G19:G21" si="10">K19*3</f>
        <v>6000000</v>
      </c>
      <c r="H19" s="37">
        <v>1</v>
      </c>
      <c r="I19" s="18">
        <v>1092500</v>
      </c>
      <c r="J19" s="37">
        <v>1</v>
      </c>
      <c r="K19" s="18">
        <v>2000000</v>
      </c>
      <c r="L19" s="37">
        <v>1</v>
      </c>
      <c r="M19" s="18">
        <v>0</v>
      </c>
      <c r="N19" s="37">
        <v>1</v>
      </c>
      <c r="O19" s="18">
        <v>1462500</v>
      </c>
      <c r="P19" s="37">
        <v>1</v>
      </c>
      <c r="Q19" s="18">
        <v>0</v>
      </c>
      <c r="R19" s="37">
        <v>1</v>
      </c>
      <c r="S19" s="18">
        <v>0</v>
      </c>
      <c r="T19" s="45">
        <v>1</v>
      </c>
      <c r="U19" s="45">
        <f t="shared" si="8"/>
        <v>100</v>
      </c>
      <c r="V19" s="29" t="s">
        <v>43</v>
      </c>
      <c r="W19" s="34">
        <f t="shared" si="5"/>
        <v>1462500</v>
      </c>
      <c r="X19" s="44">
        <f t="shared" si="9"/>
        <v>73.125</v>
      </c>
      <c r="Y19" s="29" t="s">
        <v>43</v>
      </c>
      <c r="Z19" s="45">
        <f t="shared" si="6"/>
        <v>2</v>
      </c>
      <c r="AA19" s="34">
        <f t="shared" si="3"/>
        <v>2555000</v>
      </c>
      <c r="AB19" s="76">
        <f t="shared" si="4"/>
        <v>66.666666666666657</v>
      </c>
      <c r="AC19" s="81" t="s">
        <v>43</v>
      </c>
      <c r="AD19" s="76">
        <f t="shared" si="7"/>
        <v>42.583333333333336</v>
      </c>
      <c r="AE19" s="11"/>
      <c r="AH19" s="20"/>
    </row>
    <row r="20" spans="1:34" ht="210" x14ac:dyDescent="0.2">
      <c r="A20" s="12"/>
      <c r="B20" s="13"/>
      <c r="C20" s="24" t="s">
        <v>55</v>
      </c>
      <c r="D20" s="24" t="s">
        <v>123</v>
      </c>
      <c r="E20" s="37">
        <v>36</v>
      </c>
      <c r="F20" s="22" t="s">
        <v>91</v>
      </c>
      <c r="G20" s="23">
        <f t="shared" si="10"/>
        <v>4500000</v>
      </c>
      <c r="H20" s="37">
        <v>12</v>
      </c>
      <c r="I20" s="18">
        <v>0</v>
      </c>
      <c r="J20" s="37">
        <v>12</v>
      </c>
      <c r="K20" s="18">
        <v>1500000</v>
      </c>
      <c r="L20" s="37">
        <v>3</v>
      </c>
      <c r="M20" s="18">
        <v>0</v>
      </c>
      <c r="N20" s="37">
        <v>3</v>
      </c>
      <c r="O20" s="18">
        <v>0</v>
      </c>
      <c r="P20" s="37">
        <v>3</v>
      </c>
      <c r="Q20" s="18">
        <v>0</v>
      </c>
      <c r="R20" s="37">
        <v>3</v>
      </c>
      <c r="S20" s="18">
        <v>0</v>
      </c>
      <c r="T20" s="45">
        <f t="shared" si="2"/>
        <v>12</v>
      </c>
      <c r="U20" s="45">
        <f t="shared" si="8"/>
        <v>100</v>
      </c>
      <c r="V20" s="29" t="s">
        <v>43</v>
      </c>
      <c r="W20" s="34">
        <f t="shared" si="5"/>
        <v>0</v>
      </c>
      <c r="X20" s="44">
        <f t="shared" si="9"/>
        <v>0</v>
      </c>
      <c r="Y20" s="29"/>
      <c r="Z20" s="45">
        <f t="shared" si="6"/>
        <v>24</v>
      </c>
      <c r="AA20" s="34">
        <f t="shared" si="3"/>
        <v>0</v>
      </c>
      <c r="AB20" s="76">
        <f t="shared" si="4"/>
        <v>66.666666666666657</v>
      </c>
      <c r="AC20" s="81" t="s">
        <v>43</v>
      </c>
      <c r="AD20" s="76">
        <f t="shared" si="7"/>
        <v>0</v>
      </c>
      <c r="AE20" s="11"/>
      <c r="AH20" s="20"/>
    </row>
    <row r="21" spans="1:34" ht="105" x14ac:dyDescent="0.2">
      <c r="A21" s="12"/>
      <c r="B21" s="13"/>
      <c r="C21" s="24" t="s">
        <v>56</v>
      </c>
      <c r="D21" s="24" t="s">
        <v>124</v>
      </c>
      <c r="E21" s="16">
        <v>3</v>
      </c>
      <c r="F21" s="22" t="s">
        <v>42</v>
      </c>
      <c r="G21" s="23">
        <f t="shared" si="10"/>
        <v>4500000</v>
      </c>
      <c r="H21" s="37">
        <v>1</v>
      </c>
      <c r="I21" s="18">
        <v>1500000</v>
      </c>
      <c r="J21" s="37">
        <v>1</v>
      </c>
      <c r="K21" s="18">
        <v>1500000</v>
      </c>
      <c r="L21" s="37">
        <v>0</v>
      </c>
      <c r="M21" s="18">
        <v>0</v>
      </c>
      <c r="N21" s="37">
        <v>0</v>
      </c>
      <c r="O21" s="18">
        <v>0</v>
      </c>
      <c r="P21" s="37">
        <v>1</v>
      </c>
      <c r="Q21" s="18">
        <v>257500</v>
      </c>
      <c r="R21" s="37">
        <v>1</v>
      </c>
      <c r="S21" s="18">
        <v>0</v>
      </c>
      <c r="T21" s="45">
        <f t="shared" si="2"/>
        <v>2</v>
      </c>
      <c r="U21" s="45">
        <f t="shared" si="8"/>
        <v>200</v>
      </c>
      <c r="V21" s="29" t="s">
        <v>43</v>
      </c>
      <c r="W21" s="34">
        <f t="shared" si="5"/>
        <v>257500</v>
      </c>
      <c r="X21" s="44">
        <f t="shared" si="9"/>
        <v>17.166666666666668</v>
      </c>
      <c r="Y21" s="29" t="s">
        <v>43</v>
      </c>
      <c r="Z21" s="45">
        <f t="shared" si="6"/>
        <v>3</v>
      </c>
      <c r="AA21" s="34">
        <f t="shared" si="3"/>
        <v>1757500</v>
      </c>
      <c r="AB21" s="76">
        <f t="shared" si="4"/>
        <v>100</v>
      </c>
      <c r="AC21" s="81" t="s">
        <v>43</v>
      </c>
      <c r="AD21" s="76">
        <f t="shared" si="7"/>
        <v>39.055555555555557</v>
      </c>
      <c r="AE21" s="11"/>
      <c r="AH21" s="20"/>
    </row>
    <row r="22" spans="1:34" ht="78.75" x14ac:dyDescent="0.2">
      <c r="A22" s="12"/>
      <c r="B22" s="13" t="s">
        <v>158</v>
      </c>
      <c r="C22" s="15" t="s">
        <v>57</v>
      </c>
      <c r="D22" s="14" t="s">
        <v>171</v>
      </c>
      <c r="E22" s="38">
        <v>100</v>
      </c>
      <c r="F22" s="39" t="s">
        <v>43</v>
      </c>
      <c r="G22" s="35">
        <f>SUM(G23:G28)</f>
        <v>628610700</v>
      </c>
      <c r="H22" s="38">
        <v>100</v>
      </c>
      <c r="I22" s="35">
        <f>SUM(I23:I28)</f>
        <v>169319050</v>
      </c>
      <c r="J22" s="38">
        <v>100</v>
      </c>
      <c r="K22" s="35">
        <f>SUM(K23:K28)</f>
        <v>209536900</v>
      </c>
      <c r="L22" s="38">
        <v>25</v>
      </c>
      <c r="M22" s="35">
        <f>SUM(M23:M28)</f>
        <v>45495000</v>
      </c>
      <c r="N22" s="38">
        <v>25</v>
      </c>
      <c r="O22" s="35">
        <f>SUM(O23:O28)</f>
        <v>36790180</v>
      </c>
      <c r="P22" s="38">
        <v>25</v>
      </c>
      <c r="Q22" s="35">
        <f>SUM(Q23:Q28)</f>
        <v>31051000</v>
      </c>
      <c r="R22" s="38">
        <v>25</v>
      </c>
      <c r="S22" s="35">
        <f>SUM(S23:S28)</f>
        <v>71075454</v>
      </c>
      <c r="T22" s="57">
        <f t="shared" si="2"/>
        <v>100</v>
      </c>
      <c r="U22" s="57">
        <f t="shared" si="8"/>
        <v>100</v>
      </c>
      <c r="V22" s="56" t="s">
        <v>43</v>
      </c>
      <c r="W22" s="54">
        <f t="shared" si="5"/>
        <v>184411634</v>
      </c>
      <c r="X22" s="55">
        <f t="shared" si="9"/>
        <v>88.009144928649789</v>
      </c>
      <c r="Y22" s="56" t="s">
        <v>43</v>
      </c>
      <c r="Z22" s="57">
        <f t="shared" si="6"/>
        <v>200</v>
      </c>
      <c r="AA22" s="54">
        <f t="shared" si="3"/>
        <v>353730684</v>
      </c>
      <c r="AB22" s="77">
        <f>Z22/E22*100</f>
        <v>200</v>
      </c>
      <c r="AC22" s="78" t="s">
        <v>43</v>
      </c>
      <c r="AD22" s="77">
        <f t="shared" si="7"/>
        <v>56.271820381040285</v>
      </c>
      <c r="AE22" s="11"/>
      <c r="AH22" s="20"/>
    </row>
    <row r="23" spans="1:34" ht="120" x14ac:dyDescent="0.2">
      <c r="A23" s="12"/>
      <c r="B23" s="13"/>
      <c r="C23" s="21" t="s">
        <v>58</v>
      </c>
      <c r="D23" s="24" t="s">
        <v>126</v>
      </c>
      <c r="E23" s="16">
        <v>36</v>
      </c>
      <c r="F23" s="17" t="s">
        <v>111</v>
      </c>
      <c r="G23" s="18">
        <f>K23*3</f>
        <v>2700000</v>
      </c>
      <c r="H23" s="37">
        <v>12</v>
      </c>
      <c r="I23" s="18">
        <v>7500000</v>
      </c>
      <c r="J23" s="37">
        <v>12</v>
      </c>
      <c r="K23" s="18">
        <v>900000</v>
      </c>
      <c r="L23" s="37">
        <v>0</v>
      </c>
      <c r="M23" s="18">
        <v>0</v>
      </c>
      <c r="N23" s="37">
        <v>0</v>
      </c>
      <c r="O23" s="18">
        <v>0</v>
      </c>
      <c r="P23" s="37">
        <v>0</v>
      </c>
      <c r="Q23" s="18">
        <v>0</v>
      </c>
      <c r="R23" s="37">
        <v>12</v>
      </c>
      <c r="S23" s="18">
        <v>900000</v>
      </c>
      <c r="T23" s="45">
        <f t="shared" si="2"/>
        <v>12</v>
      </c>
      <c r="U23" s="45">
        <f t="shared" si="8"/>
        <v>100</v>
      </c>
      <c r="V23" s="29" t="s">
        <v>43</v>
      </c>
      <c r="W23" s="34">
        <f t="shared" si="5"/>
        <v>900000</v>
      </c>
      <c r="X23" s="44">
        <f t="shared" si="9"/>
        <v>100</v>
      </c>
      <c r="Y23" s="29" t="s">
        <v>43</v>
      </c>
      <c r="Z23" s="45">
        <f>H23+T23</f>
        <v>24</v>
      </c>
      <c r="AA23" s="34">
        <f>I23+W23</f>
        <v>8400000</v>
      </c>
      <c r="AB23" s="76">
        <f>Z23/E23*100</f>
        <v>66.666666666666657</v>
      </c>
      <c r="AC23" s="81" t="s">
        <v>43</v>
      </c>
      <c r="AD23" s="76">
        <f>AA23/G23*100</f>
        <v>311.11111111111114</v>
      </c>
      <c r="AE23" s="11"/>
      <c r="AH23" s="20"/>
    </row>
    <row r="24" spans="1:34" ht="78" customHeight="1" x14ac:dyDescent="0.2">
      <c r="A24" s="12"/>
      <c r="B24" s="13"/>
      <c r="C24" s="21" t="s">
        <v>59</v>
      </c>
      <c r="D24" s="24" t="s">
        <v>127</v>
      </c>
      <c r="E24" s="16">
        <v>36</v>
      </c>
      <c r="F24" s="17" t="s">
        <v>111</v>
      </c>
      <c r="G24" s="18">
        <f t="shared" ref="G24:G28" si="11">K24*3</f>
        <v>217910700</v>
      </c>
      <c r="H24" s="16">
        <v>12</v>
      </c>
      <c r="I24" s="18">
        <v>68767450</v>
      </c>
      <c r="J24" s="16">
        <v>12</v>
      </c>
      <c r="K24" s="18">
        <v>72636900</v>
      </c>
      <c r="L24" s="16">
        <v>3</v>
      </c>
      <c r="M24" s="18">
        <v>45495000</v>
      </c>
      <c r="N24" s="16">
        <v>3</v>
      </c>
      <c r="O24" s="18">
        <v>10598500</v>
      </c>
      <c r="P24" s="16">
        <v>3</v>
      </c>
      <c r="Q24" s="18">
        <f>57292500-M24-O24</f>
        <v>1199000</v>
      </c>
      <c r="R24" s="16">
        <v>3</v>
      </c>
      <c r="S24" s="18">
        <f>65622500-Q24-O24-M24</f>
        <v>8330000</v>
      </c>
      <c r="T24" s="45">
        <f t="shared" si="2"/>
        <v>12</v>
      </c>
      <c r="U24" s="45">
        <f t="shared" si="8"/>
        <v>100</v>
      </c>
      <c r="V24" s="29" t="s">
        <v>43</v>
      </c>
      <c r="W24" s="34">
        <f t="shared" si="5"/>
        <v>65622500</v>
      </c>
      <c r="X24" s="44">
        <f t="shared" si="9"/>
        <v>90.343200219172346</v>
      </c>
      <c r="Y24" s="29" t="s">
        <v>43</v>
      </c>
      <c r="Z24" s="45">
        <f t="shared" si="6"/>
        <v>24</v>
      </c>
      <c r="AA24" s="34">
        <f>I24+W24</f>
        <v>134389950</v>
      </c>
      <c r="AB24" s="76">
        <f t="shared" si="4"/>
        <v>66.666666666666657</v>
      </c>
      <c r="AC24" s="81" t="s">
        <v>43</v>
      </c>
      <c r="AD24" s="76">
        <f t="shared" si="7"/>
        <v>61.672028954980185</v>
      </c>
      <c r="AE24" s="11"/>
      <c r="AH24" s="20"/>
    </row>
    <row r="25" spans="1:34" ht="75" x14ac:dyDescent="0.2">
      <c r="A25" s="12"/>
      <c r="B25" s="13"/>
      <c r="C25" s="21" t="s">
        <v>60</v>
      </c>
      <c r="D25" s="21" t="s">
        <v>128</v>
      </c>
      <c r="E25" s="16">
        <v>36</v>
      </c>
      <c r="F25" s="17" t="s">
        <v>111</v>
      </c>
      <c r="G25" s="18">
        <f t="shared" si="11"/>
        <v>127410000</v>
      </c>
      <c r="H25" s="37">
        <v>12</v>
      </c>
      <c r="I25" s="18">
        <v>20525000</v>
      </c>
      <c r="J25" s="37">
        <v>12</v>
      </c>
      <c r="K25" s="18">
        <v>42470000</v>
      </c>
      <c r="L25" s="37">
        <v>3</v>
      </c>
      <c r="M25" s="18">
        <v>0</v>
      </c>
      <c r="N25" s="37">
        <v>3</v>
      </c>
      <c r="O25" s="18">
        <v>862500</v>
      </c>
      <c r="P25" s="37">
        <v>3</v>
      </c>
      <c r="Q25" s="18">
        <f>3900000-M25-O25</f>
        <v>3037500</v>
      </c>
      <c r="R25" s="37">
        <v>3</v>
      </c>
      <c r="S25" s="18">
        <f>29275000-Q25-O25-M25</f>
        <v>25375000</v>
      </c>
      <c r="T25" s="45">
        <f t="shared" si="2"/>
        <v>12</v>
      </c>
      <c r="U25" s="45">
        <f t="shared" si="8"/>
        <v>100</v>
      </c>
      <c r="V25" s="29" t="s">
        <v>43</v>
      </c>
      <c r="W25" s="34">
        <f t="shared" si="5"/>
        <v>29275000</v>
      </c>
      <c r="X25" s="44">
        <f t="shared" si="9"/>
        <v>68.931010124793971</v>
      </c>
      <c r="Y25" s="29" t="s">
        <v>43</v>
      </c>
      <c r="Z25" s="45">
        <f t="shared" si="6"/>
        <v>24</v>
      </c>
      <c r="AA25" s="34">
        <f t="shared" si="3"/>
        <v>49800000</v>
      </c>
      <c r="AB25" s="76">
        <f t="shared" si="4"/>
        <v>66.666666666666657</v>
      </c>
      <c r="AC25" s="81" t="s">
        <v>43</v>
      </c>
      <c r="AD25" s="76">
        <f t="shared" si="7"/>
        <v>39.086413939251237</v>
      </c>
      <c r="AE25" s="11"/>
      <c r="AH25" s="20"/>
    </row>
    <row r="26" spans="1:34" ht="90" x14ac:dyDescent="0.2">
      <c r="A26" s="12"/>
      <c r="B26" s="13"/>
      <c r="C26" s="21" t="s">
        <v>61</v>
      </c>
      <c r="D26" s="21" t="s">
        <v>129</v>
      </c>
      <c r="E26" s="16">
        <v>36</v>
      </c>
      <c r="F26" s="17" t="s">
        <v>111</v>
      </c>
      <c r="G26" s="18">
        <f t="shared" si="11"/>
        <v>37590000</v>
      </c>
      <c r="H26" s="16">
        <v>12</v>
      </c>
      <c r="I26" s="18">
        <v>8423500</v>
      </c>
      <c r="J26" s="16">
        <v>12</v>
      </c>
      <c r="K26" s="18">
        <v>12530000</v>
      </c>
      <c r="L26" s="16">
        <v>3</v>
      </c>
      <c r="M26" s="18">
        <v>0</v>
      </c>
      <c r="N26" s="16">
        <v>3</v>
      </c>
      <c r="O26" s="18">
        <v>2449250</v>
      </c>
      <c r="P26" s="16">
        <v>3</v>
      </c>
      <c r="Q26" s="18">
        <f>5311750-M26-O26</f>
        <v>2862500</v>
      </c>
      <c r="R26" s="16">
        <v>3</v>
      </c>
      <c r="S26" s="18">
        <f>7635650-Q26-O26-M26</f>
        <v>2323900</v>
      </c>
      <c r="T26" s="45">
        <f t="shared" si="2"/>
        <v>12</v>
      </c>
      <c r="U26" s="45">
        <f t="shared" si="8"/>
        <v>100</v>
      </c>
      <c r="V26" s="29" t="s">
        <v>43</v>
      </c>
      <c r="W26" s="34">
        <f t="shared" si="5"/>
        <v>7635650</v>
      </c>
      <c r="X26" s="44">
        <f t="shared" si="9"/>
        <v>60.938946528332004</v>
      </c>
      <c r="Y26" s="29" t="s">
        <v>43</v>
      </c>
      <c r="Z26" s="45">
        <f t="shared" si="6"/>
        <v>24</v>
      </c>
      <c r="AA26" s="34">
        <f t="shared" si="3"/>
        <v>16059150</v>
      </c>
      <c r="AB26" s="76">
        <f t="shared" si="4"/>
        <v>66.666666666666657</v>
      </c>
      <c r="AC26" s="81" t="s">
        <v>43</v>
      </c>
      <c r="AD26" s="76">
        <f t="shared" si="7"/>
        <v>42.721867517956902</v>
      </c>
      <c r="AE26" s="11"/>
      <c r="AH26" s="20"/>
    </row>
    <row r="27" spans="1:34" ht="135" x14ac:dyDescent="0.2">
      <c r="A27" s="12"/>
      <c r="B27" s="13"/>
      <c r="C27" s="21" t="s">
        <v>103</v>
      </c>
      <c r="D27" s="71" t="s">
        <v>131</v>
      </c>
      <c r="E27" s="16">
        <v>36</v>
      </c>
      <c r="F27" s="17" t="s">
        <v>42</v>
      </c>
      <c r="G27" s="18">
        <f t="shared" si="11"/>
        <v>0</v>
      </c>
      <c r="H27" s="16">
        <v>12</v>
      </c>
      <c r="I27" s="18">
        <v>400000</v>
      </c>
      <c r="J27" s="16">
        <v>12</v>
      </c>
      <c r="K27" s="18">
        <v>0</v>
      </c>
      <c r="L27" s="16">
        <v>3</v>
      </c>
      <c r="M27" s="18">
        <v>0</v>
      </c>
      <c r="N27" s="16">
        <v>3</v>
      </c>
      <c r="O27" s="18">
        <v>0</v>
      </c>
      <c r="P27" s="16">
        <v>3</v>
      </c>
      <c r="Q27" s="18">
        <v>0</v>
      </c>
      <c r="R27" s="16">
        <v>3</v>
      </c>
      <c r="S27" s="18">
        <v>0</v>
      </c>
      <c r="T27" s="45">
        <f t="shared" si="2"/>
        <v>12</v>
      </c>
      <c r="U27" s="45">
        <f t="shared" si="8"/>
        <v>100</v>
      </c>
      <c r="V27" s="29" t="s">
        <v>43</v>
      </c>
      <c r="W27" s="34">
        <f t="shared" si="5"/>
        <v>0</v>
      </c>
      <c r="X27" s="44" t="e">
        <f t="shared" si="9"/>
        <v>#DIV/0!</v>
      </c>
      <c r="Y27" s="29" t="s">
        <v>43</v>
      </c>
      <c r="Z27" s="45">
        <f t="shared" si="6"/>
        <v>24</v>
      </c>
      <c r="AA27" s="34">
        <f t="shared" si="3"/>
        <v>400000</v>
      </c>
      <c r="AB27" s="76">
        <f t="shared" si="4"/>
        <v>66.666666666666657</v>
      </c>
      <c r="AC27" s="81" t="s">
        <v>43</v>
      </c>
      <c r="AD27" s="76" t="e">
        <f t="shared" si="7"/>
        <v>#DIV/0!</v>
      </c>
      <c r="AE27" s="11"/>
      <c r="AH27" s="20"/>
    </row>
    <row r="28" spans="1:34" ht="105" x14ac:dyDescent="0.2">
      <c r="A28" s="12"/>
      <c r="B28" s="13"/>
      <c r="C28" s="21" t="s">
        <v>62</v>
      </c>
      <c r="D28" s="21" t="s">
        <v>130</v>
      </c>
      <c r="E28" s="16">
        <v>36</v>
      </c>
      <c r="F28" s="17" t="s">
        <v>91</v>
      </c>
      <c r="G28" s="18">
        <f t="shared" si="11"/>
        <v>243000000</v>
      </c>
      <c r="H28" s="16">
        <v>12</v>
      </c>
      <c r="I28" s="18">
        <v>63703100</v>
      </c>
      <c r="J28" s="16">
        <v>12</v>
      </c>
      <c r="K28" s="18">
        <v>81000000</v>
      </c>
      <c r="L28" s="16">
        <v>3</v>
      </c>
      <c r="M28" s="18">
        <v>0</v>
      </c>
      <c r="N28" s="16">
        <v>3</v>
      </c>
      <c r="O28" s="18">
        <v>22879930</v>
      </c>
      <c r="P28" s="16">
        <v>3</v>
      </c>
      <c r="Q28" s="18">
        <f>46831930-M28-O28</f>
        <v>23952000</v>
      </c>
      <c r="R28" s="16">
        <v>3</v>
      </c>
      <c r="S28" s="18">
        <f>80978484-Q28-O28-M28</f>
        <v>34146554</v>
      </c>
      <c r="T28" s="45">
        <f t="shared" si="2"/>
        <v>12</v>
      </c>
      <c r="U28" s="45">
        <f t="shared" si="8"/>
        <v>100</v>
      </c>
      <c r="V28" s="29" t="s">
        <v>43</v>
      </c>
      <c r="W28" s="34">
        <f t="shared" si="5"/>
        <v>80978484</v>
      </c>
      <c r="X28" s="44">
        <f t="shared" si="9"/>
        <v>99.973437037037044</v>
      </c>
      <c r="Y28" s="29" t="s">
        <v>43</v>
      </c>
      <c r="Z28" s="45">
        <f t="shared" si="6"/>
        <v>24</v>
      </c>
      <c r="AA28" s="34">
        <f t="shared" si="3"/>
        <v>144681584</v>
      </c>
      <c r="AB28" s="76">
        <f t="shared" si="4"/>
        <v>66.666666666666657</v>
      </c>
      <c r="AC28" s="81" t="s">
        <v>43</v>
      </c>
      <c r="AD28" s="76">
        <f t="shared" si="7"/>
        <v>59.539746502057611</v>
      </c>
      <c r="AE28" s="11"/>
      <c r="AH28" s="20"/>
    </row>
    <row r="29" spans="1:34" ht="97.5" customHeight="1" x14ac:dyDescent="0.2">
      <c r="A29" s="12"/>
      <c r="B29" s="13" t="s">
        <v>159</v>
      </c>
      <c r="C29" s="14" t="s">
        <v>104</v>
      </c>
      <c r="D29" s="14" t="s">
        <v>174</v>
      </c>
      <c r="E29" s="38">
        <v>100</v>
      </c>
      <c r="F29" s="39" t="s">
        <v>43</v>
      </c>
      <c r="G29" s="36">
        <f>SUM(G30)</f>
        <v>0</v>
      </c>
      <c r="H29" s="38">
        <v>100</v>
      </c>
      <c r="I29" s="36">
        <f>SUM(I30)</f>
        <v>1650000</v>
      </c>
      <c r="J29" s="38">
        <v>100</v>
      </c>
      <c r="K29" s="36">
        <f>SUM(K30)</f>
        <v>0</v>
      </c>
      <c r="L29" s="38">
        <v>25</v>
      </c>
      <c r="M29" s="36">
        <f>SUM(M30)</f>
        <v>0</v>
      </c>
      <c r="N29" s="38">
        <v>25</v>
      </c>
      <c r="O29" s="36">
        <f>SUM(O30)</f>
        <v>0</v>
      </c>
      <c r="P29" s="38">
        <v>25</v>
      </c>
      <c r="Q29" s="36">
        <f>SUM(Q30)</f>
        <v>0</v>
      </c>
      <c r="R29" s="38">
        <v>0</v>
      </c>
      <c r="S29" s="36">
        <v>0</v>
      </c>
      <c r="T29" s="57">
        <f t="shared" si="2"/>
        <v>75</v>
      </c>
      <c r="U29" s="57">
        <f t="shared" si="8"/>
        <v>75</v>
      </c>
      <c r="V29" s="56" t="s">
        <v>43</v>
      </c>
      <c r="W29" s="54">
        <f>M29+O29+Q29+S29</f>
        <v>0</v>
      </c>
      <c r="X29" s="55" t="e">
        <f>W29/K29*100</f>
        <v>#DIV/0!</v>
      </c>
      <c r="Y29" s="56" t="s">
        <v>43</v>
      </c>
      <c r="Z29" s="57">
        <f t="shared" si="6"/>
        <v>175</v>
      </c>
      <c r="AA29" s="54">
        <f t="shared" si="3"/>
        <v>1650000</v>
      </c>
      <c r="AB29" s="77">
        <f t="shared" si="4"/>
        <v>175</v>
      </c>
      <c r="AC29" s="78" t="s">
        <v>43</v>
      </c>
      <c r="AD29" s="77" t="e">
        <f t="shared" si="7"/>
        <v>#DIV/0!</v>
      </c>
      <c r="AE29" s="11"/>
      <c r="AH29" s="20"/>
    </row>
    <row r="30" spans="1:34" ht="120" x14ac:dyDescent="0.2">
      <c r="A30" s="12"/>
      <c r="B30" s="13"/>
      <c r="C30" s="21" t="s">
        <v>110</v>
      </c>
      <c r="D30" s="24" t="s">
        <v>132</v>
      </c>
      <c r="E30" s="16">
        <v>3</v>
      </c>
      <c r="F30" s="17" t="s">
        <v>133</v>
      </c>
      <c r="G30" s="18">
        <f>K30*3</f>
        <v>0</v>
      </c>
      <c r="H30" s="16">
        <v>1</v>
      </c>
      <c r="I30" s="18">
        <v>1650000</v>
      </c>
      <c r="J30" s="16">
        <v>1</v>
      </c>
      <c r="K30" s="18">
        <v>0</v>
      </c>
      <c r="L30" s="16">
        <v>0</v>
      </c>
      <c r="M30" s="18">
        <v>0</v>
      </c>
      <c r="N30" s="16">
        <v>0</v>
      </c>
      <c r="O30" s="18">
        <v>0</v>
      </c>
      <c r="P30" s="16">
        <v>0</v>
      </c>
      <c r="Q30" s="18">
        <v>0</v>
      </c>
      <c r="R30" s="16">
        <v>0</v>
      </c>
      <c r="S30" s="18">
        <v>0</v>
      </c>
      <c r="T30" s="45">
        <f t="shared" si="2"/>
        <v>0</v>
      </c>
      <c r="U30" s="45">
        <f t="shared" si="8"/>
        <v>0</v>
      </c>
      <c r="V30" s="29" t="s">
        <v>43</v>
      </c>
      <c r="W30" s="34">
        <f t="shared" si="5"/>
        <v>0</v>
      </c>
      <c r="X30" s="44" t="e">
        <f t="shared" si="9"/>
        <v>#DIV/0!</v>
      </c>
      <c r="Y30" s="29" t="s">
        <v>43</v>
      </c>
      <c r="Z30" s="45">
        <f t="shared" si="6"/>
        <v>1</v>
      </c>
      <c r="AA30" s="34">
        <f t="shared" si="3"/>
        <v>1650000</v>
      </c>
      <c r="AB30" s="76">
        <f t="shared" si="4"/>
        <v>33.333333333333329</v>
      </c>
      <c r="AC30" s="81" t="s">
        <v>43</v>
      </c>
      <c r="AD30" s="76" t="e">
        <f t="shared" si="7"/>
        <v>#DIV/0!</v>
      </c>
      <c r="AE30" s="11"/>
      <c r="AH30" s="20"/>
    </row>
    <row r="31" spans="1:34" ht="97.5" customHeight="1" x14ac:dyDescent="0.2">
      <c r="A31" s="12"/>
      <c r="B31" s="13" t="s">
        <v>160</v>
      </c>
      <c r="C31" s="14" t="s">
        <v>63</v>
      </c>
      <c r="D31" s="14" t="s">
        <v>173</v>
      </c>
      <c r="E31" s="38">
        <v>100</v>
      </c>
      <c r="F31" s="39" t="s">
        <v>43</v>
      </c>
      <c r="G31" s="36">
        <f>SUM(G32:G34)</f>
        <v>274499202</v>
      </c>
      <c r="H31" s="38">
        <v>100</v>
      </c>
      <c r="I31" s="36">
        <f>SUM(I32:I34)</f>
        <v>49841979</v>
      </c>
      <c r="J31" s="38">
        <v>100</v>
      </c>
      <c r="K31" s="36">
        <f>SUM(K32:K34)</f>
        <v>91499734</v>
      </c>
      <c r="L31" s="38">
        <v>25</v>
      </c>
      <c r="M31" s="36">
        <f>SUM(M32:M34)</f>
        <v>4000000</v>
      </c>
      <c r="N31" s="38">
        <v>25</v>
      </c>
      <c r="O31" s="36">
        <f>SUM(O32:O34)</f>
        <v>6220049</v>
      </c>
      <c r="P31" s="38">
        <v>25</v>
      </c>
      <c r="Q31" s="36">
        <f>SUM(Q32:Q34)</f>
        <v>23579931</v>
      </c>
      <c r="R31" s="38">
        <v>25</v>
      </c>
      <c r="S31" s="36">
        <f>SUM(S32:S34)</f>
        <v>21730168</v>
      </c>
      <c r="T31" s="57">
        <f t="shared" si="2"/>
        <v>100</v>
      </c>
      <c r="U31" s="57">
        <f t="shared" si="8"/>
        <v>100</v>
      </c>
      <c r="V31" s="56" t="s">
        <v>43</v>
      </c>
      <c r="W31" s="54">
        <f t="shared" si="5"/>
        <v>55530148</v>
      </c>
      <c r="X31" s="55">
        <f t="shared" si="9"/>
        <v>60.688862767622908</v>
      </c>
      <c r="Y31" s="56" t="s">
        <v>43</v>
      </c>
      <c r="Z31" s="57">
        <f t="shared" si="6"/>
        <v>200</v>
      </c>
      <c r="AA31" s="54">
        <f t="shared" si="3"/>
        <v>105372127</v>
      </c>
      <c r="AB31" s="77">
        <f t="shared" si="4"/>
        <v>200</v>
      </c>
      <c r="AC31" s="78" t="s">
        <v>43</v>
      </c>
      <c r="AD31" s="77">
        <f t="shared" si="7"/>
        <v>38.38704310695956</v>
      </c>
      <c r="AE31" s="11"/>
      <c r="AH31" s="20"/>
    </row>
    <row r="32" spans="1:34" ht="75" x14ac:dyDescent="0.2">
      <c r="A32" s="12"/>
      <c r="B32" s="13"/>
      <c r="C32" s="21" t="s">
        <v>64</v>
      </c>
      <c r="D32" s="24" t="s">
        <v>134</v>
      </c>
      <c r="E32" s="16">
        <v>36</v>
      </c>
      <c r="F32" s="17" t="s">
        <v>91</v>
      </c>
      <c r="G32" s="18">
        <f>K32*3</f>
        <v>1050000</v>
      </c>
      <c r="H32" s="16">
        <v>12</v>
      </c>
      <c r="I32" s="18">
        <v>0</v>
      </c>
      <c r="J32" s="16">
        <v>12</v>
      </c>
      <c r="K32" s="18">
        <v>350000</v>
      </c>
      <c r="L32" s="16">
        <v>0</v>
      </c>
      <c r="M32" s="18">
        <v>0</v>
      </c>
      <c r="N32" s="16">
        <v>0</v>
      </c>
      <c r="O32" s="18"/>
      <c r="P32" s="16">
        <v>0</v>
      </c>
      <c r="Q32" s="18"/>
      <c r="R32" s="16">
        <v>0</v>
      </c>
      <c r="S32" s="18">
        <v>0</v>
      </c>
      <c r="T32" s="45">
        <f t="shared" si="2"/>
        <v>0</v>
      </c>
      <c r="U32" s="45">
        <f t="shared" si="8"/>
        <v>0</v>
      </c>
      <c r="V32" s="29" t="s">
        <v>43</v>
      </c>
      <c r="W32" s="34">
        <f t="shared" si="5"/>
        <v>0</v>
      </c>
      <c r="X32" s="44">
        <f t="shared" si="9"/>
        <v>0</v>
      </c>
      <c r="Y32" s="29" t="s">
        <v>43</v>
      </c>
      <c r="Z32" s="45">
        <f t="shared" si="6"/>
        <v>12</v>
      </c>
      <c r="AA32" s="34">
        <f t="shared" si="3"/>
        <v>0</v>
      </c>
      <c r="AB32" s="76">
        <f t="shared" si="4"/>
        <v>33.333333333333329</v>
      </c>
      <c r="AC32" s="81" t="s">
        <v>43</v>
      </c>
      <c r="AD32" s="76">
        <f t="shared" si="7"/>
        <v>0</v>
      </c>
      <c r="AE32" s="11"/>
      <c r="AH32" s="20"/>
    </row>
    <row r="33" spans="1:34" ht="135" x14ac:dyDescent="0.2">
      <c r="A33" s="12"/>
      <c r="B33" s="13"/>
      <c r="C33" s="21" t="s">
        <v>65</v>
      </c>
      <c r="D33" s="24" t="s">
        <v>135</v>
      </c>
      <c r="E33" s="16">
        <v>36</v>
      </c>
      <c r="F33" s="17" t="s">
        <v>91</v>
      </c>
      <c r="G33" s="18">
        <f t="shared" ref="G33:G34" si="12">K33*3</f>
        <v>182324202</v>
      </c>
      <c r="H33" s="16">
        <v>12</v>
      </c>
      <c r="I33" s="18">
        <v>25341979</v>
      </c>
      <c r="J33" s="16">
        <v>12</v>
      </c>
      <c r="K33" s="18">
        <v>60774734</v>
      </c>
      <c r="L33" s="16">
        <v>3</v>
      </c>
      <c r="M33" s="18">
        <v>0</v>
      </c>
      <c r="N33" s="16">
        <v>3</v>
      </c>
      <c r="O33" s="18">
        <v>5970049</v>
      </c>
      <c r="P33" s="16">
        <v>3</v>
      </c>
      <c r="Q33" s="18">
        <f>17799980-M33-O33</f>
        <v>11829931</v>
      </c>
      <c r="R33" s="16">
        <v>3</v>
      </c>
      <c r="S33" s="18">
        <f>28280148-Q33-O33-M33</f>
        <v>10480168</v>
      </c>
      <c r="T33" s="45">
        <f t="shared" si="2"/>
        <v>12</v>
      </c>
      <c r="U33" s="45">
        <f t="shared" si="8"/>
        <v>100</v>
      </c>
      <c r="V33" s="29" t="s">
        <v>43</v>
      </c>
      <c r="W33" s="34">
        <f t="shared" si="5"/>
        <v>28280148</v>
      </c>
      <c r="X33" s="44">
        <f t="shared" si="9"/>
        <v>46.532738423832512</v>
      </c>
      <c r="Y33" s="29" t="s">
        <v>43</v>
      </c>
      <c r="Z33" s="45">
        <f t="shared" si="6"/>
        <v>24</v>
      </c>
      <c r="AA33" s="34">
        <f t="shared" si="3"/>
        <v>53622127</v>
      </c>
      <c r="AB33" s="76">
        <f t="shared" si="4"/>
        <v>66.666666666666657</v>
      </c>
      <c r="AC33" s="81" t="s">
        <v>43</v>
      </c>
      <c r="AD33" s="76">
        <f t="shared" si="7"/>
        <v>29.410317671375303</v>
      </c>
      <c r="AE33" s="11"/>
      <c r="AH33" s="20"/>
    </row>
    <row r="34" spans="1:34" ht="120" x14ac:dyDescent="0.2">
      <c r="A34" s="12"/>
      <c r="B34" s="13"/>
      <c r="C34" s="21" t="s">
        <v>66</v>
      </c>
      <c r="D34" s="24" t="s">
        <v>136</v>
      </c>
      <c r="E34" s="16">
        <v>36</v>
      </c>
      <c r="F34" s="17" t="s">
        <v>91</v>
      </c>
      <c r="G34" s="18">
        <f t="shared" si="12"/>
        <v>91125000</v>
      </c>
      <c r="H34" s="16">
        <v>12</v>
      </c>
      <c r="I34" s="18">
        <v>24500000</v>
      </c>
      <c r="J34" s="16">
        <v>12</v>
      </c>
      <c r="K34" s="18">
        <v>30375000</v>
      </c>
      <c r="L34" s="16">
        <v>3</v>
      </c>
      <c r="M34" s="18">
        <v>4000000</v>
      </c>
      <c r="N34" s="16">
        <v>3</v>
      </c>
      <c r="O34" s="18">
        <v>250000</v>
      </c>
      <c r="P34" s="16">
        <v>3</v>
      </c>
      <c r="Q34" s="18">
        <f>16000000-M34-O34</f>
        <v>11750000</v>
      </c>
      <c r="R34" s="16">
        <v>3</v>
      </c>
      <c r="S34" s="18">
        <f>27250000-Q34-O34-M34</f>
        <v>11250000</v>
      </c>
      <c r="T34" s="45">
        <f t="shared" si="2"/>
        <v>12</v>
      </c>
      <c r="U34" s="45">
        <f t="shared" si="8"/>
        <v>100</v>
      </c>
      <c r="V34" s="29" t="s">
        <v>43</v>
      </c>
      <c r="W34" s="34">
        <f t="shared" si="5"/>
        <v>27250000</v>
      </c>
      <c r="X34" s="44">
        <f t="shared" si="9"/>
        <v>89.711934156378604</v>
      </c>
      <c r="Y34" s="29" t="s">
        <v>43</v>
      </c>
      <c r="Z34" s="45">
        <f t="shared" si="6"/>
        <v>24</v>
      </c>
      <c r="AA34" s="34">
        <f t="shared" si="3"/>
        <v>51750000</v>
      </c>
      <c r="AB34" s="76">
        <f t="shared" si="4"/>
        <v>66.666666666666657</v>
      </c>
      <c r="AC34" s="81" t="s">
        <v>43</v>
      </c>
      <c r="AD34" s="76">
        <f t="shared" si="7"/>
        <v>56.79012345679012</v>
      </c>
      <c r="AE34" s="11"/>
      <c r="AH34" s="20"/>
    </row>
    <row r="35" spans="1:34" ht="97.5" customHeight="1" x14ac:dyDescent="0.2">
      <c r="A35" s="12"/>
      <c r="B35" s="13" t="s">
        <v>161</v>
      </c>
      <c r="C35" s="14" t="s">
        <v>67</v>
      </c>
      <c r="D35" s="14" t="s">
        <v>92</v>
      </c>
      <c r="E35" s="38">
        <v>100</v>
      </c>
      <c r="F35" s="39" t="s">
        <v>43</v>
      </c>
      <c r="G35" s="36">
        <f>SUM(G36:G39)</f>
        <v>434878800</v>
      </c>
      <c r="H35" s="38">
        <v>100</v>
      </c>
      <c r="I35" s="36">
        <f>SUM(I36:I39)</f>
        <v>468427600</v>
      </c>
      <c r="J35" s="38">
        <v>100</v>
      </c>
      <c r="K35" s="36">
        <f>SUM(K36:K39)</f>
        <v>144959600</v>
      </c>
      <c r="L35" s="38">
        <v>25</v>
      </c>
      <c r="M35" s="36">
        <f>SUM(M36:M39)</f>
        <v>9000000</v>
      </c>
      <c r="N35" s="38">
        <v>25</v>
      </c>
      <c r="O35" s="36">
        <f>SUM(O36:O39)</f>
        <v>3238000</v>
      </c>
      <c r="P35" s="38">
        <v>25</v>
      </c>
      <c r="Q35" s="36">
        <f>SUM(Q36:Q39)</f>
        <v>25515000</v>
      </c>
      <c r="R35" s="38">
        <v>25</v>
      </c>
      <c r="S35" s="36">
        <f>SUM(S36:S39)</f>
        <v>79895400</v>
      </c>
      <c r="T35" s="57">
        <f t="shared" si="2"/>
        <v>100</v>
      </c>
      <c r="U35" s="57">
        <f t="shared" si="8"/>
        <v>100</v>
      </c>
      <c r="V35" s="56" t="s">
        <v>43</v>
      </c>
      <c r="W35" s="54">
        <f>M35+O35+Q35+S35</f>
        <v>117648400</v>
      </c>
      <c r="X35" s="55">
        <f>W35/K35*100</f>
        <v>81.159440285431245</v>
      </c>
      <c r="Y35" s="56" t="s">
        <v>43</v>
      </c>
      <c r="Z35" s="57">
        <f t="shared" si="6"/>
        <v>200</v>
      </c>
      <c r="AA35" s="54">
        <f t="shared" si="3"/>
        <v>586076000</v>
      </c>
      <c r="AB35" s="77">
        <f t="shared" si="4"/>
        <v>200</v>
      </c>
      <c r="AC35" s="78" t="s">
        <v>43</v>
      </c>
      <c r="AD35" s="77">
        <f t="shared" si="7"/>
        <v>134.76766400201618</v>
      </c>
      <c r="AE35" s="11"/>
      <c r="AH35" s="20"/>
    </row>
    <row r="36" spans="1:34" ht="180" x14ac:dyDescent="0.2">
      <c r="A36" s="12"/>
      <c r="B36" s="13"/>
      <c r="C36" s="21" t="s">
        <v>68</v>
      </c>
      <c r="D36" s="24" t="s">
        <v>137</v>
      </c>
      <c r="E36" s="16">
        <v>12</v>
      </c>
      <c r="F36" s="17" t="s">
        <v>133</v>
      </c>
      <c r="G36" s="18">
        <f>K36*3</f>
        <v>150659400</v>
      </c>
      <c r="H36" s="16">
        <v>4</v>
      </c>
      <c r="I36" s="18">
        <v>33907600</v>
      </c>
      <c r="J36" s="16">
        <v>4</v>
      </c>
      <c r="K36" s="18">
        <v>50219800</v>
      </c>
      <c r="L36" s="16">
        <v>4</v>
      </c>
      <c r="M36" s="18">
        <v>4500000</v>
      </c>
      <c r="N36" s="16">
        <v>4</v>
      </c>
      <c r="O36" s="18">
        <v>3213000</v>
      </c>
      <c r="P36" s="16">
        <v>4</v>
      </c>
      <c r="Q36" s="18">
        <f>24313000-M36-O36</f>
        <v>16600000</v>
      </c>
      <c r="R36" s="16">
        <v>4</v>
      </c>
      <c r="S36" s="18">
        <f>40911200-Q36-O36-M36</f>
        <v>16598200</v>
      </c>
      <c r="T36" s="45">
        <v>4</v>
      </c>
      <c r="U36" s="45">
        <f t="shared" si="8"/>
        <v>100</v>
      </c>
      <c r="V36" s="29" t="s">
        <v>43</v>
      </c>
      <c r="W36" s="34">
        <f>M36+O36+Q36+S36</f>
        <v>40911200</v>
      </c>
      <c r="X36" s="44">
        <f>W36/K36*100</f>
        <v>81.464283011879786</v>
      </c>
      <c r="Y36" s="29" t="s">
        <v>43</v>
      </c>
      <c r="Z36" s="45">
        <f t="shared" si="6"/>
        <v>8</v>
      </c>
      <c r="AA36" s="34">
        <f t="shared" si="3"/>
        <v>74818800</v>
      </c>
      <c r="AB36" s="76">
        <f t="shared" si="4"/>
        <v>66.666666666666657</v>
      </c>
      <c r="AC36" s="81" t="s">
        <v>43</v>
      </c>
      <c r="AD36" s="76">
        <f t="shared" si="7"/>
        <v>49.660890724375648</v>
      </c>
      <c r="AE36" s="11"/>
      <c r="AH36" s="20"/>
    </row>
    <row r="37" spans="1:34" ht="105" x14ac:dyDescent="0.2">
      <c r="A37" s="12"/>
      <c r="B37" s="13"/>
      <c r="C37" s="21" t="s">
        <v>69</v>
      </c>
      <c r="D37" s="24" t="s">
        <v>138</v>
      </c>
      <c r="E37" s="16">
        <v>3</v>
      </c>
      <c r="F37" s="17" t="s">
        <v>133</v>
      </c>
      <c r="G37" s="18">
        <f t="shared" ref="G37:G39" si="13">K37*3</f>
        <v>58500000</v>
      </c>
      <c r="H37" s="16">
        <v>1</v>
      </c>
      <c r="I37" s="18">
        <v>430900000</v>
      </c>
      <c r="J37" s="16">
        <v>1</v>
      </c>
      <c r="K37" s="18">
        <v>19500000</v>
      </c>
      <c r="L37" s="16">
        <v>1</v>
      </c>
      <c r="M37" s="18">
        <v>4500000</v>
      </c>
      <c r="N37" s="16">
        <v>1</v>
      </c>
      <c r="O37" s="18">
        <v>0</v>
      </c>
      <c r="P37" s="16">
        <v>1</v>
      </c>
      <c r="Q37" s="18">
        <f>12000000-M37-O37</f>
        <v>7500000</v>
      </c>
      <c r="R37" s="16">
        <v>1</v>
      </c>
      <c r="S37" s="18">
        <f>18097200-Q37-O37-M37</f>
        <v>6097200</v>
      </c>
      <c r="T37" s="45">
        <v>1</v>
      </c>
      <c r="U37" s="45">
        <f>T37/J37*100</f>
        <v>100</v>
      </c>
      <c r="V37" s="29"/>
      <c r="W37" s="34">
        <f t="shared" si="5"/>
        <v>18097200</v>
      </c>
      <c r="X37" s="44">
        <f t="shared" si="9"/>
        <v>92.806153846153848</v>
      </c>
      <c r="Y37" s="29"/>
      <c r="Z37" s="45">
        <f t="shared" si="6"/>
        <v>2</v>
      </c>
      <c r="AA37" s="34">
        <f t="shared" si="3"/>
        <v>448997200</v>
      </c>
      <c r="AB37" s="76">
        <f t="shared" si="4"/>
        <v>66.666666666666657</v>
      </c>
      <c r="AC37" s="81" t="s">
        <v>43</v>
      </c>
      <c r="AD37" s="76">
        <f t="shared" si="7"/>
        <v>767.51658119658123</v>
      </c>
      <c r="AE37" s="11"/>
      <c r="AH37" s="20"/>
    </row>
    <row r="38" spans="1:34" ht="135" x14ac:dyDescent="0.2">
      <c r="A38" s="12"/>
      <c r="B38" s="13"/>
      <c r="C38" s="21" t="s">
        <v>70</v>
      </c>
      <c r="D38" s="71" t="s">
        <v>139</v>
      </c>
      <c r="E38" s="16">
        <f>27+27+38</f>
        <v>92</v>
      </c>
      <c r="F38" s="17" t="s">
        <v>133</v>
      </c>
      <c r="G38" s="18">
        <f t="shared" si="13"/>
        <v>135719400</v>
      </c>
      <c r="H38" s="16">
        <v>27</v>
      </c>
      <c r="I38" s="18">
        <v>3620000</v>
      </c>
      <c r="J38" s="16">
        <v>27</v>
      </c>
      <c r="K38" s="18">
        <v>45239800</v>
      </c>
      <c r="L38" s="16">
        <v>2</v>
      </c>
      <c r="M38" s="18">
        <v>0</v>
      </c>
      <c r="N38" s="16">
        <v>25</v>
      </c>
      <c r="O38" s="18">
        <v>25000</v>
      </c>
      <c r="P38" s="16">
        <v>0</v>
      </c>
      <c r="Q38" s="18">
        <f>1440000-M38-O38</f>
        <v>1415000</v>
      </c>
      <c r="R38" s="16">
        <v>0</v>
      </c>
      <c r="S38" s="18">
        <f>33790000-Q38-O38-M38</f>
        <v>32350000</v>
      </c>
      <c r="T38" s="45">
        <f>SUM(L38,N38,P38,R38)</f>
        <v>27</v>
      </c>
      <c r="U38" s="45">
        <f>T38/J38*100</f>
        <v>100</v>
      </c>
      <c r="V38" s="29"/>
      <c r="W38" s="34">
        <f t="shared" si="5"/>
        <v>33790000</v>
      </c>
      <c r="X38" s="44">
        <f t="shared" si="9"/>
        <v>74.690869544074019</v>
      </c>
      <c r="Y38" s="29"/>
      <c r="Z38" s="45">
        <f t="shared" si="6"/>
        <v>54</v>
      </c>
      <c r="AA38" s="34">
        <f t="shared" si="3"/>
        <v>37410000</v>
      </c>
      <c r="AB38" s="76">
        <f t="shared" si="4"/>
        <v>58.695652173913047</v>
      </c>
      <c r="AC38" s="81" t="s">
        <v>43</v>
      </c>
      <c r="AD38" s="76">
        <f t="shared" si="7"/>
        <v>27.564224421858629</v>
      </c>
      <c r="AE38" s="11"/>
      <c r="AH38" s="20"/>
    </row>
    <row r="39" spans="1:34" ht="150" x14ac:dyDescent="0.2">
      <c r="A39" s="12"/>
      <c r="B39" s="13"/>
      <c r="C39" s="21" t="s">
        <v>105</v>
      </c>
      <c r="D39" s="24" t="s">
        <v>140</v>
      </c>
      <c r="E39" s="16">
        <v>12</v>
      </c>
      <c r="F39" s="17" t="s">
        <v>133</v>
      </c>
      <c r="G39" s="18">
        <f t="shared" si="13"/>
        <v>90000000</v>
      </c>
      <c r="H39" s="16">
        <v>4</v>
      </c>
      <c r="I39" s="18">
        <v>0</v>
      </c>
      <c r="J39" s="16">
        <v>4</v>
      </c>
      <c r="K39" s="18">
        <v>30000000</v>
      </c>
      <c r="L39" s="16">
        <v>0</v>
      </c>
      <c r="M39" s="18">
        <v>0</v>
      </c>
      <c r="N39" s="16">
        <v>0</v>
      </c>
      <c r="O39" s="18">
        <v>0</v>
      </c>
      <c r="P39" s="16">
        <v>0</v>
      </c>
      <c r="Q39" s="18">
        <v>0</v>
      </c>
      <c r="R39" s="16">
        <v>4</v>
      </c>
      <c r="S39" s="18">
        <v>24850000</v>
      </c>
      <c r="T39" s="45">
        <f t="shared" si="2"/>
        <v>4</v>
      </c>
      <c r="U39" s="45">
        <f t="shared" si="8"/>
        <v>100</v>
      </c>
      <c r="V39" s="29"/>
      <c r="W39" s="34">
        <f t="shared" si="5"/>
        <v>24850000</v>
      </c>
      <c r="X39" s="44">
        <f t="shared" si="9"/>
        <v>82.833333333333343</v>
      </c>
      <c r="Y39" s="29"/>
      <c r="Z39" s="45">
        <f t="shared" si="6"/>
        <v>8</v>
      </c>
      <c r="AA39" s="34">
        <f t="shared" si="3"/>
        <v>24850000</v>
      </c>
      <c r="AB39" s="76">
        <f t="shared" si="4"/>
        <v>66.666666666666657</v>
      </c>
      <c r="AC39" s="81" t="s">
        <v>43</v>
      </c>
      <c r="AD39" s="76">
        <f t="shared" si="7"/>
        <v>27.611111111111107</v>
      </c>
      <c r="AE39" s="11"/>
      <c r="AH39" s="20"/>
    </row>
    <row r="40" spans="1:34" ht="126" x14ac:dyDescent="0.2">
      <c r="A40" s="12"/>
      <c r="B40" s="13" t="s">
        <v>162</v>
      </c>
      <c r="C40" s="14" t="s">
        <v>71</v>
      </c>
      <c r="D40" s="15" t="s">
        <v>93</v>
      </c>
      <c r="E40" s="43">
        <v>100</v>
      </c>
      <c r="F40" s="39" t="s">
        <v>43</v>
      </c>
      <c r="G40" s="36">
        <f>SUM(G41,G43)</f>
        <v>4920000</v>
      </c>
      <c r="H40" s="43">
        <v>100</v>
      </c>
      <c r="I40" s="36">
        <f>SUM(I41,I43)</f>
        <v>5500000</v>
      </c>
      <c r="J40" s="43">
        <v>100</v>
      </c>
      <c r="K40" s="36">
        <f>SUM(K41,K43)</f>
        <v>1640000</v>
      </c>
      <c r="L40" s="43">
        <v>25</v>
      </c>
      <c r="M40" s="36">
        <f>M43</f>
        <v>0</v>
      </c>
      <c r="N40" s="43">
        <v>25</v>
      </c>
      <c r="O40" s="36">
        <f>O43</f>
        <v>0</v>
      </c>
      <c r="P40" s="43">
        <v>25</v>
      </c>
      <c r="Q40" s="36">
        <f>Q43</f>
        <v>0</v>
      </c>
      <c r="R40" s="43">
        <v>25</v>
      </c>
      <c r="S40" s="36">
        <f>S43</f>
        <v>0</v>
      </c>
      <c r="T40" s="57">
        <f t="shared" si="2"/>
        <v>100</v>
      </c>
      <c r="U40" s="57">
        <f t="shared" si="8"/>
        <v>100</v>
      </c>
      <c r="V40" s="56" t="s">
        <v>43</v>
      </c>
      <c r="W40" s="54">
        <f t="shared" si="5"/>
        <v>0</v>
      </c>
      <c r="X40" s="55">
        <f t="shared" si="9"/>
        <v>0</v>
      </c>
      <c r="Y40" s="56" t="s">
        <v>43</v>
      </c>
      <c r="Z40" s="57">
        <f t="shared" si="6"/>
        <v>200</v>
      </c>
      <c r="AA40" s="54">
        <f t="shared" si="3"/>
        <v>5500000</v>
      </c>
      <c r="AB40" s="77">
        <f t="shared" si="4"/>
        <v>200</v>
      </c>
      <c r="AC40" s="78" t="s">
        <v>43</v>
      </c>
      <c r="AD40" s="77">
        <f t="shared" si="7"/>
        <v>111.78861788617887</v>
      </c>
      <c r="AE40" s="11"/>
      <c r="AH40" s="20"/>
    </row>
    <row r="41" spans="1:34" ht="207.75" customHeight="1" x14ac:dyDescent="0.2">
      <c r="A41" s="12"/>
      <c r="B41" s="13"/>
      <c r="C41" s="14" t="s">
        <v>119</v>
      </c>
      <c r="D41" s="15" t="s">
        <v>94</v>
      </c>
      <c r="E41" s="43">
        <v>100</v>
      </c>
      <c r="F41" s="39" t="s">
        <v>43</v>
      </c>
      <c r="G41" s="36">
        <f>SUM(G42)</f>
        <v>4920000</v>
      </c>
      <c r="H41" s="43">
        <v>100</v>
      </c>
      <c r="I41" s="36">
        <f>SUM(I42)</f>
        <v>0</v>
      </c>
      <c r="J41" s="43">
        <v>100</v>
      </c>
      <c r="K41" s="36">
        <f>SUM(K42)</f>
        <v>1640000</v>
      </c>
      <c r="L41" s="43">
        <v>25</v>
      </c>
      <c r="M41" s="36">
        <f>SUM(M42)</f>
        <v>0</v>
      </c>
      <c r="N41" s="43">
        <v>25</v>
      </c>
      <c r="O41" s="36">
        <f>SUM(O42)</f>
        <v>300000</v>
      </c>
      <c r="P41" s="43">
        <v>25</v>
      </c>
      <c r="Q41" s="36">
        <f>SUM(Q42)</f>
        <v>0</v>
      </c>
      <c r="R41" s="43">
        <v>25</v>
      </c>
      <c r="S41" s="36">
        <f>SUM(S42)</f>
        <v>0</v>
      </c>
      <c r="T41" s="57">
        <f t="shared" si="2"/>
        <v>100</v>
      </c>
      <c r="U41" s="57">
        <f t="shared" si="8"/>
        <v>100</v>
      </c>
      <c r="V41" s="56" t="s">
        <v>43</v>
      </c>
      <c r="W41" s="54">
        <f t="shared" si="5"/>
        <v>300000</v>
      </c>
      <c r="X41" s="55">
        <f t="shared" si="9"/>
        <v>18.292682926829269</v>
      </c>
      <c r="Y41" s="56" t="s">
        <v>43</v>
      </c>
      <c r="Z41" s="57">
        <f t="shared" si="6"/>
        <v>200</v>
      </c>
      <c r="AA41" s="54">
        <f t="shared" si="3"/>
        <v>300000</v>
      </c>
      <c r="AB41" s="77">
        <f t="shared" si="4"/>
        <v>200</v>
      </c>
      <c r="AC41" s="78" t="s">
        <v>43</v>
      </c>
      <c r="AD41" s="77">
        <f t="shared" si="7"/>
        <v>6.0975609756097562</v>
      </c>
      <c r="AE41" s="11"/>
      <c r="AH41" s="20"/>
    </row>
    <row r="42" spans="1:34" ht="150" x14ac:dyDescent="0.2">
      <c r="A42" s="12"/>
      <c r="B42" s="13"/>
      <c r="C42" s="21" t="s">
        <v>120</v>
      </c>
      <c r="D42" s="24" t="s">
        <v>141</v>
      </c>
      <c r="E42" s="16">
        <v>36</v>
      </c>
      <c r="F42" s="17" t="s">
        <v>91</v>
      </c>
      <c r="G42" s="18">
        <f>K42*3</f>
        <v>4920000</v>
      </c>
      <c r="H42" s="16">
        <v>12</v>
      </c>
      <c r="I42" s="18"/>
      <c r="J42" s="16">
        <v>12</v>
      </c>
      <c r="K42" s="18">
        <v>1640000</v>
      </c>
      <c r="L42" s="16">
        <v>3</v>
      </c>
      <c r="M42" s="18">
        <v>0</v>
      </c>
      <c r="N42" s="16">
        <v>3</v>
      </c>
      <c r="O42" s="18">
        <v>300000</v>
      </c>
      <c r="P42" s="16">
        <v>3</v>
      </c>
      <c r="Q42" s="18">
        <v>0</v>
      </c>
      <c r="R42" s="16">
        <v>3</v>
      </c>
      <c r="S42" s="18">
        <v>0</v>
      </c>
      <c r="T42" s="45">
        <f t="shared" si="2"/>
        <v>12</v>
      </c>
      <c r="U42" s="45">
        <f t="shared" si="8"/>
        <v>100</v>
      </c>
      <c r="V42" s="29" t="s">
        <v>43</v>
      </c>
      <c r="W42" s="34">
        <f t="shared" si="5"/>
        <v>300000</v>
      </c>
      <c r="X42" s="44">
        <f t="shared" si="9"/>
        <v>18.292682926829269</v>
      </c>
      <c r="Y42" s="29" t="s">
        <v>43</v>
      </c>
      <c r="Z42" s="45">
        <f t="shared" si="6"/>
        <v>24</v>
      </c>
      <c r="AA42" s="34">
        <f t="shared" si="3"/>
        <v>300000</v>
      </c>
      <c r="AB42" s="76">
        <f t="shared" si="4"/>
        <v>66.666666666666657</v>
      </c>
      <c r="AC42" s="81" t="s">
        <v>43</v>
      </c>
      <c r="AD42" s="76">
        <f t="shared" si="7"/>
        <v>6.0975609756097562</v>
      </c>
      <c r="AE42" s="11"/>
      <c r="AH42" s="20"/>
    </row>
    <row r="43" spans="1:34" ht="146.25" customHeight="1" x14ac:dyDescent="0.2">
      <c r="A43" s="12"/>
      <c r="B43" s="13" t="s">
        <v>163</v>
      </c>
      <c r="C43" s="67" t="s">
        <v>72</v>
      </c>
      <c r="D43" s="68" t="s">
        <v>94</v>
      </c>
      <c r="E43" s="43">
        <v>100</v>
      </c>
      <c r="F43" s="39" t="s">
        <v>43</v>
      </c>
      <c r="G43" s="36">
        <f>SUM(G44)</f>
        <v>0</v>
      </c>
      <c r="H43" s="43">
        <v>100</v>
      </c>
      <c r="I43" s="36">
        <f>SUM(I44)</f>
        <v>5500000</v>
      </c>
      <c r="J43" s="43"/>
      <c r="K43" s="36"/>
      <c r="L43" s="43"/>
      <c r="M43" s="36"/>
      <c r="N43" s="43"/>
      <c r="O43" s="36"/>
      <c r="P43" s="43"/>
      <c r="Q43" s="36"/>
      <c r="R43" s="43"/>
      <c r="S43" s="36"/>
      <c r="T43" s="57"/>
      <c r="U43" s="57"/>
      <c r="V43" s="56"/>
      <c r="W43" s="54"/>
      <c r="X43" s="55"/>
      <c r="Y43" s="56"/>
      <c r="Z43" s="57">
        <f t="shared" si="6"/>
        <v>100</v>
      </c>
      <c r="AA43" s="54">
        <f t="shared" si="3"/>
        <v>5500000</v>
      </c>
      <c r="AB43" s="77">
        <f t="shared" si="4"/>
        <v>100</v>
      </c>
      <c r="AC43" s="78" t="s">
        <v>43</v>
      </c>
      <c r="AD43" s="77" t="e">
        <f>AA43/G43*100</f>
        <v>#DIV/0!</v>
      </c>
      <c r="AE43" s="11"/>
      <c r="AH43" s="20"/>
    </row>
    <row r="44" spans="1:34" ht="120" x14ac:dyDescent="0.2">
      <c r="A44" s="12"/>
      <c r="B44" s="13"/>
      <c r="C44" s="69" t="s">
        <v>73</v>
      </c>
      <c r="D44" s="70" t="s">
        <v>142</v>
      </c>
      <c r="E44" s="16">
        <v>0</v>
      </c>
      <c r="F44" s="17">
        <v>0</v>
      </c>
      <c r="G44" s="18">
        <v>0</v>
      </c>
      <c r="H44" s="16">
        <v>100</v>
      </c>
      <c r="I44" s="18">
        <v>5500000</v>
      </c>
      <c r="J44" s="16"/>
      <c r="K44" s="18"/>
      <c r="L44" s="16"/>
      <c r="M44" s="18"/>
      <c r="N44" s="16"/>
      <c r="O44" s="18"/>
      <c r="P44" s="16"/>
      <c r="Q44" s="18"/>
      <c r="R44" s="16"/>
      <c r="S44" s="18"/>
      <c r="T44" s="45"/>
      <c r="U44" s="45"/>
      <c r="V44" s="29"/>
      <c r="W44" s="34"/>
      <c r="X44" s="44"/>
      <c r="Y44" s="29"/>
      <c r="Z44" s="45">
        <f t="shared" si="6"/>
        <v>100</v>
      </c>
      <c r="AA44" s="34">
        <f t="shared" si="3"/>
        <v>5500000</v>
      </c>
      <c r="AB44" s="76" t="e">
        <f t="shared" si="4"/>
        <v>#DIV/0!</v>
      </c>
      <c r="AC44" s="81" t="s">
        <v>43</v>
      </c>
      <c r="AD44" s="76" t="e">
        <f t="shared" si="7"/>
        <v>#DIV/0!</v>
      </c>
      <c r="AE44" s="11"/>
      <c r="AH44" s="20"/>
    </row>
    <row r="45" spans="1:34" ht="165.75" customHeight="1" x14ac:dyDescent="0.2">
      <c r="A45" s="12"/>
      <c r="B45" s="13" t="s">
        <v>164</v>
      </c>
      <c r="C45" s="14" t="s">
        <v>74</v>
      </c>
      <c r="D45" s="15" t="s">
        <v>95</v>
      </c>
      <c r="E45" s="43">
        <v>100</v>
      </c>
      <c r="F45" s="39" t="s">
        <v>43</v>
      </c>
      <c r="G45" s="36">
        <f>G46</f>
        <v>200081400</v>
      </c>
      <c r="H45" s="43">
        <v>100</v>
      </c>
      <c r="I45" s="36">
        <f>I46</f>
        <v>46422900</v>
      </c>
      <c r="J45" s="43">
        <v>100</v>
      </c>
      <c r="K45" s="36">
        <f>K46</f>
        <v>66693800</v>
      </c>
      <c r="L45" s="43">
        <v>25</v>
      </c>
      <c r="M45" s="36">
        <f>M46</f>
        <v>0</v>
      </c>
      <c r="N45" s="43">
        <v>25</v>
      </c>
      <c r="O45" s="36">
        <f>O46</f>
        <v>21531300</v>
      </c>
      <c r="P45" s="43">
        <v>25</v>
      </c>
      <c r="Q45" s="36">
        <f>Q46</f>
        <v>6575000</v>
      </c>
      <c r="R45" s="43">
        <v>25</v>
      </c>
      <c r="S45" s="36">
        <f>S46</f>
        <v>14037900</v>
      </c>
      <c r="T45" s="57">
        <f t="shared" ref="T45:T62" si="14">SUM(L45,N45,P45,R45)</f>
        <v>100</v>
      </c>
      <c r="U45" s="57">
        <f t="shared" ref="U45:U62" si="15">T45/J45*100</f>
        <v>100</v>
      </c>
      <c r="V45" s="56" t="s">
        <v>43</v>
      </c>
      <c r="W45" s="54">
        <f t="shared" ref="W45:W62" si="16">M45+O45+Q45+S45</f>
        <v>42144200</v>
      </c>
      <c r="X45" s="55">
        <f t="shared" ref="X45:X61" si="17">W45/K45*100</f>
        <v>63.19058143335662</v>
      </c>
      <c r="Y45" s="56" t="s">
        <v>43</v>
      </c>
      <c r="Z45" s="57">
        <f t="shared" ref="Z45:Z62" si="18">H45+T45</f>
        <v>200</v>
      </c>
      <c r="AA45" s="54">
        <f t="shared" ref="AA45:AA62" si="19">I45+W45</f>
        <v>88567100</v>
      </c>
      <c r="AB45" s="77">
        <f t="shared" ref="AB45:AB62" si="20">Z45/E45*100</f>
        <v>200</v>
      </c>
      <c r="AC45" s="78" t="s">
        <v>43</v>
      </c>
      <c r="AD45" s="77">
        <f t="shared" si="7"/>
        <v>44.265533927691429</v>
      </c>
      <c r="AE45" s="11"/>
      <c r="AH45" s="20"/>
    </row>
    <row r="46" spans="1:34" ht="157.5" x14ac:dyDescent="0.2">
      <c r="A46" s="12"/>
      <c r="B46" s="13" t="s">
        <v>165</v>
      </c>
      <c r="C46" s="14" t="s">
        <v>75</v>
      </c>
      <c r="D46" s="15" t="s">
        <v>96</v>
      </c>
      <c r="E46" s="43">
        <v>100</v>
      </c>
      <c r="F46" s="39" t="s">
        <v>43</v>
      </c>
      <c r="G46" s="36">
        <f>SUM(G47:G49)</f>
        <v>200081400</v>
      </c>
      <c r="H46" s="43">
        <v>100</v>
      </c>
      <c r="I46" s="36">
        <f>SUM(I47:I49)</f>
        <v>46422900</v>
      </c>
      <c r="J46" s="43">
        <v>100</v>
      </c>
      <c r="K46" s="36">
        <f>SUM(K47:K49)</f>
        <v>66693800</v>
      </c>
      <c r="L46" s="43">
        <v>25</v>
      </c>
      <c r="M46" s="36">
        <f>SUM(M47:M49)</f>
        <v>0</v>
      </c>
      <c r="N46" s="43">
        <v>25</v>
      </c>
      <c r="O46" s="36">
        <f>SUM(O47:O49)</f>
        <v>21531300</v>
      </c>
      <c r="P46" s="43">
        <v>25</v>
      </c>
      <c r="Q46" s="36">
        <f>SUM(Q47:Q49)</f>
        <v>6575000</v>
      </c>
      <c r="R46" s="43">
        <v>25</v>
      </c>
      <c r="S46" s="36">
        <f>SUM(S47:S49)</f>
        <v>14037900</v>
      </c>
      <c r="T46" s="57">
        <f t="shared" si="14"/>
        <v>100</v>
      </c>
      <c r="U46" s="57">
        <f>T46/J46*100</f>
        <v>100</v>
      </c>
      <c r="V46" s="56" t="s">
        <v>43</v>
      </c>
      <c r="W46" s="54">
        <f t="shared" si="16"/>
        <v>42144200</v>
      </c>
      <c r="X46" s="55">
        <f t="shared" si="17"/>
        <v>63.19058143335662</v>
      </c>
      <c r="Y46" s="56" t="s">
        <v>43</v>
      </c>
      <c r="Z46" s="57">
        <f t="shared" si="18"/>
        <v>200</v>
      </c>
      <c r="AA46" s="54">
        <f t="shared" si="19"/>
        <v>88567100</v>
      </c>
      <c r="AB46" s="77">
        <f t="shared" si="20"/>
        <v>200</v>
      </c>
      <c r="AC46" s="78" t="s">
        <v>43</v>
      </c>
      <c r="AD46" s="77">
        <f t="shared" si="7"/>
        <v>44.265533927691429</v>
      </c>
      <c r="AE46" s="11"/>
      <c r="AH46" s="20"/>
    </row>
    <row r="47" spans="1:34" ht="150" x14ac:dyDescent="0.2">
      <c r="A47" s="12"/>
      <c r="B47" s="13"/>
      <c r="C47" s="21" t="s">
        <v>76</v>
      </c>
      <c r="D47" s="24" t="s">
        <v>143</v>
      </c>
      <c r="E47" s="16">
        <v>18</v>
      </c>
      <c r="F47" s="72" t="s">
        <v>144</v>
      </c>
      <c r="G47" s="18">
        <f>K47*3</f>
        <v>65162850</v>
      </c>
      <c r="H47" s="16">
        <v>6</v>
      </c>
      <c r="I47" s="18">
        <v>23622500</v>
      </c>
      <c r="J47" s="16">
        <v>6</v>
      </c>
      <c r="K47" s="18">
        <v>21720950</v>
      </c>
      <c r="L47" s="16">
        <v>6</v>
      </c>
      <c r="M47" s="18">
        <v>0</v>
      </c>
      <c r="N47" s="16">
        <v>6</v>
      </c>
      <c r="O47" s="18">
        <v>12372500</v>
      </c>
      <c r="P47" s="16">
        <v>6</v>
      </c>
      <c r="Q47" s="18">
        <v>0</v>
      </c>
      <c r="R47" s="16">
        <v>6</v>
      </c>
      <c r="S47" s="18">
        <v>0</v>
      </c>
      <c r="T47" s="45">
        <v>6</v>
      </c>
      <c r="U47" s="45">
        <f>T47/J47*100</f>
        <v>100</v>
      </c>
      <c r="V47" s="29" t="s">
        <v>43</v>
      </c>
      <c r="W47" s="34">
        <f t="shared" si="16"/>
        <v>12372500</v>
      </c>
      <c r="X47" s="44">
        <f t="shared" si="17"/>
        <v>56.961136598537351</v>
      </c>
      <c r="Y47" s="29" t="s">
        <v>43</v>
      </c>
      <c r="Z47" s="45">
        <f t="shared" si="18"/>
        <v>12</v>
      </c>
      <c r="AA47" s="34">
        <f t="shared" si="19"/>
        <v>35995000</v>
      </c>
      <c r="AB47" s="76">
        <f t="shared" si="20"/>
        <v>66.666666666666657</v>
      </c>
      <c r="AC47" s="81" t="s">
        <v>43</v>
      </c>
      <c r="AD47" s="76">
        <f t="shared" si="7"/>
        <v>55.238529315399795</v>
      </c>
      <c r="AE47" s="11"/>
      <c r="AH47" s="20"/>
    </row>
    <row r="48" spans="1:34" ht="218.25" customHeight="1" x14ac:dyDescent="0.2">
      <c r="A48" s="12"/>
      <c r="B48" s="13"/>
      <c r="C48" s="21" t="s">
        <v>77</v>
      </c>
      <c r="D48" s="24" t="s">
        <v>145</v>
      </c>
      <c r="E48" s="42">
        <v>36</v>
      </c>
      <c r="F48" s="17" t="s">
        <v>42</v>
      </c>
      <c r="G48" s="18">
        <f t="shared" ref="G48:G49" si="21">K48*3</f>
        <v>134918550</v>
      </c>
      <c r="H48" s="42">
        <v>12</v>
      </c>
      <c r="I48" s="18">
        <v>22800400</v>
      </c>
      <c r="J48" s="42">
        <v>12</v>
      </c>
      <c r="K48" s="18">
        <v>44972850</v>
      </c>
      <c r="L48" s="42">
        <v>3</v>
      </c>
      <c r="M48" s="18">
        <v>0</v>
      </c>
      <c r="N48" s="42">
        <v>3</v>
      </c>
      <c r="O48" s="18">
        <v>9158800</v>
      </c>
      <c r="P48" s="42">
        <v>3</v>
      </c>
      <c r="Q48" s="18">
        <f>15733800-M48-O48</f>
        <v>6575000</v>
      </c>
      <c r="R48" s="42">
        <v>3</v>
      </c>
      <c r="S48" s="18">
        <f>29771700-Q48-O48-M48</f>
        <v>14037900</v>
      </c>
      <c r="T48" s="45">
        <f t="shared" si="14"/>
        <v>12</v>
      </c>
      <c r="U48" s="45">
        <f>T48/J48*100</f>
        <v>100</v>
      </c>
      <c r="V48" s="29" t="s">
        <v>43</v>
      </c>
      <c r="W48" s="34">
        <f t="shared" si="16"/>
        <v>29771700</v>
      </c>
      <c r="X48" s="44">
        <f t="shared" si="17"/>
        <v>66.199273561715572</v>
      </c>
      <c r="Y48" s="29" t="s">
        <v>43</v>
      </c>
      <c r="Z48" s="45">
        <f t="shared" si="18"/>
        <v>24</v>
      </c>
      <c r="AA48" s="34">
        <f t="shared" si="19"/>
        <v>52572100</v>
      </c>
      <c r="AB48" s="76">
        <f t="shared" si="20"/>
        <v>66.666666666666657</v>
      </c>
      <c r="AC48" s="81" t="s">
        <v>43</v>
      </c>
      <c r="AD48" s="76">
        <f t="shared" si="7"/>
        <v>38.965805665714612</v>
      </c>
      <c r="AE48" s="11"/>
      <c r="AH48" s="20"/>
    </row>
    <row r="49" spans="1:34" ht="135" x14ac:dyDescent="0.2">
      <c r="A49" s="12"/>
      <c r="B49" s="13"/>
      <c r="C49" s="21" t="s">
        <v>78</v>
      </c>
      <c r="D49" s="24" t="s">
        <v>146</v>
      </c>
      <c r="E49" s="41">
        <v>36</v>
      </c>
      <c r="F49" s="17" t="s">
        <v>91</v>
      </c>
      <c r="G49" s="18">
        <f t="shared" si="21"/>
        <v>0</v>
      </c>
      <c r="H49" s="41">
        <v>12</v>
      </c>
      <c r="I49" s="18">
        <v>0</v>
      </c>
      <c r="J49" s="41">
        <v>12</v>
      </c>
      <c r="K49" s="18">
        <v>0</v>
      </c>
      <c r="L49" s="41">
        <v>3</v>
      </c>
      <c r="M49" s="18">
        <v>0</v>
      </c>
      <c r="N49" s="41">
        <v>3</v>
      </c>
      <c r="O49" s="18">
        <v>0</v>
      </c>
      <c r="P49" s="41">
        <v>3</v>
      </c>
      <c r="Q49" s="18">
        <v>0</v>
      </c>
      <c r="R49" s="41">
        <v>0</v>
      </c>
      <c r="S49" s="18">
        <v>0</v>
      </c>
      <c r="T49" s="45">
        <f t="shared" si="14"/>
        <v>9</v>
      </c>
      <c r="U49" s="45">
        <f t="shared" si="15"/>
        <v>75</v>
      </c>
      <c r="V49" s="29" t="s">
        <v>43</v>
      </c>
      <c r="W49" s="34">
        <f t="shared" si="16"/>
        <v>0</v>
      </c>
      <c r="X49" s="44" t="e">
        <f t="shared" si="17"/>
        <v>#DIV/0!</v>
      </c>
      <c r="Y49" s="29" t="s">
        <v>43</v>
      </c>
      <c r="Z49" s="45">
        <f t="shared" si="18"/>
        <v>21</v>
      </c>
      <c r="AA49" s="34">
        <f t="shared" si="19"/>
        <v>0</v>
      </c>
      <c r="AB49" s="76">
        <f t="shared" si="20"/>
        <v>58.333333333333336</v>
      </c>
      <c r="AC49" s="81" t="s">
        <v>43</v>
      </c>
      <c r="AD49" s="76" t="e">
        <f t="shared" si="7"/>
        <v>#DIV/0!</v>
      </c>
      <c r="AE49" s="11"/>
      <c r="AH49" s="20"/>
    </row>
    <row r="50" spans="1:34" ht="126" x14ac:dyDescent="0.2">
      <c r="A50" s="12"/>
      <c r="B50" s="74" t="s">
        <v>170</v>
      </c>
      <c r="C50" s="14" t="s">
        <v>79</v>
      </c>
      <c r="D50" s="15" t="s">
        <v>97</v>
      </c>
      <c r="E50" s="43">
        <v>100</v>
      </c>
      <c r="F50" s="39" t="s">
        <v>43</v>
      </c>
      <c r="G50" s="36">
        <f>G51</f>
        <v>83099400</v>
      </c>
      <c r="H50" s="43">
        <v>100</v>
      </c>
      <c r="I50" s="36">
        <f>I51</f>
        <v>24974000</v>
      </c>
      <c r="J50" s="43">
        <v>100</v>
      </c>
      <c r="K50" s="36">
        <f>K51</f>
        <v>27699800</v>
      </c>
      <c r="L50" s="43">
        <v>25</v>
      </c>
      <c r="M50" s="36">
        <f>M51</f>
        <v>0</v>
      </c>
      <c r="N50" s="43">
        <v>25</v>
      </c>
      <c r="O50" s="36">
        <f>O51</f>
        <v>0</v>
      </c>
      <c r="P50" s="43">
        <v>25</v>
      </c>
      <c r="Q50" s="36">
        <f>Q51</f>
        <v>1885200</v>
      </c>
      <c r="R50" s="43">
        <v>25</v>
      </c>
      <c r="S50" s="36">
        <f>S51</f>
        <v>25814500</v>
      </c>
      <c r="T50" s="57">
        <f t="shared" si="14"/>
        <v>100</v>
      </c>
      <c r="U50" s="57">
        <f t="shared" si="15"/>
        <v>100</v>
      </c>
      <c r="V50" s="56" t="s">
        <v>43</v>
      </c>
      <c r="W50" s="54">
        <f t="shared" si="16"/>
        <v>27699700</v>
      </c>
      <c r="X50" s="55">
        <f>W50/K50*100</f>
        <v>99.99963898656307</v>
      </c>
      <c r="Y50" s="56" t="s">
        <v>43</v>
      </c>
      <c r="Z50" s="57">
        <f t="shared" si="18"/>
        <v>200</v>
      </c>
      <c r="AA50" s="54">
        <f t="shared" si="19"/>
        <v>52673700</v>
      </c>
      <c r="AB50" s="77">
        <f t="shared" si="20"/>
        <v>200</v>
      </c>
      <c r="AC50" s="78" t="s">
        <v>43</v>
      </c>
      <c r="AD50" s="77">
        <f t="shared" si="7"/>
        <v>63.386378240998134</v>
      </c>
      <c r="AE50" s="11"/>
      <c r="AH50" s="20"/>
    </row>
    <row r="51" spans="1:34" ht="126" x14ac:dyDescent="0.2">
      <c r="A51" s="12"/>
      <c r="B51" s="13"/>
      <c r="C51" s="14" t="s">
        <v>80</v>
      </c>
      <c r="D51" s="15" t="s">
        <v>98</v>
      </c>
      <c r="E51" s="43">
        <v>100</v>
      </c>
      <c r="F51" s="39" t="s">
        <v>43</v>
      </c>
      <c r="G51" s="36">
        <f>SUM(G52)</f>
        <v>83099400</v>
      </c>
      <c r="H51" s="43">
        <v>100</v>
      </c>
      <c r="I51" s="36">
        <f>SUM(I52)</f>
        <v>24974000</v>
      </c>
      <c r="J51" s="43">
        <v>100</v>
      </c>
      <c r="K51" s="36">
        <f>SUM(K52)</f>
        <v>27699800</v>
      </c>
      <c r="L51" s="43">
        <v>25</v>
      </c>
      <c r="M51" s="36">
        <f>SUM(M52)</f>
        <v>0</v>
      </c>
      <c r="N51" s="43">
        <v>25</v>
      </c>
      <c r="O51" s="36">
        <f>SUM(O52)</f>
        <v>0</v>
      </c>
      <c r="P51" s="43">
        <v>25</v>
      </c>
      <c r="Q51" s="36">
        <f>SUM(Q52)</f>
        <v>1885200</v>
      </c>
      <c r="R51" s="43">
        <v>25</v>
      </c>
      <c r="S51" s="36">
        <f>SUM(S52)</f>
        <v>25814500</v>
      </c>
      <c r="T51" s="57">
        <f t="shared" si="14"/>
        <v>100</v>
      </c>
      <c r="U51" s="57">
        <f t="shared" si="15"/>
        <v>100</v>
      </c>
      <c r="V51" s="56" t="s">
        <v>43</v>
      </c>
      <c r="W51" s="54">
        <f t="shared" si="16"/>
        <v>27699700</v>
      </c>
      <c r="X51" s="55">
        <f t="shared" si="17"/>
        <v>99.99963898656307</v>
      </c>
      <c r="Y51" s="56" t="s">
        <v>43</v>
      </c>
      <c r="Z51" s="57">
        <f t="shared" si="18"/>
        <v>200</v>
      </c>
      <c r="AA51" s="54">
        <f t="shared" si="19"/>
        <v>52673700</v>
      </c>
      <c r="AB51" s="77">
        <f t="shared" si="20"/>
        <v>200</v>
      </c>
      <c r="AC51" s="78" t="s">
        <v>43</v>
      </c>
      <c r="AD51" s="77">
        <f t="shared" si="7"/>
        <v>63.386378240998134</v>
      </c>
      <c r="AE51" s="11"/>
      <c r="AH51" s="20"/>
    </row>
    <row r="52" spans="1:34" ht="225" x14ac:dyDescent="0.2">
      <c r="A52" s="12"/>
      <c r="B52" s="13"/>
      <c r="C52" s="21" t="s">
        <v>81</v>
      </c>
      <c r="D52" s="24" t="s">
        <v>147</v>
      </c>
      <c r="E52" s="41">
        <v>36</v>
      </c>
      <c r="F52" s="17" t="s">
        <v>91</v>
      </c>
      <c r="G52" s="18">
        <f>K52*3</f>
        <v>83099400</v>
      </c>
      <c r="H52" s="41">
        <v>12</v>
      </c>
      <c r="I52" s="18">
        <v>24974000</v>
      </c>
      <c r="J52" s="41">
        <v>12</v>
      </c>
      <c r="K52" s="18">
        <v>27699800</v>
      </c>
      <c r="L52" s="41">
        <v>3</v>
      </c>
      <c r="M52" s="18">
        <v>0</v>
      </c>
      <c r="N52" s="41">
        <v>3</v>
      </c>
      <c r="O52" s="18">
        <v>0</v>
      </c>
      <c r="P52" s="41">
        <v>3</v>
      </c>
      <c r="Q52" s="18">
        <v>1885200</v>
      </c>
      <c r="R52" s="41">
        <v>3</v>
      </c>
      <c r="S52" s="18">
        <f>W52-Q52</f>
        <v>25814500</v>
      </c>
      <c r="T52" s="45">
        <f t="shared" si="14"/>
        <v>12</v>
      </c>
      <c r="U52" s="45">
        <f t="shared" si="15"/>
        <v>100</v>
      </c>
      <c r="V52" s="29" t="s">
        <v>43</v>
      </c>
      <c r="W52" s="18">
        <v>27699700</v>
      </c>
      <c r="X52" s="44">
        <f t="shared" si="17"/>
        <v>99.99963898656307</v>
      </c>
      <c r="Y52" s="29" t="s">
        <v>43</v>
      </c>
      <c r="Z52" s="45">
        <f>H52+T52</f>
        <v>24</v>
      </c>
      <c r="AA52" s="34">
        <f t="shared" si="19"/>
        <v>52673700</v>
      </c>
      <c r="AB52" s="76">
        <f t="shared" si="20"/>
        <v>66.666666666666657</v>
      </c>
      <c r="AC52" s="81" t="s">
        <v>43</v>
      </c>
      <c r="AD52" s="76">
        <f t="shared" si="7"/>
        <v>63.386378240998134</v>
      </c>
      <c r="AE52" s="11"/>
      <c r="AH52" s="20"/>
    </row>
    <row r="53" spans="1:34" ht="165" customHeight="1" x14ac:dyDescent="0.2">
      <c r="A53" s="12"/>
      <c r="B53" s="13" t="s">
        <v>166</v>
      </c>
      <c r="C53" s="14" t="s">
        <v>82</v>
      </c>
      <c r="D53" s="15" t="s">
        <v>99</v>
      </c>
      <c r="E53" s="43">
        <v>100</v>
      </c>
      <c r="F53" s="39" t="s">
        <v>43</v>
      </c>
      <c r="G53" s="36">
        <f>G54</f>
        <v>118575000</v>
      </c>
      <c r="H53" s="43">
        <v>100</v>
      </c>
      <c r="I53" s="36">
        <f>I54</f>
        <v>5200000</v>
      </c>
      <c r="J53" s="43">
        <v>100</v>
      </c>
      <c r="K53" s="36">
        <f>K54</f>
        <v>39525000</v>
      </c>
      <c r="L53" s="43">
        <v>25</v>
      </c>
      <c r="M53" s="36">
        <f>M54</f>
        <v>0</v>
      </c>
      <c r="N53" s="43">
        <v>25</v>
      </c>
      <c r="O53" s="36">
        <f>O54</f>
        <v>0</v>
      </c>
      <c r="P53" s="43">
        <v>25</v>
      </c>
      <c r="Q53" s="36">
        <f>Q54</f>
        <v>31625000</v>
      </c>
      <c r="R53" s="43">
        <v>25</v>
      </c>
      <c r="S53" s="36">
        <f>S54</f>
        <v>2000000</v>
      </c>
      <c r="T53" s="57">
        <f t="shared" si="14"/>
        <v>100</v>
      </c>
      <c r="U53" s="57">
        <f t="shared" si="15"/>
        <v>100</v>
      </c>
      <c r="V53" s="56" t="s">
        <v>43</v>
      </c>
      <c r="W53" s="54">
        <f t="shared" si="16"/>
        <v>33625000</v>
      </c>
      <c r="X53" s="55">
        <f t="shared" si="17"/>
        <v>85.072738772928531</v>
      </c>
      <c r="Y53" s="56" t="s">
        <v>43</v>
      </c>
      <c r="Z53" s="57">
        <f t="shared" si="18"/>
        <v>200</v>
      </c>
      <c r="AA53" s="54">
        <f t="shared" si="19"/>
        <v>38825000</v>
      </c>
      <c r="AB53" s="77">
        <f t="shared" si="20"/>
        <v>200</v>
      </c>
      <c r="AC53" s="78" t="s">
        <v>43</v>
      </c>
      <c r="AD53" s="77">
        <f t="shared" si="7"/>
        <v>32.742989668985871</v>
      </c>
      <c r="AE53" s="11"/>
      <c r="AH53" s="20"/>
    </row>
    <row r="54" spans="1:34" ht="189" x14ac:dyDescent="0.2">
      <c r="A54" s="12"/>
      <c r="B54" s="13" t="s">
        <v>167</v>
      </c>
      <c r="C54" s="14" t="s">
        <v>83</v>
      </c>
      <c r="D54" s="15" t="s">
        <v>100</v>
      </c>
      <c r="E54" s="43">
        <v>100</v>
      </c>
      <c r="F54" s="39" t="s">
        <v>43</v>
      </c>
      <c r="G54" s="36">
        <f>SUM(G55:G56)</f>
        <v>118575000</v>
      </c>
      <c r="H54" s="43">
        <v>100</v>
      </c>
      <c r="I54" s="36">
        <f>SUM(I55:I56)</f>
        <v>5200000</v>
      </c>
      <c r="J54" s="43">
        <v>100</v>
      </c>
      <c r="K54" s="36">
        <f>SUM(K55:K56)</f>
        <v>39525000</v>
      </c>
      <c r="L54" s="43">
        <v>25</v>
      </c>
      <c r="M54" s="36">
        <f>SUM(M55:M56)</f>
        <v>0</v>
      </c>
      <c r="N54" s="43">
        <v>25</v>
      </c>
      <c r="O54" s="36">
        <f>SUM(O55:O56)</f>
        <v>0</v>
      </c>
      <c r="P54" s="43">
        <v>25</v>
      </c>
      <c r="Q54" s="36">
        <f>SUM(Q55:Q56)</f>
        <v>31625000</v>
      </c>
      <c r="R54" s="43">
        <v>25</v>
      </c>
      <c r="S54" s="36">
        <f>SUM(S55:S56)</f>
        <v>2000000</v>
      </c>
      <c r="T54" s="57">
        <f t="shared" si="14"/>
        <v>100</v>
      </c>
      <c r="U54" s="57">
        <f t="shared" si="15"/>
        <v>100</v>
      </c>
      <c r="V54" s="56" t="s">
        <v>43</v>
      </c>
      <c r="W54" s="54">
        <f t="shared" si="16"/>
        <v>33625000</v>
      </c>
      <c r="X54" s="55">
        <f t="shared" si="17"/>
        <v>85.072738772928531</v>
      </c>
      <c r="Y54" s="56" t="s">
        <v>43</v>
      </c>
      <c r="Z54" s="57">
        <f t="shared" si="18"/>
        <v>200</v>
      </c>
      <c r="AA54" s="54">
        <f t="shared" si="19"/>
        <v>38825000</v>
      </c>
      <c r="AB54" s="77">
        <f t="shared" si="20"/>
        <v>200</v>
      </c>
      <c r="AC54" s="78" t="s">
        <v>43</v>
      </c>
      <c r="AD54" s="77">
        <f t="shared" si="7"/>
        <v>32.742989668985871</v>
      </c>
      <c r="AE54" s="11"/>
      <c r="AH54" s="20"/>
    </row>
    <row r="55" spans="1:34" ht="105" x14ac:dyDescent="0.2">
      <c r="A55" s="12"/>
      <c r="B55" s="13"/>
      <c r="C55" s="24" t="s">
        <v>84</v>
      </c>
      <c r="D55" s="62" t="s">
        <v>148</v>
      </c>
      <c r="E55" s="41">
        <v>2550</v>
      </c>
      <c r="F55" s="17" t="s">
        <v>125</v>
      </c>
      <c r="G55" s="18">
        <f>K55*3</f>
        <v>106575000</v>
      </c>
      <c r="H55" s="41">
        <v>0</v>
      </c>
      <c r="I55" s="18">
        <v>1200000</v>
      </c>
      <c r="J55" s="41">
        <v>850</v>
      </c>
      <c r="K55" s="18">
        <v>35525000</v>
      </c>
      <c r="L55" s="41">
        <v>0</v>
      </c>
      <c r="M55" s="18">
        <v>0</v>
      </c>
      <c r="N55" s="41">
        <v>0</v>
      </c>
      <c r="O55" s="18">
        <v>0</v>
      </c>
      <c r="P55" s="41">
        <v>850</v>
      </c>
      <c r="Q55" s="18">
        <v>29625000</v>
      </c>
      <c r="R55" s="41">
        <v>850</v>
      </c>
      <c r="S55" s="18">
        <v>0</v>
      </c>
      <c r="T55" s="45">
        <f t="shared" si="14"/>
        <v>1700</v>
      </c>
      <c r="U55" s="45">
        <f t="shared" si="15"/>
        <v>200</v>
      </c>
      <c r="V55" s="29" t="s">
        <v>43</v>
      </c>
      <c r="W55" s="34">
        <f t="shared" si="16"/>
        <v>29625000</v>
      </c>
      <c r="X55" s="44">
        <f t="shared" si="17"/>
        <v>83.391977480647427</v>
      </c>
      <c r="Y55" s="29" t="s">
        <v>43</v>
      </c>
      <c r="Z55" s="45">
        <f t="shared" si="18"/>
        <v>1700</v>
      </c>
      <c r="AA55" s="34">
        <f t="shared" si="19"/>
        <v>30825000</v>
      </c>
      <c r="AB55" s="76">
        <f t="shared" si="20"/>
        <v>66.666666666666657</v>
      </c>
      <c r="AC55" s="81" t="s">
        <v>43</v>
      </c>
      <c r="AD55" s="76">
        <f t="shared" si="7"/>
        <v>28.923293455313161</v>
      </c>
      <c r="AE55" s="11"/>
      <c r="AH55" s="20"/>
    </row>
    <row r="56" spans="1:34" ht="90" x14ac:dyDescent="0.2">
      <c r="A56" s="12"/>
      <c r="B56" s="13"/>
      <c r="C56" s="21" t="s">
        <v>85</v>
      </c>
      <c r="D56" s="24" t="s">
        <v>149</v>
      </c>
      <c r="E56" s="41">
        <v>12</v>
      </c>
      <c r="F56" s="17" t="s">
        <v>42</v>
      </c>
      <c r="G56" s="18">
        <f>K56*3</f>
        <v>12000000</v>
      </c>
      <c r="H56" s="41">
        <v>4</v>
      </c>
      <c r="I56" s="18">
        <v>4000000</v>
      </c>
      <c r="J56" s="41">
        <v>4</v>
      </c>
      <c r="K56" s="18">
        <v>4000000</v>
      </c>
      <c r="L56" s="41">
        <v>1</v>
      </c>
      <c r="M56" s="18">
        <v>0</v>
      </c>
      <c r="N56" s="41">
        <v>1</v>
      </c>
      <c r="O56" s="18">
        <v>0</v>
      </c>
      <c r="P56" s="41">
        <v>1</v>
      </c>
      <c r="Q56" s="18">
        <v>2000000</v>
      </c>
      <c r="R56" s="41">
        <v>1</v>
      </c>
      <c r="S56" s="18">
        <v>2000000</v>
      </c>
      <c r="T56" s="45">
        <f t="shared" si="14"/>
        <v>4</v>
      </c>
      <c r="U56" s="45">
        <f t="shared" si="15"/>
        <v>100</v>
      </c>
      <c r="V56" s="29" t="s">
        <v>43</v>
      </c>
      <c r="W56" s="34">
        <f t="shared" si="16"/>
        <v>4000000</v>
      </c>
      <c r="X56" s="44">
        <f t="shared" si="17"/>
        <v>100</v>
      </c>
      <c r="Y56" s="29" t="s">
        <v>43</v>
      </c>
      <c r="Z56" s="45">
        <f t="shared" si="18"/>
        <v>8</v>
      </c>
      <c r="AA56" s="34">
        <f t="shared" si="19"/>
        <v>8000000</v>
      </c>
      <c r="AB56" s="76">
        <f t="shared" si="20"/>
        <v>66.666666666666657</v>
      </c>
      <c r="AC56" s="81" t="s">
        <v>43</v>
      </c>
      <c r="AD56" s="76">
        <f t="shared" si="7"/>
        <v>66.666666666666657</v>
      </c>
      <c r="AE56" s="11"/>
      <c r="AH56" s="20"/>
    </row>
    <row r="57" spans="1:34" ht="147" customHeight="1" x14ac:dyDescent="0.2">
      <c r="A57" s="12"/>
      <c r="B57" s="13" t="s">
        <v>168</v>
      </c>
      <c r="C57" s="14" t="s">
        <v>86</v>
      </c>
      <c r="D57" s="15" t="s">
        <v>101</v>
      </c>
      <c r="E57" s="43">
        <v>100</v>
      </c>
      <c r="F57" s="39" t="s">
        <v>43</v>
      </c>
      <c r="G57" s="36">
        <f>G58</f>
        <v>94500000</v>
      </c>
      <c r="H57" s="43">
        <v>100</v>
      </c>
      <c r="I57" s="36">
        <f>I58</f>
        <v>12187500</v>
      </c>
      <c r="J57" s="43">
        <v>100</v>
      </c>
      <c r="K57" s="36">
        <f>K58</f>
        <v>31500000</v>
      </c>
      <c r="L57" s="43">
        <v>25</v>
      </c>
      <c r="M57" s="36">
        <f>M58</f>
        <v>0</v>
      </c>
      <c r="N57" s="43">
        <v>25</v>
      </c>
      <c r="O57" s="36">
        <f>O58</f>
        <v>0</v>
      </c>
      <c r="P57" s="43">
        <v>25</v>
      </c>
      <c r="Q57" s="36">
        <f>Q58</f>
        <v>14125000</v>
      </c>
      <c r="R57" s="43">
        <v>25</v>
      </c>
      <c r="S57" s="36">
        <f>S58</f>
        <v>6375000</v>
      </c>
      <c r="T57" s="57">
        <f t="shared" si="14"/>
        <v>100</v>
      </c>
      <c r="U57" s="57">
        <f t="shared" si="15"/>
        <v>100</v>
      </c>
      <c r="V57" s="56" t="s">
        <v>43</v>
      </c>
      <c r="W57" s="54">
        <f t="shared" si="16"/>
        <v>20500000</v>
      </c>
      <c r="X57" s="55">
        <f t="shared" si="17"/>
        <v>65.079365079365076</v>
      </c>
      <c r="Y57" s="56" t="s">
        <v>43</v>
      </c>
      <c r="Z57" s="57">
        <f t="shared" si="18"/>
        <v>200</v>
      </c>
      <c r="AA57" s="54">
        <f t="shared" si="19"/>
        <v>32687500</v>
      </c>
      <c r="AB57" s="77">
        <f t="shared" si="20"/>
        <v>200</v>
      </c>
      <c r="AC57" s="78" t="s">
        <v>43</v>
      </c>
      <c r="AD57" s="77">
        <f t="shared" si="7"/>
        <v>34.589947089947088</v>
      </c>
      <c r="AE57" s="11"/>
      <c r="AH57" s="20"/>
    </row>
    <row r="58" spans="1:34" ht="177.75" customHeight="1" x14ac:dyDescent="0.2">
      <c r="A58" s="12"/>
      <c r="B58" s="13" t="s">
        <v>169</v>
      </c>
      <c r="C58" s="14" t="s">
        <v>87</v>
      </c>
      <c r="D58" s="15" t="s">
        <v>102</v>
      </c>
      <c r="E58" s="43">
        <v>100</v>
      </c>
      <c r="F58" s="39" t="s">
        <v>43</v>
      </c>
      <c r="G58" s="36">
        <f>SUM(G59:G62)</f>
        <v>94500000</v>
      </c>
      <c r="H58" s="43">
        <v>100</v>
      </c>
      <c r="I58" s="36">
        <f>SUM(I59:I62)</f>
        <v>12187500</v>
      </c>
      <c r="J58" s="43">
        <v>100</v>
      </c>
      <c r="K58" s="36">
        <f>SUM(K59:K62)</f>
        <v>31500000</v>
      </c>
      <c r="L58" s="43">
        <v>25</v>
      </c>
      <c r="M58" s="36">
        <f>SUM(M59:M62)</f>
        <v>0</v>
      </c>
      <c r="N58" s="43">
        <v>25</v>
      </c>
      <c r="O58" s="36">
        <f>SUM(O59:O62)</f>
        <v>0</v>
      </c>
      <c r="P58" s="43">
        <v>25</v>
      </c>
      <c r="Q58" s="36">
        <f>SUM(Q59:Q62)</f>
        <v>14125000</v>
      </c>
      <c r="R58" s="43">
        <v>25</v>
      </c>
      <c r="S58" s="36">
        <f>SUM(S59:S62)</f>
        <v>6375000</v>
      </c>
      <c r="T58" s="57">
        <f t="shared" si="14"/>
        <v>100</v>
      </c>
      <c r="U58" s="57">
        <f t="shared" si="15"/>
        <v>100</v>
      </c>
      <c r="V58" s="56" t="s">
        <v>43</v>
      </c>
      <c r="W58" s="54">
        <f t="shared" si="16"/>
        <v>20500000</v>
      </c>
      <c r="X58" s="55">
        <f t="shared" si="17"/>
        <v>65.079365079365076</v>
      </c>
      <c r="Y58" s="56" t="s">
        <v>43</v>
      </c>
      <c r="Z58" s="57">
        <f t="shared" si="18"/>
        <v>200</v>
      </c>
      <c r="AA58" s="54">
        <f t="shared" si="19"/>
        <v>32687500</v>
      </c>
      <c r="AB58" s="77">
        <f t="shared" si="20"/>
        <v>200</v>
      </c>
      <c r="AC58" s="78" t="s">
        <v>43</v>
      </c>
      <c r="AD58" s="77">
        <f t="shared" si="7"/>
        <v>34.589947089947088</v>
      </c>
      <c r="AE58" s="11"/>
      <c r="AH58" s="20"/>
    </row>
    <row r="59" spans="1:34" ht="150" x14ac:dyDescent="0.2">
      <c r="A59" s="12"/>
      <c r="B59" s="13"/>
      <c r="C59" s="21" t="s">
        <v>88</v>
      </c>
      <c r="D59" s="24" t="s">
        <v>150</v>
      </c>
      <c r="E59" s="16">
        <v>66</v>
      </c>
      <c r="F59" s="17" t="s">
        <v>42</v>
      </c>
      <c r="G59" s="18">
        <f>K59*3</f>
        <v>67500000</v>
      </c>
      <c r="H59" s="16">
        <v>22</v>
      </c>
      <c r="I59" s="18">
        <v>6187500</v>
      </c>
      <c r="J59" s="16">
        <v>22</v>
      </c>
      <c r="K59" s="18">
        <v>22500000</v>
      </c>
      <c r="L59" s="16">
        <v>11</v>
      </c>
      <c r="M59" s="18">
        <v>0</v>
      </c>
      <c r="N59" s="16">
        <v>11</v>
      </c>
      <c r="O59" s="18">
        <v>0</v>
      </c>
      <c r="P59" s="16">
        <v>0</v>
      </c>
      <c r="Q59" s="18">
        <v>5625000</v>
      </c>
      <c r="R59" s="16">
        <v>0</v>
      </c>
      <c r="S59" s="18">
        <f>12000000-Q59-O59-M59</f>
        <v>6375000</v>
      </c>
      <c r="T59" s="45">
        <f t="shared" si="14"/>
        <v>22</v>
      </c>
      <c r="U59" s="45">
        <f t="shared" si="15"/>
        <v>100</v>
      </c>
      <c r="V59" s="29" t="s">
        <v>43</v>
      </c>
      <c r="W59" s="34">
        <f t="shared" si="16"/>
        <v>12000000</v>
      </c>
      <c r="X59" s="44">
        <f t="shared" si="17"/>
        <v>53.333333333333336</v>
      </c>
      <c r="Y59" s="29" t="s">
        <v>43</v>
      </c>
      <c r="Z59" s="45">
        <f t="shared" si="18"/>
        <v>44</v>
      </c>
      <c r="AA59" s="34">
        <f t="shared" si="19"/>
        <v>18187500</v>
      </c>
      <c r="AB59" s="76">
        <f t="shared" si="20"/>
        <v>66.666666666666657</v>
      </c>
      <c r="AC59" s="81" t="s">
        <v>43</v>
      </c>
      <c r="AD59" s="76">
        <f t="shared" si="7"/>
        <v>26.944444444444443</v>
      </c>
      <c r="AE59" s="11"/>
      <c r="AH59" s="20"/>
    </row>
    <row r="60" spans="1:34" ht="135" x14ac:dyDescent="0.2">
      <c r="A60" s="12"/>
      <c r="B60" s="13"/>
      <c r="C60" s="21" t="s">
        <v>106</v>
      </c>
      <c r="D60" s="24" t="s">
        <v>151</v>
      </c>
      <c r="E60" s="16">
        <v>36</v>
      </c>
      <c r="F60" s="17" t="s">
        <v>42</v>
      </c>
      <c r="G60" s="18">
        <f t="shared" ref="G60:G62" si="22">K60*3</f>
        <v>18000000</v>
      </c>
      <c r="H60" s="16">
        <v>12</v>
      </c>
      <c r="I60" s="18">
        <v>6000000</v>
      </c>
      <c r="J60" s="16">
        <v>12</v>
      </c>
      <c r="K60" s="18">
        <v>6000000</v>
      </c>
      <c r="L60" s="16">
        <v>3</v>
      </c>
      <c r="M60" s="18">
        <v>0</v>
      </c>
      <c r="N60" s="16">
        <v>3</v>
      </c>
      <c r="O60" s="18">
        <v>0</v>
      </c>
      <c r="P60" s="16">
        <v>3</v>
      </c>
      <c r="Q60" s="18">
        <v>6000000</v>
      </c>
      <c r="R60" s="16">
        <v>3</v>
      </c>
      <c r="S60" s="18">
        <v>0</v>
      </c>
      <c r="T60" s="45">
        <f t="shared" si="14"/>
        <v>12</v>
      </c>
      <c r="U60" s="45">
        <f t="shared" si="15"/>
        <v>100</v>
      </c>
      <c r="V60" s="29" t="s">
        <v>43</v>
      </c>
      <c r="W60" s="34">
        <f t="shared" si="16"/>
        <v>6000000</v>
      </c>
      <c r="X60" s="44">
        <f t="shared" si="17"/>
        <v>100</v>
      </c>
      <c r="Y60" s="29" t="s">
        <v>43</v>
      </c>
      <c r="Z60" s="45">
        <f t="shared" si="18"/>
        <v>24</v>
      </c>
      <c r="AA60" s="34">
        <f t="shared" si="19"/>
        <v>12000000</v>
      </c>
      <c r="AB60" s="76">
        <f t="shared" si="20"/>
        <v>66.666666666666657</v>
      </c>
      <c r="AC60" s="81" t="s">
        <v>43</v>
      </c>
      <c r="AD60" s="76">
        <f t="shared" si="7"/>
        <v>66.666666666666657</v>
      </c>
      <c r="AE60" s="11"/>
      <c r="AH60" s="20"/>
    </row>
    <row r="61" spans="1:34" ht="210" x14ac:dyDescent="0.2">
      <c r="A61" s="12"/>
      <c r="B61" s="13"/>
      <c r="C61" s="21" t="s">
        <v>89</v>
      </c>
      <c r="D61" s="24" t="s">
        <v>152</v>
      </c>
      <c r="E61" s="42">
        <v>33</v>
      </c>
      <c r="F61" s="17" t="s">
        <v>42</v>
      </c>
      <c r="G61" s="18">
        <f t="shared" si="22"/>
        <v>0</v>
      </c>
      <c r="H61" s="42">
        <v>11</v>
      </c>
      <c r="I61" s="18">
        <v>0</v>
      </c>
      <c r="J61" s="42">
        <v>11</v>
      </c>
      <c r="K61" s="18">
        <v>0</v>
      </c>
      <c r="L61" s="42">
        <v>0</v>
      </c>
      <c r="M61" s="18">
        <v>0</v>
      </c>
      <c r="N61" s="42">
        <v>11</v>
      </c>
      <c r="O61" s="18"/>
      <c r="P61" s="42">
        <v>0</v>
      </c>
      <c r="Q61" s="18"/>
      <c r="R61" s="42">
        <v>0</v>
      </c>
      <c r="S61" s="18">
        <v>0</v>
      </c>
      <c r="T61" s="45">
        <f t="shared" si="14"/>
        <v>11</v>
      </c>
      <c r="U61" s="45">
        <f t="shared" si="15"/>
        <v>100</v>
      </c>
      <c r="V61" s="29" t="s">
        <v>43</v>
      </c>
      <c r="W61" s="34">
        <f t="shared" si="16"/>
        <v>0</v>
      </c>
      <c r="X61" s="44" t="e">
        <f t="shared" si="17"/>
        <v>#DIV/0!</v>
      </c>
      <c r="Y61" s="29" t="s">
        <v>43</v>
      </c>
      <c r="Z61" s="45">
        <f t="shared" si="18"/>
        <v>22</v>
      </c>
      <c r="AA61" s="34">
        <f t="shared" si="19"/>
        <v>0</v>
      </c>
      <c r="AB61" s="76">
        <f t="shared" si="20"/>
        <v>66.666666666666657</v>
      </c>
      <c r="AC61" s="81" t="s">
        <v>43</v>
      </c>
      <c r="AD61" s="76" t="e">
        <f t="shared" si="7"/>
        <v>#DIV/0!</v>
      </c>
      <c r="AE61" s="11"/>
      <c r="AH61" s="20"/>
    </row>
    <row r="62" spans="1:34" ht="90" x14ac:dyDescent="0.2">
      <c r="A62" s="12"/>
      <c r="B62" s="13"/>
      <c r="C62" s="21" t="s">
        <v>90</v>
      </c>
      <c r="D62" s="24" t="s">
        <v>153</v>
      </c>
      <c r="E62" s="41">
        <v>33</v>
      </c>
      <c r="F62" s="17" t="s">
        <v>91</v>
      </c>
      <c r="G62" s="18">
        <f t="shared" si="22"/>
        <v>9000000</v>
      </c>
      <c r="H62" s="41">
        <v>11</v>
      </c>
      <c r="I62" s="18">
        <v>0</v>
      </c>
      <c r="J62" s="41">
        <v>11</v>
      </c>
      <c r="K62" s="18">
        <v>3000000</v>
      </c>
      <c r="L62" s="41">
        <v>4</v>
      </c>
      <c r="M62" s="18">
        <v>0</v>
      </c>
      <c r="N62" s="41">
        <v>3</v>
      </c>
      <c r="O62" s="18"/>
      <c r="P62" s="41">
        <v>3</v>
      </c>
      <c r="Q62" s="18">
        <v>2500000</v>
      </c>
      <c r="R62" s="41">
        <v>1</v>
      </c>
      <c r="S62" s="18">
        <v>0</v>
      </c>
      <c r="T62" s="45">
        <f t="shared" si="14"/>
        <v>11</v>
      </c>
      <c r="U62" s="45">
        <f t="shared" si="15"/>
        <v>100</v>
      </c>
      <c r="V62" s="29" t="s">
        <v>43</v>
      </c>
      <c r="W62" s="34">
        <f t="shared" si="16"/>
        <v>2500000</v>
      </c>
      <c r="X62" s="44">
        <f>W62/K62*100</f>
        <v>83.333333333333343</v>
      </c>
      <c r="Y62" s="29" t="s">
        <v>43</v>
      </c>
      <c r="Z62" s="45">
        <f t="shared" si="18"/>
        <v>22</v>
      </c>
      <c r="AA62" s="34">
        <f t="shared" si="19"/>
        <v>2500000</v>
      </c>
      <c r="AB62" s="76">
        <f t="shared" si="20"/>
        <v>66.666666666666657</v>
      </c>
      <c r="AC62" s="81" t="s">
        <v>43</v>
      </c>
      <c r="AD62" s="76">
        <f t="shared" si="7"/>
        <v>27.777777777777779</v>
      </c>
      <c r="AE62" s="11"/>
      <c r="AH62" s="20"/>
    </row>
    <row r="63" spans="1:34" ht="15" x14ac:dyDescent="0.2">
      <c r="A63" s="126" t="s">
        <v>22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61">
        <f>AVERAGE(U13:U62)</f>
        <v>98.958333333333329</v>
      </c>
      <c r="V63" s="48"/>
      <c r="W63" s="46"/>
      <c r="X63" s="61">
        <f>AVERAGE(X13,X40,X45,X50,X53,X57)</f>
        <v>68.172317257241318</v>
      </c>
      <c r="Y63" s="48"/>
      <c r="Z63" s="47"/>
      <c r="AA63" s="47"/>
      <c r="AB63" s="47"/>
      <c r="AC63" s="48"/>
      <c r="AD63" s="49"/>
      <c r="AE63" s="11"/>
    </row>
    <row r="64" spans="1:34" ht="30" customHeight="1" x14ac:dyDescent="0.2">
      <c r="A64" s="130" t="s">
        <v>23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87" t="str">
        <f>IF(U63&gt;=91,"Sangat Tinggi",IF(U63&gt;=76,"Tinggi",IF(U63&gt;=66,"Sedang",IF(U63&gt;=51,"Rendah",IF(U63&lt;=50.99,"Sangat Rendah")))))</f>
        <v>Sangat Tinggi</v>
      </c>
      <c r="V64" s="48"/>
      <c r="W64" s="50"/>
      <c r="X64" s="86" t="str">
        <f>IF(X63&gt;=91,"Sangat Tinggi",IF(X63&gt;=76,"Tinggi",IF(X63&gt;=66,"Sedang",IF(X63&gt;=51,"Rendah",IF(X63&lt;=50,"Sangat Rendah")))))</f>
        <v>Sedang</v>
      </c>
      <c r="Y64" s="48"/>
      <c r="Z64" s="51"/>
      <c r="AA64" s="52"/>
      <c r="AB64" s="51"/>
      <c r="AC64" s="48"/>
      <c r="AD64" s="53"/>
      <c r="AE64" s="11"/>
    </row>
    <row r="65" spans="1:31" ht="15" x14ac:dyDescent="0.2">
      <c r="A65" s="118" t="s">
        <v>182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"/>
    </row>
    <row r="66" spans="1:31" ht="15" x14ac:dyDescent="0.2">
      <c r="A66" s="132" t="s">
        <v>181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1"/>
    </row>
    <row r="67" spans="1:31" ht="15" x14ac:dyDescent="0.2">
      <c r="A67" s="118" t="s">
        <v>179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"/>
    </row>
    <row r="68" spans="1:31" ht="15" x14ac:dyDescent="0.2">
      <c r="A68" s="118" t="s">
        <v>177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26"/>
    </row>
    <row r="69" spans="1:31" ht="1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73"/>
      <c r="V69" s="28"/>
      <c r="W69" s="27"/>
      <c r="X69" s="27"/>
      <c r="Y69" s="28"/>
      <c r="Z69" s="27"/>
      <c r="AA69" s="27"/>
      <c r="AB69" s="27"/>
      <c r="AC69" s="28"/>
      <c r="AD69" s="27"/>
    </row>
    <row r="70" spans="1:31" ht="1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73"/>
      <c r="L70" s="27"/>
      <c r="M70" s="27"/>
      <c r="N70" s="27"/>
      <c r="O70" s="27"/>
      <c r="P70" s="27"/>
      <c r="Q70" s="27"/>
      <c r="R70" s="27"/>
      <c r="S70" s="27"/>
      <c r="T70" s="88" t="s">
        <v>47</v>
      </c>
      <c r="U70" s="88"/>
      <c r="V70" s="88"/>
      <c r="W70" s="88"/>
      <c r="X70" s="88"/>
      <c r="Y70" s="28"/>
      <c r="Z70" s="27"/>
      <c r="AA70" s="88"/>
      <c r="AB70" s="88"/>
      <c r="AC70" s="88"/>
      <c r="AD70" s="88"/>
      <c r="AE70" s="88"/>
    </row>
    <row r="71" spans="1:31" ht="15.75" x14ac:dyDescent="0.25">
      <c r="A71" s="3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88" t="s">
        <v>178</v>
      </c>
      <c r="U71" s="88"/>
      <c r="V71" s="88"/>
      <c r="W71" s="88"/>
      <c r="X71" s="88"/>
      <c r="Y71" s="28"/>
      <c r="Z71" s="27"/>
      <c r="AA71" s="88"/>
      <c r="AB71" s="88"/>
      <c r="AC71" s="88"/>
      <c r="AD71" s="88"/>
      <c r="AE71" s="88"/>
    </row>
    <row r="72" spans="1:31" ht="15" x14ac:dyDescent="0.2">
      <c r="T72" s="88" t="s">
        <v>176</v>
      </c>
      <c r="U72" s="88"/>
      <c r="V72" s="88"/>
      <c r="W72" s="88"/>
      <c r="X72" s="88"/>
      <c r="AA72" s="88"/>
      <c r="AB72" s="88"/>
      <c r="AC72" s="88"/>
      <c r="AD72" s="88"/>
      <c r="AE72" s="88"/>
    </row>
    <row r="73" spans="1:31" ht="15" x14ac:dyDescent="0.2">
      <c r="T73" s="88"/>
      <c r="U73" s="88"/>
      <c r="V73" s="88"/>
      <c r="W73" s="88"/>
      <c r="X73" s="88"/>
      <c r="AA73" s="88"/>
      <c r="AB73" s="88"/>
      <c r="AC73" s="88"/>
      <c r="AD73" s="88"/>
      <c r="AE73" s="88"/>
    </row>
    <row r="74" spans="1:31" ht="38.25" x14ac:dyDescent="0.2">
      <c r="A74" s="30" t="s">
        <v>24</v>
      </c>
      <c r="B74" s="30" t="s">
        <v>25</v>
      </c>
      <c r="C74" s="30" t="s">
        <v>26</v>
      </c>
      <c r="T74" s="27"/>
      <c r="U74" s="27"/>
      <c r="V74" s="28"/>
      <c r="W74" s="27"/>
      <c r="AA74" s="28"/>
      <c r="AB74" s="27"/>
      <c r="AC74" s="28"/>
      <c r="AD74" s="27"/>
    </row>
    <row r="75" spans="1:31" ht="25.5" x14ac:dyDescent="0.25">
      <c r="A75" s="31" t="s">
        <v>27</v>
      </c>
      <c r="B75" s="31" t="s">
        <v>28</v>
      </c>
      <c r="C75" s="31" t="s">
        <v>29</v>
      </c>
      <c r="T75" s="89" t="s">
        <v>108</v>
      </c>
      <c r="U75" s="89"/>
      <c r="V75" s="89"/>
      <c r="W75" s="89"/>
      <c r="X75" s="89"/>
      <c r="AA75" s="89"/>
      <c r="AB75" s="89"/>
      <c r="AC75" s="89"/>
      <c r="AD75" s="89"/>
      <c r="AE75" s="89"/>
    </row>
    <row r="76" spans="1:31" ht="25.5" x14ac:dyDescent="0.2">
      <c r="A76" s="31" t="s">
        <v>30</v>
      </c>
      <c r="B76" s="31" t="s">
        <v>31</v>
      </c>
      <c r="C76" s="31" t="s">
        <v>32</v>
      </c>
      <c r="T76" s="90" t="s">
        <v>109</v>
      </c>
      <c r="U76" s="90"/>
      <c r="V76" s="90"/>
      <c r="W76" s="90"/>
      <c r="X76" s="90"/>
      <c r="AA76" s="90"/>
      <c r="AB76" s="90"/>
      <c r="AC76" s="90"/>
      <c r="AD76" s="90"/>
      <c r="AE76" s="90"/>
    </row>
    <row r="77" spans="1:31" ht="25.5" x14ac:dyDescent="0.2">
      <c r="A77" s="31" t="s">
        <v>33</v>
      </c>
      <c r="B77" s="31" t="s">
        <v>34</v>
      </c>
      <c r="C77" s="31" t="s">
        <v>35</v>
      </c>
    </row>
    <row r="78" spans="1:31" ht="25.5" x14ac:dyDescent="0.2">
      <c r="A78" s="31" t="s">
        <v>36</v>
      </c>
      <c r="B78" s="31" t="s">
        <v>37</v>
      </c>
      <c r="C78" s="31" t="s">
        <v>38</v>
      </c>
    </row>
    <row r="79" spans="1:31" ht="25.5" x14ac:dyDescent="0.2">
      <c r="A79" s="31" t="s">
        <v>39</v>
      </c>
      <c r="B79" s="32" t="s">
        <v>40</v>
      </c>
      <c r="C79" s="31" t="s">
        <v>41</v>
      </c>
      <c r="S79" s="85"/>
      <c r="W79" s="84"/>
    </row>
  </sheetData>
  <mergeCells count="78">
    <mergeCell ref="A66:AD66"/>
    <mergeCell ref="A67:AD67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  <mergeCell ref="A68:AD68"/>
    <mergeCell ref="A65:AD65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3:T63"/>
    <mergeCell ref="AB11:AC11"/>
    <mergeCell ref="U11:V11"/>
    <mergeCell ref="X11:Y11"/>
    <mergeCell ref="A64:T64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70:X70"/>
    <mergeCell ref="AA70:AE70"/>
    <mergeCell ref="T71:X71"/>
    <mergeCell ref="AA71:AE71"/>
    <mergeCell ref="T72:X72"/>
    <mergeCell ref="AA72:AE72"/>
    <mergeCell ref="T73:X73"/>
    <mergeCell ref="AA73:AE73"/>
    <mergeCell ref="T75:X75"/>
    <mergeCell ref="AA75:AE75"/>
    <mergeCell ref="T76:X76"/>
    <mergeCell ref="AA76:AE76"/>
  </mergeCells>
  <printOptions horizontalCentered="1"/>
  <pageMargins left="0.23622047244094491" right="0.23622047244094491" top="3.937007874015748E-2" bottom="3.937007874015748E-2" header="0" footer="0"/>
  <pageSetup paperSize="10000" scale="44" orientation="landscape" horizontalDpi="4294967293" r:id="rId1"/>
  <rowBreaks count="1" manualBreakCount="1">
    <brk id="47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Angkinang</vt:lpstr>
      <vt:lpstr>Angkinang!Print_Area</vt:lpstr>
      <vt:lpstr>Angkinang!Print_Titles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ACER</cp:lastModifiedBy>
  <cp:lastPrinted>2023-01-09T00:13:10Z</cp:lastPrinted>
  <dcterms:created xsi:type="dcterms:W3CDTF">2020-03-18T05:59:44Z</dcterms:created>
  <dcterms:modified xsi:type="dcterms:W3CDTF">2023-01-09T00:13:25Z</dcterms:modified>
</cp:coreProperties>
</file>