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E109F9DB-7D3F-42B9-A133-034B214F40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porapar" sheetId="1" r:id="rId1"/>
  </sheets>
  <definedNames>
    <definedName name="_xlnm.Print_Area" localSheetId="0">Disporapar!$A$1:$AE$126</definedName>
    <definedName name="_xlnm.Print_Titles" localSheetId="0">Disporapar!$7:$12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T83" i="1"/>
  <c r="U83" i="1" s="1"/>
  <c r="T62" i="1"/>
  <c r="U62" i="1" s="1"/>
  <c r="T63" i="1"/>
  <c r="U63" i="1" s="1"/>
  <c r="J18" i="1"/>
  <c r="L18" i="1"/>
  <c r="N18" i="1"/>
  <c r="P18" i="1"/>
  <c r="R18" i="1"/>
  <c r="T44" i="1"/>
  <c r="T30" i="1"/>
  <c r="S106" i="1"/>
  <c r="M96" i="1"/>
  <c r="S78" i="1"/>
  <c r="S76" i="1"/>
  <c r="T52" i="1" l="1"/>
  <c r="U52" i="1" s="1"/>
  <c r="Q107" i="1"/>
  <c r="O102" i="1"/>
  <c r="M93" i="1"/>
  <c r="K96" i="1"/>
  <c r="K93" i="1" s="1"/>
  <c r="Q90" i="1"/>
  <c r="K86" i="1"/>
  <c r="S81" i="1"/>
  <c r="S80" i="1" s="1"/>
  <c r="Q81" i="1"/>
  <c r="Q80" i="1" s="1"/>
  <c r="S70" i="1"/>
  <c r="Q70" i="1"/>
  <c r="Q69" i="1"/>
  <c r="S69" i="1" s="1"/>
  <c r="Q86" i="1" l="1"/>
  <c r="S90" i="1"/>
  <c r="S86" i="1" s="1"/>
  <c r="Q102" i="1"/>
  <c r="Q101" i="1" s="1"/>
  <c r="S107" i="1"/>
  <c r="S102" i="1" s="1"/>
  <c r="S101" i="1" s="1"/>
  <c r="W59" i="1" l="1"/>
  <c r="Q58" i="1"/>
  <c r="S58" i="1"/>
  <c r="O58" i="1"/>
  <c r="Q54" i="1"/>
  <c r="S54" i="1" s="1"/>
  <c r="H51" i="1"/>
  <c r="Q48" i="1"/>
  <c r="S48" i="1" s="1"/>
  <c r="Q27" i="1"/>
  <c r="W27" i="1" s="1"/>
  <c r="O20" i="1"/>
  <c r="G20" i="1"/>
  <c r="Q20" i="1" l="1"/>
  <c r="S20" i="1" s="1"/>
  <c r="E80" i="1" l="1"/>
  <c r="H80" i="1"/>
  <c r="L80" i="1"/>
  <c r="J80" i="1"/>
  <c r="J51" i="1"/>
  <c r="E51" i="1" l="1"/>
  <c r="L50" i="1"/>
  <c r="E50" i="1"/>
  <c r="T51" i="1"/>
  <c r="G107" i="1"/>
  <c r="G106" i="1"/>
  <c r="G100" i="1"/>
  <c r="G99" i="1"/>
  <c r="G92" i="1"/>
  <c r="E86" i="1"/>
  <c r="G90" i="1"/>
  <c r="G86" i="1" s="1"/>
  <c r="E85" i="1"/>
  <c r="G85" i="1"/>
  <c r="G82" i="1"/>
  <c r="G79" i="1"/>
  <c r="G78" i="1"/>
  <c r="G77" i="1"/>
  <c r="G76" i="1"/>
  <c r="G71" i="1"/>
  <c r="G69" i="1"/>
  <c r="G68" i="1"/>
  <c r="G65" i="1"/>
  <c r="G59" i="1"/>
  <c r="G56" i="1"/>
  <c r="G55" i="1"/>
  <c r="G54" i="1"/>
  <c r="E47" i="1"/>
  <c r="E49" i="1"/>
  <c r="G49" i="1"/>
  <c r="G48" i="1"/>
  <c r="G47" i="1"/>
  <c r="G43" i="1"/>
  <c r="G41" i="1"/>
  <c r="G40" i="1"/>
  <c r="G39" i="1"/>
  <c r="G38" i="1"/>
  <c r="G37" i="1"/>
  <c r="G36" i="1"/>
  <c r="G29" i="1"/>
  <c r="G28" i="1"/>
  <c r="G27" i="1"/>
  <c r="G26" i="1"/>
  <c r="G21" i="1"/>
  <c r="O101" i="1"/>
  <c r="M102" i="1"/>
  <c r="M101" i="1" s="1"/>
  <c r="O100" i="1"/>
  <c r="O99" i="1"/>
  <c r="T97" i="1"/>
  <c r="U97" i="1" s="1"/>
  <c r="T96" i="1"/>
  <c r="U96" i="1" s="1"/>
  <c r="O85" i="1"/>
  <c r="H50" i="1"/>
  <c r="O77" i="1"/>
  <c r="O68" i="1"/>
  <c r="O65" i="1"/>
  <c r="O56" i="1"/>
  <c r="O55" i="1"/>
  <c r="O49" i="1"/>
  <c r="O47" i="1"/>
  <c r="O43" i="1"/>
  <c r="O41" i="1"/>
  <c r="O40" i="1"/>
  <c r="O39" i="1"/>
  <c r="O38" i="1"/>
  <c r="O37" i="1"/>
  <c r="O36" i="1"/>
  <c r="O28" i="1"/>
  <c r="Q28" i="1" s="1"/>
  <c r="O26" i="1"/>
  <c r="O21" i="1"/>
  <c r="E48" i="1"/>
  <c r="E26" i="1"/>
  <c r="H22" i="1"/>
  <c r="N22" i="1"/>
  <c r="L22" i="1"/>
  <c r="J22" i="1"/>
  <c r="K64" i="1"/>
  <c r="K42" i="1"/>
  <c r="I42" i="1"/>
  <c r="O86" i="1"/>
  <c r="I84" i="1"/>
  <c r="I83" i="1" s="1"/>
  <c r="K84" i="1"/>
  <c r="O81" i="1"/>
  <c r="O80" i="1" s="1"/>
  <c r="M81" i="1"/>
  <c r="M80" i="1" s="1"/>
  <c r="M72" i="1"/>
  <c r="K72" i="1"/>
  <c r="N70" i="1"/>
  <c r="Q47" i="1" l="1"/>
  <c r="S47" i="1" s="1"/>
  <c r="Q36" i="1"/>
  <c r="S36" i="1" s="1"/>
  <c r="Q40" i="1"/>
  <c r="S40" i="1" s="1"/>
  <c r="Q49" i="1"/>
  <c r="S49" i="1" s="1"/>
  <c r="Q100" i="1"/>
  <c r="S100" i="1" s="1"/>
  <c r="Q21" i="1"/>
  <c r="Q18" i="1" s="1"/>
  <c r="S21" i="1"/>
  <c r="S18" i="1" s="1"/>
  <c r="Q37" i="1"/>
  <c r="S37" i="1" s="1"/>
  <c r="Q55" i="1"/>
  <c r="S55" i="1" s="1"/>
  <c r="O72" i="1"/>
  <c r="Q26" i="1"/>
  <c r="S26" i="1" s="1"/>
  <c r="S22" i="1" s="1"/>
  <c r="Q38" i="1"/>
  <c r="S38" i="1" s="1"/>
  <c r="Q56" i="1"/>
  <c r="S56" i="1" s="1"/>
  <c r="Q39" i="1"/>
  <c r="S39" i="1" s="1"/>
  <c r="Q22" i="1"/>
  <c r="Q99" i="1"/>
  <c r="Q96" i="1" s="1"/>
  <c r="Q93" i="1" s="1"/>
  <c r="O96" i="1"/>
  <c r="O93" i="1" s="1"/>
  <c r="Q77" i="1"/>
  <c r="Q72" i="1" s="1"/>
  <c r="O66" i="1"/>
  <c r="Q68" i="1"/>
  <c r="Q66" i="1" s="1"/>
  <c r="Q44" i="1"/>
  <c r="O64" i="1"/>
  <c r="Q65" i="1"/>
  <c r="Q64" i="1" s="1"/>
  <c r="O84" i="1"/>
  <c r="O83" i="1" s="1"/>
  <c r="Q85" i="1"/>
  <c r="Q84" i="1" s="1"/>
  <c r="Q83" i="1" s="1"/>
  <c r="Q41" i="1"/>
  <c r="S41" i="1" s="1"/>
  <c r="O42" i="1"/>
  <c r="Q43" i="1"/>
  <c r="Q42" i="1" s="1"/>
  <c r="T50" i="1"/>
  <c r="O44" i="1"/>
  <c r="O52" i="1"/>
  <c r="O50" i="1" s="1"/>
  <c r="O30" i="1"/>
  <c r="O22" i="1"/>
  <c r="O18" i="1"/>
  <c r="E95" i="1"/>
  <c r="I95" i="1"/>
  <c r="L102" i="1"/>
  <c r="S44" i="1" l="1"/>
  <c r="S52" i="1"/>
  <c r="S50" i="1" s="1"/>
  <c r="S30" i="1"/>
  <c r="Q52" i="1"/>
  <c r="Q50" i="1" s="1"/>
  <c r="S85" i="1"/>
  <c r="S84" i="1" s="1"/>
  <c r="S83" i="1" s="1"/>
  <c r="S99" i="1"/>
  <c r="S96" i="1" s="1"/>
  <c r="S93" i="1" s="1"/>
  <c r="S43" i="1"/>
  <c r="S42" i="1" s="1"/>
  <c r="S13" i="1"/>
  <c r="S68" i="1"/>
  <c r="S66" i="1" s="1"/>
  <c r="S65" i="1"/>
  <c r="S64" i="1" s="1"/>
  <c r="S77" i="1"/>
  <c r="S72" i="1" s="1"/>
  <c r="W41" i="1"/>
  <c r="Q60" i="1"/>
  <c r="Q30" i="1"/>
  <c r="Q13" i="1" s="1"/>
  <c r="O13" i="1"/>
  <c r="W97" i="1"/>
  <c r="O70" i="1"/>
  <c r="O60" i="1" s="1"/>
  <c r="S60" i="1" l="1"/>
  <c r="W96" i="1"/>
  <c r="W79" i="1"/>
  <c r="X79" i="1" s="1"/>
  <c r="W71" i="1"/>
  <c r="T26" i="1" l="1"/>
  <c r="K52" i="1" l="1"/>
  <c r="K18" i="1"/>
  <c r="K30" i="1"/>
  <c r="K22" i="1"/>
  <c r="M86" i="1" l="1"/>
  <c r="M84" i="1"/>
  <c r="M66" i="1"/>
  <c r="M70" i="1"/>
  <c r="M64" i="1"/>
  <c r="M58" i="1"/>
  <c r="M52" i="1"/>
  <c r="M44" i="1"/>
  <c r="M42" i="1"/>
  <c r="M30" i="1"/>
  <c r="M22" i="1"/>
  <c r="W22" i="1" s="1"/>
  <c r="M18" i="1"/>
  <c r="M83" i="1" l="1"/>
  <c r="M60" i="1"/>
  <c r="M50" i="1"/>
  <c r="M13" i="1"/>
  <c r="G64" i="1"/>
  <c r="I64" i="1"/>
  <c r="W65" i="1"/>
  <c r="AA65" i="1" s="1"/>
  <c r="T65" i="1"/>
  <c r="Z65" i="1" s="1"/>
  <c r="W64" i="1"/>
  <c r="L64" i="1"/>
  <c r="T64" i="1" s="1"/>
  <c r="U65" i="1" l="1"/>
  <c r="U64" i="1"/>
  <c r="Z64" i="1"/>
  <c r="X65" i="1"/>
  <c r="H67" i="1"/>
  <c r="H73" i="1"/>
  <c r="H84" i="1"/>
  <c r="H93" i="1"/>
  <c r="H101" i="1"/>
  <c r="I102" i="1" l="1"/>
  <c r="I101" i="1" s="1"/>
  <c r="K102" i="1"/>
  <c r="K101" i="1" s="1"/>
  <c r="I93" i="1"/>
  <c r="W90" i="1"/>
  <c r="AA90" i="1" s="1"/>
  <c r="T90" i="1"/>
  <c r="Z90" i="1" s="1"/>
  <c r="W86" i="1"/>
  <c r="L86" i="1"/>
  <c r="T86" i="1" s="1"/>
  <c r="I81" i="1"/>
  <c r="I80" i="1" s="1"/>
  <c r="K81" i="1"/>
  <c r="K80" i="1" s="1"/>
  <c r="I72" i="1"/>
  <c r="I70" i="1"/>
  <c r="K70" i="1"/>
  <c r="I66" i="1"/>
  <c r="AA64" i="1" s="1"/>
  <c r="K66" i="1"/>
  <c r="I58" i="1"/>
  <c r="K58" i="1"/>
  <c r="W56" i="1"/>
  <c r="X56" i="1" s="1"/>
  <c r="T56" i="1"/>
  <c r="U56" i="1" s="1"/>
  <c r="Z57" i="1"/>
  <c r="AA57" i="1"/>
  <c r="W55" i="1"/>
  <c r="AA55" i="1" s="1"/>
  <c r="T55" i="1"/>
  <c r="I52" i="1"/>
  <c r="G44" i="1"/>
  <c r="I44" i="1"/>
  <c r="K44" i="1"/>
  <c r="K13" i="1" s="1"/>
  <c r="G42" i="1"/>
  <c r="G30" i="1"/>
  <c r="I30" i="1"/>
  <c r="G22" i="1"/>
  <c r="I22" i="1"/>
  <c r="G18" i="1"/>
  <c r="I18" i="1"/>
  <c r="X64" i="1" l="1"/>
  <c r="K60" i="1"/>
  <c r="G13" i="1"/>
  <c r="AA56" i="1"/>
  <c r="X90" i="1"/>
  <c r="I50" i="1"/>
  <c r="X86" i="1"/>
  <c r="Z86" i="1"/>
  <c r="U86" i="1"/>
  <c r="AA86" i="1"/>
  <c r="U90" i="1"/>
  <c r="I60" i="1"/>
  <c r="X55" i="1"/>
  <c r="Z56" i="1"/>
  <c r="Z55" i="1"/>
  <c r="I13" i="1"/>
  <c r="T13" i="1"/>
  <c r="T20" i="1"/>
  <c r="T21" i="1"/>
  <c r="T27" i="1"/>
  <c r="T28" i="1"/>
  <c r="T29" i="1"/>
  <c r="T36" i="1"/>
  <c r="T37" i="1"/>
  <c r="T38" i="1"/>
  <c r="T39" i="1"/>
  <c r="T40" i="1"/>
  <c r="T41" i="1"/>
  <c r="T42" i="1"/>
  <c r="T43" i="1"/>
  <c r="T47" i="1"/>
  <c r="T48" i="1"/>
  <c r="T49" i="1"/>
  <c r="T53" i="1"/>
  <c r="U53" i="1" s="1"/>
  <c r="T54" i="1"/>
  <c r="T59" i="1"/>
  <c r="T60" i="1"/>
  <c r="T61" i="1"/>
  <c r="T67" i="1"/>
  <c r="T68" i="1"/>
  <c r="T69" i="1"/>
  <c r="T76" i="1"/>
  <c r="T77" i="1"/>
  <c r="T78" i="1"/>
  <c r="T71" i="1"/>
  <c r="T81" i="1"/>
  <c r="U81" i="1" s="1"/>
  <c r="T82" i="1"/>
  <c r="T85" i="1"/>
  <c r="T99" i="1"/>
  <c r="T100" i="1"/>
  <c r="T103" i="1"/>
  <c r="T106" i="1"/>
  <c r="T107" i="1"/>
  <c r="T102" i="1" l="1"/>
  <c r="L91" i="1"/>
  <c r="T84" i="1"/>
  <c r="E43" i="1" l="1"/>
  <c r="E41" i="1"/>
  <c r="E40" i="1"/>
  <c r="E39" i="1"/>
  <c r="E38" i="1"/>
  <c r="E37" i="1"/>
  <c r="E36" i="1"/>
  <c r="E30" i="1"/>
  <c r="E29" i="1"/>
  <c r="E28" i="1"/>
  <c r="E27" i="1"/>
  <c r="E21" i="1"/>
  <c r="E20" i="1"/>
  <c r="E22" i="1" l="1"/>
  <c r="E18" i="1"/>
  <c r="G81" i="1"/>
  <c r="G80" i="1" s="1"/>
  <c r="T80" i="1"/>
  <c r="U80" i="1" s="1"/>
  <c r="U51" i="1"/>
  <c r="L58" i="1"/>
  <c r="T58" i="1" s="1"/>
  <c r="U55" i="1"/>
  <c r="G58" i="1"/>
  <c r="E59" i="1"/>
  <c r="G52" i="1"/>
  <c r="U50" i="1"/>
  <c r="U67" i="1"/>
  <c r="T66" i="1"/>
  <c r="E68" i="1"/>
  <c r="E66" i="1" s="1"/>
  <c r="G70" i="1"/>
  <c r="E71" i="1"/>
  <c r="E70" i="1" s="1"/>
  <c r="L70" i="1"/>
  <c r="T70" i="1" s="1"/>
  <c r="J70" i="1"/>
  <c r="T72" i="1"/>
  <c r="J72" i="1"/>
  <c r="T73" i="1"/>
  <c r="E76" i="1"/>
  <c r="E78" i="1"/>
  <c r="T101" i="1"/>
  <c r="E107" i="1"/>
  <c r="E103" i="1" s="1"/>
  <c r="E106" i="1"/>
  <c r="E102" i="1" s="1"/>
  <c r="G95" i="1"/>
  <c r="L93" i="1"/>
  <c r="T93" i="1" s="1"/>
  <c r="E92" i="1"/>
  <c r="E91" i="1" s="1"/>
  <c r="G91" i="1"/>
  <c r="J91" i="1"/>
  <c r="J84" i="1"/>
  <c r="E84" i="1"/>
  <c r="G84" i="1"/>
  <c r="G83" i="1" l="1"/>
  <c r="G93" i="1"/>
  <c r="G102" i="1"/>
  <c r="G101" i="1" s="1"/>
  <c r="G66" i="1"/>
  <c r="G72" i="1"/>
  <c r="E72" i="1"/>
  <c r="Z51" i="1"/>
  <c r="U61" i="1"/>
  <c r="G50" i="1"/>
  <c r="Z61" i="1"/>
  <c r="Z73" i="1"/>
  <c r="Z67" i="1"/>
  <c r="U73" i="1"/>
  <c r="U103" i="1"/>
  <c r="Z103" i="1"/>
  <c r="W107" i="1"/>
  <c r="AA107" i="1" s="1"/>
  <c r="Z107" i="1"/>
  <c r="W106" i="1"/>
  <c r="X106" i="1" s="1"/>
  <c r="U106" i="1"/>
  <c r="U102" i="1"/>
  <c r="U101" i="1"/>
  <c r="W100" i="1"/>
  <c r="AA100" i="1" s="1"/>
  <c r="Z100" i="1"/>
  <c r="W99" i="1"/>
  <c r="AA99" i="1" s="1"/>
  <c r="U93" i="1"/>
  <c r="U44" i="1"/>
  <c r="G60" i="1" l="1"/>
  <c r="Z53" i="1"/>
  <c r="W44" i="1"/>
  <c r="AA44" i="1" s="1"/>
  <c r="X99" i="1"/>
  <c r="X107" i="1"/>
  <c r="Z99" i="1"/>
  <c r="U99" i="1"/>
  <c r="X100" i="1"/>
  <c r="Z106" i="1"/>
  <c r="U107" i="1"/>
  <c r="AA106" i="1"/>
  <c r="Z101" i="1"/>
  <c r="Z102" i="1"/>
  <c r="U100" i="1"/>
  <c r="Z95" i="1"/>
  <c r="Z93" i="1"/>
  <c r="Z44" i="1"/>
  <c r="X44" i="1" l="1"/>
  <c r="T18" i="1" l="1"/>
  <c r="AA92" i="1" l="1"/>
  <c r="Z92" i="1"/>
  <c r="W85" i="1"/>
  <c r="AA85" i="1" s="1"/>
  <c r="U85" i="1"/>
  <c r="U84" i="1"/>
  <c r="W82" i="1"/>
  <c r="AA82" i="1" s="1"/>
  <c r="U82" i="1"/>
  <c r="AA71" i="1"/>
  <c r="U71" i="1"/>
  <c r="U70" i="1"/>
  <c r="W78" i="1"/>
  <c r="AA78" i="1" s="1"/>
  <c r="U78" i="1"/>
  <c r="W77" i="1"/>
  <c r="AA77" i="1" s="1"/>
  <c r="U77" i="1"/>
  <c r="W76" i="1"/>
  <c r="AA76" i="1" s="1"/>
  <c r="U76" i="1"/>
  <c r="U72" i="1"/>
  <c r="W69" i="1"/>
  <c r="AA69" i="1" s="1"/>
  <c r="U69" i="1"/>
  <c r="W68" i="1"/>
  <c r="AA68" i="1" s="1"/>
  <c r="U68" i="1"/>
  <c r="U66" i="1"/>
  <c r="U60" i="1"/>
  <c r="AA59" i="1"/>
  <c r="U59" i="1"/>
  <c r="U58" i="1"/>
  <c r="W54" i="1"/>
  <c r="AA54" i="1" s="1"/>
  <c r="U54" i="1"/>
  <c r="W49" i="1"/>
  <c r="AA49" i="1" s="1"/>
  <c r="U49" i="1"/>
  <c r="W48" i="1"/>
  <c r="AA48" i="1" s="1"/>
  <c r="U48" i="1"/>
  <c r="W47" i="1"/>
  <c r="AA47" i="1" s="1"/>
  <c r="U47" i="1"/>
  <c r="W43" i="1"/>
  <c r="AA43" i="1" s="1"/>
  <c r="U43" i="1"/>
  <c r="U42" i="1"/>
  <c r="AA41" i="1"/>
  <c r="U41" i="1"/>
  <c r="W40" i="1"/>
  <c r="AA40" i="1" s="1"/>
  <c r="U40" i="1"/>
  <c r="W39" i="1"/>
  <c r="AA39" i="1" s="1"/>
  <c r="U39" i="1"/>
  <c r="W38" i="1"/>
  <c r="AA38" i="1" s="1"/>
  <c r="U38" i="1"/>
  <c r="W37" i="1"/>
  <c r="AA37" i="1" s="1"/>
  <c r="U37" i="1"/>
  <c r="W36" i="1"/>
  <c r="AA36" i="1" s="1"/>
  <c r="U36" i="1"/>
  <c r="U30" i="1"/>
  <c r="W29" i="1"/>
  <c r="AA29" i="1" s="1"/>
  <c r="U29" i="1"/>
  <c r="W28" i="1"/>
  <c r="AA28" i="1" s="1"/>
  <c r="U28" i="1"/>
  <c r="AA27" i="1"/>
  <c r="U27" i="1"/>
  <c r="W26" i="1"/>
  <c r="AA26" i="1" s="1"/>
  <c r="Z26" i="1"/>
  <c r="W21" i="1"/>
  <c r="AA21" i="1" s="1"/>
  <c r="Z21" i="1"/>
  <c r="W20" i="1"/>
  <c r="U20" i="1"/>
  <c r="Z13" i="1"/>
  <c r="X20" i="1" l="1"/>
  <c r="AA20" i="1"/>
  <c r="X47" i="1"/>
  <c r="X68" i="1"/>
  <c r="X78" i="1"/>
  <c r="X85" i="1"/>
  <c r="X36" i="1"/>
  <c r="X28" i="1"/>
  <c r="Z20" i="1"/>
  <c r="X40" i="1"/>
  <c r="X37" i="1"/>
  <c r="X54" i="1"/>
  <c r="X59" i="1"/>
  <c r="X69" i="1"/>
  <c r="X77" i="1"/>
  <c r="X27" i="1"/>
  <c r="X41" i="1"/>
  <c r="X29" i="1"/>
  <c r="X38" i="1"/>
  <c r="X48" i="1"/>
  <c r="X82" i="1"/>
  <c r="X26" i="1"/>
  <c r="X39" i="1"/>
  <c r="X43" i="1"/>
  <c r="X49" i="1"/>
  <c r="X76" i="1"/>
  <c r="X71" i="1"/>
  <c r="Z18" i="1"/>
  <c r="U21" i="1"/>
  <c r="X21" i="1"/>
  <c r="U26" i="1"/>
  <c r="Z27" i="1"/>
  <c r="Z28" i="1"/>
  <c r="Z29" i="1"/>
  <c r="Z30" i="1"/>
  <c r="Z36" i="1"/>
  <c r="Z37" i="1"/>
  <c r="Z38" i="1"/>
  <c r="Z39" i="1"/>
  <c r="Z40" i="1"/>
  <c r="Z41" i="1"/>
  <c r="Z42" i="1"/>
  <c r="Z43" i="1"/>
  <c r="Z47" i="1"/>
  <c r="Z48" i="1"/>
  <c r="Z49" i="1"/>
  <c r="Z50" i="1"/>
  <c r="Z52" i="1"/>
  <c r="Z54" i="1"/>
  <c r="Z58" i="1"/>
  <c r="Z59" i="1"/>
  <c r="Z60" i="1"/>
  <c r="Z66" i="1"/>
  <c r="Z68" i="1"/>
  <c r="Z69" i="1"/>
  <c r="Z72" i="1"/>
  <c r="Z76" i="1"/>
  <c r="Z77" i="1"/>
  <c r="Z78" i="1"/>
  <c r="Z70" i="1"/>
  <c r="Z71" i="1"/>
  <c r="Z80" i="1"/>
  <c r="Z81" i="1"/>
  <c r="Z82" i="1"/>
  <c r="Z83" i="1"/>
  <c r="Z84" i="1"/>
  <c r="Z85" i="1"/>
  <c r="Z91" i="1"/>
  <c r="U13" i="1"/>
  <c r="T22" i="1" l="1"/>
  <c r="Z22" i="1" s="1"/>
  <c r="U18" i="1"/>
  <c r="U22" i="1" l="1"/>
  <c r="K50" i="1"/>
  <c r="K91" i="1"/>
  <c r="K83" i="1" s="1"/>
  <c r="W66" i="1"/>
  <c r="W52" i="1"/>
  <c r="AH29" i="1"/>
  <c r="W42" i="1"/>
  <c r="W30" i="1"/>
  <c r="W72" i="1" l="1"/>
  <c r="AA72" i="1" s="1"/>
  <c r="W70" i="1"/>
  <c r="X70" i="1" s="1"/>
  <c r="W18" i="1"/>
  <c r="X18" i="1" s="1"/>
  <c r="W13" i="1"/>
  <c r="W101" i="1"/>
  <c r="W102" i="1"/>
  <c r="W93" i="1"/>
  <c r="AA66" i="1"/>
  <c r="X66" i="1"/>
  <c r="W83" i="1"/>
  <c r="W84" i="1"/>
  <c r="AA52" i="1"/>
  <c r="X52" i="1"/>
  <c r="W60" i="1"/>
  <c r="AA91" i="1"/>
  <c r="AA30" i="1"/>
  <c r="X30" i="1"/>
  <c r="W50" i="1"/>
  <c r="W58" i="1"/>
  <c r="W80" i="1"/>
  <c r="W81" i="1"/>
  <c r="AA22" i="1"/>
  <c r="X22" i="1"/>
  <c r="AA42" i="1"/>
  <c r="X42" i="1"/>
  <c r="X72" i="1" l="1"/>
  <c r="AA70" i="1"/>
  <c r="AA18" i="1"/>
  <c r="AA102" i="1"/>
  <c r="X102" i="1"/>
  <c r="AA95" i="1"/>
  <c r="AA101" i="1"/>
  <c r="X101" i="1"/>
  <c r="AA93" i="1"/>
  <c r="X93" i="1"/>
  <c r="AA58" i="1"/>
  <c r="X58" i="1"/>
  <c r="AA83" i="1"/>
  <c r="X83" i="1"/>
  <c r="AA13" i="1"/>
  <c r="X13" i="1"/>
  <c r="AA50" i="1"/>
  <c r="X50" i="1"/>
  <c r="AA80" i="1"/>
  <c r="X80" i="1"/>
  <c r="AA84" i="1"/>
  <c r="X84" i="1"/>
  <c r="AA81" i="1"/>
  <c r="X81" i="1"/>
  <c r="AA60" i="1"/>
  <c r="X60" i="1"/>
  <c r="AH28" i="1"/>
  <c r="AH27" i="1"/>
  <c r="AH26" i="1"/>
  <c r="AH22" i="1"/>
  <c r="AH13" i="1"/>
  <c r="X108" i="1" l="1"/>
  <c r="X109" i="1" s="1"/>
  <c r="U108" i="1" l="1"/>
  <c r="U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1000</author>
    <author>ASUS</author>
    <author>USER</author>
  </authors>
  <commentList>
    <comment ref="G20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HP 1000:</t>
        </r>
        <r>
          <rPr>
            <sz val="14"/>
            <color indexed="81"/>
            <rFont val="Tahoma"/>
            <family val="2"/>
          </rPr>
          <t xml:space="preserve">
pagu 2021 perubahan + 2022 perubahan + pagu 2023</t>
        </r>
      </text>
    </comment>
    <comment ref="J2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HP 1000: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Renstra,RKA Murni,RKA Perubahan,Renja Murni,Renja PErubahan</t>
        </r>
      </text>
    </comment>
    <comment ref="L20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Renstra</t>
        </r>
      </text>
    </comment>
    <comment ref="N20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RKA Murni,RKA Perubahan,Renja Murni</t>
        </r>
      </text>
    </comment>
    <comment ref="O20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realisasi juni dikurang maret</t>
        </r>
      </text>
    </comment>
    <comment ref="Q20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realisasi September dikurangi Juni dan Maret</t>
        </r>
      </text>
    </comment>
    <comment ref="J21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LKJ TW I,LKJ TW II,LKJ TW III,LKJ Tahunan,Cascading,PK Murni,PK Perubahan,Rencana aksi,IKU murni,Iku perubahan</t>
        </r>
      </text>
    </comment>
    <comment ref="L21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LKJ TW I,Cascading,PK Murni,IKU Murni</t>
        </r>
      </text>
    </comment>
    <comment ref="N21" authorId="0" shapeId="0" xr:uid="{00000000-0006-0000-0000-000009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LKJ TW II</t>
        </r>
      </text>
    </comment>
    <comment ref="P21" authorId="1" shapeId="0" xr:uid="{2C53FC14-F62F-4FBA-8B6E-0D79C2872C71}">
      <text>
        <r>
          <rPr>
            <b/>
            <sz val="9"/>
            <color indexed="81"/>
            <rFont val="Tahoma"/>
            <charset val="1"/>
          </rPr>
          <t>LKJ TW III, PK Perubahan, Rancana Aksi, IKU Perubahan</t>
        </r>
      </text>
    </comment>
    <comment ref="R21" authorId="1" shapeId="0" xr:uid="{ECEA4F59-7849-45D8-A51F-349DF8FD55DB}">
      <text>
        <r>
          <rPr>
            <b/>
            <sz val="9"/>
            <color indexed="81"/>
            <rFont val="Tahoma"/>
            <charset val="1"/>
          </rPr>
          <t>LKJ Tahunan</t>
        </r>
      </text>
    </comment>
    <comment ref="G48" authorId="0" shapeId="0" xr:uid="{00000000-0006-0000-0000-00000A000000}">
      <text>
        <r>
          <rPr>
            <sz val="14"/>
            <color indexed="81"/>
            <rFont val="Tahoma"/>
            <family val="2"/>
          </rPr>
          <t>Pagu 2021  + Pagu 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 shapeId="0" xr:uid="{00000000-0006-0000-0000-00000B000000}">
      <text>
        <r>
          <rPr>
            <b/>
            <sz val="12"/>
            <color indexed="81"/>
            <rFont val="Tahoma"/>
            <family val="2"/>
          </rPr>
          <t>HP 1000:</t>
        </r>
        <r>
          <rPr>
            <sz val="12"/>
            <color indexed="81"/>
            <rFont val="Tahoma"/>
            <family val="2"/>
          </rPr>
          <t xml:space="preserve">
pemeliharaan AC,PC,Printer,Laptop</t>
        </r>
      </text>
    </comment>
    <comment ref="J50" authorId="0" shapeId="0" xr:uid="{00000000-0006-0000-0000-00000C000000}">
      <text>
        <r>
          <rPr>
            <sz val="14"/>
            <color indexed="81"/>
            <rFont val="Tahoma"/>
            <family val="2"/>
          </rPr>
          <t>Jumlah Pemuda Wirausaha/Jumlah Pemuda *100</t>
        </r>
      </text>
    </comment>
    <comment ref="J51" authorId="0" shapeId="0" xr:uid="{00000000-0006-0000-0000-00000D000000}">
      <text>
        <r>
          <rPr>
            <sz val="14"/>
            <color indexed="81"/>
            <rFont val="Tahoma"/>
            <family val="2"/>
          </rPr>
          <t>jumlah pemuda yg aktif menjadi anggota organisasi/jumlah pemuda x 100</t>
        </r>
      </text>
    </comment>
    <comment ref="L51" authorId="0" shapeId="0" xr:uid="{00000000-0006-0000-0000-00000E000000}">
      <text>
        <r>
          <rPr>
            <sz val="14"/>
            <color indexed="81"/>
            <rFont val="Tahoma"/>
            <family val="2"/>
          </rPr>
          <t>jumlah pemuda yg aktif menjadi anggota organisasi/jumlah pemuda x 100</t>
        </r>
      </text>
    </comment>
    <comment ref="N53" authorId="2" shapeId="0" xr:uid="{00000000-0006-0000-0000-00000F000000}">
      <text>
        <r>
          <rPr>
            <b/>
            <sz val="12"/>
            <color indexed="81"/>
            <rFont val="Tahoma"/>
            <family val="2"/>
          </rPr>
          <t>Drumband, Paduan Suara, Paskibraka</t>
        </r>
      </text>
    </comment>
    <comment ref="P53" authorId="2" shapeId="0" xr:uid="{00000000-0006-0000-0000-000010000000}">
      <text>
        <r>
          <rPr>
            <b/>
            <sz val="12"/>
            <color indexed="81"/>
            <rFont val="Tahoma"/>
            <family val="2"/>
          </rPr>
          <t>Paskibraka Prov, Pepelingasih</t>
        </r>
      </text>
    </comment>
    <comment ref="R53" authorId="2" shapeId="0" xr:uid="{00000000-0006-0000-0000-000011000000}">
      <text>
        <r>
          <rPr>
            <b/>
            <sz val="12"/>
            <color indexed="81"/>
            <rFont val="Tahoma"/>
            <family val="2"/>
          </rPr>
          <t>Paskibraka Prov, Pepelingasih</t>
        </r>
      </text>
    </comment>
    <comment ref="G54" authorId="0" shapeId="0" xr:uid="{00000000-0006-0000-0000-000012000000}">
      <text>
        <r>
          <rPr>
            <sz val="14"/>
            <color indexed="81"/>
            <rFont val="Tahoma"/>
            <family val="2"/>
          </rPr>
          <t>Pagu 2022</t>
        </r>
      </text>
    </comment>
    <comment ref="G56" authorId="0" shapeId="0" xr:uid="{00000000-0006-0000-0000-000013000000}">
      <text>
        <r>
          <rPr>
            <sz val="14"/>
            <color indexed="81"/>
            <rFont val="Tahoma"/>
            <family val="2"/>
          </rPr>
          <t xml:space="preserve">Pagu 2022 +Pagu 2023
</t>
        </r>
      </text>
    </comment>
    <comment ref="G65" authorId="0" shapeId="0" xr:uid="{00000000-0006-0000-0000-000014000000}">
      <text>
        <r>
          <rPr>
            <sz val="12"/>
            <color indexed="81"/>
            <rFont val="Tahoma"/>
            <family val="2"/>
          </rPr>
          <t>Pagu 2022</t>
        </r>
      </text>
    </comment>
    <comment ref="J68" authorId="2" shapeId="0" xr:uid="{00000000-0006-0000-0000-000015000000}">
      <text>
        <r>
          <rPr>
            <b/>
            <sz val="12"/>
            <color indexed="81"/>
            <rFont val="Tahoma"/>
            <family val="2"/>
          </rPr>
          <t>Atletik, Gulat, Karate, Panahan, Taekwondo, Tinju, Volly Pasir, Judo, Kempo, Brif, Dayung, Renang</t>
        </r>
      </text>
    </comment>
    <comment ref="E69" authorId="2" shapeId="0" xr:uid="{00000000-0006-0000-0000-000016000000}">
      <text>
        <r>
          <rPr>
            <b/>
            <sz val="12"/>
            <color indexed="81"/>
            <rFont val="Tahoma"/>
            <family val="2"/>
          </rPr>
          <t>7, 5, 5</t>
        </r>
      </text>
    </comment>
    <comment ref="G69" authorId="0" shapeId="0" xr:uid="{00000000-0006-0000-0000-000017000000}">
      <text>
        <r>
          <rPr>
            <sz val="12"/>
            <color indexed="81"/>
            <rFont val="Tahoma"/>
            <family val="2"/>
          </rPr>
          <t>Pagu 2021 + Pagu 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9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Negatif</t>
        </r>
      </text>
    </comment>
    <comment ref="E71" authorId="2" shapeId="0" xr:uid="{00000000-0006-0000-0000-000019000000}">
      <text>
        <r>
          <rPr>
            <b/>
            <sz val="12"/>
            <color indexed="81"/>
            <rFont val="Tahoma"/>
            <family val="2"/>
          </rPr>
          <t>KONI, NPC, KORMI</t>
        </r>
      </text>
    </comment>
    <comment ref="H71" authorId="2" shapeId="0" xr:uid="{00000000-0006-0000-0000-00001A000000}">
      <text>
        <r>
          <rPr>
            <b/>
            <sz val="12"/>
            <color indexed="81"/>
            <rFont val="Tahoma"/>
            <family val="2"/>
          </rPr>
          <t>KONI, NPC
Anggaran masih di BPKPD</t>
        </r>
      </text>
    </comment>
    <comment ref="J71" authorId="2" shapeId="0" xr:uid="{00000000-0006-0000-0000-00001B000000}">
      <text>
        <r>
          <rPr>
            <b/>
            <sz val="12"/>
            <color indexed="81"/>
            <rFont val="Tahoma"/>
            <family val="2"/>
          </rPr>
          <t>KONI, NPC</t>
        </r>
      </text>
    </comment>
    <comment ref="E76" authorId="2" shapeId="0" xr:uid="{00000000-0006-0000-0000-00001C000000}">
      <text>
        <r>
          <rPr>
            <b/>
            <sz val="12"/>
            <color indexed="81"/>
            <rFont val="Tahoma"/>
            <family val="2"/>
          </rPr>
          <t>Dayung, HAORNAS, Sepeda Santai</t>
        </r>
      </text>
    </comment>
    <comment ref="G76" authorId="0" shapeId="0" xr:uid="{00000000-0006-0000-0000-00001D000000}">
      <text>
        <r>
          <rPr>
            <sz val="14"/>
            <color indexed="81"/>
            <rFont val="Tahoma"/>
            <family val="2"/>
          </rPr>
          <t>Pagu 2021 + Pagu 2022</t>
        </r>
      </text>
    </comment>
    <comment ref="J76" authorId="2" shapeId="0" xr:uid="{00000000-0006-0000-0000-00001E000000}">
      <text>
        <r>
          <rPr>
            <b/>
            <sz val="12"/>
            <color indexed="81"/>
            <rFont val="Tahoma"/>
            <family val="2"/>
          </rPr>
          <t>Dayung, HAORNAS, Sepeda Santai</t>
        </r>
      </text>
    </comment>
    <comment ref="E77" authorId="2" shapeId="0" xr:uid="{00000000-0006-0000-0000-00001F000000}">
      <text>
        <r>
          <rPr>
            <b/>
            <sz val="12"/>
            <color indexed="81"/>
            <rFont val="Tahoma"/>
            <family val="2"/>
          </rPr>
          <t>Panjat Tebing, GOS, Lapangan Tenis Antaludin, Lap Tenis Tumpang Talu, Lap Basket, Kolam Renang AAC, Stadion 2 Des, Gedung Serbaguna, Duta Futsal, Venue IODI, Lapangan Volly (2)</t>
        </r>
      </text>
    </comment>
    <comment ref="H77" authorId="2" shapeId="0" xr:uid="{00000000-0006-0000-0000-000020000000}">
      <text>
        <r>
          <rPr>
            <b/>
            <sz val="12"/>
            <color indexed="81"/>
            <rFont val="Tahoma"/>
            <family val="2"/>
          </rPr>
          <t>Kolam Renang, 6 Venue anggaran di Setda Bag. Umun</t>
        </r>
      </text>
    </comment>
    <comment ref="J77" authorId="2" shapeId="0" xr:uid="{00000000-0006-0000-0000-000021000000}">
      <text>
        <r>
          <rPr>
            <b/>
            <sz val="12"/>
            <color indexed="81"/>
            <rFont val="Tahoma"/>
            <family val="2"/>
          </rPr>
          <t>Panjat Tebing, GOS, Lapangan Tenis Antaludin, Lap Tenis Tumpang Talu, Lap Basket, Kolam Renang AAC, Stadion 2 Des</t>
        </r>
      </text>
    </comment>
    <comment ref="L77" authorId="2" shapeId="0" xr:uid="{00000000-0006-0000-0000-000022000000}">
      <text>
        <r>
          <rPr>
            <b/>
            <sz val="9"/>
            <color indexed="81"/>
            <rFont val="Tahoma"/>
            <family val="2"/>
          </rPr>
          <t>Kolam Renang</t>
        </r>
      </text>
    </comment>
    <comment ref="G78" authorId="0" shapeId="0" xr:uid="{00000000-0006-0000-0000-000023000000}">
      <text>
        <r>
          <rPr>
            <sz val="12"/>
            <color indexed="81"/>
            <rFont val="Tahoma"/>
            <family val="2"/>
          </rPr>
          <t>Pagu 2021 + Pagu 2022</t>
        </r>
      </text>
    </comment>
    <comment ref="J78" authorId="2" shapeId="0" xr:uid="{00000000-0006-0000-0000-000024000000}">
      <text>
        <r>
          <rPr>
            <b/>
            <sz val="12"/>
            <color indexed="81"/>
            <rFont val="Tahoma"/>
            <family val="2"/>
          </rPr>
          <t>Terjal, Goes Sehati</t>
        </r>
      </text>
    </comment>
    <comment ref="G79" authorId="0" shapeId="0" xr:uid="{00000000-0006-0000-0000-000025000000}">
      <text>
        <r>
          <rPr>
            <sz val="12"/>
            <color indexed="81"/>
            <rFont val="Tahoma"/>
            <family val="2"/>
          </rPr>
          <t>Pagu 2022</t>
        </r>
      </text>
    </comment>
    <comment ref="H80" authorId="0" shapeId="0" xr:uid="{00000000-0006-0000-0000-000026000000}">
      <text>
        <r>
          <rPr>
            <sz val="14"/>
            <color indexed="81"/>
            <rFont val="Tahoma"/>
            <family val="2"/>
          </rPr>
          <t>jumlah pemuda yg aktif menjadi anggota organisasi/jumlah pemuda x 100</t>
        </r>
      </text>
    </comment>
    <comment ref="J80" authorId="0" shapeId="0" xr:uid="{00000000-0006-0000-0000-000027000000}">
      <text>
        <r>
          <rPr>
            <sz val="14"/>
            <color indexed="81"/>
            <rFont val="Tahoma"/>
            <family val="2"/>
          </rPr>
          <t>jumlah pemuda yg aktif menjadi anggota organisasi/jumlah pemuda x 100</t>
        </r>
      </text>
    </comment>
    <comment ref="L80" authorId="0" shapeId="0" xr:uid="{00000000-0006-0000-0000-000028000000}">
      <text>
        <r>
          <rPr>
            <sz val="14"/>
            <color indexed="81"/>
            <rFont val="Tahoma"/>
            <family val="2"/>
          </rPr>
          <t>jumlah pemuda yg aktif menjadi anggota organisasi/jumlah pemuda x 100</t>
        </r>
      </text>
    </comment>
    <comment ref="H82" authorId="0" shapeId="0" xr:uid="{00000000-0006-0000-0000-000029000000}">
      <text>
        <r>
          <rPr>
            <sz val="12"/>
            <color indexed="81"/>
            <rFont val="Tahoma"/>
            <family val="2"/>
          </rPr>
          <t>(Indikator: Jumlah Kegiatan Kepramukaan yg diselenggarakan dan diikuti))</t>
        </r>
      </text>
    </comment>
    <comment ref="J84" authorId="2" shapeId="0" xr:uid="{00000000-0006-0000-0000-00002A000000}">
      <text>
        <r>
          <rPr>
            <b/>
            <sz val="12"/>
            <color indexed="81"/>
            <rFont val="Tahoma"/>
            <family val="2"/>
          </rPr>
          <t>Tanuhi, Dermaga Ni'ih, Green House Loksado, Hotel Ramu, Dermaga Loksado</t>
        </r>
      </text>
    </comment>
    <comment ref="E90" authorId="2" shapeId="0" xr:uid="{00000000-0006-0000-0000-00002B000000}">
      <text>
        <r>
          <rPr>
            <b/>
            <sz val="12"/>
            <color theme="1"/>
            <rFont val="Calibri"/>
            <family val="2"/>
            <scheme val="minor"/>
          </rPr>
          <t>Kalang Hadangan Paharangan, Tanuhi</t>
        </r>
      </text>
    </comment>
    <comment ref="G90" authorId="0" shapeId="0" xr:uid="{00000000-0006-0000-0000-00002C000000}">
      <text>
        <r>
          <rPr>
            <sz val="12"/>
            <color indexed="81"/>
            <rFont val="Tahoma"/>
            <family val="2"/>
          </rPr>
          <t>Pagu 2022</t>
        </r>
      </text>
    </comment>
    <comment ref="J90" authorId="2" shapeId="0" xr:uid="{00000000-0006-0000-0000-00002D000000}">
      <text>
        <r>
          <rPr>
            <b/>
            <sz val="12"/>
            <color indexed="81"/>
            <rFont val="Tahoma"/>
            <family val="2"/>
          </rPr>
          <t>Bukit Langara, Tanuhi, Dermaga Ni'ih, Hotel Ramu</t>
        </r>
      </text>
    </comment>
    <comment ref="E92" authorId="2" shapeId="0" xr:uid="{00000000-0006-0000-0000-00002E000000}">
      <text>
        <r>
          <rPr>
            <b/>
            <sz val="12"/>
            <color theme="1"/>
            <rFont val="Calibri"/>
            <family val="2"/>
            <scheme val="minor"/>
          </rPr>
          <t>Kalang Hadangan Paharangan, Tanuhi</t>
        </r>
      </text>
    </comment>
    <comment ref="G92" authorId="0" shapeId="0" xr:uid="{00000000-0006-0000-0000-00002F000000}">
      <text>
        <r>
          <rPr>
            <sz val="14"/>
            <color indexed="81"/>
            <rFont val="Tahoma"/>
            <family val="2"/>
          </rPr>
          <t>Pagu 2021 + Pagu 2023</t>
        </r>
      </text>
    </comment>
    <comment ref="E99" authorId="2" shapeId="0" xr:uid="{00000000-0006-0000-0000-000030000000}">
      <text>
        <r>
          <rPr>
            <b/>
            <sz val="12"/>
            <color indexed="81"/>
            <rFont val="Tahoma"/>
            <family val="2"/>
          </rPr>
          <t>Spanduk dan Baliho, Sticker, Video, Tas Kain, Map Promosi, Kalender Dinding dan Meja, Payung, Topi, Mug dan Piring, Lanting, Roll Banner, Umbul Umbul</t>
        </r>
      </text>
    </comment>
    <comment ref="J99" authorId="2" shapeId="0" xr:uid="{00000000-0006-0000-0000-000031000000}">
      <text>
        <r>
          <rPr>
            <b/>
            <sz val="12"/>
            <color indexed="81"/>
            <rFont val="Tahoma"/>
            <family val="2"/>
          </rPr>
          <t>Spanduk dan Baliho, Sticker, Video, Tas Kain, Map Promosi, Kalender Dinding dan Meja, Payung, Topi, Mug dan Piring, Lanting, Roll Banner, Umbul Umbul</t>
        </r>
      </text>
    </comment>
    <comment ref="L99" authorId="2" shapeId="0" xr:uid="{00000000-0006-0000-0000-000032000000}">
      <text>
        <r>
          <rPr>
            <b/>
            <sz val="12"/>
            <color indexed="81"/>
            <rFont val="Tahoma"/>
            <family val="2"/>
          </rPr>
          <t>Spanduk dan Baliho, Sticker, Umbul umbu</t>
        </r>
        <r>
          <rPr>
            <b/>
            <sz val="9"/>
            <color indexed="81"/>
            <rFont val="Tahoma"/>
            <family val="2"/>
          </rPr>
          <t>l</t>
        </r>
      </text>
    </comment>
    <comment ref="N99" authorId="2" shapeId="0" xr:uid="{00000000-0006-0000-0000-000033000000}">
      <text>
        <r>
          <rPr>
            <b/>
            <sz val="12"/>
            <color indexed="81"/>
            <rFont val="Tahoma"/>
            <family val="2"/>
          </rPr>
          <t>Roll Banner, Mug dan Piring, Lanting, Topi</t>
        </r>
      </text>
    </comment>
    <comment ref="P99" authorId="2" shapeId="0" xr:uid="{00000000-0006-0000-0000-000034000000}">
      <text>
        <r>
          <rPr>
            <b/>
            <sz val="12"/>
            <color indexed="81"/>
            <rFont val="Tahoma"/>
            <family val="2"/>
          </rPr>
          <t>Map Promosi, Tas Kain, Payung, Video</t>
        </r>
      </text>
    </comment>
    <comment ref="E100" authorId="2" shapeId="0" xr:uid="{00000000-0006-0000-0000-000035000000}">
      <text>
        <r>
          <rPr>
            <b/>
            <sz val="12"/>
            <color indexed="81"/>
            <rFont val="Tahoma"/>
            <family val="2"/>
          </rPr>
          <t>Festival Loksado, Burung Berkicau, Tour de Loksado, Temu Komunitas Pecinta Wisata Alam, Pemilihan Duta Pariwisata HSS</t>
        </r>
      </text>
    </comment>
    <comment ref="J100" authorId="2" shapeId="0" xr:uid="{00000000-0006-0000-0000-000036000000}">
      <text>
        <r>
          <rPr>
            <b/>
            <sz val="12"/>
            <color indexed="81"/>
            <rFont val="Tahoma"/>
            <family val="2"/>
          </rPr>
          <t>Festival Loksado, Burung Berkicau, Tour de Loksado, Temu Komunitas Pecinta Wisata Alam, Pemilihan Duta Pariwisata HSS</t>
        </r>
      </text>
    </comment>
    <comment ref="G106" authorId="0" shapeId="0" xr:uid="{00000000-0006-0000-0000-000037000000}">
      <text>
        <r>
          <rPr>
            <sz val="14"/>
            <color indexed="81"/>
            <rFont val="Tahoma"/>
            <family val="2"/>
          </rPr>
          <t>Pagu 2021 + Pagu 2022</t>
        </r>
      </text>
    </comment>
  </commentList>
</comments>
</file>

<file path=xl/sharedStrings.xml><?xml version="1.0" encoding="utf-8"?>
<sst xmlns="http://schemas.openxmlformats.org/spreadsheetml/2006/main" count="525" uniqueCount="248">
  <si>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</si>
  <si>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</si>
  <si>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</si>
  <si>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</si>
  <si>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</si>
  <si>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</si>
  <si>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</si>
  <si>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</si>
  <si>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</si>
  <si>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</si>
  <si>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</si>
  <si>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</si>
  <si>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</si>
  <si>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</si>
  <si>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</si>
  <si>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</si>
  <si>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</si>
  <si>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</si>
  <si>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</si>
  <si>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</si>
  <si>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</si>
  <si>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</si>
  <si>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</si>
  <si>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</si>
  <si>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</si>
  <si>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</si>
  <si>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</si>
  <si>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</si>
  <si>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</si>
  <si>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</si>
  <si>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</si>
  <si>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</si>
  <si>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</si>
  <si>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</si>
  <si>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</si>
  <si>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</si>
  <si>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</si>
  <si>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</si>
  <si>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</si>
  <si>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</si>
  <si>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</si>
  <si>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</si>
  <si>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</si>
  <si>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</si>
  <si>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</si>
  <si>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</si>
  <si>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</si>
  <si>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</si>
  <si>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</si>
  <si>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</si>
  <si>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DINAS PEMUDA, OLAHRAGA DAN PARIWISATA</t>
  </si>
  <si>
    <t>Dinas Pemuda, Olahraga, dan Pariwisata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</si>
  <si>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</si>
  <si>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</si>
  <si>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</si>
  <si>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</si>
  <si>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Kabupaten Hulu Sungai Selatan</t>
  </si>
  <si>
    <t>Kepala Dinas Pemuda, Olahraga dan Pariwisata</t>
  </si>
  <si>
    <t>Program Penunjang Urusan Pemerintahan Daerah Kabupaten/Kota</t>
  </si>
  <si>
    <t>Penyusunan Dokumen Perencanaan Perangkat Daerah</t>
  </si>
  <si>
    <t>Evaluasi Kinerja Perangkat Daerah</t>
  </si>
  <si>
    <t>Administrasi Keuangan Perangkat Daerah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</si>
  <si>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</si>
  <si>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</si>
  <si>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</si>
  <si>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</si>
  <si>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</si>
  <si>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</si>
  <si>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</si>
  <si>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</si>
  <si>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</si>
  <si>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</si>
  <si>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</si>
  <si>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</si>
  <si>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</si>
  <si>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</si>
  <si>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</si>
  <si>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Pengembangan Kapasitas Daya Saing Kepemudaan</t>
  </si>
  <si>
    <t>Penyadaran, Pemberdayaan, dan Pengembangan Pemuda dan Kepemudaan terhadap Pemuda Pelopor Kabupaten/Kota, Wirausaha Muda Pemula, dan Pemuda Kader Kabupaten/Kota</t>
  </si>
  <si>
    <t>Pelaksanaan Koordinasi Strategis Lintas Sektor Penyelenggaraan Pelayanan Kepemudaan melalui Implementasi Rencana Aksi Daerah/RAD Tingkat Kabupaten/Kota</t>
  </si>
  <si>
    <t>Peningkatan Kepemimpinan, Kepeloporan dan Kesukarelawanan Pemuda</t>
  </si>
  <si>
    <t>Pemberdayaan dan Pengembangan Organisasi Kepemudaan Tingkat Daerah Kabupaten/Kota</t>
  </si>
  <si>
    <t xml:space="preserve">Peningkatan Kapasitas Pemuda dan Organisasi Kepemudaan Kabupaten/Kota </t>
  </si>
  <si>
    <t>Pembinaan dan Pengembangan Olahraga Prestasi Tingkat Daerah Provinsi</t>
  </si>
  <si>
    <t>Pembinaan dan Pengembangan Atlet Berprestasi Kabupaten/Kota</t>
  </si>
  <si>
    <t>Pemberian Penghargaan Olahraga Kabupaten/Kota</t>
  </si>
  <si>
    <t>Pembinaan dan Pengembangan Olahraga Rekreasi</t>
  </si>
  <si>
    <t>Penyediaan, Pengembangan dan Pemeliharaan Sarana dan Prasarana Olahraga Rekreasi</t>
  </si>
  <si>
    <t>Pengembangan Olahraga Wisata, Tantangan dan Petualangan</t>
  </si>
  <si>
    <t>Pembinaan dan Pengembangan Organisasi Olahraga</t>
  </si>
  <si>
    <t>Pengembangan Organisasi Keolahragaan</t>
  </si>
  <si>
    <t>Pembinaan dan Pengembangan Organisasi Kepramukaan</t>
  </si>
  <si>
    <t>Partisipasi dan Keikutsertaan Dalam Kegiatan Kepramukaan</t>
  </si>
  <si>
    <t>Pengembangan Daya Tarik Wisata Kabupaten /Kota</t>
  </si>
  <si>
    <t>Pengelolaan Destinasi Pariwisata Kabupaten/Kota</t>
  </si>
  <si>
    <t>Pengadaan/Pemeliharaan/Rehabiilitasi Sarana dan Prasarana dalam Pengelolaan Destinasi Pariwisata Kabupaten/Kota</t>
  </si>
  <si>
    <t>Program Pemasaran Pariwisata</t>
  </si>
  <si>
    <t>Fasilitasi Kegiatan Pemasaran Pariwisata Baik Dalam dan Luar Negeri Pariwisata Kabupaten/Kota</t>
  </si>
  <si>
    <t xml:space="preserve">Program Pengembangan Sumber Daya Pariwisata dan Ekonomi Kreatif </t>
  </si>
  <si>
    <t>Pengembangan Kompetensi SDM Pariwisata dan Ekonomi Kreatif Tingkat Dasar</t>
  </si>
  <si>
    <t>Fasilitasi Proses Kreasi, Produksi, Distribusi Konsumsi dan Konservasi Ekonomi Kreatif</t>
  </si>
  <si>
    <t>Program Pengembangan Kapasitas Daya Saing Keolahragaan</t>
  </si>
  <si>
    <t>Event</t>
  </si>
  <si>
    <t>Organisasi</t>
  </si>
  <si>
    <t>Org</t>
  </si>
  <si>
    <t xml:space="preserve">Program Peningkatan Daya Tarik Destinasi Pariwisata </t>
  </si>
  <si>
    <t>DTW</t>
  </si>
  <si>
    <t>Jumlah Destinasi Pariwisata Yang Didukung Untuk Memenuhi Kriteria Sapta Pesona</t>
  </si>
  <si>
    <t>Kawasan Wisata</t>
  </si>
  <si>
    <t>Pemasaran Pariwisata Dalam dan Luar Negeri Daya Tarik Destinasi dan Kawasan Strategis Pariwisata Kabupaten/Kota</t>
  </si>
  <si>
    <t>Jumlah Kunjungan Wisatawan</t>
  </si>
  <si>
    <t>Penguatan Promosi Melalui Media Cetak, Elektronik, dan Media Lainnya Baik Dalam dan Luar Negeri</t>
  </si>
  <si>
    <t>Pelaksanaan Peningkatan Kapasitas Sumber Daya Manusia Pariwisata dan Ekonomi Kreatif Tingkat Dasar</t>
  </si>
  <si>
    <t>Penyelenggaraan, Pengembangan dan Pemassalan Festival dan Olahraga Rekreasi</t>
  </si>
  <si>
    <t>Organisasi Olahraga</t>
  </si>
  <si>
    <t>Program Pengembangan Kapasitas Kepramukaan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</si>
  <si>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</si>
  <si>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</si>
  <si>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</si>
  <si>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</si>
  <si>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Pemanfaatan Olahraga Tradisional
dalam Masyarakat</t>
  </si>
  <si>
    <t>Jumlah Atlet Berprestasi Kabupaten/Kota yang Dilakukan Pembinaan dan Pengembangan</t>
  </si>
  <si>
    <t>Jumlah Olahragawan Berprestasi Kabupaten/Kota yang Menerima Penghargaan</t>
  </si>
  <si>
    <t>Jumlah Dokumen Hasil Penyelenggaraan, Pengembangan dan Pemasalan Festival dan Olahraga Rekreasi</t>
  </si>
  <si>
    <t>Jumlah Penyediaan dan Pemanfaatan Sarana dan Prasarana Olahraga Rekreasi yang  Memadai</t>
  </si>
  <si>
    <t>Unit</t>
  </si>
  <si>
    <t>Jumlah Dokumen Hasil Penyelenggaraan Olahraga Wisata, Tantangan dan Petualangan</t>
  </si>
  <si>
    <t>Jumlah Dokumen Hasil Pengembangan Organisasi Keolahragaan</t>
  </si>
  <si>
    <t>Jumlah SDM Pariwisata dan Ekonomi Kreatif Tingkat Dasar yang Dikembangkan Kompetensinya</t>
  </si>
  <si>
    <t>Jumlah Laporan Kegiatan Pemasaran Pariwisata Baik Dalam dan Luar Negeri</t>
  </si>
  <si>
    <t>Jumlah Sarana dan Prasarana yang Tersedia dan Terpelihara dalam Pengelolaan Kawasan Strategis Pariwisata Kabupaten/Kota</t>
  </si>
  <si>
    <t>Lokasi</t>
  </si>
  <si>
    <t>PERIODE PELAKSANAAN TRIWULAN I TAHUN 2022</t>
  </si>
  <si>
    <t>Pemberian Penghargaan Pemuda dan Organisasi Pemuda yang Berjasa dan/atau Berprestasi</t>
  </si>
  <si>
    <t>Penyelenggaraan Seleksi dan Pelatihan Pasukan Pengibar Bendera</t>
  </si>
  <si>
    <t xml:space="preserve">Pengelolaan Kawasan Strategis Pariwisata Kabupaten/Kota 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</si>
  <si>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</si>
  <si>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</si>
  <si>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</si>
  <si>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</si>
  <si>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</si>
  <si>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</si>
  <si>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</si>
  <si>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</si>
  <si>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</si>
  <si>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</si>
  <si>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</si>
  <si>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</si>
  <si>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Paket</t>
  </si>
  <si>
    <t>Jumlah Laporan Penyediaan Jasa Pelayanan Umum Kantor yang Disediakan</t>
  </si>
  <si>
    <t>Jumlah Kendaraan Dinas Operasional atau Lapangan yang Dipelihara dan dibayarkan Pajak dan Perizinannya</t>
  </si>
  <si>
    <t>Jumlah Gedung Kantor dan Bangunan Lainnya yang  Dipelihara/Direhabilitasi</t>
  </si>
  <si>
    <t>Jumlah Sarana dan Prasarana Gedung Kantor atau Bangunan Lainnya yang Dipelihara/Direhabilitasi</t>
  </si>
  <si>
    <t>Jumlah Pemuda yang Berjasa dan/atau Berprestasi Penerima Penghargaan</t>
  </si>
  <si>
    <t>Jumlah Pemuda yang Ditingkatkan Kapasitasnya dalam Kepemimpinan, Kepeloporan dan Kesukarelawanan Kabupaten/Kota dari Seluruh Kecamatan</t>
  </si>
  <si>
    <t>Jumlah Pemuda Kader Kabupaten/Kota yang Diseleksi sebagai Pasukan Pengibar Bendera dan Diberikan Pelatihan</t>
  </si>
  <si>
    <t>Jumlah Dokumen Hasil Koordinasi Strategis Lintas Sektor Penyelenggaraan Pelayanan Kepemudaan Melalui Implementasi Rencana Aksi Daerah/RAD Tingkat Kabupaten/Kota</t>
  </si>
  <si>
    <t>Jumlah Dokumen Hasil Peningkatan Kapasitas Organisasi Kepemudaan</t>
  </si>
  <si>
    <t>Jumlah Dokumen Hasil Penyelenggaraan Olahraga Tradisional di Masyarakat</t>
  </si>
  <si>
    <t>Jumlah Organisasi yang Berpartisipasi dalam Kegiatan Kepramukaan</t>
  </si>
  <si>
    <t>Jumlah Lokasi Daya Tarik Wisata Kabupaten/Kota Sesuai dengan Tahapan Pengembangan (Rintisan, Berkembang, Pemantapan, Revitalisasi)</t>
  </si>
  <si>
    <t>Pengadaan/Pemeliharaan/Rehabilitasi Sarana dan Prasarana dalam Pengelolaan Kawasan Wisata Strategis Pariwisata Kabupaten/Kota</t>
  </si>
  <si>
    <t>Jumlah Sarana dan Prasarana Pengelolaan Destinasi Pariwisata Kabupaten/Kota yang Tersedia dan Terpelihara</t>
  </si>
  <si>
    <t>Jumlah Dokumen Hasil Penguatan Promosi Melalui Media Cetak, Elektronik, dan Media Lainnya Baik Dalam dan Luar Negeri</t>
  </si>
  <si>
    <t>Jumlah Laporan Hasil Fasilitasi Proses Kreasi, Produksi, Distribusi Konsumsi, dan Konservasi Ekonomi Kreatif</t>
  </si>
  <si>
    <t>Kandangan,          April 2022</t>
  </si>
  <si>
    <t>Penyelenggaraan Kejuaraan Olahraga Tingkat Daerah Kabupaten/Kota</t>
  </si>
  <si>
    <t>Penyelenggaraan Kejuaraan dan Pekan Olahraga Tingkat Kabupaten/Kota</t>
  </si>
  <si>
    <t>Jumlah Dokumen Penyelenggaraan Kejuaraan dan Pekan Olahraga Tingkat Kabupaten/Kota</t>
  </si>
  <si>
    <t>Penyediaan Gaji dan Tunjangan ASN</t>
  </si>
  <si>
    <t>Perencanaan, Penganggaran dan Evaluasi Kinerja Perangkat Daerah</t>
  </si>
  <si>
    <t>-</t>
  </si>
  <si>
    <t>Drs. EFRAN, M.AP</t>
  </si>
  <si>
    <t>NIP. 19700310 199003 1 003</t>
  </si>
  <si>
    <t>Jumlah venue olahraga yang berkualitas</t>
  </si>
  <si>
    <t>Venue</t>
  </si>
  <si>
    <t>Jumlah Organisasi Pemuda yang aktif</t>
  </si>
  <si>
    <t>Media</t>
  </si>
  <si>
    <t>nilai</t>
  </si>
  <si>
    <t>Pengelolaan Daya Tarik Wisata Kabupaten/Kota</t>
  </si>
  <si>
    <t>Skor Perencanaan Kinerja</t>
  </si>
  <si>
    <t>Skor Pengukuran Kinerja</t>
  </si>
  <si>
    <t>≥13</t>
  </si>
  <si>
    <t>≥8.5</t>
  </si>
  <si>
    <t>≥12</t>
  </si>
  <si>
    <t>≥22</t>
  </si>
  <si>
    <t>≥26</t>
  </si>
  <si>
    <t>Jumlah dokumen perencanaan perangkat daerah yang berkualitas</t>
  </si>
  <si>
    <t>Jumlah dokumen laporan AKIP yang berkualitas</t>
  </si>
  <si>
    <t>Jumlah laporan gaji dan tunjangan ASN</t>
  </si>
  <si>
    <t>Jumlah laporan keuangan akhir tahun</t>
  </si>
  <si>
    <t>Jumlah laporan keuangan bulanan/semesteran/triwulanan</t>
  </si>
  <si>
    <t>Jumlah laporan prognosis realisasi anggaran</t>
  </si>
  <si>
    <t>Persentase komponen instalasi listrik berfungsi baik</t>
  </si>
  <si>
    <t>Persentase peralatan dan perlengkapan kantor sesuai dengan kebutuhan kerja</t>
  </si>
  <si>
    <t>Persentase pemanfaatan bahan logistik kantor sesuai dengan kebutuhan kerja</t>
  </si>
  <si>
    <t>Persentase barang cetak dan penggandaan sesuai dengan kebutuhan kerja</t>
  </si>
  <si>
    <t>Jumlah dokumen bahan bacaan dan peraturan perundang-undangan yang disediakan</t>
  </si>
  <si>
    <t>Persentase pelayanan koordinasi dan konsultasi yang sesuai anggaran</t>
  </si>
  <si>
    <t>Penyediaan Bahan Logistik Kantor</t>
  </si>
  <si>
    <t>Penyediaan Barang Cetakan dan Penggandaan</t>
  </si>
  <si>
    <t>Persentase tenaga jasa umum kantor bekerja dengan baik</t>
  </si>
  <si>
    <t>Persentase kendaraan operasional yang layak jalan dan berfungsi baik</t>
  </si>
  <si>
    <t>Persentase gedung kantor dalam kondisi baik</t>
  </si>
  <si>
    <t>Persentase sarana dan prasarana gedung kantor dalam kondisi baik</t>
  </si>
  <si>
    <t>Persentase pemuda yang berwirausaha</t>
  </si>
  <si>
    <t>Jumlah KUPP yang memperoleh bantuan permodalan</t>
  </si>
  <si>
    <t xml:space="preserve">Jumlah media promosi pariwisata daerah yang digunakan </t>
  </si>
  <si>
    <t>Jumlah event pariwisata yang terlaksana</t>
  </si>
  <si>
    <t>Jumlah kerjasama pemasaran dan promosi pariwisata</t>
  </si>
  <si>
    <t>Kegiatan</t>
  </si>
  <si>
    <t>Meningkatkan kewirausahaan, kecakapan hidup dan kepemimpinan pemuda</t>
  </si>
  <si>
    <t>Meningkatnya peran serta kepemudaan dalam pembangunan</t>
  </si>
  <si>
    <t xml:space="preserve">Meningkatnya pembinaan olahraga secara berkesinambungan </t>
  </si>
  <si>
    <t>Terselenggaranya event kejuaraan di tingkat daerah</t>
  </si>
  <si>
    <t>Memastikan partisipasi masyarakat dalam berolahraga</t>
  </si>
  <si>
    <t>Tersedianya sarana dan prasarana olahraga yang  berstandart</t>
  </si>
  <si>
    <t>Persentase cabang olahraga yang menyelenggarakan event / kejuaraan di tingkat daerah</t>
  </si>
  <si>
    <t>Persentase masyarakat yang aktif berolahraga secara rutin</t>
  </si>
  <si>
    <t>Persentase sarana dan prasarana olahraga yang memenuhi standar</t>
  </si>
  <si>
    <t>Jumlah atlet berbakat yang dibina di kabupaten</t>
  </si>
  <si>
    <t>Jumlah event / kejuaraan olahraga prestasi yang diadakan oleh induk organisasi keolahragaan</t>
  </si>
  <si>
    <t>Jumlah kegiatan olahraga rekreasi yang bisa diikuti masyarakat secara rutin</t>
  </si>
  <si>
    <t>Jumlah kompetesi olahraga masyarakat yg diadakan</t>
  </si>
  <si>
    <t>Jumlah sarana dan prasarana olahraga yang berstndart</t>
  </si>
  <si>
    <t>Persentase pemuda yang aktif dalam organisasi kepemudaan dan sosial</t>
  </si>
  <si>
    <t>Jumlah pemuda yang aktif dalam organisasi pemuda dan sosial</t>
  </si>
  <si>
    <t>Persentase destinasi wisata yang memenuhi sapta pesona</t>
  </si>
  <si>
    <t>Jumlah pokdarwis yang aktif mengelola daya tarik wisata</t>
  </si>
  <si>
    <t>Meningkatnya kulitas destinasi wisata sesuai standar</t>
  </si>
  <si>
    <t>Jumlah DTW yang dapat diakses kendaraan R2 dan R4</t>
  </si>
  <si>
    <t>Jumlah rumah makan yang memenuhi standar</t>
  </si>
  <si>
    <t xml:space="preserve">Jumlah penginapan yang memenuhi standar </t>
  </si>
  <si>
    <t>Jumlah DTW yang jumlah daya tarik wisata yang memenuhi kriteria sapta pesona</t>
  </si>
  <si>
    <t>Meningkatnya promosi dan pemasaran pariwisata melalui berbagai media dan pelaksanaan event pariwisata</t>
  </si>
  <si>
    <t>Jumlah promosi dan pemasaran pariwisata melalui medi partisipasi event berskala nasional/provinsi</t>
  </si>
  <si>
    <t>Persentase event pariwisata tinfkt nasional dan tingkal provinsi</t>
  </si>
  <si>
    <t>Meningkatnya desa wisata yang mengembangkan ekonomi kreatif</t>
  </si>
  <si>
    <t>Persentase desa wisata yang mengembangkan ekonomi kreatif</t>
  </si>
  <si>
    <t>Jumlah pelaku ekraf didesa wisata</t>
  </si>
  <si>
    <t>Jumlah pelaku ekraf yang ditingkatkan kompetensinya</t>
  </si>
  <si>
    <t>Jumlah fasilitasi event ekonomi kreatif yang dilaksanakan</t>
  </si>
  <si>
    <t>Jumlah desa wisata baru</t>
  </si>
  <si>
    <t>Jumlah Organisasi Kepemudaan yang aktif</t>
  </si>
  <si>
    <t>Persentase cabang olahraga yang memiliki binaan berdasarkan kelompok umur</t>
  </si>
  <si>
    <t>Persen</t>
  </si>
  <si>
    <t>Orang</t>
  </si>
  <si>
    <t>Media/Event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</si>
</sst>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3"/>
      <color theme="1"/>
      <name val="Bookman Old Style"/>
      <family val="1"/>
    </font>
    <font>
      <sz val="12"/>
      <color theme="1"/>
      <name val="Bookman Old Style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4" fontId="8" fillId="0" borderId="2" xfId="1" applyNumberFormat="1" applyFont="1" applyFill="1" applyBorder="1" applyAlignment="1">
      <alignment vertical="top"/>
    </xf>
    <xf numFmtId="164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4" fontId="8" fillId="0" borderId="15" xfId="1" applyNumberFormat="1" applyFont="1" applyFill="1" applyBorder="1" applyAlignment="1">
      <alignment vertical="top"/>
    </xf>
    <xf numFmtId="164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41" fontId="8" fillId="0" borderId="2" xfId="0" applyNumberFormat="1" applyFont="1" applyFill="1" applyBorder="1" applyAlignment="1">
      <alignment vertical="top"/>
    </xf>
    <xf numFmtId="164" fontId="6" fillId="0" borderId="15" xfId="1" quotePrefix="1" applyNumberFormat="1" applyFont="1" applyFill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41" fontId="8" fillId="0" borderId="2" xfId="2" applyFont="1" applyFill="1" applyBorder="1" applyAlignment="1">
      <alignment vertical="top"/>
    </xf>
    <xf numFmtId="3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41" fontId="6" fillId="0" borderId="2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quotePrefix="1" applyFont="1" applyFill="1" applyBorder="1" applyAlignment="1">
      <alignment horizontal="center" vertical="top" wrapText="1"/>
    </xf>
    <xf numFmtId="41" fontId="6" fillId="0" borderId="2" xfId="2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6" fillId="0" borderId="6" xfId="1" quotePrefix="1" applyNumberFormat="1" applyFont="1" applyFill="1" applyBorder="1" applyAlignment="1">
      <alignment vertical="top"/>
    </xf>
    <xf numFmtId="41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41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3" fontId="6" fillId="0" borderId="2" xfId="0" quotePrefix="1" applyNumberFormat="1" applyFont="1" applyFill="1" applyBorder="1" applyAlignment="1">
      <alignment horizontal="center" vertical="top" wrapText="1"/>
    </xf>
    <xf numFmtId="41" fontId="6" fillId="0" borderId="2" xfId="2" applyFont="1" applyFill="1" applyBorder="1" applyAlignment="1">
      <alignment horizontal="center" vertical="top"/>
    </xf>
    <xf numFmtId="165" fontId="6" fillId="0" borderId="2" xfId="2" applyNumberFormat="1" applyFont="1" applyFill="1" applyBorder="1" applyAlignment="1">
      <alignment horizontal="center" vertical="top"/>
    </xf>
    <xf numFmtId="0" fontId="4" fillId="3" borderId="15" xfId="0" applyFont="1" applyFill="1" applyBorder="1"/>
    <xf numFmtId="0" fontId="13" fillId="0" borderId="1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/>
    </xf>
    <xf numFmtId="0" fontId="15" fillId="0" borderId="0" xfId="0" applyFont="1" applyFill="1"/>
    <xf numFmtId="164" fontId="6" fillId="0" borderId="0" xfId="1" quotePrefix="1" applyNumberFormat="1" applyFont="1" applyFill="1" applyBorder="1" applyAlignment="1">
      <alignment vertical="top"/>
    </xf>
    <xf numFmtId="0" fontId="15" fillId="0" borderId="11" xfId="0" applyFont="1" applyFill="1" applyBorder="1"/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2" applyNumberFormat="1" applyFont="1" applyFill="1" applyBorder="1" applyAlignment="1">
      <alignment horizontal="center" vertical="top"/>
    </xf>
    <xf numFmtId="41" fontId="6" fillId="0" borderId="6" xfId="2" applyFont="1" applyFill="1" applyBorder="1" applyAlignment="1">
      <alignment vertical="top"/>
    </xf>
    <xf numFmtId="41" fontId="6" fillId="0" borderId="15" xfId="2" applyFont="1" applyFill="1" applyBorder="1" applyAlignment="1">
      <alignment vertical="top"/>
    </xf>
    <xf numFmtId="41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 wrapText="1"/>
    </xf>
    <xf numFmtId="1" fontId="6" fillId="0" borderId="2" xfId="2" applyNumberFormat="1" applyFont="1" applyFill="1" applyBorder="1" applyAlignment="1">
      <alignment horizontal="center" vertical="top"/>
    </xf>
    <xf numFmtId="4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15" xfId="1" applyNumberFormat="1" applyFont="1" applyFill="1" applyBorder="1" applyAlignment="1">
      <alignment vertical="top"/>
    </xf>
    <xf numFmtId="2" fontId="6" fillId="0" borderId="2" xfId="2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3" fontId="6" fillId="0" borderId="2" xfId="2" applyNumberFormat="1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164" fontId="6" fillId="0" borderId="2" xfId="1" quotePrefix="1" applyNumberFormat="1" applyFont="1" applyFill="1" applyBorder="1" applyAlignment="1">
      <alignment vertical="top" wrapText="1"/>
    </xf>
    <xf numFmtId="164" fontId="8" fillId="0" borderId="2" xfId="1" quotePrefix="1" applyNumberFormat="1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7" borderId="2" xfId="0" quotePrefix="1" applyFont="1" applyFill="1" applyBorder="1" applyAlignment="1">
      <alignment horizontal="center" vertical="top" wrapText="1"/>
    </xf>
    <xf numFmtId="41" fontId="6" fillId="7" borderId="6" xfId="2" applyFont="1" applyFill="1" applyBorder="1" applyAlignment="1">
      <alignment vertical="top"/>
    </xf>
    <xf numFmtId="4" fontId="6" fillId="7" borderId="2" xfId="0" quotePrefix="1" applyNumberFormat="1" applyFont="1" applyFill="1" applyBorder="1" applyAlignment="1">
      <alignment horizontal="center" vertical="top" wrapText="1"/>
    </xf>
    <xf numFmtId="3" fontId="6" fillId="7" borderId="2" xfId="0" applyNumberFormat="1" applyFont="1" applyFill="1" applyBorder="1" applyAlignment="1">
      <alignment horizontal="center" vertical="top" wrapText="1"/>
    </xf>
    <xf numFmtId="164" fontId="6" fillId="7" borderId="2" xfId="1" quotePrefix="1" applyNumberFormat="1" applyFont="1" applyFill="1" applyBorder="1" applyAlignment="1">
      <alignment vertical="top"/>
    </xf>
    <xf numFmtId="164" fontId="6" fillId="0" borderId="11" xfId="1" quotePrefix="1" applyNumberFormat="1" applyFont="1" applyFill="1" applyBorder="1" applyAlignment="1">
      <alignment vertical="top"/>
    </xf>
    <xf numFmtId="41" fontId="20" fillId="0" borderId="2" xfId="2" applyFont="1" applyFill="1" applyBorder="1" applyAlignment="1">
      <alignment horizontal="center" vertical="top" wrapText="1"/>
    </xf>
    <xf numFmtId="164" fontId="6" fillId="0" borderId="2" xfId="1" quotePrefix="1" applyNumberFormat="1" applyFont="1" applyFill="1" applyBorder="1" applyAlignment="1">
      <alignment horizontal="center" vertical="top"/>
    </xf>
    <xf numFmtId="41" fontId="19" fillId="0" borderId="2" xfId="2" applyFont="1" applyFill="1" applyBorder="1" applyAlignment="1">
      <alignment horizontal="left" vertical="top" wrapText="1"/>
    </xf>
    <xf numFmtId="41" fontId="19" fillId="0" borderId="2" xfId="2" applyNumberFormat="1" applyFont="1" applyFill="1" applyBorder="1" applyAlignment="1">
      <alignment horizontal="left" vertical="top" wrapText="1"/>
    </xf>
    <xf numFmtId="41" fontId="19" fillId="7" borderId="2" xfId="2" applyFont="1" applyFill="1" applyBorder="1" applyAlignment="1">
      <alignment horizontal="left" vertical="top" wrapText="1"/>
    </xf>
    <xf numFmtId="164" fontId="20" fillId="0" borderId="2" xfId="1" applyNumberFormat="1" applyFont="1" applyFill="1" applyBorder="1" applyAlignment="1">
      <alignment horizontal="center" vertical="top" wrapText="1"/>
    </xf>
    <xf numFmtId="164" fontId="20" fillId="7" borderId="2" xfId="1" applyNumberFormat="1" applyFont="1" applyFill="1" applyBorder="1" applyAlignment="1">
      <alignment horizontal="center" vertical="top" wrapText="1"/>
    </xf>
    <xf numFmtId="41" fontId="19" fillId="0" borderId="2" xfId="2" applyNumberFormat="1" applyFont="1" applyFill="1" applyBorder="1" applyAlignment="1">
      <alignment horizontal="center" vertical="top" wrapText="1"/>
    </xf>
    <xf numFmtId="164" fontId="19" fillId="7" borderId="2" xfId="1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166" fontId="6" fillId="0" borderId="2" xfId="0" quotePrefix="1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2" xfId="1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center" vertical="top" wrapText="1"/>
    </xf>
    <xf numFmtId="41" fontId="19" fillId="0" borderId="2" xfId="2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41" fontId="6" fillId="0" borderId="11" xfId="2" applyFont="1" applyFill="1" applyBorder="1" applyAlignment="1">
      <alignment vertical="top"/>
    </xf>
    <xf numFmtId="41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3" fontId="6" fillId="8" borderId="2" xfId="0" applyNumberFormat="1" applyFont="1" applyFill="1" applyBorder="1" applyAlignment="1">
      <alignment horizontal="center" vertical="top" wrapText="1"/>
    </xf>
    <xf numFmtId="9" fontId="6" fillId="8" borderId="2" xfId="0" applyNumberFormat="1" applyFont="1" applyFill="1" applyBorder="1" applyAlignment="1">
      <alignment horizontal="center" vertical="top" wrapText="1"/>
    </xf>
    <xf numFmtId="164" fontId="6" fillId="8" borderId="2" xfId="1" quotePrefix="1" applyNumberFormat="1" applyFont="1" applyFill="1" applyBorder="1" applyAlignment="1">
      <alignment vertical="top"/>
    </xf>
    <xf numFmtId="3" fontId="6" fillId="8" borderId="2" xfId="0" quotePrefix="1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164" fontId="6" fillId="0" borderId="6" xfId="1" quotePrefix="1" applyNumberFormat="1" applyFont="1" applyFill="1" applyBorder="1" applyAlignment="1">
      <alignment horizontal="center" vertical="top"/>
    </xf>
    <xf numFmtId="164" fontId="6" fillId="0" borderId="15" xfId="1" quotePrefix="1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6" fillId="4" borderId="6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124"/>
  <sheetViews>
    <sheetView tabSelected="1" showRuler="0" view="pageBreakPreview" topLeftCell="B7" zoomScale="50" zoomScaleNormal="50" zoomScaleSheetLayoutView="50" zoomScalePageLayoutView="55" workbookViewId="0">
      <pane xSplit="3" ySplit="6" topLeftCell="E13" activePane="bottomRight" state="frozen"/>
      <selection activeCell="B7" sqref="B7"/>
      <selection pane="topRight" activeCell="E7" sqref="E7"/>
      <selection pane="bottomLeft" activeCell="B13" sqref="B13"/>
      <selection pane="bottomRight" activeCell="G11" sqref="G11:G1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7" style="2" customWidth="1"/>
    <col min="4" max="4" width="24.140625" style="2" bestFit="1" customWidth="1"/>
    <col min="5" max="5" width="13.7109375" style="2" customWidth="1"/>
    <col min="6" max="6" width="10.5703125" style="2" customWidth="1"/>
    <col min="7" max="7" width="26" style="2" customWidth="1"/>
    <col min="8" max="8" width="14.28515625" style="2" customWidth="1"/>
    <col min="9" max="9" width="24.28515625" style="2" customWidth="1"/>
    <col min="10" max="10" width="19.140625" style="2" bestFit="1" customWidth="1"/>
    <col min="11" max="11" width="25.28515625" style="2" customWidth="1"/>
    <col min="12" max="12" width="11" style="2" customWidth="1"/>
    <col min="13" max="13" width="23.140625" style="2" customWidth="1"/>
    <col min="14" max="14" width="11.28515625" style="2" bestFit="1" customWidth="1"/>
    <col min="15" max="15" width="24.7109375" style="2" customWidth="1"/>
    <col min="16" max="16" width="7.7109375" style="2" customWidth="1"/>
    <col min="17" max="17" width="23.42578125" style="2" bestFit="1" customWidth="1"/>
    <col min="18" max="18" width="9" style="2" customWidth="1"/>
    <col min="19" max="19" width="25" style="2" bestFit="1" customWidth="1"/>
    <col min="20" max="20" width="11.85546875" style="2" bestFit="1" customWidth="1"/>
    <col min="21" max="21" width="17" style="2" bestFit="1" customWidth="1"/>
    <col min="22" max="22" width="5.5703125" style="4" customWidth="1"/>
    <col min="23" max="23" width="25.85546875" style="2" bestFit="1" customWidth="1"/>
    <col min="24" max="24" width="13.7109375" style="2" bestFit="1" customWidth="1"/>
    <col min="25" max="25" width="5.5703125" style="4" customWidth="1"/>
    <col min="26" max="26" width="13.42578125" style="2" customWidth="1"/>
    <col min="27" max="27" width="24.42578125" style="2" customWidth="1"/>
    <col min="28" max="28" width="8" style="2" customWidth="1"/>
    <col min="29" max="29" width="5.5703125" style="4" customWidth="1"/>
    <col min="30" max="30" width="9.8554687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"/>
    </row>
    <row r="2" spans="1:37" ht="23.25" x14ac:dyDescent="0.3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3"/>
    </row>
    <row r="3" spans="1:37" ht="23.25" x14ac:dyDescent="0.35">
      <c r="A3" s="183" t="s">
        <v>50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3"/>
    </row>
    <row r="4" spans="1:37" ht="23.25" x14ac:dyDescent="0.35">
      <c r="A4" s="184" t="s">
        <v>132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"/>
    </row>
    <row r="5" spans="1:37" ht="18" x14ac:dyDescent="0.2">
      <c r="A5" s="185" t="s">
        <v>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7" ht="18" x14ac:dyDescent="0.25">
      <c r="A6" s="162" t="s">
        <v>50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</row>
    <row r="7" spans="1:37" ht="81" customHeight="1" x14ac:dyDescent="0.2">
      <c r="A7" s="168" t="s">
        <v>3</v>
      </c>
      <c r="B7" s="168" t="s">
        <v>4</v>
      </c>
      <c r="C7" s="169" t="s">
        <v>5</v>
      </c>
      <c r="D7" s="169" t="s">
        <v>6</v>
      </c>
      <c r="E7" s="156" t="s">
        <v>7</v>
      </c>
      <c r="F7" s="163"/>
      <c r="G7" s="157"/>
      <c r="H7" s="156" t="s">
        <v>119</v>
      </c>
      <c r="I7" s="157"/>
      <c r="J7" s="156" t="s">
        <v>116</v>
      </c>
      <c r="K7" s="163"/>
      <c r="L7" s="156" t="s">
        <v>8</v>
      </c>
      <c r="M7" s="163"/>
      <c r="N7" s="163"/>
      <c r="O7" s="163"/>
      <c r="P7" s="163"/>
      <c r="Q7" s="163"/>
      <c r="R7" s="163"/>
      <c r="S7" s="157"/>
      <c r="T7" s="156" t="s">
        <v>54</v>
      </c>
      <c r="U7" s="163"/>
      <c r="V7" s="163"/>
      <c r="W7" s="163"/>
      <c r="X7" s="163"/>
      <c r="Y7" s="157"/>
      <c r="Z7" s="156" t="s">
        <v>117</v>
      </c>
      <c r="AA7" s="157"/>
      <c r="AB7" s="156" t="s">
        <v>118</v>
      </c>
      <c r="AC7" s="163"/>
      <c r="AD7" s="163"/>
      <c r="AE7" s="186" t="s">
        <v>9</v>
      </c>
      <c r="AG7" s="4"/>
      <c r="AH7" s="4"/>
      <c r="AI7" s="4"/>
      <c r="AJ7" s="4"/>
      <c r="AK7" s="4"/>
    </row>
    <row r="8" spans="1:37" ht="18" customHeight="1" x14ac:dyDescent="0.2">
      <c r="A8" s="168"/>
      <c r="B8" s="168"/>
      <c r="C8" s="169"/>
      <c r="D8" s="169"/>
      <c r="E8" s="158"/>
      <c r="F8" s="170"/>
      <c r="G8" s="159"/>
      <c r="H8" s="158"/>
      <c r="I8" s="159"/>
      <c r="J8" s="160"/>
      <c r="K8" s="164"/>
      <c r="L8" s="160"/>
      <c r="M8" s="164"/>
      <c r="N8" s="164"/>
      <c r="O8" s="164"/>
      <c r="P8" s="164"/>
      <c r="Q8" s="164"/>
      <c r="R8" s="164"/>
      <c r="S8" s="161"/>
      <c r="T8" s="160"/>
      <c r="U8" s="164"/>
      <c r="V8" s="164"/>
      <c r="W8" s="164"/>
      <c r="X8" s="164"/>
      <c r="Y8" s="161"/>
      <c r="Z8" s="160"/>
      <c r="AA8" s="161"/>
      <c r="AB8" s="160"/>
      <c r="AC8" s="164"/>
      <c r="AD8" s="164"/>
      <c r="AE8" s="187"/>
    </row>
    <row r="9" spans="1:37" ht="15.75" customHeight="1" x14ac:dyDescent="0.2">
      <c r="A9" s="168"/>
      <c r="B9" s="168"/>
      <c r="C9" s="169"/>
      <c r="D9" s="169"/>
      <c r="E9" s="160"/>
      <c r="F9" s="164"/>
      <c r="G9" s="161"/>
      <c r="H9" s="160"/>
      <c r="I9" s="161"/>
      <c r="J9" s="188">
        <v>2022</v>
      </c>
      <c r="K9" s="189"/>
      <c r="L9" s="165" t="s">
        <v>10</v>
      </c>
      <c r="M9" s="167"/>
      <c r="N9" s="165" t="s">
        <v>11</v>
      </c>
      <c r="O9" s="167"/>
      <c r="P9" s="165" t="s">
        <v>12</v>
      </c>
      <c r="Q9" s="167"/>
      <c r="R9" s="165" t="s">
        <v>13</v>
      </c>
      <c r="S9" s="167"/>
      <c r="T9" s="165">
        <v>2022</v>
      </c>
      <c r="U9" s="166"/>
      <c r="V9" s="166"/>
      <c r="W9" s="166"/>
      <c r="X9" s="166"/>
      <c r="Y9" s="167"/>
      <c r="Z9" s="165">
        <v>2022</v>
      </c>
      <c r="AA9" s="167"/>
      <c r="AB9" s="165">
        <v>2022</v>
      </c>
      <c r="AC9" s="166"/>
      <c r="AD9" s="167"/>
      <c r="AE9" s="5"/>
    </row>
    <row r="10" spans="1:37" ht="15.75" x14ac:dyDescent="0.25">
      <c r="A10" s="190">
        <v>1</v>
      </c>
      <c r="B10" s="190">
        <v>2</v>
      </c>
      <c r="C10" s="190">
        <v>3</v>
      </c>
      <c r="D10" s="190">
        <v>4</v>
      </c>
      <c r="E10" s="173">
        <v>5</v>
      </c>
      <c r="F10" s="194"/>
      <c r="G10" s="174"/>
      <c r="H10" s="173">
        <v>6</v>
      </c>
      <c r="I10" s="174"/>
      <c r="J10" s="175">
        <v>7</v>
      </c>
      <c r="K10" s="176"/>
      <c r="L10" s="175">
        <v>8</v>
      </c>
      <c r="M10" s="176"/>
      <c r="N10" s="175">
        <v>9</v>
      </c>
      <c r="O10" s="176"/>
      <c r="P10" s="175">
        <v>10</v>
      </c>
      <c r="Q10" s="176"/>
      <c r="R10" s="175">
        <v>11</v>
      </c>
      <c r="S10" s="176"/>
      <c r="T10" s="177">
        <v>12</v>
      </c>
      <c r="U10" s="179"/>
      <c r="V10" s="179"/>
      <c r="W10" s="179"/>
      <c r="X10" s="179"/>
      <c r="Y10" s="178"/>
      <c r="Z10" s="177">
        <v>13</v>
      </c>
      <c r="AA10" s="178"/>
      <c r="AB10" s="177">
        <v>14</v>
      </c>
      <c r="AC10" s="179"/>
      <c r="AD10" s="178"/>
      <c r="AE10" s="6">
        <v>15</v>
      </c>
    </row>
    <row r="11" spans="1:37" ht="87" customHeight="1" x14ac:dyDescent="0.2">
      <c r="A11" s="191"/>
      <c r="B11" s="191"/>
      <c r="C11" s="191"/>
      <c r="D11" s="191"/>
      <c r="E11" s="180" t="s">
        <v>14</v>
      </c>
      <c r="F11" s="193"/>
      <c r="G11" s="182" t="s">
        <v>15</v>
      </c>
      <c r="H11" s="180" t="s">
        <v>14</v>
      </c>
      <c r="I11" s="182" t="s">
        <v>15</v>
      </c>
      <c r="J11" s="180" t="s">
        <v>14</v>
      </c>
      <c r="K11" s="181" t="s">
        <v>15</v>
      </c>
      <c r="L11" s="180" t="s">
        <v>14</v>
      </c>
      <c r="M11" s="181" t="s">
        <v>15</v>
      </c>
      <c r="N11" s="180" t="s">
        <v>14</v>
      </c>
      <c r="O11" s="181" t="s">
        <v>15</v>
      </c>
      <c r="P11" s="180" t="s">
        <v>14</v>
      </c>
      <c r="Q11" s="181" t="s">
        <v>15</v>
      </c>
      <c r="R11" s="180" t="s">
        <v>14</v>
      </c>
      <c r="S11" s="181" t="s">
        <v>15</v>
      </c>
      <c r="T11" s="105" t="s">
        <v>16</v>
      </c>
      <c r="U11" s="173" t="s">
        <v>52</v>
      </c>
      <c r="V11" s="174"/>
      <c r="W11" s="7" t="s">
        <v>17</v>
      </c>
      <c r="X11" s="173" t="s">
        <v>53</v>
      </c>
      <c r="Y11" s="174"/>
      <c r="Z11" s="105" t="s">
        <v>18</v>
      </c>
      <c r="AA11" s="7" t="s">
        <v>19</v>
      </c>
      <c r="AB11" s="173" t="s">
        <v>20</v>
      </c>
      <c r="AC11" s="174"/>
      <c r="AD11" s="7" t="s">
        <v>21</v>
      </c>
      <c r="AE11" s="8"/>
    </row>
    <row r="12" spans="1:37" ht="15.75" x14ac:dyDescent="0.2">
      <c r="A12" s="192"/>
      <c r="B12" s="192"/>
      <c r="C12" s="192"/>
      <c r="D12" s="192"/>
      <c r="E12" s="171"/>
      <c r="F12" s="172"/>
      <c r="G12" s="199"/>
      <c r="H12" s="171"/>
      <c r="I12" s="199"/>
      <c r="J12" s="171"/>
      <c r="K12" s="182"/>
      <c r="L12" s="171"/>
      <c r="M12" s="182"/>
      <c r="N12" s="171"/>
      <c r="O12" s="182"/>
      <c r="P12" s="171"/>
      <c r="Q12" s="182"/>
      <c r="R12" s="171"/>
      <c r="S12" s="182"/>
      <c r="T12" s="104" t="s">
        <v>14</v>
      </c>
      <c r="U12" s="171" t="s">
        <v>14</v>
      </c>
      <c r="V12" s="172"/>
      <c r="W12" s="106" t="s">
        <v>15</v>
      </c>
      <c r="X12" s="171" t="s">
        <v>15</v>
      </c>
      <c r="Y12" s="172"/>
      <c r="Z12" s="104" t="s">
        <v>14</v>
      </c>
      <c r="AA12" s="106" t="s">
        <v>15</v>
      </c>
      <c r="AB12" s="171" t="s">
        <v>14</v>
      </c>
      <c r="AC12" s="172"/>
      <c r="AD12" s="106" t="s">
        <v>15</v>
      </c>
      <c r="AE12" s="73"/>
    </row>
    <row r="13" spans="1:37" ht="137.25" customHeight="1" x14ac:dyDescent="0.2">
      <c r="A13" s="43">
        <v>1</v>
      </c>
      <c r="B13" s="11" t="s">
        <v>22</v>
      </c>
      <c r="C13" s="44" t="s">
        <v>58</v>
      </c>
      <c r="D13" s="13" t="s">
        <v>180</v>
      </c>
      <c r="E13" s="40" t="s">
        <v>186</v>
      </c>
      <c r="F13" s="41" t="s">
        <v>178</v>
      </c>
      <c r="G13" s="65">
        <f>G18+G22+G30+G42+G44</f>
        <v>10876424193</v>
      </c>
      <c r="H13" s="40">
        <v>100</v>
      </c>
      <c r="I13" s="65">
        <f>I18+I22+I30+I42+I44</f>
        <v>2929040657</v>
      </c>
      <c r="J13" s="129">
        <v>89</v>
      </c>
      <c r="K13" s="65">
        <f>K18+K22+K30+K42+K44</f>
        <v>3779690206</v>
      </c>
      <c r="L13" s="40"/>
      <c r="M13" s="65">
        <f>M18+M22+M30+M42+M44</f>
        <v>594628233</v>
      </c>
      <c r="N13" s="40"/>
      <c r="O13" s="65">
        <f>O18+O22+O30+O42+O44</f>
        <v>1020288111</v>
      </c>
      <c r="P13" s="40"/>
      <c r="Q13" s="65">
        <f>Q18+Q22+Q30+Q42+Q44</f>
        <v>718645610</v>
      </c>
      <c r="R13" s="40">
        <v>89</v>
      </c>
      <c r="S13" s="65">
        <f>S18+S22+S30+S42+S44</f>
        <v>1058482317</v>
      </c>
      <c r="T13" s="80">
        <f t="shared" ref="T13:T56" si="0">SUM(L13,N13,P13,R13)</f>
        <v>89</v>
      </c>
      <c r="U13" s="80">
        <f t="shared" ref="U13:U49" si="1">T13/J13*100</f>
        <v>100</v>
      </c>
      <c r="V13" s="52" t="s">
        <v>49</v>
      </c>
      <c r="W13" s="66">
        <f t="shared" ref="W13:W50" si="2">SUM(M13,O13,Q13,S13)</f>
        <v>3392044271</v>
      </c>
      <c r="X13" s="67">
        <f t="shared" ref="X13:X50" si="3">W13/K13*100</f>
        <v>89.743975990819607</v>
      </c>
      <c r="Y13" s="43" t="s">
        <v>49</v>
      </c>
      <c r="Z13" s="80">
        <f t="shared" ref="Z13:Z78" si="4">SUM(H13,T13)</f>
        <v>189</v>
      </c>
      <c r="AA13" s="66">
        <f t="shared" ref="AA13:AA50" si="5">SUM(I13,W13)</f>
        <v>6321084928</v>
      </c>
      <c r="AB13" s="51"/>
      <c r="AC13" s="52" t="s">
        <v>49</v>
      </c>
      <c r="AD13" s="67"/>
      <c r="AE13" s="18" t="s">
        <v>51</v>
      </c>
      <c r="AH13" s="19">
        <f>M13+O13+Q13+S13</f>
        <v>3392044271</v>
      </c>
    </row>
    <row r="14" spans="1:37" ht="137.25" customHeight="1" x14ac:dyDescent="0.2">
      <c r="A14" s="43"/>
      <c r="B14" s="136"/>
      <c r="C14" s="134"/>
      <c r="D14" s="13" t="s">
        <v>181</v>
      </c>
      <c r="E14" s="40" t="s">
        <v>185</v>
      </c>
      <c r="F14" s="41" t="s">
        <v>178</v>
      </c>
      <c r="G14" s="65"/>
      <c r="H14" s="40"/>
      <c r="I14" s="65"/>
      <c r="J14" s="129"/>
      <c r="K14" s="119"/>
      <c r="L14" s="40"/>
      <c r="M14" s="119"/>
      <c r="N14" s="40"/>
      <c r="O14" s="119"/>
      <c r="P14" s="40"/>
      <c r="Q14" s="119"/>
      <c r="R14" s="40" t="s">
        <v>185</v>
      </c>
      <c r="S14" s="119"/>
      <c r="T14" s="80"/>
      <c r="U14" s="80"/>
      <c r="V14" s="52"/>
      <c r="W14" s="66"/>
      <c r="X14" s="67"/>
      <c r="Y14" s="43"/>
      <c r="Z14" s="80"/>
      <c r="AA14" s="66"/>
      <c r="AB14" s="51"/>
      <c r="AC14" s="52"/>
      <c r="AD14" s="67"/>
      <c r="AE14" s="18"/>
      <c r="AH14" s="19"/>
    </row>
    <row r="15" spans="1:37" ht="137.25" customHeight="1" x14ac:dyDescent="0.2">
      <c r="A15" s="43"/>
      <c r="B15" s="136"/>
      <c r="C15" s="134"/>
      <c r="D15" s="40" t="s">
        <v>185</v>
      </c>
      <c r="E15" s="40" t="s">
        <v>184</v>
      </c>
      <c r="F15" s="41" t="s">
        <v>178</v>
      </c>
      <c r="G15" s="65"/>
      <c r="H15" s="40"/>
      <c r="I15" s="65"/>
      <c r="J15" s="129"/>
      <c r="K15" s="119"/>
      <c r="L15" s="40"/>
      <c r="M15" s="119"/>
      <c r="N15" s="40"/>
      <c r="O15" s="119"/>
      <c r="P15" s="40"/>
      <c r="Q15" s="119"/>
      <c r="R15" s="40" t="s">
        <v>184</v>
      </c>
      <c r="S15" s="119"/>
      <c r="T15" s="80"/>
      <c r="U15" s="80"/>
      <c r="V15" s="52"/>
      <c r="W15" s="66"/>
      <c r="X15" s="67"/>
      <c r="Y15" s="43"/>
      <c r="Z15" s="80"/>
      <c r="AA15" s="66"/>
      <c r="AB15" s="51"/>
      <c r="AC15" s="52"/>
      <c r="AD15" s="67"/>
      <c r="AE15" s="18"/>
      <c r="AH15" s="19"/>
    </row>
    <row r="16" spans="1:37" ht="177" customHeight="1" x14ac:dyDescent="0.2">
      <c r="A16" s="43"/>
      <c r="B16" s="113"/>
      <c r="C16" s="110"/>
      <c r="D16" s="40" t="s">
        <v>184</v>
      </c>
      <c r="E16" s="40" t="s">
        <v>183</v>
      </c>
      <c r="F16" s="41" t="s">
        <v>178</v>
      </c>
      <c r="G16" s="65"/>
      <c r="H16" s="40"/>
      <c r="I16" s="65"/>
      <c r="J16" s="40">
        <v>35</v>
      </c>
      <c r="K16" s="119"/>
      <c r="L16" s="40">
        <v>10</v>
      </c>
      <c r="M16" s="119"/>
      <c r="N16" s="40">
        <v>0</v>
      </c>
      <c r="O16" s="119"/>
      <c r="P16" s="40"/>
      <c r="Q16" s="119"/>
      <c r="R16" s="40" t="s">
        <v>183</v>
      </c>
      <c r="S16" s="119"/>
      <c r="T16" s="80"/>
      <c r="U16" s="80"/>
      <c r="V16" s="52"/>
      <c r="W16" s="66"/>
      <c r="X16" s="67"/>
      <c r="Y16" s="43"/>
      <c r="Z16" s="80"/>
      <c r="AA16" s="66"/>
      <c r="AB16" s="51"/>
      <c r="AC16" s="52"/>
      <c r="AD16" s="67"/>
      <c r="AE16" s="18"/>
      <c r="AH16" s="19"/>
    </row>
    <row r="17" spans="1:34" ht="137.25" customHeight="1" x14ac:dyDescent="0.2">
      <c r="A17" s="43"/>
      <c r="B17" s="113"/>
      <c r="C17" s="110"/>
      <c r="D17" s="40" t="s">
        <v>183</v>
      </c>
      <c r="E17" s="139" t="s">
        <v>182</v>
      </c>
      <c r="F17" s="41" t="s">
        <v>178</v>
      </c>
      <c r="G17" s="65"/>
      <c r="H17" s="40"/>
      <c r="I17" s="65"/>
      <c r="J17" s="40">
        <v>86.42</v>
      </c>
      <c r="K17" s="119"/>
      <c r="L17" s="40">
        <v>0</v>
      </c>
      <c r="M17" s="119"/>
      <c r="N17" s="40">
        <v>0</v>
      </c>
      <c r="O17" s="119"/>
      <c r="P17" s="40"/>
      <c r="Q17" s="119"/>
      <c r="R17" s="40"/>
      <c r="S17" s="119"/>
      <c r="T17" s="80"/>
      <c r="U17" s="80"/>
      <c r="V17" s="52"/>
      <c r="W17" s="66"/>
      <c r="X17" s="67"/>
      <c r="Y17" s="43"/>
      <c r="Z17" s="80"/>
      <c r="AA17" s="66"/>
      <c r="AB17" s="51"/>
      <c r="AC17" s="52"/>
      <c r="AD17" s="67"/>
      <c r="AE17" s="18"/>
      <c r="AH17" s="19"/>
    </row>
    <row r="18" spans="1:34" ht="135.75" customHeight="1" x14ac:dyDescent="0.2">
      <c r="A18" s="43">
        <v>2</v>
      </c>
      <c r="B18" s="44" t="s">
        <v>23</v>
      </c>
      <c r="C18" s="13" t="s">
        <v>170</v>
      </c>
      <c r="D18" s="13" t="s">
        <v>187</v>
      </c>
      <c r="E18" s="40">
        <f>SUM(E20:E21)</f>
        <v>45</v>
      </c>
      <c r="F18" s="41" t="s">
        <v>48</v>
      </c>
      <c r="G18" s="37">
        <f>SUM(G20:G21)</f>
        <v>22795800</v>
      </c>
      <c r="H18" s="40">
        <v>30</v>
      </c>
      <c r="I18" s="37">
        <f t="shared" ref="I18:N18" si="6">SUM(I20:I21)</f>
        <v>6736500</v>
      </c>
      <c r="J18" s="40">
        <f t="shared" si="6"/>
        <v>15</v>
      </c>
      <c r="K18" s="65">
        <f t="shared" si="6"/>
        <v>7592800</v>
      </c>
      <c r="L18" s="40">
        <f t="shared" si="6"/>
        <v>5</v>
      </c>
      <c r="M18" s="37">
        <f t="shared" si="6"/>
        <v>1665200</v>
      </c>
      <c r="N18" s="40">
        <f t="shared" si="6"/>
        <v>4</v>
      </c>
      <c r="O18" s="37">
        <f>SUM(O20:O21)</f>
        <v>2302500</v>
      </c>
      <c r="P18" s="40">
        <f>SUM(P20:P21)</f>
        <v>5</v>
      </c>
      <c r="Q18" s="37">
        <f>SUM(Q20:Q21)</f>
        <v>1993300</v>
      </c>
      <c r="R18" s="40">
        <f>SUM(R20:R21)</f>
        <v>1</v>
      </c>
      <c r="S18" s="37">
        <f>SUM(S20:S21)</f>
        <v>1631800</v>
      </c>
      <c r="T18" s="80">
        <f t="shared" si="0"/>
        <v>15</v>
      </c>
      <c r="U18" s="80">
        <f t="shared" si="1"/>
        <v>100</v>
      </c>
      <c r="V18" s="52" t="s">
        <v>49</v>
      </c>
      <c r="W18" s="49">
        <f t="shared" si="2"/>
        <v>7592800</v>
      </c>
      <c r="X18" s="54">
        <f t="shared" si="3"/>
        <v>100</v>
      </c>
      <c r="Y18" s="52" t="s">
        <v>49</v>
      </c>
      <c r="Z18" s="80">
        <f t="shared" si="4"/>
        <v>45</v>
      </c>
      <c r="AA18" s="49">
        <f t="shared" si="5"/>
        <v>14329300</v>
      </c>
      <c r="AB18" s="54"/>
      <c r="AC18" s="52" t="s">
        <v>49</v>
      </c>
      <c r="AD18" s="54"/>
      <c r="AE18" s="9"/>
      <c r="AH18" s="19"/>
    </row>
    <row r="19" spans="1:34" ht="82.5" customHeight="1" x14ac:dyDescent="0.2">
      <c r="A19" s="10"/>
      <c r="B19" s="136"/>
      <c r="C19" s="135"/>
      <c r="D19" s="13" t="s">
        <v>188</v>
      </c>
      <c r="E19" s="40"/>
      <c r="F19" s="41"/>
      <c r="G19" s="37"/>
      <c r="H19" s="40"/>
      <c r="I19" s="37"/>
      <c r="J19" s="40"/>
      <c r="K19" s="65"/>
      <c r="L19" s="40"/>
      <c r="M19" s="37"/>
      <c r="N19" s="40"/>
      <c r="O19" s="37"/>
      <c r="P19" s="40"/>
      <c r="Q19" s="37"/>
      <c r="R19" s="40"/>
      <c r="S19" s="37"/>
      <c r="T19" s="80"/>
      <c r="U19" s="80"/>
      <c r="V19" s="52"/>
      <c r="W19" s="49"/>
      <c r="X19" s="54"/>
      <c r="Y19" s="52"/>
      <c r="Z19" s="80"/>
      <c r="AA19" s="49"/>
      <c r="AB19" s="54"/>
      <c r="AC19" s="52"/>
      <c r="AD19" s="54"/>
      <c r="AE19" s="9"/>
      <c r="AH19" s="19"/>
    </row>
    <row r="20" spans="1:34" ht="90" customHeight="1" x14ac:dyDescent="0.2">
      <c r="A20" s="10"/>
      <c r="B20" s="11"/>
      <c r="C20" s="20" t="s">
        <v>59</v>
      </c>
      <c r="D20" s="24" t="s">
        <v>136</v>
      </c>
      <c r="E20" s="14">
        <f>5*3</f>
        <v>15</v>
      </c>
      <c r="F20" s="15" t="s">
        <v>48</v>
      </c>
      <c r="G20" s="17">
        <f>5928000+6392800+6612500</f>
        <v>18933300</v>
      </c>
      <c r="H20" s="14">
        <v>5</v>
      </c>
      <c r="I20" s="17">
        <v>5924000</v>
      </c>
      <c r="J20" s="14">
        <v>5</v>
      </c>
      <c r="K20" s="17">
        <v>6392800</v>
      </c>
      <c r="L20" s="14">
        <v>1</v>
      </c>
      <c r="M20" s="111">
        <v>1203200</v>
      </c>
      <c r="N20" s="14">
        <v>3</v>
      </c>
      <c r="O20" s="17">
        <f>3201200-M20</f>
        <v>1998000</v>
      </c>
      <c r="P20" s="14">
        <v>1</v>
      </c>
      <c r="Q20" s="111">
        <f>4797000-O20-M20</f>
        <v>1595800</v>
      </c>
      <c r="R20" s="14"/>
      <c r="S20" s="17">
        <f>6392800-M20-O20-Q20</f>
        <v>1595800</v>
      </c>
      <c r="T20" s="53">
        <f t="shared" si="0"/>
        <v>5</v>
      </c>
      <c r="U20" s="53">
        <f t="shared" si="1"/>
        <v>100</v>
      </c>
      <c r="V20" s="29" t="s">
        <v>49</v>
      </c>
      <c r="W20" s="35">
        <f t="shared" si="2"/>
        <v>6392800</v>
      </c>
      <c r="X20" s="50">
        <f t="shared" si="3"/>
        <v>100</v>
      </c>
      <c r="Y20" s="29" t="s">
        <v>49</v>
      </c>
      <c r="Z20" s="53">
        <f t="shared" si="4"/>
        <v>10</v>
      </c>
      <c r="AA20" s="35">
        <f>SUM(I20,W20)</f>
        <v>12316800</v>
      </c>
      <c r="AB20" s="50"/>
      <c r="AC20" s="29" t="s">
        <v>49</v>
      </c>
      <c r="AD20" s="50"/>
      <c r="AE20" s="9"/>
      <c r="AH20" s="19"/>
    </row>
    <row r="21" spans="1:34" ht="102.75" customHeight="1" x14ac:dyDescent="0.2">
      <c r="A21" s="10"/>
      <c r="B21" s="11"/>
      <c r="C21" s="20" t="s">
        <v>60</v>
      </c>
      <c r="D21" s="24" t="s">
        <v>137</v>
      </c>
      <c r="E21" s="14">
        <f>10*3</f>
        <v>30</v>
      </c>
      <c r="F21" s="15" t="s">
        <v>63</v>
      </c>
      <c r="G21" s="23">
        <f>1100000+1200000+1562500</f>
        <v>3862500</v>
      </c>
      <c r="H21" s="14">
        <v>10</v>
      </c>
      <c r="I21" s="23">
        <v>812500</v>
      </c>
      <c r="J21" s="14">
        <v>10</v>
      </c>
      <c r="K21" s="23">
        <v>1200000</v>
      </c>
      <c r="L21" s="14">
        <v>4</v>
      </c>
      <c r="M21" s="111">
        <v>462000</v>
      </c>
      <c r="N21" s="14">
        <v>1</v>
      </c>
      <c r="O21" s="23">
        <f>766500-M21</f>
        <v>304500</v>
      </c>
      <c r="P21" s="14">
        <v>4</v>
      </c>
      <c r="Q21" s="111">
        <f>1164000-O21-M21</f>
        <v>397500</v>
      </c>
      <c r="R21" s="14">
        <v>1</v>
      </c>
      <c r="S21" s="23">
        <f>1200000-M21-O21-Q21</f>
        <v>36000</v>
      </c>
      <c r="T21" s="53">
        <f t="shared" si="0"/>
        <v>10</v>
      </c>
      <c r="U21" s="53">
        <f t="shared" si="1"/>
        <v>100</v>
      </c>
      <c r="V21" s="29" t="s">
        <v>49</v>
      </c>
      <c r="W21" s="35">
        <f t="shared" si="2"/>
        <v>1200000</v>
      </c>
      <c r="X21" s="50">
        <f t="shared" si="3"/>
        <v>100</v>
      </c>
      <c r="Y21" s="29" t="s">
        <v>49</v>
      </c>
      <c r="Z21" s="53">
        <f t="shared" si="4"/>
        <v>20</v>
      </c>
      <c r="AA21" s="35">
        <f t="shared" si="5"/>
        <v>2012500</v>
      </c>
      <c r="AB21" s="50"/>
      <c r="AC21" s="29" t="s">
        <v>49</v>
      </c>
      <c r="AD21" s="54"/>
      <c r="AE21" s="9"/>
      <c r="AH21" s="19"/>
    </row>
    <row r="22" spans="1:34" s="81" customFormat="1" ht="86.25" customHeight="1" x14ac:dyDescent="0.25">
      <c r="A22" s="10"/>
      <c r="B22" s="11"/>
      <c r="C22" s="12" t="s">
        <v>61</v>
      </c>
      <c r="D22" s="13" t="s">
        <v>189</v>
      </c>
      <c r="E22" s="77">
        <f>SUM(E27:E29)</f>
        <v>42</v>
      </c>
      <c r="F22" s="48" t="s">
        <v>48</v>
      </c>
      <c r="G22" s="37">
        <f>SUM(G26:G29)</f>
        <v>7551019943</v>
      </c>
      <c r="H22" s="77">
        <f>SUM(H27:H29)</f>
        <v>14</v>
      </c>
      <c r="I22" s="37">
        <f>SUM(I26:I29)</f>
        <v>2189611779</v>
      </c>
      <c r="J22" s="77">
        <f>SUM(J27:J29)</f>
        <v>14</v>
      </c>
      <c r="K22" s="37">
        <f>SUM(K26:K29)</f>
        <v>2429294656</v>
      </c>
      <c r="L22" s="77">
        <f>SUM(L27:L29)</f>
        <v>3</v>
      </c>
      <c r="M22" s="121">
        <f>SUM(M26:M29)</f>
        <v>405150300</v>
      </c>
      <c r="N22" s="77">
        <f>SUM(N27:N29)</f>
        <v>4</v>
      </c>
      <c r="O22" s="121">
        <f>SUM(O26:O29)</f>
        <v>775857769</v>
      </c>
      <c r="P22" s="77"/>
      <c r="Q22" s="37">
        <f>SUM(Q26:Q29)</f>
        <v>537091208</v>
      </c>
      <c r="R22" s="77"/>
      <c r="S22" s="37">
        <f>SUM(S26:S29)</f>
        <v>531205367</v>
      </c>
      <c r="T22" s="80">
        <f t="shared" si="0"/>
        <v>7</v>
      </c>
      <c r="U22" s="54">
        <f t="shared" si="1"/>
        <v>50</v>
      </c>
      <c r="V22" s="52" t="s">
        <v>49</v>
      </c>
      <c r="W22" s="49">
        <f>SUM(M22,O22,Q22,S22)</f>
        <v>2249304644</v>
      </c>
      <c r="X22" s="54">
        <f t="shared" si="3"/>
        <v>92.590853005194276</v>
      </c>
      <c r="Y22" s="52" t="s">
        <v>49</v>
      </c>
      <c r="Z22" s="80">
        <f t="shared" si="4"/>
        <v>21</v>
      </c>
      <c r="AA22" s="49">
        <f t="shared" si="5"/>
        <v>4438916423</v>
      </c>
      <c r="AB22" s="54"/>
      <c r="AC22" s="52" t="s">
        <v>49</v>
      </c>
      <c r="AD22" s="54"/>
      <c r="AE22" s="18"/>
      <c r="AH22" s="82">
        <f>M22+O22+Q22+S22</f>
        <v>2249304644</v>
      </c>
    </row>
    <row r="23" spans="1:34" s="81" customFormat="1" ht="86.25" customHeight="1" x14ac:dyDescent="0.25">
      <c r="A23" s="10"/>
      <c r="B23" s="136"/>
      <c r="C23" s="135"/>
      <c r="D23" s="135" t="s">
        <v>190</v>
      </c>
      <c r="E23" s="77"/>
      <c r="F23" s="48"/>
      <c r="G23" s="37"/>
      <c r="H23" s="77"/>
      <c r="I23" s="37"/>
      <c r="J23" s="77">
        <v>1</v>
      </c>
      <c r="K23" s="37"/>
      <c r="L23" s="77"/>
      <c r="M23" s="121"/>
      <c r="N23" s="77"/>
      <c r="O23" s="121"/>
      <c r="P23" s="77"/>
      <c r="Q23" s="37"/>
      <c r="R23" s="77"/>
      <c r="S23" s="37"/>
      <c r="T23" s="80"/>
      <c r="U23" s="54"/>
      <c r="V23" s="52"/>
      <c r="W23" s="49"/>
      <c r="X23" s="54"/>
      <c r="Y23" s="52"/>
      <c r="Z23" s="80"/>
      <c r="AA23" s="49"/>
      <c r="AB23" s="54"/>
      <c r="AC23" s="52"/>
      <c r="AD23" s="54"/>
      <c r="AE23" s="18"/>
      <c r="AH23" s="82"/>
    </row>
    <row r="24" spans="1:34" s="81" customFormat="1" ht="86.25" customHeight="1" x14ac:dyDescent="0.25">
      <c r="A24" s="10"/>
      <c r="B24" s="136"/>
      <c r="C24" s="135"/>
      <c r="D24" s="135" t="s">
        <v>191</v>
      </c>
      <c r="E24" s="77"/>
      <c r="F24" s="48"/>
      <c r="G24" s="37"/>
      <c r="H24" s="77"/>
      <c r="I24" s="37"/>
      <c r="J24" s="77">
        <v>16</v>
      </c>
      <c r="K24" s="37"/>
      <c r="L24" s="77"/>
      <c r="M24" s="121"/>
      <c r="N24" s="77"/>
      <c r="O24" s="121"/>
      <c r="P24" s="77"/>
      <c r="Q24" s="37"/>
      <c r="R24" s="77"/>
      <c r="S24" s="37"/>
      <c r="T24" s="80"/>
      <c r="U24" s="54"/>
      <c r="V24" s="52"/>
      <c r="W24" s="49"/>
      <c r="X24" s="54"/>
      <c r="Y24" s="52"/>
      <c r="Z24" s="80"/>
      <c r="AA24" s="49"/>
      <c r="AB24" s="54"/>
      <c r="AC24" s="52"/>
      <c r="AD24" s="54"/>
      <c r="AE24" s="18"/>
      <c r="AH24" s="82"/>
    </row>
    <row r="25" spans="1:34" s="81" customFormat="1" ht="86.25" customHeight="1" x14ac:dyDescent="0.25">
      <c r="A25" s="10"/>
      <c r="B25" s="136"/>
      <c r="C25" s="135"/>
      <c r="D25" s="135" t="s">
        <v>192</v>
      </c>
      <c r="E25" s="77"/>
      <c r="F25" s="48"/>
      <c r="G25" s="37"/>
      <c r="H25" s="77"/>
      <c r="I25" s="37"/>
      <c r="J25" s="77">
        <v>1</v>
      </c>
      <c r="K25" s="37"/>
      <c r="L25" s="77"/>
      <c r="M25" s="121"/>
      <c r="N25" s="77"/>
      <c r="O25" s="121"/>
      <c r="P25" s="77"/>
      <c r="Q25" s="37"/>
      <c r="R25" s="77"/>
      <c r="S25" s="37"/>
      <c r="T25" s="80"/>
      <c r="U25" s="54"/>
      <c r="V25" s="52"/>
      <c r="W25" s="49"/>
      <c r="X25" s="54"/>
      <c r="Y25" s="52"/>
      <c r="Z25" s="80"/>
      <c r="AA25" s="49"/>
      <c r="AB25" s="54"/>
      <c r="AC25" s="52"/>
      <c r="AD25" s="54"/>
      <c r="AE25" s="18"/>
      <c r="AH25" s="82"/>
    </row>
    <row r="26" spans="1:34" ht="93" customHeight="1" x14ac:dyDescent="0.2">
      <c r="A26" s="10"/>
      <c r="B26" s="11"/>
      <c r="C26" s="20" t="s">
        <v>169</v>
      </c>
      <c r="D26" s="20" t="s">
        <v>138</v>
      </c>
      <c r="E26" s="38">
        <f>18*3</f>
        <v>54</v>
      </c>
      <c r="F26" s="21" t="s">
        <v>104</v>
      </c>
      <c r="G26" s="17">
        <f>2687831660+2425694656+2425713627</f>
        <v>7539239943</v>
      </c>
      <c r="H26" s="38">
        <v>18</v>
      </c>
      <c r="I26" s="17">
        <v>2185931779</v>
      </c>
      <c r="J26" s="38">
        <v>18</v>
      </c>
      <c r="K26" s="17">
        <v>2425694656</v>
      </c>
      <c r="L26" s="38">
        <v>18</v>
      </c>
      <c r="M26" s="120">
        <v>403650300</v>
      </c>
      <c r="N26" s="38">
        <v>18</v>
      </c>
      <c r="O26" s="17">
        <f>1179208069-M26</f>
        <v>775557769</v>
      </c>
      <c r="P26" s="38">
        <v>18</v>
      </c>
      <c r="Q26" s="140">
        <f>1714799277-M26-O26</f>
        <v>535591208</v>
      </c>
      <c r="R26" s="38">
        <v>18</v>
      </c>
      <c r="S26" s="17">
        <f>2246004644-M26-O26-Q26</f>
        <v>531205367</v>
      </c>
      <c r="T26" s="53">
        <f>AVERAGE(L26,N26,P26,R26)</f>
        <v>18</v>
      </c>
      <c r="U26" s="53">
        <f t="shared" si="1"/>
        <v>100</v>
      </c>
      <c r="V26" s="29" t="s">
        <v>49</v>
      </c>
      <c r="W26" s="35">
        <f t="shared" si="2"/>
        <v>2246004644</v>
      </c>
      <c r="X26" s="50">
        <f t="shared" si="3"/>
        <v>92.592224600259001</v>
      </c>
      <c r="Y26" s="29" t="s">
        <v>49</v>
      </c>
      <c r="Z26" s="53">
        <f t="shared" si="4"/>
        <v>36</v>
      </c>
      <c r="AA26" s="35">
        <f t="shared" si="5"/>
        <v>4431936423</v>
      </c>
      <c r="AB26" s="50"/>
      <c r="AC26" s="29" t="s">
        <v>49</v>
      </c>
      <c r="AD26" s="50"/>
      <c r="AE26" s="9"/>
      <c r="AH26" s="19">
        <f>M26+O26+Q26+S26</f>
        <v>2246004644</v>
      </c>
    </row>
    <row r="27" spans="1:34" ht="180" x14ac:dyDescent="0.2">
      <c r="A27" s="10"/>
      <c r="B27" s="11"/>
      <c r="C27" s="20" t="s">
        <v>62</v>
      </c>
      <c r="D27" s="24" t="s">
        <v>139</v>
      </c>
      <c r="E27" s="38">
        <f>1*3</f>
        <v>3</v>
      </c>
      <c r="F27" s="21" t="s">
        <v>63</v>
      </c>
      <c r="G27" s="17">
        <f>1480000+1200000+1500000</f>
        <v>4180000</v>
      </c>
      <c r="H27" s="38">
        <v>1</v>
      </c>
      <c r="I27" s="17">
        <v>1480000</v>
      </c>
      <c r="J27" s="38">
        <v>1</v>
      </c>
      <c r="K27" s="17">
        <v>1200000</v>
      </c>
      <c r="L27" s="38">
        <v>0</v>
      </c>
      <c r="M27" s="125">
        <v>1200000</v>
      </c>
      <c r="N27" s="38">
        <v>0</v>
      </c>
      <c r="O27" s="17">
        <v>0</v>
      </c>
      <c r="P27" s="38"/>
      <c r="Q27" s="111">
        <f>1200000-M27-O27</f>
        <v>0</v>
      </c>
      <c r="R27" s="38"/>
      <c r="S27" s="17">
        <v>0</v>
      </c>
      <c r="T27" s="53">
        <f t="shared" si="0"/>
        <v>0</v>
      </c>
      <c r="U27" s="53">
        <f t="shared" si="1"/>
        <v>0</v>
      </c>
      <c r="V27" s="29" t="s">
        <v>49</v>
      </c>
      <c r="W27" s="35">
        <f t="shared" si="2"/>
        <v>1200000</v>
      </c>
      <c r="X27" s="50">
        <f t="shared" si="3"/>
        <v>100</v>
      </c>
      <c r="Y27" s="29" t="s">
        <v>49</v>
      </c>
      <c r="Z27" s="53">
        <f t="shared" si="4"/>
        <v>1</v>
      </c>
      <c r="AA27" s="35">
        <f t="shared" si="5"/>
        <v>2680000</v>
      </c>
      <c r="AB27" s="50"/>
      <c r="AC27" s="29" t="s">
        <v>49</v>
      </c>
      <c r="AD27" s="50"/>
      <c r="AE27" s="9"/>
      <c r="AH27" s="19">
        <f>M27+O27+Q27+S27</f>
        <v>1200000</v>
      </c>
    </row>
    <row r="28" spans="1:34" ht="210" x14ac:dyDescent="0.2">
      <c r="A28" s="10"/>
      <c r="B28" s="11"/>
      <c r="C28" s="20" t="s">
        <v>64</v>
      </c>
      <c r="D28" s="24" t="s">
        <v>140</v>
      </c>
      <c r="E28" s="38">
        <f>12*3</f>
        <v>36</v>
      </c>
      <c r="F28" s="21" t="s">
        <v>63</v>
      </c>
      <c r="G28" s="17">
        <f>1100000+1200000+1500000</f>
        <v>3800000</v>
      </c>
      <c r="H28" s="38">
        <v>12</v>
      </c>
      <c r="I28" s="17">
        <v>1100000</v>
      </c>
      <c r="J28" s="38">
        <v>12</v>
      </c>
      <c r="K28" s="17">
        <v>1200000</v>
      </c>
      <c r="L28" s="38">
        <v>3</v>
      </c>
      <c r="M28" s="126">
        <v>300000</v>
      </c>
      <c r="N28" s="38">
        <v>3</v>
      </c>
      <c r="O28" s="17">
        <f>600000-M28</f>
        <v>300000</v>
      </c>
      <c r="P28" s="38">
        <v>3</v>
      </c>
      <c r="Q28" s="111">
        <f>900000-M28-O28</f>
        <v>300000</v>
      </c>
      <c r="R28" s="38">
        <v>3</v>
      </c>
      <c r="S28" s="17">
        <v>0</v>
      </c>
      <c r="T28" s="53">
        <f t="shared" si="0"/>
        <v>12</v>
      </c>
      <c r="U28" s="53">
        <f t="shared" si="1"/>
        <v>100</v>
      </c>
      <c r="V28" s="29" t="s">
        <v>49</v>
      </c>
      <c r="W28" s="35">
        <f t="shared" si="2"/>
        <v>900000</v>
      </c>
      <c r="X28" s="50">
        <f t="shared" si="3"/>
        <v>75</v>
      </c>
      <c r="Y28" s="29" t="s">
        <v>49</v>
      </c>
      <c r="Z28" s="53">
        <f t="shared" si="4"/>
        <v>24</v>
      </c>
      <c r="AA28" s="35">
        <f t="shared" si="5"/>
        <v>2000000</v>
      </c>
      <c r="AB28" s="50"/>
      <c r="AC28" s="29" t="s">
        <v>49</v>
      </c>
      <c r="AD28" s="50"/>
      <c r="AE28" s="9"/>
      <c r="AH28" s="19">
        <f>M28+O28+Q28+S28</f>
        <v>900000</v>
      </c>
    </row>
    <row r="29" spans="1:34" ht="111.75" customHeight="1" x14ac:dyDescent="0.2">
      <c r="A29" s="10"/>
      <c r="B29" s="11"/>
      <c r="C29" s="20" t="s">
        <v>65</v>
      </c>
      <c r="D29" s="24" t="s">
        <v>141</v>
      </c>
      <c r="E29" s="38">
        <f>1*3</f>
        <v>3</v>
      </c>
      <c r="F29" s="21" t="s">
        <v>48</v>
      </c>
      <c r="G29" s="17">
        <f>1100000+1200000+1500000</f>
        <v>3800000</v>
      </c>
      <c r="H29" s="38">
        <v>1</v>
      </c>
      <c r="I29" s="17">
        <v>1100000</v>
      </c>
      <c r="J29" s="38">
        <v>1</v>
      </c>
      <c r="K29" s="17">
        <v>1200000</v>
      </c>
      <c r="L29" s="38">
        <v>0</v>
      </c>
      <c r="M29" s="126" t="s">
        <v>171</v>
      </c>
      <c r="N29" s="38">
        <v>1</v>
      </c>
      <c r="O29" s="17">
        <v>0</v>
      </c>
      <c r="P29" s="38"/>
      <c r="Q29" s="111">
        <v>1200000</v>
      </c>
      <c r="R29" s="38"/>
      <c r="S29" s="17">
        <v>0</v>
      </c>
      <c r="T29" s="53">
        <f t="shared" si="0"/>
        <v>1</v>
      </c>
      <c r="U29" s="53">
        <f t="shared" si="1"/>
        <v>100</v>
      </c>
      <c r="V29" s="29" t="s">
        <v>49</v>
      </c>
      <c r="W29" s="35">
        <f t="shared" si="2"/>
        <v>1200000</v>
      </c>
      <c r="X29" s="50">
        <f t="shared" si="3"/>
        <v>100</v>
      </c>
      <c r="Y29" s="29" t="s">
        <v>49</v>
      </c>
      <c r="Z29" s="53">
        <f t="shared" si="4"/>
        <v>2</v>
      </c>
      <c r="AA29" s="35">
        <f t="shared" si="5"/>
        <v>2300000</v>
      </c>
      <c r="AB29" s="50"/>
      <c r="AC29" s="29" t="s">
        <v>49</v>
      </c>
      <c r="AD29" s="50"/>
      <c r="AE29" s="9"/>
      <c r="AH29" s="19" t="e">
        <f>M29+O29+Q29+S29</f>
        <v>#VALUE!</v>
      </c>
    </row>
    <row r="30" spans="1:34" s="81" customFormat="1" ht="123" customHeight="1" x14ac:dyDescent="0.25">
      <c r="A30" s="10"/>
      <c r="B30" s="11"/>
      <c r="C30" s="11" t="s">
        <v>66</v>
      </c>
      <c r="D30" s="13" t="s">
        <v>193</v>
      </c>
      <c r="E30" s="77">
        <f>1*3</f>
        <v>3</v>
      </c>
      <c r="F30" s="48" t="s">
        <v>48</v>
      </c>
      <c r="G30" s="37">
        <f>SUM(G36:G41)</f>
        <v>2525271450</v>
      </c>
      <c r="H30" s="77">
        <v>1</v>
      </c>
      <c r="I30" s="37">
        <f>SUM(I36:I41)</f>
        <v>632762614</v>
      </c>
      <c r="J30" s="77">
        <v>100</v>
      </c>
      <c r="K30" s="37">
        <f>SUM(K36:K41)</f>
        <v>922512750</v>
      </c>
      <c r="L30" s="77">
        <v>25</v>
      </c>
      <c r="M30" s="37">
        <f>SUM(M36:M41)</f>
        <v>157742177</v>
      </c>
      <c r="N30" s="77">
        <v>25</v>
      </c>
      <c r="O30" s="37">
        <f>SUM(O36:O41)</f>
        <v>196800015</v>
      </c>
      <c r="P30" s="77">
        <v>25</v>
      </c>
      <c r="Q30" s="37">
        <f>SUM(Q36:Q41)</f>
        <v>149632675</v>
      </c>
      <c r="R30" s="77">
        <v>25</v>
      </c>
      <c r="S30" s="37">
        <f>SUM(S36:S41)</f>
        <v>317131733</v>
      </c>
      <c r="T30" s="80">
        <f>SUM(L30,N30,P30,R30)</f>
        <v>100</v>
      </c>
      <c r="U30" s="80">
        <f t="shared" si="1"/>
        <v>100</v>
      </c>
      <c r="V30" s="52" t="s">
        <v>49</v>
      </c>
      <c r="W30" s="49">
        <f t="shared" si="2"/>
        <v>821306600</v>
      </c>
      <c r="X30" s="54">
        <f t="shared" si="3"/>
        <v>89.029295259062806</v>
      </c>
      <c r="Y30" s="52" t="s">
        <v>49</v>
      </c>
      <c r="Z30" s="80">
        <f t="shared" si="4"/>
        <v>101</v>
      </c>
      <c r="AA30" s="49">
        <f t="shared" si="5"/>
        <v>1454069214</v>
      </c>
      <c r="AB30" s="54"/>
      <c r="AC30" s="52" t="s">
        <v>49</v>
      </c>
      <c r="AD30" s="54"/>
      <c r="AE30" s="83"/>
      <c r="AH30" s="82"/>
    </row>
    <row r="31" spans="1:34" s="81" customFormat="1" ht="154.5" customHeight="1" x14ac:dyDescent="0.25">
      <c r="A31" s="10"/>
      <c r="B31" s="136"/>
      <c r="C31" s="136"/>
      <c r="D31" s="13" t="s">
        <v>194</v>
      </c>
      <c r="E31" s="77"/>
      <c r="F31" s="48"/>
      <c r="G31" s="37"/>
      <c r="H31" s="77"/>
      <c r="I31" s="37"/>
      <c r="J31" s="77">
        <v>100</v>
      </c>
      <c r="K31" s="37"/>
      <c r="L31" s="77"/>
      <c r="M31" s="37"/>
      <c r="N31" s="77"/>
      <c r="O31" s="37"/>
      <c r="P31" s="77"/>
      <c r="Q31" s="37"/>
      <c r="R31" s="77"/>
      <c r="S31" s="37"/>
      <c r="T31" s="80"/>
      <c r="U31" s="80"/>
      <c r="V31" s="52"/>
      <c r="W31" s="49"/>
      <c r="X31" s="54"/>
      <c r="Y31" s="52"/>
      <c r="Z31" s="80"/>
      <c r="AA31" s="49"/>
      <c r="AB31" s="54"/>
      <c r="AC31" s="52"/>
      <c r="AD31" s="54"/>
      <c r="AE31" s="83"/>
      <c r="AH31" s="82"/>
    </row>
    <row r="32" spans="1:34" s="81" customFormat="1" ht="154.5" customHeight="1" x14ac:dyDescent="0.25">
      <c r="A32" s="10"/>
      <c r="B32" s="136"/>
      <c r="C32" s="136"/>
      <c r="D32" s="13" t="s">
        <v>195</v>
      </c>
      <c r="E32" s="77"/>
      <c r="F32" s="48"/>
      <c r="G32" s="37"/>
      <c r="H32" s="77"/>
      <c r="I32" s="37"/>
      <c r="J32" s="77">
        <v>100</v>
      </c>
      <c r="K32" s="37"/>
      <c r="L32" s="77"/>
      <c r="M32" s="37"/>
      <c r="N32" s="77"/>
      <c r="O32" s="37"/>
      <c r="P32" s="77"/>
      <c r="Q32" s="37"/>
      <c r="R32" s="77"/>
      <c r="S32" s="37"/>
      <c r="T32" s="80"/>
      <c r="U32" s="80"/>
      <c r="V32" s="52"/>
      <c r="W32" s="49"/>
      <c r="X32" s="54"/>
      <c r="Y32" s="52"/>
      <c r="Z32" s="80"/>
      <c r="AA32" s="49"/>
      <c r="AB32" s="54"/>
      <c r="AC32" s="52"/>
      <c r="AD32" s="54"/>
      <c r="AE32" s="83"/>
      <c r="AH32" s="82"/>
    </row>
    <row r="33" spans="1:34" s="81" customFormat="1" ht="134.25" customHeight="1" x14ac:dyDescent="0.25">
      <c r="A33" s="10"/>
      <c r="B33" s="136"/>
      <c r="C33" s="136"/>
      <c r="D33" s="13" t="s">
        <v>196</v>
      </c>
      <c r="E33" s="77"/>
      <c r="F33" s="48"/>
      <c r="G33" s="37"/>
      <c r="H33" s="77"/>
      <c r="I33" s="37"/>
      <c r="J33" s="77">
        <v>100</v>
      </c>
      <c r="K33" s="37"/>
      <c r="L33" s="77"/>
      <c r="M33" s="37"/>
      <c r="N33" s="77"/>
      <c r="O33" s="37"/>
      <c r="P33" s="77"/>
      <c r="Q33" s="37"/>
      <c r="R33" s="77"/>
      <c r="S33" s="37"/>
      <c r="T33" s="80"/>
      <c r="U33" s="80"/>
      <c r="V33" s="52"/>
      <c r="W33" s="49"/>
      <c r="X33" s="54"/>
      <c r="Y33" s="52"/>
      <c r="Z33" s="80"/>
      <c r="AA33" s="49"/>
      <c r="AB33" s="54"/>
      <c r="AC33" s="52"/>
      <c r="AD33" s="54"/>
      <c r="AE33" s="83"/>
      <c r="AH33" s="82"/>
    </row>
    <row r="34" spans="1:34" s="81" customFormat="1" ht="162" customHeight="1" x14ac:dyDescent="0.25">
      <c r="A34" s="10"/>
      <c r="B34" s="136"/>
      <c r="C34" s="136"/>
      <c r="D34" s="13" t="s">
        <v>197</v>
      </c>
      <c r="E34" s="77"/>
      <c r="F34" s="48"/>
      <c r="G34" s="37"/>
      <c r="H34" s="77"/>
      <c r="I34" s="37"/>
      <c r="J34" s="77">
        <v>24</v>
      </c>
      <c r="K34" s="37"/>
      <c r="L34" s="77"/>
      <c r="M34" s="37"/>
      <c r="N34" s="77"/>
      <c r="O34" s="37"/>
      <c r="P34" s="77"/>
      <c r="Q34" s="37"/>
      <c r="R34" s="77"/>
      <c r="S34" s="37"/>
      <c r="T34" s="80"/>
      <c r="U34" s="80"/>
      <c r="V34" s="52"/>
      <c r="W34" s="49"/>
      <c r="X34" s="54"/>
      <c r="Y34" s="52"/>
      <c r="Z34" s="80"/>
      <c r="AA34" s="49"/>
      <c r="AB34" s="54"/>
      <c r="AC34" s="52"/>
      <c r="AD34" s="54"/>
      <c r="AE34" s="83"/>
      <c r="AH34" s="82"/>
    </row>
    <row r="35" spans="1:34" s="81" customFormat="1" ht="123" customHeight="1" x14ac:dyDescent="0.25">
      <c r="A35" s="10"/>
      <c r="B35" s="136"/>
      <c r="C35" s="136"/>
      <c r="D35" s="13" t="s">
        <v>198</v>
      </c>
      <c r="E35" s="77"/>
      <c r="F35" s="48"/>
      <c r="G35" s="37"/>
      <c r="H35" s="77"/>
      <c r="I35" s="37"/>
      <c r="J35" s="77">
        <v>100</v>
      </c>
      <c r="K35" s="37"/>
      <c r="L35" s="77"/>
      <c r="M35" s="37"/>
      <c r="N35" s="77"/>
      <c r="O35" s="37"/>
      <c r="P35" s="77"/>
      <c r="Q35" s="37"/>
      <c r="R35" s="77"/>
      <c r="S35" s="37"/>
      <c r="T35" s="80"/>
      <c r="U35" s="80"/>
      <c r="V35" s="52"/>
      <c r="W35" s="49"/>
      <c r="X35" s="54"/>
      <c r="Y35" s="52"/>
      <c r="Z35" s="80"/>
      <c r="AA35" s="49"/>
      <c r="AB35" s="54"/>
      <c r="AC35" s="52"/>
      <c r="AD35" s="54"/>
      <c r="AE35" s="83"/>
      <c r="AH35" s="82"/>
    </row>
    <row r="36" spans="1:34" ht="125.25" customHeight="1" x14ac:dyDescent="0.2">
      <c r="A36" s="10"/>
      <c r="B36" s="11"/>
      <c r="C36" s="24" t="s">
        <v>67</v>
      </c>
      <c r="D36" s="24" t="s">
        <v>142</v>
      </c>
      <c r="E36" s="38">
        <f>12*3</f>
        <v>36</v>
      </c>
      <c r="F36" s="15" t="s">
        <v>148</v>
      </c>
      <c r="G36" s="17">
        <f>522036000+498036000+517232700</f>
        <v>1537304700</v>
      </c>
      <c r="H36" s="38">
        <v>12</v>
      </c>
      <c r="I36" s="17">
        <v>388086240</v>
      </c>
      <c r="J36" s="38">
        <v>12</v>
      </c>
      <c r="K36" s="17">
        <v>503036000</v>
      </c>
      <c r="L36" s="38">
        <v>3</v>
      </c>
      <c r="M36" s="111">
        <v>94449055</v>
      </c>
      <c r="N36" s="38">
        <v>3</v>
      </c>
      <c r="O36" s="17">
        <f>199384594-M36</f>
        <v>104935539</v>
      </c>
      <c r="P36" s="38">
        <v>3</v>
      </c>
      <c r="Q36" s="111">
        <f>319831164-M36-O36</f>
        <v>120446570</v>
      </c>
      <c r="R36" s="38">
        <v>3</v>
      </c>
      <c r="S36" s="17">
        <f>461177905-M36-O36-Q36</f>
        <v>141346741</v>
      </c>
      <c r="T36" s="53">
        <f t="shared" si="0"/>
        <v>12</v>
      </c>
      <c r="U36" s="53">
        <f t="shared" si="1"/>
        <v>100</v>
      </c>
      <c r="V36" s="29" t="s">
        <v>49</v>
      </c>
      <c r="W36" s="35">
        <f t="shared" si="2"/>
        <v>461177905</v>
      </c>
      <c r="X36" s="50">
        <f t="shared" si="3"/>
        <v>91.678906678647252</v>
      </c>
      <c r="Y36" s="29" t="s">
        <v>49</v>
      </c>
      <c r="Z36" s="53">
        <f t="shared" si="4"/>
        <v>24</v>
      </c>
      <c r="AA36" s="35">
        <f t="shared" si="5"/>
        <v>849264145</v>
      </c>
      <c r="AB36" s="50"/>
      <c r="AC36" s="29" t="s">
        <v>49</v>
      </c>
      <c r="AD36" s="50"/>
      <c r="AE36" s="9"/>
      <c r="AH36" s="19"/>
    </row>
    <row r="37" spans="1:34" ht="75" x14ac:dyDescent="0.2">
      <c r="A37" s="10"/>
      <c r="B37" s="11"/>
      <c r="C37" s="24" t="s">
        <v>68</v>
      </c>
      <c r="D37" s="24" t="s">
        <v>143</v>
      </c>
      <c r="E37" s="38">
        <f t="shared" ref="E37:E43" si="7">12*3</f>
        <v>36</v>
      </c>
      <c r="F37" s="15" t="s">
        <v>148</v>
      </c>
      <c r="G37" s="17">
        <f>52896200+31366750+48111300</f>
        <v>132374250</v>
      </c>
      <c r="H37" s="38">
        <v>12</v>
      </c>
      <c r="I37" s="17">
        <v>49924200</v>
      </c>
      <c r="J37" s="38">
        <v>12</v>
      </c>
      <c r="K37" s="17">
        <v>31366750</v>
      </c>
      <c r="L37" s="38">
        <v>3</v>
      </c>
      <c r="M37" s="111">
        <v>12680000</v>
      </c>
      <c r="N37" s="38">
        <v>3</v>
      </c>
      <c r="O37" s="17">
        <f>26326500-M37</f>
        <v>13646500</v>
      </c>
      <c r="P37" s="38">
        <v>3</v>
      </c>
      <c r="Q37" s="111">
        <f>26326500-M37-O37</f>
        <v>0</v>
      </c>
      <c r="R37" s="38">
        <v>3</v>
      </c>
      <c r="S37" s="17">
        <f>26326500-M37-O37-Q37</f>
        <v>0</v>
      </c>
      <c r="T37" s="53">
        <f t="shared" si="0"/>
        <v>12</v>
      </c>
      <c r="U37" s="53">
        <f t="shared" si="1"/>
        <v>100</v>
      </c>
      <c r="V37" s="29" t="s">
        <v>49</v>
      </c>
      <c r="W37" s="35">
        <f t="shared" si="2"/>
        <v>26326500</v>
      </c>
      <c r="X37" s="50">
        <f t="shared" si="3"/>
        <v>83.931232913833924</v>
      </c>
      <c r="Y37" s="29" t="s">
        <v>49</v>
      </c>
      <c r="Z37" s="53">
        <f t="shared" si="4"/>
        <v>24</v>
      </c>
      <c r="AA37" s="35">
        <f t="shared" si="5"/>
        <v>76250700</v>
      </c>
      <c r="AB37" s="50"/>
      <c r="AC37" s="29" t="s">
        <v>49</v>
      </c>
      <c r="AD37" s="50"/>
      <c r="AE37" s="9"/>
      <c r="AH37" s="19"/>
    </row>
    <row r="38" spans="1:34" ht="81" customHeight="1" x14ac:dyDescent="0.2">
      <c r="A38" s="10"/>
      <c r="B38" s="11"/>
      <c r="C38" s="24" t="s">
        <v>199</v>
      </c>
      <c r="D38" s="20" t="s">
        <v>144</v>
      </c>
      <c r="E38" s="38">
        <f t="shared" si="7"/>
        <v>36</v>
      </c>
      <c r="F38" s="15" t="s">
        <v>148</v>
      </c>
      <c r="G38" s="17">
        <f>37300000+37150000+48800000</f>
        <v>123250000</v>
      </c>
      <c r="H38" s="38">
        <v>12</v>
      </c>
      <c r="I38" s="17">
        <v>21500000</v>
      </c>
      <c r="J38" s="38">
        <v>12</v>
      </c>
      <c r="K38" s="17">
        <v>37150000</v>
      </c>
      <c r="L38" s="38">
        <v>3</v>
      </c>
      <c r="M38" s="111">
        <v>1575000</v>
      </c>
      <c r="N38" s="38">
        <v>3</v>
      </c>
      <c r="O38" s="17">
        <f>4675000-M38</f>
        <v>3100000</v>
      </c>
      <c r="P38" s="38">
        <v>3</v>
      </c>
      <c r="Q38" s="111">
        <f>6250000-M38-O38</f>
        <v>1575000</v>
      </c>
      <c r="R38" s="38">
        <v>3</v>
      </c>
      <c r="S38" s="17">
        <f>25250000-M38-O38-Q38</f>
        <v>19000000</v>
      </c>
      <c r="T38" s="53">
        <f t="shared" si="0"/>
        <v>12</v>
      </c>
      <c r="U38" s="53">
        <f t="shared" si="1"/>
        <v>100</v>
      </c>
      <c r="V38" s="29" t="s">
        <v>49</v>
      </c>
      <c r="W38" s="35">
        <f t="shared" si="2"/>
        <v>25250000</v>
      </c>
      <c r="X38" s="50">
        <f t="shared" si="3"/>
        <v>67.96769851951548</v>
      </c>
      <c r="Y38" s="29" t="s">
        <v>49</v>
      </c>
      <c r="Z38" s="53">
        <f t="shared" si="4"/>
        <v>24</v>
      </c>
      <c r="AA38" s="35">
        <f t="shared" si="5"/>
        <v>46750000</v>
      </c>
      <c r="AB38" s="50"/>
      <c r="AC38" s="29" t="s">
        <v>49</v>
      </c>
      <c r="AD38" s="50"/>
      <c r="AE38" s="9"/>
      <c r="AH38" s="19"/>
    </row>
    <row r="39" spans="1:34" ht="90" x14ac:dyDescent="0.2">
      <c r="A39" s="10"/>
      <c r="B39" s="11"/>
      <c r="C39" s="24" t="s">
        <v>200</v>
      </c>
      <c r="D39" s="20" t="s">
        <v>145</v>
      </c>
      <c r="E39" s="38">
        <f t="shared" si="7"/>
        <v>36</v>
      </c>
      <c r="F39" s="15" t="s">
        <v>148</v>
      </c>
      <c r="G39" s="17">
        <f>23607500+27660000+26675000</f>
        <v>77942500</v>
      </c>
      <c r="H39" s="38">
        <v>12</v>
      </c>
      <c r="I39" s="17">
        <v>22895000</v>
      </c>
      <c r="J39" s="38">
        <v>12</v>
      </c>
      <c r="K39" s="17">
        <v>27660000</v>
      </c>
      <c r="L39" s="38">
        <v>3</v>
      </c>
      <c r="M39" s="111">
        <v>500000</v>
      </c>
      <c r="N39" s="38">
        <v>3</v>
      </c>
      <c r="O39" s="17">
        <f>19505000-M39</f>
        <v>19005000</v>
      </c>
      <c r="P39" s="38">
        <v>3</v>
      </c>
      <c r="Q39" s="111">
        <f>24195000-M39-O39</f>
        <v>4690000</v>
      </c>
      <c r="R39" s="38">
        <v>3</v>
      </c>
      <c r="S39" s="17">
        <f>25395000-M39-O39-Q39</f>
        <v>1200000</v>
      </c>
      <c r="T39" s="53">
        <f t="shared" si="0"/>
        <v>12</v>
      </c>
      <c r="U39" s="53">
        <f t="shared" si="1"/>
        <v>100</v>
      </c>
      <c r="V39" s="29" t="s">
        <v>49</v>
      </c>
      <c r="W39" s="35">
        <f t="shared" si="2"/>
        <v>25395000</v>
      </c>
      <c r="X39" s="50">
        <f t="shared" si="3"/>
        <v>91.811279826464215</v>
      </c>
      <c r="Y39" s="29" t="s">
        <v>49</v>
      </c>
      <c r="Z39" s="53">
        <f t="shared" si="4"/>
        <v>24</v>
      </c>
      <c r="AA39" s="35">
        <f t="shared" si="5"/>
        <v>48290000</v>
      </c>
      <c r="AB39" s="50"/>
      <c r="AC39" s="29" t="s">
        <v>49</v>
      </c>
      <c r="AD39" s="50"/>
      <c r="AE39" s="9"/>
      <c r="AH39" s="19"/>
    </row>
    <row r="40" spans="1:34" ht="105" x14ac:dyDescent="0.2">
      <c r="A40" s="10"/>
      <c r="B40" s="11"/>
      <c r="C40" s="24" t="s">
        <v>69</v>
      </c>
      <c r="D40" s="109" t="s">
        <v>146</v>
      </c>
      <c r="E40" s="38">
        <f t="shared" si="7"/>
        <v>36</v>
      </c>
      <c r="F40" s="15" t="s">
        <v>48</v>
      </c>
      <c r="G40" s="17">
        <f>3600000+3300000</f>
        <v>6900000</v>
      </c>
      <c r="H40" s="38">
        <v>12</v>
      </c>
      <c r="I40" s="17">
        <v>2460000</v>
      </c>
      <c r="J40" s="38">
        <v>12</v>
      </c>
      <c r="K40" s="17">
        <v>3300000</v>
      </c>
      <c r="L40" s="38">
        <v>3</v>
      </c>
      <c r="M40" s="123">
        <v>615000</v>
      </c>
      <c r="N40" s="38">
        <v>3</v>
      </c>
      <c r="O40" s="17">
        <f>1250000-M40</f>
        <v>635000</v>
      </c>
      <c r="P40" s="38">
        <v>3</v>
      </c>
      <c r="Q40" s="122">
        <f>1895000-M40-O40</f>
        <v>645000</v>
      </c>
      <c r="R40" s="38">
        <v>3</v>
      </c>
      <c r="S40" s="17">
        <f>2580000-M40-O40-Q40</f>
        <v>685000</v>
      </c>
      <c r="T40" s="53">
        <f t="shared" si="0"/>
        <v>12</v>
      </c>
      <c r="U40" s="53">
        <f t="shared" si="1"/>
        <v>100</v>
      </c>
      <c r="V40" s="29" t="s">
        <v>49</v>
      </c>
      <c r="W40" s="35">
        <f t="shared" si="2"/>
        <v>2580000</v>
      </c>
      <c r="X40" s="50">
        <f t="shared" si="3"/>
        <v>78.181818181818187</v>
      </c>
      <c r="Y40" s="29" t="s">
        <v>49</v>
      </c>
      <c r="Z40" s="53">
        <f t="shared" si="4"/>
        <v>24</v>
      </c>
      <c r="AA40" s="35">
        <f t="shared" si="5"/>
        <v>5040000</v>
      </c>
      <c r="AB40" s="50"/>
      <c r="AC40" s="29" t="s">
        <v>49</v>
      </c>
      <c r="AD40" s="50"/>
      <c r="AE40" s="9"/>
      <c r="AH40" s="19"/>
    </row>
    <row r="41" spans="1:34" ht="105" x14ac:dyDescent="0.2">
      <c r="A41" s="10"/>
      <c r="B41" s="11"/>
      <c r="C41" s="24" t="s">
        <v>70</v>
      </c>
      <c r="D41" s="109" t="s">
        <v>147</v>
      </c>
      <c r="E41" s="38">
        <f t="shared" si="7"/>
        <v>36</v>
      </c>
      <c r="F41" s="15" t="s">
        <v>63</v>
      </c>
      <c r="G41" s="17">
        <f>193500000+320000000+134000000</f>
        <v>647500000</v>
      </c>
      <c r="H41" s="38">
        <v>12</v>
      </c>
      <c r="I41" s="17">
        <v>147897174</v>
      </c>
      <c r="J41" s="38">
        <v>12</v>
      </c>
      <c r="K41" s="17">
        <v>320000000</v>
      </c>
      <c r="L41" s="38">
        <v>3</v>
      </c>
      <c r="M41" s="127">
        <v>47923122</v>
      </c>
      <c r="N41" s="38">
        <v>3</v>
      </c>
      <c r="O41" s="17">
        <f>103401098-M41</f>
        <v>55477976</v>
      </c>
      <c r="P41" s="38">
        <v>3</v>
      </c>
      <c r="Q41" s="140">
        <f>125677203-M41-O41</f>
        <v>22276105</v>
      </c>
      <c r="R41" s="38">
        <v>3</v>
      </c>
      <c r="S41" s="17">
        <f>280577195-M41-O41-Q41</f>
        <v>154899992</v>
      </c>
      <c r="T41" s="53">
        <f t="shared" si="0"/>
        <v>12</v>
      </c>
      <c r="U41" s="53">
        <f t="shared" si="1"/>
        <v>100</v>
      </c>
      <c r="V41" s="29" t="s">
        <v>49</v>
      </c>
      <c r="W41" s="35">
        <f t="shared" si="2"/>
        <v>280577195</v>
      </c>
      <c r="X41" s="50">
        <f t="shared" si="3"/>
        <v>87.680373437500009</v>
      </c>
      <c r="Y41" s="29" t="s">
        <v>49</v>
      </c>
      <c r="Z41" s="53">
        <f t="shared" si="4"/>
        <v>24</v>
      </c>
      <c r="AA41" s="35">
        <f t="shared" si="5"/>
        <v>428474369</v>
      </c>
      <c r="AB41" s="50"/>
      <c r="AC41" s="29" t="s">
        <v>49</v>
      </c>
      <c r="AD41" s="50"/>
      <c r="AE41" s="9"/>
      <c r="AH41" s="19"/>
    </row>
    <row r="42" spans="1:34" ht="102.75" customHeight="1" x14ac:dyDescent="0.2">
      <c r="A42" s="10"/>
      <c r="B42" s="11"/>
      <c r="C42" s="13" t="s">
        <v>71</v>
      </c>
      <c r="D42" s="13" t="s">
        <v>201</v>
      </c>
      <c r="E42" s="77">
        <v>100</v>
      </c>
      <c r="F42" s="48" t="s">
        <v>49</v>
      </c>
      <c r="G42" s="37">
        <f>SUM(G43:G43)</f>
        <v>205029000</v>
      </c>
      <c r="H42" s="77">
        <v>100</v>
      </c>
      <c r="I42" s="37">
        <f>I43</f>
        <v>18322900</v>
      </c>
      <c r="J42" s="77">
        <v>100</v>
      </c>
      <c r="K42" s="37">
        <f>K43</f>
        <v>101220000</v>
      </c>
      <c r="L42" s="77">
        <v>25</v>
      </c>
      <c r="M42" s="37">
        <f>M43</f>
        <v>23371500</v>
      </c>
      <c r="N42" s="77">
        <v>25</v>
      </c>
      <c r="O42" s="37">
        <f>O43</f>
        <v>23121500</v>
      </c>
      <c r="P42" s="77">
        <v>25</v>
      </c>
      <c r="Q42" s="37">
        <f>Q43</f>
        <v>23371500</v>
      </c>
      <c r="R42" s="77">
        <v>25</v>
      </c>
      <c r="S42" s="37">
        <f>S43</f>
        <v>22621500</v>
      </c>
      <c r="T42" s="80">
        <f t="shared" si="0"/>
        <v>100</v>
      </c>
      <c r="U42" s="80">
        <f t="shared" si="1"/>
        <v>100</v>
      </c>
      <c r="V42" s="52" t="s">
        <v>49</v>
      </c>
      <c r="W42" s="49">
        <f t="shared" si="2"/>
        <v>92486000</v>
      </c>
      <c r="X42" s="54">
        <f t="shared" si="3"/>
        <v>91.3712704999012</v>
      </c>
      <c r="Y42" s="52" t="s">
        <v>49</v>
      </c>
      <c r="Z42" s="80">
        <f t="shared" si="4"/>
        <v>200</v>
      </c>
      <c r="AA42" s="49">
        <f t="shared" si="5"/>
        <v>110808900</v>
      </c>
      <c r="AB42" s="54"/>
      <c r="AC42" s="52" t="s">
        <v>49</v>
      </c>
      <c r="AD42" s="54"/>
      <c r="AE42" s="9"/>
      <c r="AH42" s="19"/>
    </row>
    <row r="43" spans="1:34" ht="120" x14ac:dyDescent="0.2">
      <c r="A43" s="78"/>
      <c r="B43" s="79"/>
      <c r="C43" s="24" t="s">
        <v>72</v>
      </c>
      <c r="D43" s="24" t="s">
        <v>149</v>
      </c>
      <c r="E43" s="39">
        <f t="shared" si="7"/>
        <v>36</v>
      </c>
      <c r="F43" s="15" t="s">
        <v>63</v>
      </c>
      <c r="G43" s="17">
        <f>22644000+101220000+81165000</f>
        <v>205029000</v>
      </c>
      <c r="H43" s="39">
        <v>12</v>
      </c>
      <c r="I43" s="17">
        <v>18322900</v>
      </c>
      <c r="J43" s="39">
        <v>12</v>
      </c>
      <c r="K43" s="17">
        <v>101220000</v>
      </c>
      <c r="L43" s="39">
        <v>3</v>
      </c>
      <c r="M43" s="127">
        <v>23371500</v>
      </c>
      <c r="N43" s="39">
        <v>3</v>
      </c>
      <c r="O43" s="17">
        <f>46493000-M43</f>
        <v>23121500</v>
      </c>
      <c r="P43" s="39"/>
      <c r="Q43" s="140">
        <f>69864500-M43-O43</f>
        <v>23371500</v>
      </c>
      <c r="R43" s="39"/>
      <c r="S43" s="17">
        <f>92486000-M43-O43-Q43</f>
        <v>22621500</v>
      </c>
      <c r="T43" s="50">
        <f t="shared" si="0"/>
        <v>6</v>
      </c>
      <c r="U43" s="53">
        <f t="shared" si="1"/>
        <v>50</v>
      </c>
      <c r="V43" s="29" t="s">
        <v>49</v>
      </c>
      <c r="W43" s="35">
        <f t="shared" si="2"/>
        <v>92486000</v>
      </c>
      <c r="X43" s="50">
        <f t="shared" si="3"/>
        <v>91.3712704999012</v>
      </c>
      <c r="Y43" s="29" t="s">
        <v>49</v>
      </c>
      <c r="Z43" s="53">
        <f t="shared" si="4"/>
        <v>18</v>
      </c>
      <c r="AA43" s="35">
        <f t="shared" si="5"/>
        <v>110808900</v>
      </c>
      <c r="AB43" s="50"/>
      <c r="AC43" s="29" t="s">
        <v>49</v>
      </c>
      <c r="AD43" s="50"/>
      <c r="AE43" s="9"/>
      <c r="AH43" s="19"/>
    </row>
    <row r="44" spans="1:34" s="81" customFormat="1" ht="144.75" customHeight="1" x14ac:dyDescent="0.25">
      <c r="A44" s="10"/>
      <c r="B44" s="11"/>
      <c r="C44" s="13" t="s">
        <v>73</v>
      </c>
      <c r="D44" s="13" t="s">
        <v>202</v>
      </c>
      <c r="E44" s="77">
        <v>100</v>
      </c>
      <c r="F44" s="48" t="s">
        <v>49</v>
      </c>
      <c r="G44" s="37">
        <f>SUM(G47:G49)</f>
        <v>572308000</v>
      </c>
      <c r="H44" s="77">
        <v>100</v>
      </c>
      <c r="I44" s="37">
        <f>SUM(I47:I49)</f>
        <v>81606864</v>
      </c>
      <c r="J44" s="77">
        <v>100</v>
      </c>
      <c r="K44" s="37">
        <f>SUM(K47:K49)</f>
        <v>319070000</v>
      </c>
      <c r="L44" s="77">
        <v>25</v>
      </c>
      <c r="M44" s="37">
        <f>SUM(M47:M49)</f>
        <v>6699056</v>
      </c>
      <c r="N44" s="77">
        <v>25</v>
      </c>
      <c r="O44" s="37">
        <f>SUM(O47:O49)</f>
        <v>22206327</v>
      </c>
      <c r="P44" s="77">
        <v>25</v>
      </c>
      <c r="Q44" s="37">
        <f>SUM(Q47:Q49)</f>
        <v>6556927</v>
      </c>
      <c r="R44" s="77">
        <v>25</v>
      </c>
      <c r="S44" s="37">
        <f>SUM(S47:S49)</f>
        <v>185891917</v>
      </c>
      <c r="T44" s="80">
        <f>SUM(L44,N44,P44,R44)</f>
        <v>100</v>
      </c>
      <c r="U44" s="80">
        <f t="shared" si="1"/>
        <v>100</v>
      </c>
      <c r="V44" s="52" t="s">
        <v>49</v>
      </c>
      <c r="W44" s="49">
        <f t="shared" si="2"/>
        <v>221354227</v>
      </c>
      <c r="X44" s="54">
        <f t="shared" si="3"/>
        <v>69.374816497947151</v>
      </c>
      <c r="Y44" s="52" t="s">
        <v>49</v>
      </c>
      <c r="Z44" s="80">
        <f t="shared" si="4"/>
        <v>200</v>
      </c>
      <c r="AA44" s="49">
        <f t="shared" si="5"/>
        <v>302961091</v>
      </c>
      <c r="AB44" s="54"/>
      <c r="AC44" s="52" t="s">
        <v>49</v>
      </c>
      <c r="AD44" s="54"/>
      <c r="AE44" s="83"/>
      <c r="AH44" s="82"/>
    </row>
    <row r="45" spans="1:34" s="81" customFormat="1" ht="144.75" customHeight="1" x14ac:dyDescent="0.25">
      <c r="A45" s="10"/>
      <c r="B45" s="136"/>
      <c r="C45" s="13"/>
      <c r="D45" s="13" t="s">
        <v>203</v>
      </c>
      <c r="E45" s="77"/>
      <c r="F45" s="48"/>
      <c r="G45" s="37"/>
      <c r="H45" s="77"/>
      <c r="I45" s="37"/>
      <c r="J45" s="77">
        <v>100</v>
      </c>
      <c r="K45" s="37"/>
      <c r="L45" s="77"/>
      <c r="M45" s="37"/>
      <c r="N45" s="77"/>
      <c r="O45" s="37"/>
      <c r="P45" s="77"/>
      <c r="Q45" s="37"/>
      <c r="R45" s="77"/>
      <c r="S45" s="37"/>
      <c r="T45" s="80"/>
      <c r="U45" s="80"/>
      <c r="V45" s="52"/>
      <c r="W45" s="49"/>
      <c r="X45" s="54"/>
      <c r="Y45" s="52"/>
      <c r="Z45" s="80"/>
      <c r="AA45" s="49"/>
      <c r="AB45" s="54"/>
      <c r="AC45" s="52"/>
      <c r="AD45" s="54"/>
      <c r="AE45" s="83"/>
      <c r="AH45" s="82"/>
    </row>
    <row r="46" spans="1:34" s="81" customFormat="1" ht="144.75" customHeight="1" x14ac:dyDescent="0.25">
      <c r="A46" s="10"/>
      <c r="B46" s="136"/>
      <c r="C46" s="13"/>
      <c r="D46" s="13" t="s">
        <v>204</v>
      </c>
      <c r="E46" s="77"/>
      <c r="F46" s="48"/>
      <c r="G46" s="37"/>
      <c r="H46" s="77"/>
      <c r="I46" s="37"/>
      <c r="J46" s="77">
        <v>100</v>
      </c>
      <c r="K46" s="37"/>
      <c r="L46" s="77"/>
      <c r="M46" s="37"/>
      <c r="N46" s="77"/>
      <c r="O46" s="37"/>
      <c r="P46" s="77"/>
      <c r="Q46" s="37"/>
      <c r="R46" s="77"/>
      <c r="S46" s="37"/>
      <c r="T46" s="80"/>
      <c r="U46" s="80"/>
      <c r="V46" s="52"/>
      <c r="W46" s="49"/>
      <c r="X46" s="54"/>
      <c r="Y46" s="52"/>
      <c r="Z46" s="80"/>
      <c r="AA46" s="49"/>
      <c r="AB46" s="54"/>
      <c r="AC46" s="52"/>
      <c r="AD46" s="54"/>
      <c r="AE46" s="83"/>
      <c r="AH46" s="82"/>
    </row>
    <row r="47" spans="1:34" ht="165" x14ac:dyDescent="0.2">
      <c r="A47" s="10"/>
      <c r="B47" s="11"/>
      <c r="C47" s="24" t="s">
        <v>74</v>
      </c>
      <c r="D47" s="24" t="s">
        <v>150</v>
      </c>
      <c r="E47" s="39">
        <f>7*3</f>
        <v>21</v>
      </c>
      <c r="F47" s="15" t="s">
        <v>125</v>
      </c>
      <c r="G47" s="17">
        <f>82550000+71750000+61050000</f>
        <v>215350000</v>
      </c>
      <c r="H47" s="39">
        <v>24</v>
      </c>
      <c r="I47" s="17">
        <v>40961064</v>
      </c>
      <c r="J47" s="39">
        <v>7</v>
      </c>
      <c r="K47" s="17">
        <v>71750000</v>
      </c>
      <c r="L47" s="39">
        <v>3</v>
      </c>
      <c r="M47" s="111">
        <v>6074056</v>
      </c>
      <c r="N47" s="39">
        <v>1</v>
      </c>
      <c r="O47" s="17">
        <f>14680383-M47</f>
        <v>8606327</v>
      </c>
      <c r="P47" s="39">
        <v>1</v>
      </c>
      <c r="Q47" s="111">
        <f>21237310-M47-O47</f>
        <v>6556927</v>
      </c>
      <c r="R47" s="39">
        <v>2</v>
      </c>
      <c r="S47" s="17">
        <f>45950875-M47-O47-Q47</f>
        <v>24713565</v>
      </c>
      <c r="T47" s="53">
        <f t="shared" si="0"/>
        <v>7</v>
      </c>
      <c r="U47" s="53">
        <f t="shared" si="1"/>
        <v>100</v>
      </c>
      <c r="V47" s="29" t="s">
        <v>49</v>
      </c>
      <c r="W47" s="35">
        <f t="shared" si="2"/>
        <v>45950875</v>
      </c>
      <c r="X47" s="50">
        <f t="shared" si="3"/>
        <v>64.043031358885017</v>
      </c>
      <c r="Y47" s="29" t="s">
        <v>49</v>
      </c>
      <c r="Z47" s="53">
        <f t="shared" si="4"/>
        <v>31</v>
      </c>
      <c r="AA47" s="35">
        <f t="shared" si="5"/>
        <v>86911939</v>
      </c>
      <c r="AB47" s="50"/>
      <c r="AC47" s="29" t="s">
        <v>49</v>
      </c>
      <c r="AD47" s="50"/>
      <c r="AE47" s="9"/>
      <c r="AH47" s="19"/>
    </row>
    <row r="48" spans="1:34" ht="104.25" customHeight="1" x14ac:dyDescent="0.2">
      <c r="A48" s="10"/>
      <c r="B48" s="11"/>
      <c r="C48" s="20" t="s">
        <v>75</v>
      </c>
      <c r="D48" s="24" t="s">
        <v>151</v>
      </c>
      <c r="E48" s="39">
        <f>1*3</f>
        <v>3</v>
      </c>
      <c r="F48" s="15" t="s">
        <v>125</v>
      </c>
      <c r="G48" s="17">
        <f>19644000+242820000</f>
        <v>262464000</v>
      </c>
      <c r="H48" s="39">
        <v>1</v>
      </c>
      <c r="I48" s="17">
        <v>18072900</v>
      </c>
      <c r="J48" s="39">
        <v>1</v>
      </c>
      <c r="K48" s="17">
        <v>242820000</v>
      </c>
      <c r="L48" s="39" t="s">
        <v>171</v>
      </c>
      <c r="M48" s="123">
        <v>0</v>
      </c>
      <c r="N48" s="39">
        <v>1</v>
      </c>
      <c r="O48" s="17">
        <v>12700000</v>
      </c>
      <c r="P48" s="39"/>
      <c r="Q48" s="122">
        <f>12700000-M48-O48</f>
        <v>0</v>
      </c>
      <c r="R48" s="39"/>
      <c r="S48" s="17">
        <f>172378352-M48-O48-Q48</f>
        <v>159678352</v>
      </c>
      <c r="T48" s="53">
        <f t="shared" si="0"/>
        <v>1</v>
      </c>
      <c r="U48" s="53">
        <f t="shared" si="1"/>
        <v>100</v>
      </c>
      <c r="V48" s="29" t="s">
        <v>49</v>
      </c>
      <c r="W48" s="35">
        <f t="shared" si="2"/>
        <v>172378352</v>
      </c>
      <c r="X48" s="50">
        <f t="shared" si="3"/>
        <v>70.990178733218016</v>
      </c>
      <c r="Y48" s="29" t="s">
        <v>49</v>
      </c>
      <c r="Z48" s="53">
        <f t="shared" si="4"/>
        <v>2</v>
      </c>
      <c r="AA48" s="35">
        <f t="shared" si="5"/>
        <v>190451252</v>
      </c>
      <c r="AB48" s="50"/>
      <c r="AC48" s="29" t="s">
        <v>49</v>
      </c>
      <c r="AD48" s="50"/>
      <c r="AE48" s="9"/>
      <c r="AH48" s="19"/>
    </row>
    <row r="49" spans="1:34" ht="146.25" customHeight="1" x14ac:dyDescent="0.2">
      <c r="A49" s="10"/>
      <c r="B49" s="11"/>
      <c r="C49" s="20" t="s">
        <v>76</v>
      </c>
      <c r="D49" s="109" t="s">
        <v>152</v>
      </c>
      <c r="E49" s="39">
        <f>8*3</f>
        <v>24</v>
      </c>
      <c r="F49" s="15" t="s">
        <v>125</v>
      </c>
      <c r="G49" s="17">
        <f>25244000+4500000+64750000</f>
        <v>94494000</v>
      </c>
      <c r="H49" s="39">
        <v>24</v>
      </c>
      <c r="I49" s="17">
        <v>22572900</v>
      </c>
      <c r="J49" s="39">
        <v>8</v>
      </c>
      <c r="K49" s="17">
        <v>4500000</v>
      </c>
      <c r="L49" s="39">
        <v>8</v>
      </c>
      <c r="M49" s="127">
        <v>625000</v>
      </c>
      <c r="N49" s="39"/>
      <c r="O49" s="17">
        <f>1525000-M49</f>
        <v>900000</v>
      </c>
      <c r="P49" s="39"/>
      <c r="Q49" s="122">
        <f>1525000-M49-O49</f>
        <v>0</v>
      </c>
      <c r="R49" s="39"/>
      <c r="S49" s="17">
        <f>3025000-M49-O49-Q49</f>
        <v>1500000</v>
      </c>
      <c r="T49" s="53">
        <f t="shared" si="0"/>
        <v>8</v>
      </c>
      <c r="U49" s="53">
        <f t="shared" si="1"/>
        <v>100</v>
      </c>
      <c r="V49" s="29" t="s">
        <v>49</v>
      </c>
      <c r="W49" s="35">
        <f t="shared" si="2"/>
        <v>3025000</v>
      </c>
      <c r="X49" s="50">
        <f t="shared" si="3"/>
        <v>67.222222222222229</v>
      </c>
      <c r="Y49" s="29" t="s">
        <v>49</v>
      </c>
      <c r="Z49" s="53">
        <f t="shared" si="4"/>
        <v>32</v>
      </c>
      <c r="AA49" s="35">
        <f t="shared" si="5"/>
        <v>25597900</v>
      </c>
      <c r="AB49" s="50"/>
      <c r="AC49" s="29" t="s">
        <v>49</v>
      </c>
      <c r="AD49" s="50"/>
      <c r="AE49" s="9"/>
      <c r="AH49" s="19"/>
    </row>
    <row r="50" spans="1:34" ht="178.5" customHeight="1" x14ac:dyDescent="0.2">
      <c r="A50" s="43">
        <v>17</v>
      </c>
      <c r="B50" s="143" t="s">
        <v>211</v>
      </c>
      <c r="C50" s="11" t="s">
        <v>77</v>
      </c>
      <c r="D50" s="112" t="s">
        <v>205</v>
      </c>
      <c r="E50" s="91">
        <f>E52/69262*100</f>
        <v>8.1170049955242405</v>
      </c>
      <c r="F50" s="47" t="s">
        <v>49</v>
      </c>
      <c r="G50" s="86">
        <f>G52+G58</f>
        <v>3385093750</v>
      </c>
      <c r="H50" s="91">
        <f>H52/65897*100</f>
        <v>4.552559297084844E-3</v>
      </c>
      <c r="I50" s="86">
        <f>I52+I58</f>
        <v>683662500</v>
      </c>
      <c r="J50" s="91">
        <v>7.94</v>
      </c>
      <c r="K50" s="86">
        <f>K52+K58</f>
        <v>1720817500</v>
      </c>
      <c r="L50" s="131">
        <f>L52/67587*100</f>
        <v>0</v>
      </c>
      <c r="M50" s="86">
        <f>M52+M58</f>
        <v>235495600</v>
      </c>
      <c r="N50" s="93">
        <v>0</v>
      </c>
      <c r="O50" s="86">
        <f>O52+O58</f>
        <v>181849300</v>
      </c>
      <c r="P50" s="91">
        <v>7.94</v>
      </c>
      <c r="Q50" s="86">
        <f>Q52+Q58</f>
        <v>615611307</v>
      </c>
      <c r="R50" s="91">
        <v>0</v>
      </c>
      <c r="S50" s="86">
        <f>S52+S58</f>
        <v>470366300</v>
      </c>
      <c r="T50" s="95">
        <f>SUM(L50,N50,P50,R50)</f>
        <v>7.94</v>
      </c>
      <c r="U50" s="54">
        <f t="shared" ref="U50:U56" si="8">T50/J50*100</f>
        <v>100</v>
      </c>
      <c r="V50" s="52" t="s">
        <v>49</v>
      </c>
      <c r="W50" s="66">
        <f t="shared" si="2"/>
        <v>1503322507</v>
      </c>
      <c r="X50" s="67">
        <f t="shared" si="3"/>
        <v>87.360949490576417</v>
      </c>
      <c r="Y50" s="43" t="s">
        <v>49</v>
      </c>
      <c r="Z50" s="95">
        <f t="shared" si="4"/>
        <v>7.9445525592970849</v>
      </c>
      <c r="AA50" s="66">
        <f t="shared" si="5"/>
        <v>2186985007</v>
      </c>
      <c r="AB50" s="54"/>
      <c r="AC50" s="52" t="s">
        <v>49</v>
      </c>
      <c r="AD50" s="67"/>
      <c r="AE50" s="9"/>
      <c r="AH50" s="19"/>
    </row>
    <row r="51" spans="1:34" ht="135.75" customHeight="1" x14ac:dyDescent="0.2">
      <c r="A51" s="43">
        <v>17</v>
      </c>
      <c r="B51" s="143" t="s">
        <v>212</v>
      </c>
      <c r="C51" s="12"/>
      <c r="D51" s="112" t="s">
        <v>225</v>
      </c>
      <c r="E51" s="91">
        <f>9236/69262*100</f>
        <v>13.334873379342207</v>
      </c>
      <c r="F51" s="47" t="s">
        <v>49</v>
      </c>
      <c r="G51" s="87"/>
      <c r="H51" s="91">
        <f>18/31*100</f>
        <v>58.064516129032263</v>
      </c>
      <c r="I51" s="87"/>
      <c r="J51" s="133">
        <f>8986/67587*100</f>
        <v>13.295456226789176</v>
      </c>
      <c r="K51" s="87"/>
      <c r="L51" s="133"/>
      <c r="M51" s="87"/>
      <c r="N51" s="91">
        <v>16.05</v>
      </c>
      <c r="O51" s="87"/>
      <c r="P51" s="91"/>
      <c r="Q51" s="87"/>
      <c r="R51" s="91"/>
      <c r="S51" s="87"/>
      <c r="T51" s="95">
        <f>AVERAGE(L51,N51,P51,R51)</f>
        <v>16.05</v>
      </c>
      <c r="U51" s="80">
        <f t="shared" si="8"/>
        <v>120.71793345203649</v>
      </c>
      <c r="V51" s="52" t="s">
        <v>49</v>
      </c>
      <c r="W51" s="88"/>
      <c r="X51" s="89"/>
      <c r="Y51" s="90"/>
      <c r="Z51" s="95">
        <f t="shared" si="4"/>
        <v>74.114516129032268</v>
      </c>
      <c r="AA51" s="88"/>
      <c r="AB51" s="54"/>
      <c r="AC51" s="52" t="s">
        <v>49</v>
      </c>
      <c r="AD51" s="89"/>
      <c r="AE51" s="9"/>
      <c r="AH51" s="19"/>
    </row>
    <row r="52" spans="1:34" ht="122.25" customHeight="1" x14ac:dyDescent="0.2">
      <c r="A52" s="10"/>
      <c r="B52" s="11"/>
      <c r="C52" s="195" t="s">
        <v>78</v>
      </c>
      <c r="D52" s="112" t="s">
        <v>206</v>
      </c>
      <c r="E52" s="46">
        <v>5622</v>
      </c>
      <c r="F52" s="41" t="s">
        <v>104</v>
      </c>
      <c r="G52" s="65">
        <f>SUM(G54:G57)</f>
        <v>2862593750</v>
      </c>
      <c r="H52" s="46">
        <v>3</v>
      </c>
      <c r="I52" s="65">
        <f>SUM(I54:I57)</f>
        <v>503162500</v>
      </c>
      <c r="J52" s="46">
        <v>6</v>
      </c>
      <c r="K52" s="65">
        <f>SUM(K54:K57)</f>
        <v>1520817500</v>
      </c>
      <c r="L52" s="40"/>
      <c r="M52" s="197">
        <f>SUM(M54:M56)</f>
        <v>35495600</v>
      </c>
      <c r="N52" s="40">
        <v>6</v>
      </c>
      <c r="O52" s="197">
        <f>SUM(O54:O56)</f>
        <v>181849300</v>
      </c>
      <c r="P52" s="40"/>
      <c r="Q52" s="65">
        <f>SUM(Q54:Q56)</f>
        <v>615611307</v>
      </c>
      <c r="R52" s="40"/>
      <c r="S52" s="65">
        <f>SUM(S54:S56)</f>
        <v>470366300</v>
      </c>
      <c r="T52" s="80">
        <f>SUM(L52,N52,P52,R52)</f>
        <v>6</v>
      </c>
      <c r="U52" s="80">
        <f t="shared" si="8"/>
        <v>100</v>
      </c>
      <c r="V52" s="52" t="s">
        <v>49</v>
      </c>
      <c r="W52" s="66">
        <f>SUM(M52,O52,Q52,S52)</f>
        <v>1303322507</v>
      </c>
      <c r="X52" s="67">
        <f>W52/K52*100</f>
        <v>85.698810475287132</v>
      </c>
      <c r="Y52" s="43" t="s">
        <v>49</v>
      </c>
      <c r="Z52" s="98">
        <f t="shared" si="4"/>
        <v>9</v>
      </c>
      <c r="AA52" s="66">
        <f>SUM(I52,W52)</f>
        <v>1806485007</v>
      </c>
      <c r="AB52" s="54"/>
      <c r="AC52" s="52" t="s">
        <v>49</v>
      </c>
      <c r="AD52" s="67"/>
      <c r="AE52" s="9"/>
      <c r="AH52" s="19"/>
    </row>
    <row r="53" spans="1:34" ht="260.25" customHeight="1" x14ac:dyDescent="0.2">
      <c r="A53" s="10"/>
      <c r="B53" s="11"/>
      <c r="C53" s="196"/>
      <c r="D53" s="13" t="s">
        <v>243</v>
      </c>
      <c r="E53" s="40">
        <v>167</v>
      </c>
      <c r="F53" s="41" t="s">
        <v>104</v>
      </c>
      <c r="G53" s="96"/>
      <c r="H53" s="84">
        <v>156</v>
      </c>
      <c r="I53" s="22"/>
      <c r="J53" s="40">
        <v>19</v>
      </c>
      <c r="K53" s="36"/>
      <c r="L53" s="40">
        <v>0</v>
      </c>
      <c r="M53" s="198"/>
      <c r="N53" s="40">
        <v>19</v>
      </c>
      <c r="O53" s="198"/>
      <c r="P53" s="40"/>
      <c r="Q53" s="36"/>
      <c r="R53" s="40"/>
      <c r="S53" s="36"/>
      <c r="T53" s="80">
        <f t="shared" si="0"/>
        <v>19</v>
      </c>
      <c r="U53" s="80">
        <f>T53/J53*100</f>
        <v>100</v>
      </c>
      <c r="V53" s="52" t="s">
        <v>49</v>
      </c>
      <c r="W53" s="88"/>
      <c r="X53" s="89"/>
      <c r="Y53" s="90"/>
      <c r="Z53" s="80">
        <f t="shared" si="4"/>
        <v>175</v>
      </c>
      <c r="AA53" s="88"/>
      <c r="AB53" s="54"/>
      <c r="AC53" s="52" t="s">
        <v>49</v>
      </c>
      <c r="AD53" s="89"/>
      <c r="AE53" s="9"/>
      <c r="AH53" s="19"/>
    </row>
    <row r="54" spans="1:34" ht="120" x14ac:dyDescent="0.2">
      <c r="A54" s="10"/>
      <c r="B54" s="11"/>
      <c r="C54" s="74" t="s">
        <v>133</v>
      </c>
      <c r="D54" s="75" t="s">
        <v>153</v>
      </c>
      <c r="E54" s="14">
        <v>24</v>
      </c>
      <c r="F54" s="42" t="s">
        <v>104</v>
      </c>
      <c r="G54" s="17">
        <f>20000000</f>
        <v>20000000</v>
      </c>
      <c r="H54" s="39"/>
      <c r="I54" s="16"/>
      <c r="J54" s="14">
        <v>21</v>
      </c>
      <c r="K54" s="17">
        <v>320000000</v>
      </c>
      <c r="L54" s="14" t="s">
        <v>171</v>
      </c>
      <c r="M54" s="17"/>
      <c r="N54" s="14">
        <v>5</v>
      </c>
      <c r="O54" s="17">
        <v>0</v>
      </c>
      <c r="P54" s="14"/>
      <c r="Q54" s="111">
        <f>13000000</f>
        <v>13000000</v>
      </c>
      <c r="R54" s="14"/>
      <c r="S54" s="17">
        <f>303500000-M54-O54-Q54</f>
        <v>290500000</v>
      </c>
      <c r="T54" s="53">
        <f t="shared" si="0"/>
        <v>5</v>
      </c>
      <c r="U54" s="53">
        <f t="shared" si="8"/>
        <v>23.809523809523807</v>
      </c>
      <c r="V54" s="29" t="s">
        <v>49</v>
      </c>
      <c r="W54" s="35">
        <f>SUM(M54,O54,Q54,S54)</f>
        <v>303500000</v>
      </c>
      <c r="X54" s="50">
        <f>W54/K54*100</f>
        <v>94.84375</v>
      </c>
      <c r="Y54" s="29" t="s">
        <v>49</v>
      </c>
      <c r="Z54" s="53">
        <f t="shared" si="4"/>
        <v>5</v>
      </c>
      <c r="AA54" s="35">
        <f t="shared" ref="AA54:AA60" si="9">SUM(I54,W54)</f>
        <v>303500000</v>
      </c>
      <c r="AB54" s="50"/>
      <c r="AC54" s="29" t="s">
        <v>49</v>
      </c>
      <c r="AD54" s="50"/>
      <c r="AE54" s="9"/>
      <c r="AH54" s="19"/>
    </row>
    <row r="55" spans="1:34" ht="216.75" customHeight="1" x14ac:dyDescent="0.2">
      <c r="A55" s="10"/>
      <c r="B55" s="11"/>
      <c r="C55" s="74" t="s">
        <v>80</v>
      </c>
      <c r="D55" s="75" t="s">
        <v>154</v>
      </c>
      <c r="E55" s="14">
        <v>124</v>
      </c>
      <c r="F55" s="42" t="s">
        <v>104</v>
      </c>
      <c r="G55" s="17">
        <f>355730750+575475000+556378000</f>
        <v>1487583750</v>
      </c>
      <c r="H55" s="39">
        <v>156</v>
      </c>
      <c r="I55" s="16">
        <v>357557500</v>
      </c>
      <c r="J55" s="14">
        <v>121</v>
      </c>
      <c r="K55" s="17">
        <v>575475000</v>
      </c>
      <c r="L55" s="14">
        <v>0</v>
      </c>
      <c r="M55" s="111">
        <v>15758100</v>
      </c>
      <c r="N55" s="14">
        <v>106</v>
      </c>
      <c r="O55" s="17">
        <f>138807400-M55</f>
        <v>123049300</v>
      </c>
      <c r="P55" s="14"/>
      <c r="Q55" s="111">
        <f>199831700-M55-O55</f>
        <v>61024300</v>
      </c>
      <c r="R55" s="14"/>
      <c r="S55" s="17">
        <f>378323500-M55-O55-Q55</f>
        <v>178491800</v>
      </c>
      <c r="T55" s="53">
        <f t="shared" si="0"/>
        <v>106</v>
      </c>
      <c r="U55" s="53">
        <f t="shared" si="8"/>
        <v>87.603305785123965</v>
      </c>
      <c r="V55" s="29" t="s">
        <v>49</v>
      </c>
      <c r="W55" s="35">
        <f>SUM(M55,O55,Q55,S55)</f>
        <v>378323500</v>
      </c>
      <c r="X55" s="50">
        <f>W55/K55*100</f>
        <v>65.74108345279987</v>
      </c>
      <c r="Y55" s="29" t="s">
        <v>49</v>
      </c>
      <c r="Z55" s="53">
        <f t="shared" si="4"/>
        <v>262</v>
      </c>
      <c r="AA55" s="35">
        <f t="shared" si="9"/>
        <v>735881000</v>
      </c>
      <c r="AB55" s="50"/>
      <c r="AC55" s="29" t="s">
        <v>49</v>
      </c>
      <c r="AD55" s="50"/>
      <c r="AE55" s="9"/>
      <c r="AH55" s="19"/>
    </row>
    <row r="56" spans="1:34" ht="183" customHeight="1" x14ac:dyDescent="0.2">
      <c r="A56" s="10"/>
      <c r="B56" s="11"/>
      <c r="C56" s="74" t="s">
        <v>134</v>
      </c>
      <c r="D56" s="75" t="s">
        <v>155</v>
      </c>
      <c r="E56" s="14"/>
      <c r="F56" s="42" t="s">
        <v>104</v>
      </c>
      <c r="G56" s="17">
        <f>625342500+439217500</f>
        <v>1064560000</v>
      </c>
      <c r="H56" s="39"/>
      <c r="I56" s="16"/>
      <c r="J56" s="14">
        <v>44</v>
      </c>
      <c r="K56" s="17">
        <v>625342500</v>
      </c>
      <c r="L56" s="14">
        <v>0</v>
      </c>
      <c r="M56" s="111">
        <v>19737500</v>
      </c>
      <c r="N56" s="14">
        <v>44</v>
      </c>
      <c r="O56" s="17">
        <f>78537500-M56</f>
        <v>58800000</v>
      </c>
      <c r="P56" s="14"/>
      <c r="Q56" s="111">
        <f>620124507-M56-O56</f>
        <v>541587007</v>
      </c>
      <c r="R56" s="14"/>
      <c r="S56" s="17">
        <f>621499007-M56-O56-Q56</f>
        <v>1374500</v>
      </c>
      <c r="T56" s="53">
        <f t="shared" si="0"/>
        <v>44</v>
      </c>
      <c r="U56" s="53">
        <f t="shared" si="8"/>
        <v>100</v>
      </c>
      <c r="V56" s="29" t="s">
        <v>49</v>
      </c>
      <c r="W56" s="35">
        <f>SUM(M56,O56,Q56,S56)</f>
        <v>621499007</v>
      </c>
      <c r="X56" s="50">
        <f>W56/K56*100</f>
        <v>99.385377932892766</v>
      </c>
      <c r="Y56" s="29" t="s">
        <v>49</v>
      </c>
      <c r="Z56" s="53">
        <f t="shared" si="4"/>
        <v>44</v>
      </c>
      <c r="AA56" s="35">
        <f t="shared" si="9"/>
        <v>621499007</v>
      </c>
      <c r="AB56" s="50"/>
      <c r="AC56" s="29" t="s">
        <v>49</v>
      </c>
      <c r="AD56" s="50"/>
      <c r="AE56" s="9"/>
      <c r="AH56" s="19"/>
    </row>
    <row r="57" spans="1:34" ht="225" x14ac:dyDescent="0.2">
      <c r="A57" s="10"/>
      <c r="B57" s="11"/>
      <c r="C57" s="99" t="s">
        <v>79</v>
      </c>
      <c r="D57" s="100" t="s">
        <v>156</v>
      </c>
      <c r="E57" s="14">
        <v>156</v>
      </c>
      <c r="F57" s="42" t="s">
        <v>48</v>
      </c>
      <c r="G57" s="17">
        <v>290450000</v>
      </c>
      <c r="H57" s="39">
        <v>156</v>
      </c>
      <c r="I57" s="16">
        <v>145605000</v>
      </c>
      <c r="J57" s="14"/>
      <c r="K57" s="17"/>
      <c r="L57" s="14"/>
      <c r="M57" s="17"/>
      <c r="N57" s="14"/>
      <c r="O57" s="17"/>
      <c r="P57" s="14"/>
      <c r="Q57" s="17"/>
      <c r="R57" s="14"/>
      <c r="S57" s="17"/>
      <c r="T57" s="53"/>
      <c r="U57" s="53"/>
      <c r="V57" s="29"/>
      <c r="W57" s="35"/>
      <c r="X57" s="50"/>
      <c r="Y57" s="29"/>
      <c r="Z57" s="53">
        <f t="shared" si="4"/>
        <v>156</v>
      </c>
      <c r="AA57" s="35">
        <f t="shared" si="9"/>
        <v>145605000</v>
      </c>
      <c r="AB57" s="50"/>
      <c r="AC57" s="29" t="s">
        <v>49</v>
      </c>
      <c r="AD57" s="50"/>
      <c r="AE57" s="9"/>
      <c r="AH57" s="19"/>
    </row>
    <row r="58" spans="1:34" ht="160.5" customHeight="1" x14ac:dyDescent="0.2">
      <c r="A58" s="10"/>
      <c r="B58" s="11"/>
      <c r="C58" s="12" t="s">
        <v>81</v>
      </c>
      <c r="D58" s="112" t="s">
        <v>176</v>
      </c>
      <c r="E58" s="132">
        <v>47.61</v>
      </c>
      <c r="F58" s="47" t="s">
        <v>49</v>
      </c>
      <c r="G58" s="37">
        <f>G59</f>
        <v>522500000</v>
      </c>
      <c r="H58" s="46">
        <v>24</v>
      </c>
      <c r="I58" s="37">
        <f>I59</f>
        <v>180500000</v>
      </c>
      <c r="J58" s="132">
        <v>19</v>
      </c>
      <c r="K58" s="37">
        <f>K59</f>
        <v>200000000</v>
      </c>
      <c r="L58" s="46">
        <f>L59</f>
        <v>0</v>
      </c>
      <c r="M58" s="37">
        <f>M59</f>
        <v>200000000</v>
      </c>
      <c r="N58" s="132">
        <v>19</v>
      </c>
      <c r="O58" s="37">
        <f>O59</f>
        <v>0</v>
      </c>
      <c r="P58" s="46"/>
      <c r="Q58" s="37">
        <f>Q59</f>
        <v>0</v>
      </c>
      <c r="R58" s="46"/>
      <c r="S58" s="37">
        <f>S59</f>
        <v>0</v>
      </c>
      <c r="T58" s="85">
        <f t="shared" ref="T58:T78" si="10">SUM(L58,N58,P58,R58)</f>
        <v>19</v>
      </c>
      <c r="U58" s="80">
        <f t="shared" ref="U58:U78" si="11">T58/J58*100</f>
        <v>100</v>
      </c>
      <c r="V58" s="52" t="s">
        <v>49</v>
      </c>
      <c r="W58" s="49">
        <f>SUM(M58,O58,Q58,S58)</f>
        <v>200000000</v>
      </c>
      <c r="X58" s="54">
        <f>W58/K58*100</f>
        <v>100</v>
      </c>
      <c r="Y58" s="52" t="s">
        <v>49</v>
      </c>
      <c r="Z58" s="71">
        <f t="shared" si="4"/>
        <v>43</v>
      </c>
      <c r="AA58" s="49">
        <f t="shared" si="9"/>
        <v>380500000</v>
      </c>
      <c r="AB58" s="54"/>
      <c r="AC58" s="52" t="s">
        <v>49</v>
      </c>
      <c r="AD58" s="54"/>
      <c r="AE58" s="9"/>
      <c r="AH58" s="19"/>
    </row>
    <row r="59" spans="1:34" ht="125.25" customHeight="1" x14ac:dyDescent="0.2">
      <c r="A59" s="10"/>
      <c r="B59" s="11"/>
      <c r="C59" s="20" t="s">
        <v>82</v>
      </c>
      <c r="D59" s="24" t="s">
        <v>157</v>
      </c>
      <c r="E59" s="14">
        <f>5+8+11</f>
        <v>24</v>
      </c>
      <c r="F59" s="42" t="s">
        <v>48</v>
      </c>
      <c r="G59" s="17">
        <f>180500000+200000000+142000000</f>
        <v>522500000</v>
      </c>
      <c r="H59" s="14">
        <v>24</v>
      </c>
      <c r="I59" s="16">
        <v>180500000</v>
      </c>
      <c r="J59" s="14">
        <v>1</v>
      </c>
      <c r="K59" s="17">
        <v>200000000</v>
      </c>
      <c r="L59" s="14">
        <v>0</v>
      </c>
      <c r="M59" s="111">
        <v>200000000</v>
      </c>
      <c r="N59" s="14">
        <v>1</v>
      </c>
      <c r="O59" s="17">
        <v>0</v>
      </c>
      <c r="P59" s="14"/>
      <c r="Q59" s="111">
        <v>0</v>
      </c>
      <c r="R59" s="14"/>
      <c r="S59" s="17">
        <v>0</v>
      </c>
      <c r="T59" s="53">
        <f t="shared" si="10"/>
        <v>1</v>
      </c>
      <c r="U59" s="53">
        <f t="shared" si="11"/>
        <v>100</v>
      </c>
      <c r="V59" s="29" t="s">
        <v>49</v>
      </c>
      <c r="W59" s="35">
        <f>SUM(M59,O59,Q59,S59)</f>
        <v>200000000</v>
      </c>
      <c r="X59" s="50">
        <f>W59/K59*100</f>
        <v>100</v>
      </c>
      <c r="Y59" s="29" t="s">
        <v>49</v>
      </c>
      <c r="Z59" s="53">
        <f t="shared" si="4"/>
        <v>25</v>
      </c>
      <c r="AA59" s="35">
        <f t="shared" si="9"/>
        <v>380500000</v>
      </c>
      <c r="AB59" s="50"/>
      <c r="AC59" s="29" t="s">
        <v>49</v>
      </c>
      <c r="AD59" s="50"/>
      <c r="AE59" s="9"/>
      <c r="AH59" s="19"/>
    </row>
    <row r="60" spans="1:34" s="81" customFormat="1" ht="165.75" customHeight="1" x14ac:dyDescent="0.25">
      <c r="A60" s="10"/>
      <c r="B60" s="148" t="s">
        <v>213</v>
      </c>
      <c r="C60" s="11" t="s">
        <v>101</v>
      </c>
      <c r="D60" s="112" t="s">
        <v>244</v>
      </c>
      <c r="E60" s="55">
        <v>12</v>
      </c>
      <c r="F60" s="47" t="s">
        <v>245</v>
      </c>
      <c r="G60" s="86">
        <f>G66+G72+G70</f>
        <v>31189559945</v>
      </c>
      <c r="H60" s="70">
        <v>4</v>
      </c>
      <c r="I60" s="86">
        <f>I66+I72+I70</f>
        <v>4306769450</v>
      </c>
      <c r="J60" s="46">
        <v>47</v>
      </c>
      <c r="K60" s="86">
        <f>K66+K64+K72+K70</f>
        <v>29129071191</v>
      </c>
      <c r="L60" s="46">
        <v>0</v>
      </c>
      <c r="M60" s="86">
        <f>M66+M70+M72</f>
        <v>1149127800</v>
      </c>
      <c r="N60" s="46">
        <v>0</v>
      </c>
      <c r="O60" s="86">
        <f>O66+O70+O72</f>
        <v>10985999490</v>
      </c>
      <c r="P60" s="46"/>
      <c r="Q60" s="86">
        <f>Q66+Q70+Q72</f>
        <v>2054525850</v>
      </c>
      <c r="R60" s="46">
        <v>47</v>
      </c>
      <c r="S60" s="86">
        <f>S66+S70+S72</f>
        <v>8687543520</v>
      </c>
      <c r="T60" s="80">
        <f t="shared" si="10"/>
        <v>47</v>
      </c>
      <c r="U60" s="80">
        <f t="shared" si="11"/>
        <v>100</v>
      </c>
      <c r="V60" s="52" t="s">
        <v>49</v>
      </c>
      <c r="W60" s="66">
        <f>SUM(M60,O60,Q60,S60)</f>
        <v>22877196660</v>
      </c>
      <c r="X60" s="67">
        <f>W60/K60*100</f>
        <v>78.537336497939421</v>
      </c>
      <c r="Y60" s="43" t="s">
        <v>49</v>
      </c>
      <c r="Z60" s="80">
        <f t="shared" si="4"/>
        <v>51</v>
      </c>
      <c r="AA60" s="66">
        <f t="shared" si="9"/>
        <v>27183966110</v>
      </c>
      <c r="AB60" s="54"/>
      <c r="AC60" s="52" t="s">
        <v>49</v>
      </c>
      <c r="AD60" s="67"/>
      <c r="AE60" s="83"/>
      <c r="AH60" s="82"/>
    </row>
    <row r="61" spans="1:34" s="81" customFormat="1" ht="164.25" customHeight="1" x14ac:dyDescent="0.25">
      <c r="A61" s="10"/>
      <c r="B61" s="148" t="s">
        <v>214</v>
      </c>
      <c r="C61" s="12"/>
      <c r="D61" s="112" t="s">
        <v>217</v>
      </c>
      <c r="E61" s="55">
        <v>9</v>
      </c>
      <c r="F61" s="47" t="s">
        <v>245</v>
      </c>
      <c r="G61" s="87"/>
      <c r="H61" s="70">
        <v>5</v>
      </c>
      <c r="I61" s="87"/>
      <c r="J61" s="46">
        <v>34</v>
      </c>
      <c r="K61" s="87"/>
      <c r="L61" s="46">
        <v>0</v>
      </c>
      <c r="M61" s="87"/>
      <c r="N61" s="46">
        <v>0</v>
      </c>
      <c r="O61" s="87"/>
      <c r="P61" s="46">
        <v>34</v>
      </c>
      <c r="Q61" s="87"/>
      <c r="R61" s="46"/>
      <c r="S61" s="87"/>
      <c r="T61" s="80">
        <f t="shared" si="10"/>
        <v>34</v>
      </c>
      <c r="U61" s="80">
        <f t="shared" si="11"/>
        <v>100</v>
      </c>
      <c r="V61" s="52" t="s">
        <v>49</v>
      </c>
      <c r="W61" s="88"/>
      <c r="X61" s="89"/>
      <c r="Y61" s="90"/>
      <c r="Z61" s="80">
        <f t="shared" si="4"/>
        <v>39</v>
      </c>
      <c r="AA61" s="88"/>
      <c r="AB61" s="54"/>
      <c r="AC61" s="52" t="s">
        <v>49</v>
      </c>
      <c r="AD61" s="89"/>
      <c r="AE61" s="83"/>
      <c r="AH61" s="82"/>
    </row>
    <row r="62" spans="1:34" s="81" customFormat="1" ht="102.75" customHeight="1" x14ac:dyDescent="0.25">
      <c r="A62" s="10"/>
      <c r="B62" s="112" t="s">
        <v>215</v>
      </c>
      <c r="C62" s="142"/>
      <c r="D62" s="112" t="s">
        <v>218</v>
      </c>
      <c r="E62" s="55"/>
      <c r="F62" s="47" t="s">
        <v>245</v>
      </c>
      <c r="G62" s="144"/>
      <c r="H62" s="70"/>
      <c r="I62" s="144"/>
      <c r="J62" s="46">
        <v>60</v>
      </c>
      <c r="K62" s="144"/>
      <c r="L62" s="46"/>
      <c r="M62" s="144"/>
      <c r="N62" s="46"/>
      <c r="O62" s="144"/>
      <c r="P62" s="46">
        <v>60</v>
      </c>
      <c r="Q62" s="144"/>
      <c r="R62" s="46"/>
      <c r="S62" s="144"/>
      <c r="T62" s="80">
        <f t="shared" ref="T62:T63" si="12">SUM(L62,N62,P62,R62)</f>
        <v>60</v>
      </c>
      <c r="U62" s="80">
        <f t="shared" ref="U62:U63" si="13">T62/J62*100</f>
        <v>100</v>
      </c>
      <c r="V62" s="52" t="s">
        <v>49</v>
      </c>
      <c r="W62" s="145"/>
      <c r="X62" s="146"/>
      <c r="Y62" s="10"/>
      <c r="Z62" s="80"/>
      <c r="AA62" s="145"/>
      <c r="AB62" s="54"/>
      <c r="AC62" s="52"/>
      <c r="AD62" s="146"/>
      <c r="AE62" s="83"/>
      <c r="AH62" s="82"/>
    </row>
    <row r="63" spans="1:34" s="81" customFormat="1" ht="123.75" customHeight="1" x14ac:dyDescent="0.25">
      <c r="A63" s="10"/>
      <c r="B63" s="147" t="s">
        <v>216</v>
      </c>
      <c r="C63" s="142"/>
      <c r="D63" s="112" t="s">
        <v>219</v>
      </c>
      <c r="E63" s="55"/>
      <c r="F63" s="47" t="s">
        <v>245</v>
      </c>
      <c r="G63" s="144"/>
      <c r="H63" s="70"/>
      <c r="I63" s="144"/>
      <c r="J63" s="46">
        <v>80</v>
      </c>
      <c r="K63" s="144"/>
      <c r="L63" s="46"/>
      <c r="M63" s="144"/>
      <c r="N63" s="46"/>
      <c r="O63" s="144"/>
      <c r="P63" s="46"/>
      <c r="Q63" s="144"/>
      <c r="R63" s="46">
        <v>80</v>
      </c>
      <c r="S63" s="144"/>
      <c r="T63" s="80">
        <f t="shared" si="12"/>
        <v>80</v>
      </c>
      <c r="U63" s="80">
        <f t="shared" si="13"/>
        <v>100</v>
      </c>
      <c r="V63" s="52" t="s">
        <v>49</v>
      </c>
      <c r="W63" s="145"/>
      <c r="X63" s="146"/>
      <c r="Y63" s="10"/>
      <c r="Z63" s="80"/>
      <c r="AA63" s="145"/>
      <c r="AB63" s="54"/>
      <c r="AC63" s="52"/>
      <c r="AD63" s="146"/>
      <c r="AE63" s="83"/>
      <c r="AH63" s="82"/>
    </row>
    <row r="64" spans="1:34" s="81" customFormat="1" ht="173.25" customHeight="1" x14ac:dyDescent="0.25">
      <c r="A64" s="10"/>
      <c r="B64" s="11"/>
      <c r="C64" s="13" t="s">
        <v>166</v>
      </c>
      <c r="D64" s="112" t="s">
        <v>220</v>
      </c>
      <c r="E64" s="40"/>
      <c r="F64" s="47" t="s">
        <v>49</v>
      </c>
      <c r="G64" s="65">
        <f>SUM(G65)</f>
        <v>5237496882</v>
      </c>
      <c r="H64" s="40"/>
      <c r="I64" s="65">
        <f>SUM(I65)</f>
        <v>0</v>
      </c>
      <c r="J64" s="40">
        <v>100</v>
      </c>
      <c r="K64" s="65">
        <f>K65</f>
        <v>5237496882</v>
      </c>
      <c r="L64" s="40">
        <f>L65</f>
        <v>0</v>
      </c>
      <c r="M64" s="65">
        <f>M65</f>
        <v>2500000</v>
      </c>
      <c r="N64" s="40"/>
      <c r="O64" s="65">
        <f>O65</f>
        <v>176218000</v>
      </c>
      <c r="P64" s="40"/>
      <c r="Q64" s="65">
        <f>Q65</f>
        <v>577074960</v>
      </c>
      <c r="R64" s="40"/>
      <c r="S64" s="65">
        <f>S65</f>
        <v>3817057691</v>
      </c>
      <c r="T64" s="80">
        <f t="shared" ref="T64:T65" si="14">SUM(L64,N64,P64,R64)</f>
        <v>0</v>
      </c>
      <c r="U64" s="80">
        <f t="shared" ref="U64:U65" si="15">T64/J64*100</f>
        <v>0</v>
      </c>
      <c r="V64" s="52" t="s">
        <v>49</v>
      </c>
      <c r="W64" s="66">
        <f>SUM(M64,O64,Q64,S64)</f>
        <v>4572850651</v>
      </c>
      <c r="X64" s="67">
        <f>W64/K64*100</f>
        <v>87.309849609949609</v>
      </c>
      <c r="Y64" s="43" t="s">
        <v>49</v>
      </c>
      <c r="Z64" s="80">
        <f t="shared" ref="Z64:Z65" si="16">SUM(H64,T64)</f>
        <v>0</v>
      </c>
      <c r="AA64" s="66">
        <f>SUM(I64,W64)</f>
        <v>4572850651</v>
      </c>
      <c r="AB64" s="54"/>
      <c r="AC64" s="52" t="s">
        <v>49</v>
      </c>
      <c r="AD64" s="67"/>
      <c r="AE64" s="83"/>
      <c r="AH64" s="82"/>
    </row>
    <row r="65" spans="1:34" ht="135" x14ac:dyDescent="0.2">
      <c r="A65" s="10"/>
      <c r="B65" s="11"/>
      <c r="C65" s="20" t="s">
        <v>167</v>
      </c>
      <c r="D65" s="24" t="s">
        <v>168</v>
      </c>
      <c r="E65" s="14"/>
      <c r="F65" s="42" t="s">
        <v>48</v>
      </c>
      <c r="G65" s="17">
        <f>5237496882</f>
        <v>5237496882</v>
      </c>
      <c r="H65" s="14"/>
      <c r="I65" s="16"/>
      <c r="J65" s="14">
        <v>1</v>
      </c>
      <c r="K65" s="17">
        <v>5237496882</v>
      </c>
      <c r="L65" s="14">
        <v>0</v>
      </c>
      <c r="M65" s="17">
        <v>2500000</v>
      </c>
      <c r="N65" s="14">
        <v>0</v>
      </c>
      <c r="O65" s="17">
        <f>178718000-M65</f>
        <v>176218000</v>
      </c>
      <c r="P65" s="14"/>
      <c r="Q65" s="111">
        <f>755792960-M65-O65</f>
        <v>577074960</v>
      </c>
      <c r="R65" s="14">
        <v>1</v>
      </c>
      <c r="S65" s="17">
        <f>4572850651-M65-O65-Q65</f>
        <v>3817057691</v>
      </c>
      <c r="T65" s="53">
        <f t="shared" si="14"/>
        <v>1</v>
      </c>
      <c r="U65" s="53">
        <f t="shared" si="15"/>
        <v>100</v>
      </c>
      <c r="V65" s="29" t="s">
        <v>49</v>
      </c>
      <c r="W65" s="35">
        <f>SUM(M65,O65,Q65,S65)</f>
        <v>4572850651</v>
      </c>
      <c r="X65" s="50">
        <f>W65/K65*100</f>
        <v>87.309849609949609</v>
      </c>
      <c r="Y65" s="29" t="s">
        <v>49</v>
      </c>
      <c r="Z65" s="53">
        <f t="shared" si="16"/>
        <v>1</v>
      </c>
      <c r="AA65" s="35">
        <f>SUM(I65,W65)</f>
        <v>4572850651</v>
      </c>
      <c r="AB65" s="50"/>
      <c r="AC65" s="29" t="s">
        <v>49</v>
      </c>
      <c r="AD65" s="50"/>
      <c r="AE65" s="9"/>
      <c r="AH65" s="19"/>
    </row>
    <row r="66" spans="1:34" s="81" customFormat="1" ht="149.25" customHeight="1" x14ac:dyDescent="0.25">
      <c r="A66" s="10"/>
      <c r="B66" s="11"/>
      <c r="C66" s="11" t="s">
        <v>83</v>
      </c>
      <c r="D66" s="206" t="s">
        <v>220</v>
      </c>
      <c r="E66" s="40">
        <f>E68</f>
        <v>32</v>
      </c>
      <c r="F66" s="47" t="s">
        <v>246</v>
      </c>
      <c r="G66" s="65">
        <f>SUM(G68:G69)</f>
        <v>9382738950</v>
      </c>
      <c r="H66" s="40">
        <v>14</v>
      </c>
      <c r="I66" s="65">
        <f>SUM(I68:I69)</f>
        <v>753227500</v>
      </c>
      <c r="J66" s="40">
        <v>180</v>
      </c>
      <c r="K66" s="65">
        <f>SUM(K68:K69)</f>
        <v>7422784524</v>
      </c>
      <c r="L66" s="40">
        <v>0</v>
      </c>
      <c r="M66" s="65">
        <f>SUM(M68:M69)</f>
        <v>21761100</v>
      </c>
      <c r="N66" s="40"/>
      <c r="O66" s="65">
        <f>SUM(O68:O69)</f>
        <v>36198600</v>
      </c>
      <c r="P66" s="40">
        <v>180</v>
      </c>
      <c r="Q66" s="65">
        <f>SUM(Q68:Q69)</f>
        <v>847667000</v>
      </c>
      <c r="R66" s="40"/>
      <c r="S66" s="65">
        <f>SUM(S68:S69)</f>
        <v>6326048600</v>
      </c>
      <c r="T66" s="80">
        <f t="shared" si="10"/>
        <v>180</v>
      </c>
      <c r="U66" s="80">
        <f t="shared" si="11"/>
        <v>100</v>
      </c>
      <c r="V66" s="52" t="s">
        <v>49</v>
      </c>
      <c r="W66" s="66">
        <f>SUM(M66,O66,Q66,S66)</f>
        <v>7231675300</v>
      </c>
      <c r="X66" s="67">
        <f>W66/K66*100</f>
        <v>97.425370177699634</v>
      </c>
      <c r="Y66" s="43" t="s">
        <v>49</v>
      </c>
      <c r="Z66" s="80">
        <f t="shared" si="4"/>
        <v>194</v>
      </c>
      <c r="AA66" s="66">
        <f>SUM(I66,W66)</f>
        <v>7984902800</v>
      </c>
      <c r="AB66" s="54"/>
      <c r="AC66" s="52" t="s">
        <v>49</v>
      </c>
      <c r="AD66" s="67"/>
      <c r="AE66" s="83"/>
      <c r="AH66" s="82"/>
    </row>
    <row r="67" spans="1:34" s="81" customFormat="1" ht="138" customHeight="1" x14ac:dyDescent="0.25">
      <c r="A67" s="10"/>
      <c r="B67" s="11"/>
      <c r="C67" s="12"/>
      <c r="D67" s="207"/>
      <c r="E67" s="40">
        <v>100</v>
      </c>
      <c r="F67" s="47" t="s">
        <v>49</v>
      </c>
      <c r="G67" s="90"/>
      <c r="H67" s="40">
        <f>H69/26*100</f>
        <v>100</v>
      </c>
      <c r="I67" s="94"/>
      <c r="J67" s="40">
        <v>100</v>
      </c>
      <c r="K67" s="36"/>
      <c r="L67" s="40">
        <v>0</v>
      </c>
      <c r="M67" s="36"/>
      <c r="N67" s="40"/>
      <c r="O67" s="36"/>
      <c r="P67" s="40"/>
      <c r="Q67" s="36"/>
      <c r="R67" s="40"/>
      <c r="S67" s="36"/>
      <c r="T67" s="80">
        <f t="shared" si="10"/>
        <v>0</v>
      </c>
      <c r="U67" s="80">
        <f t="shared" si="11"/>
        <v>0</v>
      </c>
      <c r="V67" s="52" t="s">
        <v>49</v>
      </c>
      <c r="W67" s="88"/>
      <c r="X67" s="89"/>
      <c r="Y67" s="90"/>
      <c r="Z67" s="80">
        <f t="shared" si="4"/>
        <v>100</v>
      </c>
      <c r="AA67" s="88"/>
      <c r="AB67" s="54"/>
      <c r="AC67" s="52" t="s">
        <v>49</v>
      </c>
      <c r="AD67" s="89"/>
      <c r="AE67" s="83"/>
      <c r="AH67" s="82"/>
    </row>
    <row r="68" spans="1:34" ht="135" x14ac:dyDescent="0.2">
      <c r="A68" s="10"/>
      <c r="B68" s="11"/>
      <c r="C68" s="20" t="s">
        <v>84</v>
      </c>
      <c r="D68" s="24" t="s">
        <v>121</v>
      </c>
      <c r="E68" s="14">
        <f>12+8+12</f>
        <v>32</v>
      </c>
      <c r="F68" s="42" t="s">
        <v>104</v>
      </c>
      <c r="G68" s="17">
        <f>674527500+904784250+1424427200</f>
        <v>3003738950</v>
      </c>
      <c r="H68" s="14">
        <v>14</v>
      </c>
      <c r="I68" s="16">
        <v>674527500</v>
      </c>
      <c r="J68" s="14">
        <v>180</v>
      </c>
      <c r="K68" s="17">
        <v>904784250</v>
      </c>
      <c r="L68" s="14">
        <v>0</v>
      </c>
      <c r="M68" s="122">
        <v>21761100</v>
      </c>
      <c r="N68" s="14">
        <v>0</v>
      </c>
      <c r="O68" s="17">
        <f>57959700-M68</f>
        <v>36198600</v>
      </c>
      <c r="P68" s="14">
        <v>180</v>
      </c>
      <c r="Q68" s="122">
        <f>856626700-M68-O68</f>
        <v>798667000</v>
      </c>
      <c r="R68" s="14"/>
      <c r="S68" s="17">
        <f>865675300-M68-O68-Q68</f>
        <v>9048600</v>
      </c>
      <c r="T68" s="53">
        <f t="shared" si="10"/>
        <v>180</v>
      </c>
      <c r="U68" s="53">
        <f t="shared" si="11"/>
        <v>100</v>
      </c>
      <c r="V68" s="29" t="s">
        <v>49</v>
      </c>
      <c r="W68" s="35">
        <f>SUM(M68,O68,Q68,S68)</f>
        <v>865675300</v>
      </c>
      <c r="X68" s="50">
        <f>W68/K68*100</f>
        <v>95.677538595527054</v>
      </c>
      <c r="Y68" s="29" t="s">
        <v>49</v>
      </c>
      <c r="Z68" s="53">
        <f t="shared" si="4"/>
        <v>194</v>
      </c>
      <c r="AA68" s="35">
        <f>SUM(I68,W68)</f>
        <v>1540202800</v>
      </c>
      <c r="AB68" s="50"/>
      <c r="AC68" s="29" t="s">
        <v>49</v>
      </c>
      <c r="AD68" s="50"/>
      <c r="AE68" s="9"/>
      <c r="AH68" s="19"/>
    </row>
    <row r="69" spans="1:34" ht="105" x14ac:dyDescent="0.2">
      <c r="A69" s="10"/>
      <c r="B69" s="11"/>
      <c r="C69" s="74" t="s">
        <v>85</v>
      </c>
      <c r="D69" s="75" t="s">
        <v>122</v>
      </c>
      <c r="E69" s="14">
        <v>5</v>
      </c>
      <c r="F69" s="42" t="s">
        <v>104</v>
      </c>
      <c r="G69" s="17">
        <f>79000000+6300000000</f>
        <v>6379000000</v>
      </c>
      <c r="H69" s="14">
        <v>26</v>
      </c>
      <c r="I69" s="16">
        <v>78700000</v>
      </c>
      <c r="J69" s="14">
        <v>40</v>
      </c>
      <c r="K69" s="17">
        <v>6518000274</v>
      </c>
      <c r="L69" s="14">
        <v>0</v>
      </c>
      <c r="M69" s="128">
        <v>0</v>
      </c>
      <c r="N69" s="14">
        <v>0</v>
      </c>
      <c r="O69" s="17">
        <v>0</v>
      </c>
      <c r="P69" s="14">
        <v>40</v>
      </c>
      <c r="Q69" s="111">
        <f>49000000</f>
        <v>49000000</v>
      </c>
      <c r="R69" s="14"/>
      <c r="S69" s="17">
        <f>6366000000-M69-O69-Q69</f>
        <v>6317000000</v>
      </c>
      <c r="T69" s="53">
        <f t="shared" si="10"/>
        <v>40</v>
      </c>
      <c r="U69" s="53">
        <f t="shared" si="11"/>
        <v>100</v>
      </c>
      <c r="V69" s="29" t="s">
        <v>49</v>
      </c>
      <c r="W69" s="35">
        <f>SUM(M69,O69,Q69,S69)</f>
        <v>6366000000</v>
      </c>
      <c r="X69" s="50">
        <f>W69/K69*100</f>
        <v>97.667992212177069</v>
      </c>
      <c r="Y69" s="29" t="s">
        <v>49</v>
      </c>
      <c r="Z69" s="53">
        <f t="shared" si="4"/>
        <v>66</v>
      </c>
      <c r="AA69" s="35">
        <f>SUM(I69,W69)</f>
        <v>6444700000</v>
      </c>
      <c r="AB69" s="50"/>
      <c r="AC69" s="29" t="s">
        <v>49</v>
      </c>
      <c r="AD69" s="50"/>
      <c r="AE69" s="9"/>
      <c r="AH69" s="19"/>
    </row>
    <row r="70" spans="1:34" s="81" customFormat="1" ht="131.25" customHeight="1" x14ac:dyDescent="0.25">
      <c r="A70" s="10"/>
      <c r="B70" s="11"/>
      <c r="C70" s="12" t="s">
        <v>89</v>
      </c>
      <c r="D70" s="112" t="s">
        <v>221</v>
      </c>
      <c r="E70" s="40">
        <f>E71</f>
        <v>8</v>
      </c>
      <c r="F70" s="47" t="s">
        <v>114</v>
      </c>
      <c r="G70" s="37">
        <f>G71</f>
        <v>15193098750</v>
      </c>
      <c r="H70" s="40">
        <v>4</v>
      </c>
      <c r="I70" s="37">
        <f t="shared" ref="I70:O70" si="17">I71</f>
        <v>2660000000</v>
      </c>
      <c r="J70" s="40">
        <f t="shared" si="17"/>
        <v>3</v>
      </c>
      <c r="K70" s="37">
        <f t="shared" si="17"/>
        <v>11220000000</v>
      </c>
      <c r="L70" s="40">
        <f t="shared" si="17"/>
        <v>1</v>
      </c>
      <c r="M70" s="37">
        <f t="shared" si="17"/>
        <v>1000000000</v>
      </c>
      <c r="N70" s="40">
        <f t="shared" si="17"/>
        <v>2</v>
      </c>
      <c r="O70" s="37">
        <f t="shared" si="17"/>
        <v>10220000000</v>
      </c>
      <c r="P70" s="40"/>
      <c r="Q70" s="37">
        <f>Q71</f>
        <v>0</v>
      </c>
      <c r="R70" s="40"/>
      <c r="S70" s="37">
        <f>S71</f>
        <v>0</v>
      </c>
      <c r="T70" s="80">
        <f t="shared" si="10"/>
        <v>3</v>
      </c>
      <c r="U70" s="80">
        <f t="shared" si="11"/>
        <v>100</v>
      </c>
      <c r="V70" s="52" t="s">
        <v>49</v>
      </c>
      <c r="W70" s="49">
        <f>SUM(M70,O70,Q70,S70)</f>
        <v>11220000000</v>
      </c>
      <c r="X70" s="54">
        <f>W70/K70*100</f>
        <v>100</v>
      </c>
      <c r="Y70" s="52" t="s">
        <v>49</v>
      </c>
      <c r="Z70" s="80">
        <f t="shared" si="4"/>
        <v>7</v>
      </c>
      <c r="AA70" s="49">
        <f>SUM(I70,W70)</f>
        <v>13880000000</v>
      </c>
      <c r="AB70" s="54"/>
      <c r="AC70" s="52" t="s">
        <v>49</v>
      </c>
      <c r="AD70" s="54"/>
      <c r="AE70" s="83"/>
      <c r="AH70" s="82"/>
    </row>
    <row r="71" spans="1:34" ht="75" x14ac:dyDescent="0.2">
      <c r="A71" s="10"/>
      <c r="B71" s="11"/>
      <c r="C71" s="20" t="s">
        <v>90</v>
      </c>
      <c r="D71" s="24" t="s">
        <v>127</v>
      </c>
      <c r="E71" s="14">
        <f>2+3+3</f>
        <v>8</v>
      </c>
      <c r="F71" s="42" t="s">
        <v>103</v>
      </c>
      <c r="G71" s="17">
        <f>2660000000+11220000000+1313098750</f>
        <v>15193098750</v>
      </c>
      <c r="H71" s="14">
        <v>4</v>
      </c>
      <c r="I71" s="16">
        <v>2660000000</v>
      </c>
      <c r="J71" s="14">
        <v>3</v>
      </c>
      <c r="K71" s="17">
        <v>11220000000</v>
      </c>
      <c r="L71" s="14">
        <v>1</v>
      </c>
      <c r="M71" s="111">
        <v>1000000000</v>
      </c>
      <c r="N71" s="14">
        <v>2</v>
      </c>
      <c r="O71" s="17">
        <v>10220000000</v>
      </c>
      <c r="P71" s="14"/>
      <c r="Q71" s="17">
        <v>0</v>
      </c>
      <c r="R71" s="14"/>
      <c r="S71" s="17">
        <v>0</v>
      </c>
      <c r="T71" s="53">
        <f t="shared" si="10"/>
        <v>3</v>
      </c>
      <c r="U71" s="53">
        <f t="shared" si="11"/>
        <v>100</v>
      </c>
      <c r="V71" s="29" t="s">
        <v>49</v>
      </c>
      <c r="W71" s="35">
        <f>SUM(M71,O71,Q71,S71)</f>
        <v>11220000000</v>
      </c>
      <c r="X71" s="50">
        <f>W71/K71*100</f>
        <v>100</v>
      </c>
      <c r="Y71" s="29" t="s">
        <v>49</v>
      </c>
      <c r="Z71" s="53">
        <f t="shared" si="4"/>
        <v>7</v>
      </c>
      <c r="AA71" s="35">
        <f>SUM(I71,W71)</f>
        <v>13880000000</v>
      </c>
      <c r="AB71" s="50"/>
      <c r="AC71" s="29" t="s">
        <v>49</v>
      </c>
      <c r="AD71" s="50"/>
      <c r="AE71" s="9"/>
      <c r="AH71" s="19"/>
    </row>
    <row r="72" spans="1:34" s="81" customFormat="1" ht="126" customHeight="1" x14ac:dyDescent="0.25">
      <c r="A72" s="10"/>
      <c r="B72" s="11"/>
      <c r="C72" s="12" t="s">
        <v>86</v>
      </c>
      <c r="D72" s="112" t="s">
        <v>222</v>
      </c>
      <c r="E72" s="40">
        <f>SUM(E76,E78)</f>
        <v>15</v>
      </c>
      <c r="F72" s="41" t="s">
        <v>102</v>
      </c>
      <c r="G72" s="65">
        <f>SUM(G76:G79)</f>
        <v>6613722245</v>
      </c>
      <c r="H72" s="40">
        <v>3</v>
      </c>
      <c r="I72" s="65">
        <f>SUM(I76:I79)</f>
        <v>893541950</v>
      </c>
      <c r="J72" s="40">
        <f>SUM(J76,J78)</f>
        <v>4</v>
      </c>
      <c r="K72" s="65">
        <f>SUM(K76:K79)</f>
        <v>5248789785</v>
      </c>
      <c r="L72" s="40">
        <v>5</v>
      </c>
      <c r="M72" s="65">
        <f>SUM(M76:M79)</f>
        <v>127366700</v>
      </c>
      <c r="N72" s="40"/>
      <c r="O72" s="65">
        <f>SUM(O76:O79)</f>
        <v>729800890</v>
      </c>
      <c r="P72" s="40"/>
      <c r="Q72" s="65">
        <f>SUM(Q76:Q79)</f>
        <v>1206858850</v>
      </c>
      <c r="R72" s="40"/>
      <c r="S72" s="65">
        <f>SUM(S76:S79)</f>
        <v>2361494920</v>
      </c>
      <c r="T72" s="80">
        <f t="shared" si="10"/>
        <v>5</v>
      </c>
      <c r="U72" s="80">
        <f t="shared" si="11"/>
        <v>125</v>
      </c>
      <c r="V72" s="52" t="s">
        <v>49</v>
      </c>
      <c r="W72" s="66">
        <f>SUM(M72,O72,Q72,S72)</f>
        <v>4425521360</v>
      </c>
      <c r="X72" s="67">
        <f>W72/K72*100</f>
        <v>84.315081023958356</v>
      </c>
      <c r="Y72" s="43" t="s">
        <v>49</v>
      </c>
      <c r="Z72" s="80">
        <f t="shared" si="4"/>
        <v>8</v>
      </c>
      <c r="AA72" s="66">
        <f>SUM(I72,W72)</f>
        <v>5319063310</v>
      </c>
      <c r="AB72" s="54"/>
      <c r="AC72" s="52" t="s">
        <v>49</v>
      </c>
      <c r="AD72" s="67"/>
      <c r="AE72" s="83"/>
      <c r="AH72" s="82"/>
    </row>
    <row r="73" spans="1:34" s="81" customFormat="1" ht="69.75" customHeight="1" x14ac:dyDescent="0.25">
      <c r="A73" s="10"/>
      <c r="B73" s="11"/>
      <c r="C73" s="12"/>
      <c r="D73" s="112" t="s">
        <v>174</v>
      </c>
      <c r="E73" s="84">
        <v>12</v>
      </c>
      <c r="F73" s="47" t="s">
        <v>175</v>
      </c>
      <c r="G73" s="90"/>
      <c r="H73" s="84">
        <f>8/8*100</f>
        <v>100</v>
      </c>
      <c r="I73" s="94"/>
      <c r="J73" s="40">
        <v>7</v>
      </c>
      <c r="K73" s="36"/>
      <c r="L73" s="40">
        <v>7</v>
      </c>
      <c r="M73" s="36"/>
      <c r="N73" s="40"/>
      <c r="O73" s="36"/>
      <c r="P73" s="40"/>
      <c r="Q73" s="36"/>
      <c r="R73" s="40"/>
      <c r="S73" s="36"/>
      <c r="T73" s="80">
        <f t="shared" si="10"/>
        <v>7</v>
      </c>
      <c r="U73" s="80">
        <f t="shared" si="11"/>
        <v>100</v>
      </c>
      <c r="V73" s="52" t="s">
        <v>49</v>
      </c>
      <c r="W73" s="88"/>
      <c r="X73" s="89"/>
      <c r="Y73" s="90"/>
      <c r="Z73" s="80">
        <f t="shared" si="4"/>
        <v>107</v>
      </c>
      <c r="AA73" s="88"/>
      <c r="AB73" s="54"/>
      <c r="AC73" s="52" t="s">
        <v>49</v>
      </c>
      <c r="AD73" s="89"/>
      <c r="AE73" s="83"/>
      <c r="AH73" s="82"/>
    </row>
    <row r="74" spans="1:34" s="81" customFormat="1" ht="108" customHeight="1" x14ac:dyDescent="0.25">
      <c r="A74" s="10"/>
      <c r="B74" s="141"/>
      <c r="C74" s="142"/>
      <c r="D74" s="112" t="s">
        <v>223</v>
      </c>
      <c r="E74" s="84"/>
      <c r="F74" s="47"/>
      <c r="G74" s="90"/>
      <c r="H74" s="84"/>
      <c r="I74" s="94"/>
      <c r="J74" s="40"/>
      <c r="K74" s="36"/>
      <c r="L74" s="40"/>
      <c r="M74" s="36"/>
      <c r="N74" s="40"/>
      <c r="O74" s="36"/>
      <c r="P74" s="40"/>
      <c r="Q74" s="36"/>
      <c r="R74" s="40"/>
      <c r="S74" s="36"/>
      <c r="T74" s="80"/>
      <c r="U74" s="80"/>
      <c r="V74" s="52"/>
      <c r="W74" s="88"/>
      <c r="X74" s="89"/>
      <c r="Y74" s="90"/>
      <c r="Z74" s="80"/>
      <c r="AA74" s="88"/>
      <c r="AB74" s="54"/>
      <c r="AC74" s="52"/>
      <c r="AD74" s="89"/>
      <c r="AE74" s="83"/>
      <c r="AH74" s="82"/>
    </row>
    <row r="75" spans="1:34" s="81" customFormat="1" ht="106.5" customHeight="1" x14ac:dyDescent="0.25">
      <c r="A75" s="10"/>
      <c r="B75" s="141"/>
      <c r="C75" s="142"/>
      <c r="D75" s="149" t="s">
        <v>224</v>
      </c>
      <c r="E75" s="84"/>
      <c r="F75" s="47"/>
      <c r="G75" s="90"/>
      <c r="H75" s="84"/>
      <c r="I75" s="94"/>
      <c r="J75" s="40"/>
      <c r="K75" s="36"/>
      <c r="L75" s="40"/>
      <c r="M75" s="36"/>
      <c r="N75" s="40"/>
      <c r="O75" s="36"/>
      <c r="P75" s="40"/>
      <c r="Q75" s="36"/>
      <c r="R75" s="40"/>
      <c r="S75" s="36"/>
      <c r="T75" s="80"/>
      <c r="U75" s="80"/>
      <c r="V75" s="52"/>
      <c r="W75" s="88"/>
      <c r="X75" s="89"/>
      <c r="Y75" s="90"/>
      <c r="Z75" s="80"/>
      <c r="AA75" s="88"/>
      <c r="AB75" s="54"/>
      <c r="AC75" s="52"/>
      <c r="AD75" s="89"/>
      <c r="AE75" s="83"/>
      <c r="AH75" s="82"/>
    </row>
    <row r="76" spans="1:34" ht="150" x14ac:dyDescent="0.2">
      <c r="A76" s="10"/>
      <c r="B76" s="11"/>
      <c r="C76" s="20" t="s">
        <v>113</v>
      </c>
      <c r="D76" s="101" t="s">
        <v>123</v>
      </c>
      <c r="E76" s="14">
        <f>3*3</f>
        <v>9</v>
      </c>
      <c r="F76" s="42" t="s">
        <v>48</v>
      </c>
      <c r="G76" s="45">
        <f>78646750+55049250</f>
        <v>133696000</v>
      </c>
      <c r="H76" s="39">
        <v>3</v>
      </c>
      <c r="I76" s="16">
        <v>54386250</v>
      </c>
      <c r="J76" s="14">
        <v>1</v>
      </c>
      <c r="K76" s="17">
        <v>55049250</v>
      </c>
      <c r="L76" s="14">
        <v>0</v>
      </c>
      <c r="M76" s="111">
        <v>0</v>
      </c>
      <c r="N76" s="14">
        <v>0</v>
      </c>
      <c r="O76" s="17">
        <v>0</v>
      </c>
      <c r="P76" s="14"/>
      <c r="Q76" s="111">
        <v>15000000</v>
      </c>
      <c r="R76" s="14">
        <v>1</v>
      </c>
      <c r="S76" s="17">
        <f>51860000-M76-O76-Q76</f>
        <v>36860000</v>
      </c>
      <c r="T76" s="53">
        <f t="shared" si="10"/>
        <v>1</v>
      </c>
      <c r="U76" s="53">
        <f t="shared" si="11"/>
        <v>100</v>
      </c>
      <c r="V76" s="29" t="s">
        <v>49</v>
      </c>
      <c r="W76" s="35">
        <f>SUM(M76,O76,Q76,S76)</f>
        <v>51860000</v>
      </c>
      <c r="X76" s="50">
        <f>W76/K76*100</f>
        <v>94.206551406240777</v>
      </c>
      <c r="Y76" s="29" t="s">
        <v>49</v>
      </c>
      <c r="Z76" s="53">
        <f t="shared" si="4"/>
        <v>4</v>
      </c>
      <c r="AA76" s="35">
        <f>SUM(I76,W76)</f>
        <v>106246250</v>
      </c>
      <c r="AB76" s="50"/>
      <c r="AC76" s="29" t="s">
        <v>49</v>
      </c>
      <c r="AD76" s="50"/>
      <c r="AE76" s="9"/>
      <c r="AH76" s="19"/>
    </row>
    <row r="77" spans="1:34" ht="138" customHeight="1" x14ac:dyDescent="0.2">
      <c r="A77" s="10"/>
      <c r="B77" s="11"/>
      <c r="C77" s="74" t="s">
        <v>87</v>
      </c>
      <c r="D77" s="101" t="s">
        <v>124</v>
      </c>
      <c r="E77" s="14">
        <v>12</v>
      </c>
      <c r="F77" s="42" t="s">
        <v>125</v>
      </c>
      <c r="G77" s="17">
        <f>943639000+4151332959+782646436</f>
        <v>5877618395</v>
      </c>
      <c r="H77" s="14">
        <v>8</v>
      </c>
      <c r="I77" s="16">
        <v>839155700</v>
      </c>
      <c r="J77" s="14">
        <v>12</v>
      </c>
      <c r="K77" s="17">
        <v>4820332685</v>
      </c>
      <c r="L77" s="14">
        <v>7</v>
      </c>
      <c r="M77" s="123">
        <v>127366700</v>
      </c>
      <c r="N77" s="14">
        <v>3</v>
      </c>
      <c r="O77" s="17">
        <f>857167590-M77</f>
        <v>729800890</v>
      </c>
      <c r="P77" s="14">
        <v>1</v>
      </c>
      <c r="Q77" s="122">
        <f>1895682340-M77-O77</f>
        <v>1038514750</v>
      </c>
      <c r="R77" s="14">
        <v>1</v>
      </c>
      <c r="S77" s="17">
        <f>4113317260-M77-O77-Q77</f>
        <v>2217634920</v>
      </c>
      <c r="T77" s="53">
        <f t="shared" si="10"/>
        <v>12</v>
      </c>
      <c r="U77" s="53">
        <f t="shared" si="11"/>
        <v>100</v>
      </c>
      <c r="V77" s="29" t="s">
        <v>49</v>
      </c>
      <c r="W77" s="35">
        <f>SUM(M77,O77,Q77,S77)</f>
        <v>4113317260</v>
      </c>
      <c r="X77" s="50">
        <f>W77/K77*100</f>
        <v>85.3326425539029</v>
      </c>
      <c r="Y77" s="29" t="s">
        <v>49</v>
      </c>
      <c r="Z77" s="53">
        <f t="shared" si="4"/>
        <v>20</v>
      </c>
      <c r="AA77" s="35">
        <f>SUM(I77,W77)</f>
        <v>4952472960</v>
      </c>
      <c r="AB77" s="50"/>
      <c r="AC77" s="29" t="s">
        <v>49</v>
      </c>
      <c r="AD77" s="50"/>
      <c r="AE77" s="9"/>
      <c r="AH77" s="19"/>
    </row>
    <row r="78" spans="1:34" ht="141.75" customHeight="1" x14ac:dyDescent="0.2">
      <c r="A78" s="10"/>
      <c r="B78" s="11"/>
      <c r="C78" s="74" t="s">
        <v>88</v>
      </c>
      <c r="D78" s="75" t="s">
        <v>126</v>
      </c>
      <c r="E78" s="14">
        <f>2*3</f>
        <v>6</v>
      </c>
      <c r="F78" s="42" t="s">
        <v>48</v>
      </c>
      <c r="G78" s="17">
        <f>229000000+346997850</f>
        <v>575997850</v>
      </c>
      <c r="H78" s="39">
        <v>0</v>
      </c>
      <c r="I78" s="16">
        <v>0</v>
      </c>
      <c r="J78" s="14">
        <v>3</v>
      </c>
      <c r="K78" s="17">
        <v>346997850</v>
      </c>
      <c r="L78" s="14">
        <v>0</v>
      </c>
      <c r="M78" s="123">
        <v>0</v>
      </c>
      <c r="N78" s="14">
        <v>0</v>
      </c>
      <c r="O78" s="17">
        <v>0</v>
      </c>
      <c r="P78" s="14">
        <v>0</v>
      </c>
      <c r="Q78" s="122">
        <v>153344100</v>
      </c>
      <c r="R78" s="14">
        <v>3</v>
      </c>
      <c r="S78" s="17">
        <f>260344100-M78-O78-Q78</f>
        <v>107000000</v>
      </c>
      <c r="T78" s="53">
        <f t="shared" si="10"/>
        <v>3</v>
      </c>
      <c r="U78" s="53">
        <f t="shared" si="11"/>
        <v>100</v>
      </c>
      <c r="V78" s="29" t="s">
        <v>49</v>
      </c>
      <c r="W78" s="35">
        <f>SUM(M78,O78,Q78,S78)</f>
        <v>260344100</v>
      </c>
      <c r="X78" s="50">
        <f>W78/K78*100</f>
        <v>75.027583023929395</v>
      </c>
      <c r="Y78" s="29" t="s">
        <v>49</v>
      </c>
      <c r="Z78" s="53">
        <f t="shared" si="4"/>
        <v>3</v>
      </c>
      <c r="AA78" s="35">
        <f>SUM(I78,W78)</f>
        <v>260344100</v>
      </c>
      <c r="AB78" s="50"/>
      <c r="AC78" s="29" t="s">
        <v>49</v>
      </c>
      <c r="AD78" s="50"/>
      <c r="AE78" s="9"/>
      <c r="AH78" s="19"/>
    </row>
    <row r="79" spans="1:34" ht="90" x14ac:dyDescent="0.2">
      <c r="A79" s="10"/>
      <c r="B79" s="11"/>
      <c r="C79" s="74" t="s">
        <v>120</v>
      </c>
      <c r="D79" s="75" t="s">
        <v>158</v>
      </c>
      <c r="E79" s="14"/>
      <c r="F79" s="42" t="s">
        <v>48</v>
      </c>
      <c r="G79" s="17">
        <f>26410000</f>
        <v>26410000</v>
      </c>
      <c r="H79" s="39"/>
      <c r="I79" s="16"/>
      <c r="J79" s="14">
        <v>1</v>
      </c>
      <c r="K79" s="17">
        <v>26410000</v>
      </c>
      <c r="L79" s="14"/>
      <c r="M79" s="111">
        <v>0</v>
      </c>
      <c r="N79" s="14">
        <v>0</v>
      </c>
      <c r="O79" s="17">
        <v>0</v>
      </c>
      <c r="P79" s="14"/>
      <c r="Q79" s="17">
        <v>0</v>
      </c>
      <c r="R79" s="14">
        <v>1</v>
      </c>
      <c r="S79" s="17">
        <v>0</v>
      </c>
      <c r="T79" s="53"/>
      <c r="U79" s="53"/>
      <c r="V79" s="29"/>
      <c r="W79" s="35">
        <f>SUM(M79,O79,Q79,S79)</f>
        <v>0</v>
      </c>
      <c r="X79" s="50">
        <f>W79/K79*100</f>
        <v>0</v>
      </c>
      <c r="Y79" s="29"/>
      <c r="Z79" s="53"/>
      <c r="AA79" s="35"/>
      <c r="AB79" s="50"/>
      <c r="AC79" s="29"/>
      <c r="AD79" s="50"/>
      <c r="AE79" s="9"/>
      <c r="AH79" s="19"/>
    </row>
    <row r="80" spans="1:34" s="81" customFormat="1" ht="105.75" customHeight="1" x14ac:dyDescent="0.25">
      <c r="A80" s="10"/>
      <c r="B80" s="11"/>
      <c r="C80" s="12" t="s">
        <v>115</v>
      </c>
      <c r="D80" s="112" t="s">
        <v>225</v>
      </c>
      <c r="E80" s="91">
        <f>9236/69262*100</f>
        <v>13.334873379342207</v>
      </c>
      <c r="F80" s="47" t="s">
        <v>49</v>
      </c>
      <c r="G80" s="56">
        <f>G81</f>
        <v>874500000</v>
      </c>
      <c r="H80" s="91">
        <f>8366/65897*100</f>
        <v>12.695570359803938</v>
      </c>
      <c r="I80" s="56">
        <f>I81</f>
        <v>237500000</v>
      </c>
      <c r="J80" s="133">
        <f>8986/67587*100</f>
        <v>13.295456226789176</v>
      </c>
      <c r="K80" s="56">
        <f>K81</f>
        <v>400000000</v>
      </c>
      <c r="L80" s="133">
        <f>8986/67587*100</f>
        <v>13.295456226789176</v>
      </c>
      <c r="M80" s="56">
        <f>M81</f>
        <v>400000000</v>
      </c>
      <c r="N80" s="91"/>
      <c r="O80" s="56">
        <f>O81</f>
        <v>0</v>
      </c>
      <c r="P80" s="91"/>
      <c r="Q80" s="56">
        <f>Q81</f>
        <v>0</v>
      </c>
      <c r="R80" s="91"/>
      <c r="S80" s="56">
        <f>S81</f>
        <v>0</v>
      </c>
      <c r="T80" s="54">
        <f t="shared" ref="T80:T90" si="18">SUM(L80,N80,P80,R80)</f>
        <v>13.295456226789176</v>
      </c>
      <c r="U80" s="80">
        <f>T80/J80*100</f>
        <v>100</v>
      </c>
      <c r="V80" s="52" t="s">
        <v>49</v>
      </c>
      <c r="W80" s="49">
        <f t="shared" ref="W80:W90" si="19">SUM(M80,O80,Q80,S80)</f>
        <v>400000000</v>
      </c>
      <c r="X80" s="80">
        <f t="shared" ref="X80:X90" si="20">W80/K80*100</f>
        <v>100</v>
      </c>
      <c r="Y80" s="52" t="s">
        <v>49</v>
      </c>
      <c r="Z80" s="54">
        <f t="shared" ref="Z80:Z107" si="21">SUM(H80,T80)</f>
        <v>25.991026586593115</v>
      </c>
      <c r="AA80" s="49">
        <f t="shared" ref="AA80:AA101" si="22">SUM(I80,W80)</f>
        <v>637500000</v>
      </c>
      <c r="AB80" s="54"/>
      <c r="AC80" s="52" t="s">
        <v>49</v>
      </c>
      <c r="AD80" s="54"/>
      <c r="AE80" s="83"/>
      <c r="AH80" s="82"/>
    </row>
    <row r="81" spans="1:34" s="81" customFormat="1" ht="94.5" x14ac:dyDescent="0.25">
      <c r="A81" s="10"/>
      <c r="B81" s="11"/>
      <c r="C81" s="12" t="s">
        <v>91</v>
      </c>
      <c r="D81" s="112" t="s">
        <v>226</v>
      </c>
      <c r="E81" s="40">
        <v>397</v>
      </c>
      <c r="F81" s="47" t="s">
        <v>103</v>
      </c>
      <c r="G81" s="102">
        <f>SUM(G82)</f>
        <v>874500000</v>
      </c>
      <c r="H81" s="84">
        <v>394</v>
      </c>
      <c r="I81" s="102">
        <f>SUM(I82)</f>
        <v>237500000</v>
      </c>
      <c r="J81" s="40">
        <v>395</v>
      </c>
      <c r="K81" s="102">
        <f>SUM(K82)</f>
        <v>400000000</v>
      </c>
      <c r="L81" s="40">
        <v>0</v>
      </c>
      <c r="M81" s="102">
        <f>SUM(M82)</f>
        <v>400000000</v>
      </c>
      <c r="N81" s="40">
        <v>0</v>
      </c>
      <c r="O81" s="102">
        <f>SUM(O82)</f>
        <v>0</v>
      </c>
      <c r="P81" s="40"/>
      <c r="Q81" s="37">
        <f>SUM(Q82)</f>
        <v>0</v>
      </c>
      <c r="R81" s="40"/>
      <c r="S81" s="37">
        <f>SUM(S82)</f>
        <v>0</v>
      </c>
      <c r="T81" s="80">
        <f t="shared" si="18"/>
        <v>0</v>
      </c>
      <c r="U81" s="80">
        <f>T81/J81*100</f>
        <v>0</v>
      </c>
      <c r="V81" s="52" t="s">
        <v>49</v>
      </c>
      <c r="W81" s="49">
        <f t="shared" si="19"/>
        <v>400000000</v>
      </c>
      <c r="X81" s="80">
        <f t="shared" si="20"/>
        <v>100</v>
      </c>
      <c r="Y81" s="52" t="s">
        <v>49</v>
      </c>
      <c r="Z81" s="92">
        <f t="shared" si="21"/>
        <v>394</v>
      </c>
      <c r="AA81" s="49">
        <f t="shared" si="22"/>
        <v>637500000</v>
      </c>
      <c r="AB81" s="54"/>
      <c r="AC81" s="52" t="s">
        <v>49</v>
      </c>
      <c r="AD81" s="54"/>
      <c r="AE81" s="83"/>
      <c r="AH81" s="82"/>
    </row>
    <row r="82" spans="1:34" ht="105" x14ac:dyDescent="0.2">
      <c r="A82" s="10"/>
      <c r="B82" s="11"/>
      <c r="C82" s="20" t="s">
        <v>92</v>
      </c>
      <c r="D82" s="24" t="s">
        <v>159</v>
      </c>
      <c r="E82" s="14">
        <v>395</v>
      </c>
      <c r="F82" s="42" t="s">
        <v>103</v>
      </c>
      <c r="G82" s="17">
        <f>237500000+400000000+237000000</f>
        <v>874500000</v>
      </c>
      <c r="H82" s="39">
        <v>1</v>
      </c>
      <c r="I82" s="16">
        <v>237500000</v>
      </c>
      <c r="J82" s="14">
        <v>395</v>
      </c>
      <c r="K82" s="103">
        <v>400000000</v>
      </c>
      <c r="L82" s="14">
        <v>0</v>
      </c>
      <c r="M82" s="103">
        <v>400000000</v>
      </c>
      <c r="N82" s="14">
        <v>395</v>
      </c>
      <c r="O82" s="17">
        <v>0</v>
      </c>
      <c r="P82" s="14"/>
      <c r="Q82" s="17">
        <v>0</v>
      </c>
      <c r="R82" s="14"/>
      <c r="S82" s="17">
        <v>0</v>
      </c>
      <c r="T82" s="53">
        <f t="shared" si="18"/>
        <v>395</v>
      </c>
      <c r="U82" s="53">
        <f t="shared" ref="U82:U90" si="23">T82/J82*100</f>
        <v>100</v>
      </c>
      <c r="V82" s="29" t="s">
        <v>49</v>
      </c>
      <c r="W82" s="68">
        <f t="shared" si="19"/>
        <v>400000000</v>
      </c>
      <c r="X82" s="53">
        <f t="shared" si="20"/>
        <v>100</v>
      </c>
      <c r="Y82" s="29" t="s">
        <v>49</v>
      </c>
      <c r="Z82" s="53">
        <f t="shared" si="21"/>
        <v>396</v>
      </c>
      <c r="AA82" s="68">
        <f t="shared" si="22"/>
        <v>637500000</v>
      </c>
      <c r="AB82" s="50"/>
      <c r="AC82" s="29" t="s">
        <v>49</v>
      </c>
      <c r="AD82" s="69"/>
      <c r="AE82" s="9"/>
      <c r="AH82" s="19"/>
    </row>
    <row r="83" spans="1:34" s="81" customFormat="1" ht="160.5" customHeight="1" x14ac:dyDescent="0.25">
      <c r="A83" s="43">
        <v>26</v>
      </c>
      <c r="B83" s="143" t="s">
        <v>229</v>
      </c>
      <c r="C83" s="12" t="s">
        <v>105</v>
      </c>
      <c r="D83" s="112" t="s">
        <v>227</v>
      </c>
      <c r="E83" s="70">
        <v>316878</v>
      </c>
      <c r="F83" s="47" t="s">
        <v>245</v>
      </c>
      <c r="G83" s="56">
        <f>G84+G91</f>
        <v>4596657600</v>
      </c>
      <c r="H83" s="70">
        <v>269004</v>
      </c>
      <c r="I83" s="56">
        <f>I84+I86+I91</f>
        <v>2213693908</v>
      </c>
      <c r="J83" s="70">
        <v>2.74</v>
      </c>
      <c r="K83" s="56">
        <f>K84+K86+K91</f>
        <v>1704849600</v>
      </c>
      <c r="L83" s="46">
        <v>0</v>
      </c>
      <c r="M83" s="56">
        <f>M84+M86+M91</f>
        <v>128577800</v>
      </c>
      <c r="N83" s="46">
        <v>0</v>
      </c>
      <c r="O83" s="56">
        <f>O84+O86+O91</f>
        <v>165963865</v>
      </c>
      <c r="P83" s="46"/>
      <c r="Q83" s="56">
        <f>Q84+Q86+Q91</f>
        <v>367098928</v>
      </c>
      <c r="R83" s="46">
        <v>2.74</v>
      </c>
      <c r="S83" s="56">
        <f>S84+S86+S91</f>
        <v>885324775</v>
      </c>
      <c r="T83" s="98">
        <f>SUM(L83,N83,P83,R83)</f>
        <v>2.74</v>
      </c>
      <c r="U83" s="80">
        <f t="shared" si="23"/>
        <v>100</v>
      </c>
      <c r="V83" s="52" t="s">
        <v>49</v>
      </c>
      <c r="W83" s="49">
        <f t="shared" si="19"/>
        <v>1546965368</v>
      </c>
      <c r="X83" s="54">
        <f t="shared" si="20"/>
        <v>90.739110828310018</v>
      </c>
      <c r="Y83" s="52" t="s">
        <v>49</v>
      </c>
      <c r="Z83" s="98">
        <f t="shared" si="21"/>
        <v>269006.74</v>
      </c>
      <c r="AA83" s="49">
        <f t="shared" si="22"/>
        <v>3760659276</v>
      </c>
      <c r="AB83" s="54"/>
      <c r="AC83" s="52" t="s">
        <v>49</v>
      </c>
      <c r="AD83" s="54"/>
      <c r="AE83" s="83"/>
      <c r="AH83" s="82"/>
    </row>
    <row r="84" spans="1:34" s="81" customFormat="1" ht="125.25" customHeight="1" x14ac:dyDescent="0.25">
      <c r="A84" s="10"/>
      <c r="B84" s="11"/>
      <c r="C84" s="12" t="s">
        <v>179</v>
      </c>
      <c r="D84" s="112" t="s">
        <v>228</v>
      </c>
      <c r="E84" s="40">
        <f>E85</f>
        <v>13</v>
      </c>
      <c r="F84" s="41" t="s">
        <v>106</v>
      </c>
      <c r="G84" s="37">
        <f>SUM(G85)</f>
        <v>2026282600</v>
      </c>
      <c r="H84" s="84">
        <f>H85</f>
        <v>5</v>
      </c>
      <c r="I84" s="37">
        <f>I85</f>
        <v>632926180</v>
      </c>
      <c r="J84" s="84">
        <f>J85</f>
        <v>3</v>
      </c>
      <c r="K84" s="37">
        <f>K85</f>
        <v>698749600</v>
      </c>
      <c r="L84" s="84">
        <v>0</v>
      </c>
      <c r="M84" s="37">
        <f>M85</f>
        <v>128577800</v>
      </c>
      <c r="N84" s="84">
        <v>2</v>
      </c>
      <c r="O84" s="37">
        <f>O85</f>
        <v>140263865</v>
      </c>
      <c r="P84" s="84"/>
      <c r="Q84" s="37">
        <f>Q85</f>
        <v>133498928</v>
      </c>
      <c r="R84" s="84"/>
      <c r="S84" s="37">
        <f>S85</f>
        <v>153327825</v>
      </c>
      <c r="T84" s="80">
        <f t="shared" si="18"/>
        <v>2</v>
      </c>
      <c r="U84" s="80">
        <f t="shared" si="23"/>
        <v>66.666666666666657</v>
      </c>
      <c r="V84" s="52" t="s">
        <v>49</v>
      </c>
      <c r="W84" s="49">
        <f t="shared" si="19"/>
        <v>555668418</v>
      </c>
      <c r="X84" s="54">
        <f t="shared" si="20"/>
        <v>79.523253823687341</v>
      </c>
      <c r="Y84" s="52" t="s">
        <v>49</v>
      </c>
      <c r="Z84" s="92">
        <f t="shared" si="21"/>
        <v>7</v>
      </c>
      <c r="AA84" s="49">
        <f t="shared" si="22"/>
        <v>1188594598</v>
      </c>
      <c r="AB84" s="54"/>
      <c r="AC84" s="52" t="s">
        <v>49</v>
      </c>
      <c r="AD84" s="54"/>
      <c r="AE84" s="83"/>
      <c r="AH84" s="82"/>
    </row>
    <row r="85" spans="1:34" ht="180" x14ac:dyDescent="0.2">
      <c r="A85" s="10"/>
      <c r="B85" s="11"/>
      <c r="C85" s="20" t="s">
        <v>93</v>
      </c>
      <c r="D85" s="24" t="s">
        <v>160</v>
      </c>
      <c r="E85" s="14">
        <f>5+4+4</f>
        <v>13</v>
      </c>
      <c r="F85" s="42" t="s">
        <v>131</v>
      </c>
      <c r="G85" s="17">
        <f>656526000+698749600+671007000</f>
        <v>2026282600</v>
      </c>
      <c r="H85" s="39">
        <v>5</v>
      </c>
      <c r="I85" s="16">
        <v>632926180</v>
      </c>
      <c r="J85" s="14">
        <v>3</v>
      </c>
      <c r="K85" s="17">
        <v>698749600</v>
      </c>
      <c r="L85" s="14">
        <v>0</v>
      </c>
      <c r="M85" s="124">
        <v>128577800</v>
      </c>
      <c r="N85" s="14">
        <v>0</v>
      </c>
      <c r="O85" s="17">
        <f>268841665-M85</f>
        <v>140263865</v>
      </c>
      <c r="P85" s="14">
        <v>3</v>
      </c>
      <c r="Q85" s="122">
        <f>402340593-M85-O85</f>
        <v>133498928</v>
      </c>
      <c r="R85" s="14"/>
      <c r="S85" s="17">
        <f>555668418-M85-O85-Q85</f>
        <v>153327825</v>
      </c>
      <c r="T85" s="53">
        <f t="shared" si="18"/>
        <v>3</v>
      </c>
      <c r="U85" s="53">
        <f t="shared" si="23"/>
        <v>100</v>
      </c>
      <c r="V85" s="29" t="s">
        <v>49</v>
      </c>
      <c r="W85" s="68">
        <f t="shared" si="19"/>
        <v>555668418</v>
      </c>
      <c r="X85" s="50">
        <f t="shared" si="20"/>
        <v>79.523253823687341</v>
      </c>
      <c r="Y85" s="29" t="s">
        <v>49</v>
      </c>
      <c r="Z85" s="53">
        <f t="shared" si="21"/>
        <v>8</v>
      </c>
      <c r="AA85" s="68">
        <f t="shared" si="22"/>
        <v>1188594598</v>
      </c>
      <c r="AB85" s="50"/>
      <c r="AC85" s="29" t="s">
        <v>49</v>
      </c>
      <c r="AD85" s="69"/>
      <c r="AE85" s="9"/>
      <c r="AH85" s="19"/>
    </row>
    <row r="86" spans="1:34" s="81" customFormat="1" ht="99" customHeight="1" x14ac:dyDescent="0.25">
      <c r="A86" s="10"/>
      <c r="B86" s="11"/>
      <c r="C86" s="12" t="s">
        <v>135</v>
      </c>
      <c r="D86" s="112" t="s">
        <v>230</v>
      </c>
      <c r="E86" s="40">
        <f>E90</f>
        <v>0</v>
      </c>
      <c r="F86" s="47" t="s">
        <v>108</v>
      </c>
      <c r="G86" s="37">
        <f>G90</f>
        <v>1006100000</v>
      </c>
      <c r="H86" s="84"/>
      <c r="I86" s="37"/>
      <c r="J86" s="84">
        <v>52</v>
      </c>
      <c r="K86" s="102">
        <f>K90</f>
        <v>1006100000</v>
      </c>
      <c r="L86" s="84">
        <f>L90</f>
        <v>0</v>
      </c>
      <c r="M86" s="102">
        <f>M90</f>
        <v>0</v>
      </c>
      <c r="N86" s="84">
        <v>0</v>
      </c>
      <c r="O86" s="37">
        <f>O90</f>
        <v>25700000</v>
      </c>
      <c r="P86" s="84"/>
      <c r="Q86" s="37">
        <f>Q90</f>
        <v>233600000</v>
      </c>
      <c r="R86" s="84">
        <v>52</v>
      </c>
      <c r="S86" s="37">
        <f>S90</f>
        <v>731996950</v>
      </c>
      <c r="T86" s="80">
        <f t="shared" si="18"/>
        <v>52</v>
      </c>
      <c r="U86" s="80">
        <f t="shared" si="23"/>
        <v>100</v>
      </c>
      <c r="V86" s="52" t="s">
        <v>49</v>
      </c>
      <c r="W86" s="49">
        <f t="shared" si="19"/>
        <v>991296950</v>
      </c>
      <c r="X86" s="54">
        <f t="shared" si="20"/>
        <v>98.52867011231487</v>
      </c>
      <c r="Y86" s="52" t="s">
        <v>49</v>
      </c>
      <c r="Z86" s="72">
        <f t="shared" si="21"/>
        <v>52</v>
      </c>
      <c r="AA86" s="49">
        <f t="shared" si="22"/>
        <v>991296950</v>
      </c>
      <c r="AB86" s="54"/>
      <c r="AC86" s="52" t="s">
        <v>49</v>
      </c>
      <c r="AD86" s="54"/>
      <c r="AE86" s="83"/>
      <c r="AH86" s="82"/>
    </row>
    <row r="87" spans="1:34" s="81" customFormat="1" ht="84" customHeight="1" x14ac:dyDescent="0.25">
      <c r="A87" s="10"/>
      <c r="B87" s="141"/>
      <c r="C87" s="142"/>
      <c r="D87" s="112" t="s">
        <v>231</v>
      </c>
      <c r="E87" s="40"/>
      <c r="F87" s="47"/>
      <c r="G87" s="37"/>
      <c r="H87" s="84"/>
      <c r="I87" s="37"/>
      <c r="J87" s="84">
        <v>15</v>
      </c>
      <c r="K87" s="102"/>
      <c r="L87" s="84"/>
      <c r="M87" s="102"/>
      <c r="N87" s="84"/>
      <c r="O87" s="37"/>
      <c r="P87" s="84"/>
      <c r="Q87" s="37"/>
      <c r="R87" s="84">
        <v>15</v>
      </c>
      <c r="S87" s="37"/>
      <c r="T87" s="80"/>
      <c r="U87" s="80"/>
      <c r="V87" s="52"/>
      <c r="W87" s="66"/>
      <c r="X87" s="54"/>
      <c r="Y87" s="52"/>
      <c r="Z87" s="72"/>
      <c r="AA87" s="66"/>
      <c r="AB87" s="54"/>
      <c r="AC87" s="52"/>
      <c r="AD87" s="67"/>
      <c r="AE87" s="83"/>
      <c r="AH87" s="82"/>
    </row>
    <row r="88" spans="1:34" s="81" customFormat="1" ht="88.5" customHeight="1" x14ac:dyDescent="0.25">
      <c r="A88" s="10"/>
      <c r="B88" s="141"/>
      <c r="C88" s="142"/>
      <c r="D88" s="112" t="s">
        <v>232</v>
      </c>
      <c r="E88" s="40"/>
      <c r="F88" s="47"/>
      <c r="G88" s="37"/>
      <c r="H88" s="84"/>
      <c r="I88" s="37"/>
      <c r="J88" s="84">
        <v>15</v>
      </c>
      <c r="K88" s="102"/>
      <c r="L88" s="84"/>
      <c r="M88" s="102"/>
      <c r="N88" s="84"/>
      <c r="O88" s="37"/>
      <c r="P88" s="84"/>
      <c r="Q88" s="37"/>
      <c r="R88" s="84">
        <v>15</v>
      </c>
      <c r="S88" s="37"/>
      <c r="T88" s="80"/>
      <c r="U88" s="80"/>
      <c r="V88" s="52"/>
      <c r="W88" s="66"/>
      <c r="X88" s="54"/>
      <c r="Y88" s="52"/>
      <c r="Z88" s="72"/>
      <c r="AA88" s="66"/>
      <c r="AB88" s="54"/>
      <c r="AC88" s="52"/>
      <c r="AD88" s="67"/>
      <c r="AE88" s="83"/>
      <c r="AH88" s="82"/>
    </row>
    <row r="89" spans="1:34" s="81" customFormat="1" ht="144" customHeight="1" x14ac:dyDescent="0.25">
      <c r="A89" s="10"/>
      <c r="B89" s="141"/>
      <c r="C89" s="142"/>
      <c r="D89" s="112" t="s">
        <v>233</v>
      </c>
      <c r="E89" s="40"/>
      <c r="F89" s="47"/>
      <c r="G89" s="37"/>
      <c r="H89" s="84"/>
      <c r="I89" s="37"/>
      <c r="J89" s="84">
        <v>2</v>
      </c>
      <c r="K89" s="102"/>
      <c r="L89" s="84"/>
      <c r="M89" s="102"/>
      <c r="N89" s="84"/>
      <c r="O89" s="37"/>
      <c r="P89" s="84"/>
      <c r="Q89" s="37"/>
      <c r="R89" s="84">
        <v>2</v>
      </c>
      <c r="S89" s="37"/>
      <c r="T89" s="80"/>
      <c r="U89" s="80"/>
      <c r="V89" s="52"/>
      <c r="W89" s="66"/>
      <c r="X89" s="54"/>
      <c r="Y89" s="52"/>
      <c r="Z89" s="72"/>
      <c r="AA89" s="66"/>
      <c r="AB89" s="54"/>
      <c r="AC89" s="52"/>
      <c r="AD89" s="67"/>
      <c r="AE89" s="83"/>
      <c r="AH89" s="82"/>
    </row>
    <row r="90" spans="1:34" ht="180" x14ac:dyDescent="0.2">
      <c r="A90" s="10"/>
      <c r="B90" s="11"/>
      <c r="C90" s="20" t="s">
        <v>161</v>
      </c>
      <c r="D90" s="24" t="s">
        <v>130</v>
      </c>
      <c r="E90" s="14"/>
      <c r="F90" s="42" t="s">
        <v>125</v>
      </c>
      <c r="G90" s="45">
        <f>1006100000</f>
        <v>1006100000</v>
      </c>
      <c r="H90" s="39"/>
      <c r="I90" s="16"/>
      <c r="J90" s="14">
        <v>4</v>
      </c>
      <c r="K90" s="103">
        <v>1006100000</v>
      </c>
      <c r="L90" s="14">
        <v>0</v>
      </c>
      <c r="M90" s="103">
        <v>0</v>
      </c>
      <c r="N90" s="14">
        <v>0</v>
      </c>
      <c r="O90" s="17">
        <v>25700000</v>
      </c>
      <c r="P90" s="14">
        <v>0</v>
      </c>
      <c r="Q90" s="111">
        <f>259300000-M90-O90</f>
        <v>233600000</v>
      </c>
      <c r="R90" s="14">
        <v>4</v>
      </c>
      <c r="S90" s="17">
        <f>991296950-M90-O90-Q90</f>
        <v>731996950</v>
      </c>
      <c r="T90" s="53">
        <f t="shared" si="18"/>
        <v>4</v>
      </c>
      <c r="U90" s="53">
        <f t="shared" si="23"/>
        <v>100</v>
      </c>
      <c r="V90" s="52" t="s">
        <v>49</v>
      </c>
      <c r="W90" s="68">
        <f t="shared" si="19"/>
        <v>991296950</v>
      </c>
      <c r="X90" s="50">
        <f t="shared" si="20"/>
        <v>98.52867011231487</v>
      </c>
      <c r="Y90" s="29" t="s">
        <v>49</v>
      </c>
      <c r="Z90" s="53">
        <f t="shared" si="21"/>
        <v>4</v>
      </c>
      <c r="AA90" s="68">
        <f t="shared" si="22"/>
        <v>991296950</v>
      </c>
      <c r="AB90" s="50"/>
      <c r="AC90" s="29" t="s">
        <v>49</v>
      </c>
      <c r="AD90" s="69"/>
      <c r="AE90" s="9"/>
      <c r="AH90" s="19"/>
    </row>
    <row r="91" spans="1:34" s="81" customFormat="1" ht="141.75" x14ac:dyDescent="0.25">
      <c r="A91" s="10"/>
      <c r="B91" s="11"/>
      <c r="C91" s="107" t="s">
        <v>94</v>
      </c>
      <c r="D91" s="108" t="s">
        <v>107</v>
      </c>
      <c r="E91" s="40">
        <f>E92</f>
        <v>6</v>
      </c>
      <c r="F91" s="47" t="s">
        <v>108</v>
      </c>
      <c r="G91" s="37">
        <f>SUM(G92)</f>
        <v>2570375000</v>
      </c>
      <c r="H91" s="84">
        <v>4</v>
      </c>
      <c r="I91" s="37">
        <v>1580767728</v>
      </c>
      <c r="J91" s="84">
        <f>J92</f>
        <v>0</v>
      </c>
      <c r="K91" s="102">
        <f>SUM(K92)</f>
        <v>0</v>
      </c>
      <c r="L91" s="84">
        <f>L92</f>
        <v>0</v>
      </c>
      <c r="M91" s="102"/>
      <c r="N91" s="84"/>
      <c r="O91" s="37"/>
      <c r="P91" s="84"/>
      <c r="Q91" s="37"/>
      <c r="R91" s="84"/>
      <c r="S91" s="37"/>
      <c r="T91" s="80"/>
      <c r="U91" s="80"/>
      <c r="V91" s="52"/>
      <c r="W91" s="49"/>
      <c r="X91" s="54"/>
      <c r="Y91" s="52"/>
      <c r="Z91" s="72">
        <f t="shared" si="21"/>
        <v>4</v>
      </c>
      <c r="AA91" s="49">
        <f t="shared" si="22"/>
        <v>1580767728</v>
      </c>
      <c r="AB91" s="54"/>
      <c r="AC91" s="52" t="s">
        <v>49</v>
      </c>
      <c r="AD91" s="54"/>
      <c r="AE91" s="83"/>
      <c r="AH91" s="82"/>
    </row>
    <row r="92" spans="1:34" ht="165" x14ac:dyDescent="0.2">
      <c r="A92" s="10"/>
      <c r="B92" s="11"/>
      <c r="C92" s="99" t="s">
        <v>95</v>
      </c>
      <c r="D92" s="100" t="s">
        <v>162</v>
      </c>
      <c r="E92" s="14">
        <f>4+2</f>
        <v>6</v>
      </c>
      <c r="F92" s="42" t="s">
        <v>125</v>
      </c>
      <c r="G92" s="45">
        <f>2539375000+31000000</f>
        <v>2570375000</v>
      </c>
      <c r="H92" s="39">
        <v>4</v>
      </c>
      <c r="I92" s="16">
        <v>1580767728</v>
      </c>
      <c r="J92" s="14"/>
      <c r="K92" s="103"/>
      <c r="L92" s="14"/>
      <c r="M92" s="103"/>
      <c r="N92" s="14"/>
      <c r="O92" s="17"/>
      <c r="P92" s="14"/>
      <c r="Q92" s="17"/>
      <c r="R92" s="14"/>
      <c r="S92" s="17"/>
      <c r="T92" s="53"/>
      <c r="U92" s="53"/>
      <c r="V92" s="14"/>
      <c r="W92" s="68"/>
      <c r="X92" s="50"/>
      <c r="Y92" s="29"/>
      <c r="Z92" s="53">
        <f t="shared" si="21"/>
        <v>4</v>
      </c>
      <c r="AA92" s="68">
        <f t="shared" si="22"/>
        <v>1580767728</v>
      </c>
      <c r="AB92" s="50"/>
      <c r="AC92" s="29" t="s">
        <v>49</v>
      </c>
      <c r="AD92" s="69"/>
      <c r="AE92" s="9"/>
      <c r="AH92" s="19"/>
    </row>
    <row r="93" spans="1:34" s="81" customFormat="1" ht="174" customHeight="1" x14ac:dyDescent="0.25">
      <c r="A93" s="10"/>
      <c r="B93" s="147" t="s">
        <v>234</v>
      </c>
      <c r="C93" s="12" t="s">
        <v>96</v>
      </c>
      <c r="D93" s="112" t="s">
        <v>235</v>
      </c>
      <c r="E93" s="46">
        <f>J93*3</f>
        <v>6</v>
      </c>
      <c r="F93" s="47" t="s">
        <v>247</v>
      </c>
      <c r="G93" s="56">
        <f>G95</f>
        <v>3692552307</v>
      </c>
      <c r="H93" s="46">
        <f>H95</f>
        <v>269004</v>
      </c>
      <c r="I93" s="56">
        <f>I95</f>
        <v>585914700</v>
      </c>
      <c r="J93" s="46">
        <v>2</v>
      </c>
      <c r="K93" s="56">
        <f>SUM(K96)</f>
        <v>949286000</v>
      </c>
      <c r="L93" s="46">
        <f>L83</f>
        <v>0</v>
      </c>
      <c r="M93" s="56">
        <f>SUM(M96)</f>
        <v>156161800</v>
      </c>
      <c r="N93" s="46"/>
      <c r="O93" s="56">
        <f>SUM(O96)</f>
        <v>131999300</v>
      </c>
      <c r="P93" s="46">
        <v>2</v>
      </c>
      <c r="Q93" s="56">
        <f>SUM(Q96)</f>
        <v>311811300</v>
      </c>
      <c r="R93" s="46"/>
      <c r="S93" s="56">
        <f>SUM(S96)</f>
        <v>204739300</v>
      </c>
      <c r="T93" s="98">
        <f>SUM(L93,N93,P93,R93)</f>
        <v>2</v>
      </c>
      <c r="U93" s="54">
        <f t="shared" ref="U93:U107" si="24">T93/J93*100</f>
        <v>100</v>
      </c>
      <c r="V93" s="52" t="s">
        <v>49</v>
      </c>
      <c r="W93" s="49">
        <f>SUM(M93,O93,Q93,S93)</f>
        <v>804711700</v>
      </c>
      <c r="X93" s="54">
        <f>W93/K93*100</f>
        <v>84.770206239215582</v>
      </c>
      <c r="Y93" s="52" t="s">
        <v>49</v>
      </c>
      <c r="Z93" s="97">
        <f t="shared" si="21"/>
        <v>269006</v>
      </c>
      <c r="AA93" s="49">
        <f t="shared" si="22"/>
        <v>1390626400</v>
      </c>
      <c r="AB93" s="54"/>
      <c r="AC93" s="52" t="s">
        <v>49</v>
      </c>
      <c r="AD93" s="54"/>
      <c r="AE93" s="83"/>
      <c r="AH93" s="82"/>
    </row>
    <row r="94" spans="1:34" s="81" customFormat="1" ht="106.5" customHeight="1" x14ac:dyDescent="0.25">
      <c r="A94" s="10"/>
      <c r="B94" s="150"/>
      <c r="C94" s="141"/>
      <c r="D94" s="112" t="s">
        <v>236</v>
      </c>
      <c r="E94" s="46"/>
      <c r="F94" s="47" t="s">
        <v>245</v>
      </c>
      <c r="G94" s="56"/>
      <c r="H94" s="46"/>
      <c r="I94" s="56"/>
      <c r="J94" s="46">
        <v>40</v>
      </c>
      <c r="K94" s="56"/>
      <c r="L94" s="46"/>
      <c r="M94" s="56"/>
      <c r="N94" s="46"/>
      <c r="O94" s="56"/>
      <c r="P94" s="46">
        <v>40</v>
      </c>
      <c r="Q94" s="56"/>
      <c r="R94" s="46"/>
      <c r="S94" s="56"/>
      <c r="T94" s="98"/>
      <c r="U94" s="54"/>
      <c r="V94" s="52"/>
      <c r="W94" s="49"/>
      <c r="X94" s="54"/>
      <c r="Y94" s="52"/>
      <c r="Z94" s="97"/>
      <c r="AA94" s="49"/>
      <c r="AB94" s="54"/>
      <c r="AC94" s="52"/>
      <c r="AD94" s="54"/>
      <c r="AE94" s="83"/>
      <c r="AH94" s="82"/>
    </row>
    <row r="95" spans="1:34" s="81" customFormat="1" ht="88.5" customHeight="1" x14ac:dyDescent="0.25">
      <c r="A95" s="10"/>
      <c r="B95" s="11"/>
      <c r="C95" s="195" t="s">
        <v>109</v>
      </c>
      <c r="D95" s="151" t="s">
        <v>110</v>
      </c>
      <c r="E95" s="152">
        <f>E83</f>
        <v>316878</v>
      </c>
      <c r="F95" s="153" t="s">
        <v>104</v>
      </c>
      <c r="G95" s="154">
        <f>SUM(G99:G100)</f>
        <v>3692552307</v>
      </c>
      <c r="H95" s="155">
        <v>269004</v>
      </c>
      <c r="I95" s="154">
        <f>SUM(I99:I100)</f>
        <v>585914700</v>
      </c>
      <c r="J95" s="117"/>
      <c r="K95" s="118"/>
      <c r="L95" s="46"/>
      <c r="M95" s="37"/>
      <c r="N95" s="46"/>
      <c r="O95" s="37"/>
      <c r="P95" s="46"/>
      <c r="Q95" s="37"/>
      <c r="R95" s="46"/>
      <c r="S95" s="37"/>
      <c r="T95" s="98"/>
      <c r="U95" s="54"/>
      <c r="V95" s="52"/>
      <c r="W95" s="49"/>
      <c r="X95" s="54"/>
      <c r="Y95" s="52"/>
      <c r="Z95" s="97">
        <f t="shared" si="21"/>
        <v>269004</v>
      </c>
      <c r="AA95" s="49">
        <f t="shared" si="22"/>
        <v>585914700</v>
      </c>
      <c r="AB95" s="54"/>
      <c r="AC95" s="52" t="s">
        <v>49</v>
      </c>
      <c r="AD95" s="54"/>
      <c r="AE95" s="83"/>
      <c r="AH95" s="82"/>
    </row>
    <row r="96" spans="1:34" s="81" customFormat="1" ht="102" customHeight="1" x14ac:dyDescent="0.25">
      <c r="A96" s="10"/>
      <c r="B96" s="11"/>
      <c r="C96" s="208"/>
      <c r="D96" s="112" t="s">
        <v>207</v>
      </c>
      <c r="E96" s="46">
        <v>7</v>
      </c>
      <c r="F96" s="47" t="s">
        <v>177</v>
      </c>
      <c r="G96" s="37"/>
      <c r="H96" s="46"/>
      <c r="I96" s="37"/>
      <c r="J96" s="46">
        <v>7</v>
      </c>
      <c r="K96" s="37">
        <f>SUM(K99:K100)</f>
        <v>949286000</v>
      </c>
      <c r="L96" s="46">
        <v>0</v>
      </c>
      <c r="M96" s="37">
        <f>SUM(M99:M100)</f>
        <v>156161800</v>
      </c>
      <c r="N96" s="46">
        <v>0</v>
      </c>
      <c r="O96" s="37">
        <f>SUM(O99:O100)</f>
        <v>131999300</v>
      </c>
      <c r="P96" s="46">
        <v>7</v>
      </c>
      <c r="Q96" s="37">
        <f>SUM(Q99:Q100)</f>
        <v>311811300</v>
      </c>
      <c r="R96" s="46"/>
      <c r="S96" s="37">
        <f>SUM(S99:S100)</f>
        <v>204739300</v>
      </c>
      <c r="T96" s="130">
        <f>SUM(L96,N96,P96,R96)</f>
        <v>7</v>
      </c>
      <c r="U96" s="50">
        <f t="shared" ref="U96:U97" si="25">T96/J96*100</f>
        <v>100</v>
      </c>
      <c r="V96" s="29" t="s">
        <v>49</v>
      </c>
      <c r="W96" s="35">
        <f>SUM(M96,O96,Q96,S96)</f>
        <v>804711700</v>
      </c>
      <c r="X96" s="54"/>
      <c r="Y96" s="52"/>
      <c r="Z96" s="97"/>
      <c r="AA96" s="66"/>
      <c r="AB96" s="54"/>
      <c r="AC96" s="52"/>
      <c r="AD96" s="67"/>
      <c r="AE96" s="83"/>
      <c r="AH96" s="82"/>
    </row>
    <row r="97" spans="1:34" s="81" customFormat="1" ht="92.25" customHeight="1" x14ac:dyDescent="0.25">
      <c r="A97" s="10"/>
      <c r="B97" s="11"/>
      <c r="C97" s="196"/>
      <c r="D97" s="112" t="s">
        <v>208</v>
      </c>
      <c r="E97" s="46">
        <v>5</v>
      </c>
      <c r="F97" s="47" t="s">
        <v>102</v>
      </c>
      <c r="G97" s="37"/>
      <c r="H97" s="46"/>
      <c r="I97" s="37"/>
      <c r="J97" s="46">
        <v>5</v>
      </c>
      <c r="K97" s="17"/>
      <c r="L97" s="46">
        <v>1</v>
      </c>
      <c r="M97" s="17"/>
      <c r="N97" s="46">
        <v>0</v>
      </c>
      <c r="O97" s="17"/>
      <c r="P97" s="46">
        <v>3</v>
      </c>
      <c r="Q97" s="37"/>
      <c r="R97" s="46">
        <v>1</v>
      </c>
      <c r="S97" s="37"/>
      <c r="T97" s="130">
        <f>SUM(L97,N97,P97,R97)</f>
        <v>5</v>
      </c>
      <c r="U97" s="50">
        <f t="shared" si="25"/>
        <v>100</v>
      </c>
      <c r="V97" s="29" t="s">
        <v>49</v>
      </c>
      <c r="W97" s="35">
        <f>SUM(M97,O97,Q97,S97)</f>
        <v>0</v>
      </c>
      <c r="X97" s="54"/>
      <c r="Y97" s="52"/>
      <c r="Z97" s="97"/>
      <c r="AA97" s="66"/>
      <c r="AB97" s="54"/>
      <c r="AC97" s="52"/>
      <c r="AD97" s="67"/>
      <c r="AE97" s="83"/>
      <c r="AH97" s="82"/>
    </row>
    <row r="98" spans="1:34" s="81" customFormat="1" ht="92.25" customHeight="1" x14ac:dyDescent="0.25">
      <c r="A98" s="10"/>
      <c r="B98" s="138"/>
      <c r="C98" s="137"/>
      <c r="D98" s="112" t="s">
        <v>209</v>
      </c>
      <c r="E98" s="46">
        <v>2</v>
      </c>
      <c r="F98" s="47" t="s">
        <v>210</v>
      </c>
      <c r="G98" s="37"/>
      <c r="H98" s="46"/>
      <c r="I98" s="37"/>
      <c r="J98" s="46">
        <v>2</v>
      </c>
      <c r="K98" s="17"/>
      <c r="L98" s="46"/>
      <c r="M98" s="17"/>
      <c r="N98" s="46"/>
      <c r="O98" s="17"/>
      <c r="P98" s="46">
        <v>1</v>
      </c>
      <c r="Q98" s="37"/>
      <c r="R98" s="46">
        <v>1</v>
      </c>
      <c r="S98" s="37"/>
      <c r="T98" s="130"/>
      <c r="U98" s="50"/>
      <c r="V98" s="29"/>
      <c r="W98" s="68"/>
      <c r="X98" s="54"/>
      <c r="Y98" s="52"/>
      <c r="Z98" s="97"/>
      <c r="AA98" s="66"/>
      <c r="AB98" s="54"/>
      <c r="AC98" s="52"/>
      <c r="AD98" s="67"/>
      <c r="AE98" s="83"/>
      <c r="AH98" s="82"/>
    </row>
    <row r="99" spans="1:34" ht="165" x14ac:dyDescent="0.2">
      <c r="A99" s="10"/>
      <c r="B99" s="11"/>
      <c r="C99" s="20" t="s">
        <v>111</v>
      </c>
      <c r="D99" s="24" t="s">
        <v>163</v>
      </c>
      <c r="E99" s="14">
        <v>12</v>
      </c>
      <c r="F99" s="42" t="s">
        <v>48</v>
      </c>
      <c r="G99" s="17">
        <f>387238000+225944000+192766000</f>
        <v>805948000</v>
      </c>
      <c r="H99" s="14">
        <v>12</v>
      </c>
      <c r="I99" s="16">
        <v>212595700</v>
      </c>
      <c r="J99" s="14">
        <v>7</v>
      </c>
      <c r="K99" s="17">
        <v>225944000</v>
      </c>
      <c r="L99" s="14">
        <v>0</v>
      </c>
      <c r="M99" s="122">
        <v>12424300</v>
      </c>
      <c r="N99" s="14">
        <v>0</v>
      </c>
      <c r="O99" s="17">
        <f>37798600-M99</f>
        <v>25374300</v>
      </c>
      <c r="P99" s="14">
        <v>7</v>
      </c>
      <c r="Q99" s="122">
        <f>61322900-M99-O99</f>
        <v>23524300</v>
      </c>
      <c r="R99" s="14"/>
      <c r="S99" s="17">
        <f>157832200-M99-O99-Q99</f>
        <v>96509300</v>
      </c>
      <c r="T99" s="53">
        <f t="shared" ref="T99:T107" si="26">SUM(L99,N99,P99,R99)</f>
        <v>7</v>
      </c>
      <c r="U99" s="53">
        <f t="shared" si="24"/>
        <v>100</v>
      </c>
      <c r="V99" s="29" t="s">
        <v>49</v>
      </c>
      <c r="W99" s="68">
        <f>SUM(M99,O99,Q99,S99)</f>
        <v>157832200</v>
      </c>
      <c r="X99" s="50">
        <f>W99/K99*100</f>
        <v>69.854565733102007</v>
      </c>
      <c r="Y99" s="29" t="s">
        <v>49</v>
      </c>
      <c r="Z99" s="53">
        <f t="shared" si="21"/>
        <v>19</v>
      </c>
      <c r="AA99" s="68">
        <f t="shared" si="22"/>
        <v>370427900</v>
      </c>
      <c r="AB99" s="50"/>
      <c r="AC99" s="29" t="s">
        <v>49</v>
      </c>
      <c r="AD99" s="69"/>
      <c r="AE99" s="9"/>
      <c r="AH99" s="19"/>
    </row>
    <row r="100" spans="1:34" ht="150" x14ac:dyDescent="0.2">
      <c r="A100" s="10"/>
      <c r="B100" s="11"/>
      <c r="C100" s="74" t="s">
        <v>97</v>
      </c>
      <c r="D100" s="24" t="s">
        <v>129</v>
      </c>
      <c r="E100" s="14">
        <v>5</v>
      </c>
      <c r="F100" s="42" t="s">
        <v>63</v>
      </c>
      <c r="G100" s="17">
        <f>1279794707+723342000+883467600</f>
        <v>2886604307</v>
      </c>
      <c r="H100" s="14">
        <v>0</v>
      </c>
      <c r="I100" s="22">
        <v>373319000</v>
      </c>
      <c r="J100" s="14">
        <v>5</v>
      </c>
      <c r="K100" s="17">
        <v>723342000</v>
      </c>
      <c r="L100" s="14">
        <v>1</v>
      </c>
      <c r="M100" s="111">
        <v>143737500</v>
      </c>
      <c r="N100" s="14">
        <v>0</v>
      </c>
      <c r="O100" s="17">
        <f>250362500-M100</f>
        <v>106625000</v>
      </c>
      <c r="P100" s="14">
        <v>3</v>
      </c>
      <c r="Q100" s="111">
        <f>538649500-M100-O100</f>
        <v>288287000</v>
      </c>
      <c r="R100" s="14">
        <v>1</v>
      </c>
      <c r="S100" s="17">
        <f>646879500-M100-O100-Q100</f>
        <v>108230000</v>
      </c>
      <c r="T100" s="53">
        <f t="shared" si="26"/>
        <v>5</v>
      </c>
      <c r="U100" s="53">
        <f t="shared" si="24"/>
        <v>100</v>
      </c>
      <c r="V100" s="29" t="s">
        <v>49</v>
      </c>
      <c r="W100" s="68">
        <f>SUM(M100,O100,Q100,S100)</f>
        <v>646879500</v>
      </c>
      <c r="X100" s="50">
        <f>W100/K100*100</f>
        <v>89.429274119296267</v>
      </c>
      <c r="Y100" s="29" t="s">
        <v>49</v>
      </c>
      <c r="Z100" s="53">
        <f t="shared" si="21"/>
        <v>5</v>
      </c>
      <c r="AA100" s="68">
        <f t="shared" si="22"/>
        <v>1020198500</v>
      </c>
      <c r="AB100" s="50"/>
      <c r="AC100" s="29" t="s">
        <v>49</v>
      </c>
      <c r="AD100" s="69"/>
      <c r="AE100" s="9"/>
      <c r="AH100" s="19"/>
    </row>
    <row r="101" spans="1:34" s="81" customFormat="1" ht="114.75" customHeight="1" x14ac:dyDescent="0.25">
      <c r="A101" s="10"/>
      <c r="B101" s="147" t="s">
        <v>237</v>
      </c>
      <c r="C101" s="44" t="s">
        <v>98</v>
      </c>
      <c r="D101" s="13" t="s">
        <v>238</v>
      </c>
      <c r="E101" s="114">
        <v>1.7</v>
      </c>
      <c r="F101" s="47" t="s">
        <v>245</v>
      </c>
      <c r="G101" s="115">
        <f>G102</f>
        <v>974385000</v>
      </c>
      <c r="H101" s="116">
        <f>25/32*100</f>
        <v>78.125</v>
      </c>
      <c r="I101" s="115">
        <f>I102</f>
        <v>30167500</v>
      </c>
      <c r="J101" s="116">
        <v>33.33</v>
      </c>
      <c r="K101" s="115">
        <f>K102</f>
        <v>696620000</v>
      </c>
      <c r="L101" s="93">
        <v>0</v>
      </c>
      <c r="M101" s="115">
        <f>M102</f>
        <v>0</v>
      </c>
      <c r="N101" s="91">
        <v>33.33</v>
      </c>
      <c r="O101" s="115">
        <f>O102</f>
        <v>119250000</v>
      </c>
      <c r="P101" s="46"/>
      <c r="Q101" s="115">
        <f>Q102</f>
        <v>175145000</v>
      </c>
      <c r="R101" s="46"/>
      <c r="S101" s="115">
        <f>S102</f>
        <v>251595000</v>
      </c>
      <c r="T101" s="54">
        <f t="shared" si="26"/>
        <v>33.33</v>
      </c>
      <c r="U101" s="80">
        <f t="shared" si="24"/>
        <v>100</v>
      </c>
      <c r="V101" s="52" t="s">
        <v>49</v>
      </c>
      <c r="W101" s="66">
        <f>SUM(M101,O101,Q101,S101)</f>
        <v>545990000</v>
      </c>
      <c r="X101" s="67">
        <f>W101/K101*100</f>
        <v>78.377020470270736</v>
      </c>
      <c r="Y101" s="43" t="s">
        <v>49</v>
      </c>
      <c r="Z101" s="72">
        <f t="shared" si="21"/>
        <v>111.455</v>
      </c>
      <c r="AA101" s="66">
        <f t="shared" si="22"/>
        <v>576157500</v>
      </c>
      <c r="AB101" s="54"/>
      <c r="AC101" s="52" t="s">
        <v>49</v>
      </c>
      <c r="AD101" s="67"/>
      <c r="AE101" s="83"/>
      <c r="AH101" s="82"/>
    </row>
    <row r="102" spans="1:34" s="81" customFormat="1" ht="152.25" customHeight="1" x14ac:dyDescent="0.25">
      <c r="A102" s="10"/>
      <c r="B102" s="11"/>
      <c r="C102" s="195" t="s">
        <v>112</v>
      </c>
      <c r="D102" s="112" t="s">
        <v>239</v>
      </c>
      <c r="E102" s="40">
        <f>E106</f>
        <v>260</v>
      </c>
      <c r="F102" s="41" t="s">
        <v>104</v>
      </c>
      <c r="G102" s="65">
        <f>SUM(G106:G107)</f>
        <v>974385000</v>
      </c>
      <c r="H102" s="84">
        <v>270</v>
      </c>
      <c r="I102" s="65">
        <f>SUM(I106:I107)</f>
        <v>30167500</v>
      </c>
      <c r="J102" s="40">
        <v>25</v>
      </c>
      <c r="K102" s="65">
        <f>SUM(K106:K107)</f>
        <v>696620000</v>
      </c>
      <c r="L102" s="40">
        <f>L106</f>
        <v>0</v>
      </c>
      <c r="M102" s="65">
        <f>SUM(M106:M107)</f>
        <v>0</v>
      </c>
      <c r="N102" s="40">
        <v>0</v>
      </c>
      <c r="O102" s="65">
        <f>SUM(O106:O107)</f>
        <v>119250000</v>
      </c>
      <c r="P102" s="40"/>
      <c r="Q102" s="65">
        <f>SUM(Q106:Q107)</f>
        <v>175145000</v>
      </c>
      <c r="R102" s="40"/>
      <c r="S102" s="65">
        <f>SUM(S106:S107)</f>
        <v>251595000</v>
      </c>
      <c r="T102" s="80">
        <f t="shared" si="26"/>
        <v>0</v>
      </c>
      <c r="U102" s="80">
        <f t="shared" si="24"/>
        <v>0</v>
      </c>
      <c r="V102" s="52" t="s">
        <v>49</v>
      </c>
      <c r="W102" s="66">
        <f>SUM(M102,O102,Q102,S102)</f>
        <v>545990000</v>
      </c>
      <c r="X102" s="67">
        <f>W102/K102*100</f>
        <v>78.377020470270736</v>
      </c>
      <c r="Y102" s="43" t="s">
        <v>49</v>
      </c>
      <c r="Z102" s="92">
        <f t="shared" si="21"/>
        <v>270</v>
      </c>
      <c r="AA102" s="66">
        <f>SUM(I102,W102)</f>
        <v>576157500</v>
      </c>
      <c r="AB102" s="54"/>
      <c r="AC102" s="52" t="s">
        <v>49</v>
      </c>
      <c r="AD102" s="67"/>
      <c r="AE102" s="83"/>
      <c r="AH102" s="82"/>
    </row>
    <row r="103" spans="1:34" s="81" customFormat="1" ht="124.5" customHeight="1" x14ac:dyDescent="0.25">
      <c r="A103" s="10"/>
      <c r="B103" s="11"/>
      <c r="C103" s="196"/>
      <c r="D103" s="112" t="s">
        <v>240</v>
      </c>
      <c r="E103" s="40">
        <f>E107</f>
        <v>18</v>
      </c>
      <c r="F103" s="41" t="s">
        <v>102</v>
      </c>
      <c r="G103" s="36"/>
      <c r="H103" s="84">
        <v>0</v>
      </c>
      <c r="I103" s="36"/>
      <c r="J103" s="40">
        <v>25</v>
      </c>
      <c r="K103" s="36"/>
      <c r="L103" s="40">
        <v>0</v>
      </c>
      <c r="M103" s="36"/>
      <c r="N103" s="40">
        <v>0</v>
      </c>
      <c r="O103" s="36"/>
      <c r="P103" s="40"/>
      <c r="Q103" s="36"/>
      <c r="R103" s="40">
        <v>45</v>
      </c>
      <c r="S103" s="36"/>
      <c r="T103" s="80">
        <f t="shared" si="26"/>
        <v>45</v>
      </c>
      <c r="U103" s="80">
        <f t="shared" si="24"/>
        <v>180</v>
      </c>
      <c r="V103" s="52" t="s">
        <v>49</v>
      </c>
      <c r="W103" s="88"/>
      <c r="X103" s="89"/>
      <c r="Y103" s="90"/>
      <c r="Z103" s="92">
        <f t="shared" si="21"/>
        <v>45</v>
      </c>
      <c r="AA103" s="88"/>
      <c r="AB103" s="54"/>
      <c r="AC103" s="52" t="s">
        <v>49</v>
      </c>
      <c r="AD103" s="89"/>
      <c r="AE103" s="83"/>
      <c r="AH103" s="82"/>
    </row>
    <row r="104" spans="1:34" s="81" customFormat="1" ht="99.75" customHeight="1" x14ac:dyDescent="0.25">
      <c r="A104" s="10"/>
      <c r="B104" s="141"/>
      <c r="C104" s="142"/>
      <c r="D104" s="112" t="s">
        <v>241</v>
      </c>
      <c r="E104" s="40"/>
      <c r="F104" s="41"/>
      <c r="G104" s="36"/>
      <c r="H104" s="84"/>
      <c r="I104" s="36"/>
      <c r="J104" s="40">
        <v>2</v>
      </c>
      <c r="K104" s="36"/>
      <c r="L104" s="40"/>
      <c r="M104" s="36"/>
      <c r="N104" s="40"/>
      <c r="O104" s="36"/>
      <c r="P104" s="40">
        <v>2</v>
      </c>
      <c r="Q104" s="36"/>
      <c r="R104" s="40"/>
      <c r="S104" s="36"/>
      <c r="T104" s="80"/>
      <c r="U104" s="80"/>
      <c r="V104" s="52"/>
      <c r="W104" s="145"/>
      <c r="X104" s="89"/>
      <c r="Y104" s="90"/>
      <c r="Z104" s="92"/>
      <c r="AA104" s="145"/>
      <c r="AB104" s="54"/>
      <c r="AC104" s="52"/>
      <c r="AD104" s="146"/>
      <c r="AE104" s="83"/>
      <c r="AH104" s="82"/>
    </row>
    <row r="105" spans="1:34" s="81" customFormat="1" ht="57" customHeight="1" x14ac:dyDescent="0.25">
      <c r="A105" s="10"/>
      <c r="B105" s="141"/>
      <c r="C105" s="142"/>
      <c r="D105" s="112" t="s">
        <v>242</v>
      </c>
      <c r="E105" s="40"/>
      <c r="F105" s="41"/>
      <c r="G105" s="36"/>
      <c r="H105" s="84"/>
      <c r="I105" s="36"/>
      <c r="J105" s="40">
        <v>3</v>
      </c>
      <c r="K105" s="36"/>
      <c r="L105" s="40">
        <v>3</v>
      </c>
      <c r="M105" s="36"/>
      <c r="N105" s="40"/>
      <c r="O105" s="36"/>
      <c r="P105" s="40"/>
      <c r="Q105" s="36"/>
      <c r="R105" s="40"/>
      <c r="S105" s="36"/>
      <c r="T105" s="80"/>
      <c r="U105" s="80"/>
      <c r="V105" s="52"/>
      <c r="W105" s="145"/>
      <c r="X105" s="89"/>
      <c r="Y105" s="90"/>
      <c r="Z105" s="92"/>
      <c r="AA105" s="145"/>
      <c r="AB105" s="54"/>
      <c r="AC105" s="52"/>
      <c r="AD105" s="146"/>
      <c r="AE105" s="83"/>
      <c r="AH105" s="82"/>
    </row>
    <row r="106" spans="1:34" ht="138" customHeight="1" x14ac:dyDescent="0.2">
      <c r="A106" s="10"/>
      <c r="B106" s="11"/>
      <c r="C106" s="20" t="s">
        <v>99</v>
      </c>
      <c r="D106" s="24" t="s">
        <v>128</v>
      </c>
      <c r="E106" s="14">
        <f>50+110+100</f>
        <v>260</v>
      </c>
      <c r="F106" s="42" t="s">
        <v>104</v>
      </c>
      <c r="G106" s="17">
        <f>30175000+43835000</f>
        <v>74010000</v>
      </c>
      <c r="H106" s="14">
        <v>50</v>
      </c>
      <c r="I106" s="16">
        <v>30167500</v>
      </c>
      <c r="J106" s="14">
        <v>50</v>
      </c>
      <c r="K106" s="17">
        <v>43835000</v>
      </c>
      <c r="L106" s="14">
        <v>0</v>
      </c>
      <c r="M106" s="17"/>
      <c r="N106" s="14">
        <v>0</v>
      </c>
      <c r="O106" s="17"/>
      <c r="P106" s="14"/>
      <c r="Q106" s="17">
        <v>0</v>
      </c>
      <c r="R106" s="14">
        <v>25</v>
      </c>
      <c r="S106" s="17">
        <f>33220000-M106-O106-Q106</f>
        <v>33220000</v>
      </c>
      <c r="T106" s="53">
        <f t="shared" si="26"/>
        <v>25</v>
      </c>
      <c r="U106" s="53">
        <f t="shared" si="24"/>
        <v>50</v>
      </c>
      <c r="V106" s="29" t="s">
        <v>49</v>
      </c>
      <c r="W106" s="68">
        <f>SUM(M106,O106,Q106,S106)</f>
        <v>33220000</v>
      </c>
      <c r="X106" s="50">
        <f>W106/K106*100</f>
        <v>75.784190715181936</v>
      </c>
      <c r="Y106" s="29" t="s">
        <v>49</v>
      </c>
      <c r="Z106" s="53">
        <f t="shared" si="21"/>
        <v>75</v>
      </c>
      <c r="AA106" s="68">
        <f>SUM(I106,W106)</f>
        <v>63387500</v>
      </c>
      <c r="AB106" s="50"/>
      <c r="AC106" s="29" t="s">
        <v>49</v>
      </c>
      <c r="AD106" s="69"/>
      <c r="AE106" s="9"/>
      <c r="AH106" s="19"/>
    </row>
    <row r="107" spans="1:34" ht="150" x14ac:dyDescent="0.2">
      <c r="A107" s="10"/>
      <c r="B107" s="11"/>
      <c r="C107" s="74" t="s">
        <v>100</v>
      </c>
      <c r="D107" s="24" t="s">
        <v>164</v>
      </c>
      <c r="E107" s="14">
        <f>1+7+10</f>
        <v>18</v>
      </c>
      <c r="F107" s="42" t="s">
        <v>63</v>
      </c>
      <c r="G107" s="17">
        <f>99200000+652785000+148390000</f>
        <v>900375000</v>
      </c>
      <c r="H107" s="14">
        <v>0</v>
      </c>
      <c r="I107" s="22">
        <v>0</v>
      </c>
      <c r="J107" s="14">
        <v>2</v>
      </c>
      <c r="K107" s="17">
        <v>652785000</v>
      </c>
      <c r="L107" s="14">
        <v>0</v>
      </c>
      <c r="M107" s="17"/>
      <c r="N107" s="14">
        <v>0</v>
      </c>
      <c r="O107" s="17">
        <v>119250000</v>
      </c>
      <c r="P107" s="14"/>
      <c r="Q107" s="111">
        <f>294395000-M107-O107</f>
        <v>175145000</v>
      </c>
      <c r="R107" s="14">
        <v>2</v>
      </c>
      <c r="S107" s="17">
        <f>512770000-M107-O107-Q107</f>
        <v>218375000</v>
      </c>
      <c r="T107" s="53">
        <f t="shared" si="26"/>
        <v>2</v>
      </c>
      <c r="U107" s="53">
        <f t="shared" si="24"/>
        <v>100</v>
      </c>
      <c r="V107" s="29" t="s">
        <v>49</v>
      </c>
      <c r="W107" s="68">
        <f>SUM(M107,O107,Q107,S107)</f>
        <v>512770000</v>
      </c>
      <c r="X107" s="50">
        <f>W107/K107*100</f>
        <v>78.551130923657865</v>
      </c>
      <c r="Y107" s="29" t="s">
        <v>49</v>
      </c>
      <c r="Z107" s="53">
        <f t="shared" si="21"/>
        <v>2</v>
      </c>
      <c r="AA107" s="68">
        <f>SUM(I107,W107)</f>
        <v>512770000</v>
      </c>
      <c r="AB107" s="50"/>
      <c r="AC107" s="29" t="s">
        <v>49</v>
      </c>
      <c r="AD107" s="69"/>
      <c r="AE107" s="9"/>
      <c r="AH107" s="19"/>
    </row>
    <row r="108" spans="1:34" ht="15" x14ac:dyDescent="0.2">
      <c r="A108" s="202" t="s">
        <v>24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76">
        <f>AVERAGE(U13:U107)</f>
        <v>90.209051965353808</v>
      </c>
      <c r="V108" s="59"/>
      <c r="W108" s="57"/>
      <c r="X108" s="76">
        <f>AVERAGE(X13,X50,X60,X80,X83,X93,X101)</f>
        <v>87.075514216733112</v>
      </c>
      <c r="Y108" s="59"/>
      <c r="Z108" s="58"/>
      <c r="AA108" s="58"/>
      <c r="AB108" s="58"/>
      <c r="AC108" s="59"/>
      <c r="AD108" s="60"/>
      <c r="AE108" s="9"/>
    </row>
    <row r="109" spans="1:34" ht="15" x14ac:dyDescent="0.2">
      <c r="A109" s="202" t="s">
        <v>25</v>
      </c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5" t="str">
        <f>IF(U108&gt;=91,"Sangat Tinggi",IF(U108&gt;=76,"Tinggi",IF(U108&gt;=66,"Sedang",IF(U108&gt;=51,"Rendah",IF(U108&lt;=50,"Sangat Rendah")))))</f>
        <v>Tinggi</v>
      </c>
      <c r="V109" s="59"/>
      <c r="W109" s="61"/>
      <c r="X109" s="25" t="str">
        <f>IF(X108&gt;=91,"Sangat Tinggi",IF(X108&gt;=76,"Tinggi",IF(X108&gt;=66,"Sedang",IF(X108&gt;=51,"Rendah",IF(X108&lt;=50,"Sangat Rendah")))))</f>
        <v>Tinggi</v>
      </c>
      <c r="Y109" s="59"/>
      <c r="Z109" s="62"/>
      <c r="AA109" s="63"/>
      <c r="AB109" s="62"/>
      <c r="AC109" s="59"/>
      <c r="AD109" s="64"/>
      <c r="AE109" s="9"/>
    </row>
    <row r="110" spans="1:34" ht="15" x14ac:dyDescent="0.2">
      <c r="A110" s="201" t="s">
        <v>26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9"/>
    </row>
    <row r="111" spans="1:34" ht="15" x14ac:dyDescent="0.2">
      <c r="A111" s="201" t="s">
        <v>27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9"/>
    </row>
    <row r="112" spans="1:34" ht="15" x14ac:dyDescent="0.2">
      <c r="A112" s="201" t="s">
        <v>28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9"/>
    </row>
    <row r="113" spans="1:31" ht="15" x14ac:dyDescent="0.2">
      <c r="A113" s="201" t="s">
        <v>29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6"/>
    </row>
    <row r="114" spans="1:31" ht="1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8"/>
      <c r="W114" s="27"/>
      <c r="X114" s="27"/>
      <c r="Y114" s="28"/>
      <c r="Z114" s="27"/>
      <c r="AA114" s="27"/>
      <c r="AB114" s="27"/>
      <c r="AC114" s="28"/>
      <c r="AD114" s="27"/>
    </row>
    <row r="115" spans="1:31" ht="1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04" t="s">
        <v>55</v>
      </c>
      <c r="U115" s="204"/>
      <c r="V115" s="204"/>
      <c r="W115" s="204"/>
      <c r="X115" s="204"/>
      <c r="Y115" s="28"/>
      <c r="Z115" s="27"/>
      <c r="AA115" s="204"/>
      <c r="AB115" s="204"/>
      <c r="AC115" s="204"/>
      <c r="AD115" s="204"/>
      <c r="AE115" s="204"/>
    </row>
    <row r="116" spans="1:31" ht="15.75" x14ac:dyDescent="0.25">
      <c r="A116" s="33"/>
      <c r="B116" s="3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04" t="s">
        <v>165</v>
      </c>
      <c r="U116" s="204"/>
      <c r="V116" s="204"/>
      <c r="W116" s="204"/>
      <c r="X116" s="204"/>
      <c r="Y116" s="28"/>
      <c r="Z116" s="27"/>
      <c r="AA116" s="204"/>
      <c r="AB116" s="204"/>
      <c r="AC116" s="204"/>
      <c r="AD116" s="204"/>
      <c r="AE116" s="204"/>
    </row>
    <row r="117" spans="1:31" ht="15" x14ac:dyDescent="0.2">
      <c r="T117" s="204" t="s">
        <v>57</v>
      </c>
      <c r="U117" s="204"/>
      <c r="V117" s="204"/>
      <c r="W117" s="204"/>
      <c r="X117" s="204"/>
      <c r="AA117" s="204"/>
      <c r="AB117" s="204"/>
      <c r="AC117" s="204"/>
      <c r="AD117" s="204"/>
      <c r="AE117" s="204"/>
    </row>
    <row r="118" spans="1:31" ht="15" x14ac:dyDescent="0.2">
      <c r="T118" s="204" t="s">
        <v>56</v>
      </c>
      <c r="U118" s="204"/>
      <c r="V118" s="204"/>
      <c r="W118" s="204"/>
      <c r="X118" s="204"/>
      <c r="AA118" s="204"/>
      <c r="AB118" s="204"/>
      <c r="AC118" s="204"/>
      <c r="AD118" s="204"/>
      <c r="AE118" s="204"/>
    </row>
    <row r="119" spans="1:31" ht="25.5" x14ac:dyDescent="0.2">
      <c r="A119" s="30" t="s">
        <v>30</v>
      </c>
      <c r="B119" s="30" t="s">
        <v>31</v>
      </c>
      <c r="C119" s="30" t="s">
        <v>32</v>
      </c>
      <c r="T119" s="27"/>
      <c r="U119" s="27"/>
      <c r="V119" s="28"/>
      <c r="W119" s="27"/>
      <c r="AA119" s="28"/>
      <c r="AB119" s="27"/>
      <c r="AC119" s="28"/>
      <c r="AD119" s="27"/>
    </row>
    <row r="120" spans="1:31" ht="25.5" x14ac:dyDescent="0.25">
      <c r="A120" s="31" t="s">
        <v>33</v>
      </c>
      <c r="B120" s="31" t="s">
        <v>34</v>
      </c>
      <c r="C120" s="31" t="s">
        <v>35</v>
      </c>
      <c r="T120" s="205" t="s">
        <v>172</v>
      </c>
      <c r="U120" s="205"/>
      <c r="V120" s="205"/>
      <c r="W120" s="205"/>
      <c r="X120" s="205"/>
      <c r="AA120" s="205"/>
      <c r="AB120" s="205"/>
      <c r="AC120" s="205"/>
      <c r="AD120" s="205"/>
      <c r="AE120" s="205"/>
    </row>
    <row r="121" spans="1:31" ht="25.5" x14ac:dyDescent="0.2">
      <c r="A121" s="31" t="s">
        <v>36</v>
      </c>
      <c r="B121" s="31" t="s">
        <v>37</v>
      </c>
      <c r="C121" s="31" t="s">
        <v>38</v>
      </c>
      <c r="T121" s="200" t="s">
        <v>173</v>
      </c>
      <c r="U121" s="200"/>
      <c r="V121" s="200"/>
      <c r="W121" s="200"/>
      <c r="X121" s="200"/>
      <c r="AA121" s="200"/>
      <c r="AB121" s="200"/>
      <c r="AC121" s="200"/>
      <c r="AD121" s="200"/>
      <c r="AE121" s="200"/>
    </row>
    <row r="122" spans="1:31" ht="25.5" x14ac:dyDescent="0.2">
      <c r="A122" s="31" t="s">
        <v>39</v>
      </c>
      <c r="B122" s="31" t="s">
        <v>40</v>
      </c>
      <c r="C122" s="31" t="s">
        <v>41</v>
      </c>
    </row>
    <row r="123" spans="1:31" ht="25.5" x14ac:dyDescent="0.2">
      <c r="A123" s="31" t="s">
        <v>42</v>
      </c>
      <c r="B123" s="31" t="s">
        <v>43</v>
      </c>
      <c r="C123" s="31" t="s">
        <v>44</v>
      </c>
    </row>
    <row r="124" spans="1:31" ht="25.5" x14ac:dyDescent="0.2">
      <c r="A124" s="31" t="s">
        <v>45</v>
      </c>
      <c r="B124" s="32" t="s">
        <v>46</v>
      </c>
      <c r="C124" s="31" t="s">
        <v>47</v>
      </c>
    </row>
  </sheetData>
  <mergeCells count="84">
    <mergeCell ref="T120:X120"/>
    <mergeCell ref="AA120:AE120"/>
    <mergeCell ref="D66:D67"/>
    <mergeCell ref="C95:C97"/>
    <mergeCell ref="C102:C103"/>
    <mergeCell ref="AA117:AE117"/>
    <mergeCell ref="T118:X118"/>
    <mergeCell ref="AA118:AE118"/>
    <mergeCell ref="L11:L12"/>
    <mergeCell ref="M11:M12"/>
    <mergeCell ref="O52:O53"/>
    <mergeCell ref="T121:X121"/>
    <mergeCell ref="A111:AD111"/>
    <mergeCell ref="A112:AD112"/>
    <mergeCell ref="A113:AD113"/>
    <mergeCell ref="A108:T108"/>
    <mergeCell ref="A109:T109"/>
    <mergeCell ref="A110:AD110"/>
    <mergeCell ref="AA121:AE121"/>
    <mergeCell ref="T115:X115"/>
    <mergeCell ref="AA115:AE115"/>
    <mergeCell ref="T116:X116"/>
    <mergeCell ref="AA116:AE116"/>
    <mergeCell ref="T117:X117"/>
    <mergeCell ref="C52:C53"/>
    <mergeCell ref="N11:N12"/>
    <mergeCell ref="O11:O12"/>
    <mergeCell ref="M52:M53"/>
    <mergeCell ref="P10:Q10"/>
    <mergeCell ref="G11:G12"/>
    <mergeCell ref="H11:H12"/>
    <mergeCell ref="I11:I12"/>
    <mergeCell ref="J11:J12"/>
    <mergeCell ref="H10:I10"/>
    <mergeCell ref="J10:K10"/>
    <mergeCell ref="L10:M10"/>
    <mergeCell ref="N10:O10"/>
    <mergeCell ref="K11:K12"/>
    <mergeCell ref="P11:P12"/>
    <mergeCell ref="Q11:Q12"/>
    <mergeCell ref="A10:A12"/>
    <mergeCell ref="B10:B12"/>
    <mergeCell ref="C10:C12"/>
    <mergeCell ref="D10:D12"/>
    <mergeCell ref="E11:F12"/>
    <mergeCell ref="E10:G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A1:AD1"/>
    <mergeCell ref="A2:AD2"/>
    <mergeCell ref="A3:AD3"/>
    <mergeCell ref="A4:AD4"/>
    <mergeCell ref="A5:AD5"/>
    <mergeCell ref="AB12:AC12"/>
    <mergeCell ref="AB11:AC11"/>
    <mergeCell ref="U11:V11"/>
    <mergeCell ref="U12:V12"/>
    <mergeCell ref="R10:S10"/>
    <mergeCell ref="Z10:AA10"/>
    <mergeCell ref="T10:Y10"/>
    <mergeCell ref="AB10:AD10"/>
    <mergeCell ref="X11:Y11"/>
    <mergeCell ref="X12:Y12"/>
    <mergeCell ref="R11:R12"/>
    <mergeCell ref="S11:S12"/>
    <mergeCell ref="H7:I9"/>
    <mergeCell ref="A6:AD6"/>
    <mergeCell ref="T7:Y8"/>
    <mergeCell ref="T9:Y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9" scale="30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Disporapar</vt:lpstr>
      <vt:lpstr>Disporapar!Print_Area</vt:lpstr>
      <vt:lpstr>Disporapar!Print_Titles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cp:lastPrinted>2020-06-02T00:38:31Z</cp:lastPrinted>
  <dcterms:created xsi:type="dcterms:W3CDTF">2020-03-18T05:59:44Z</dcterms:created>
  <dcterms:modified xsi:type="dcterms:W3CDTF">2023-01-09T06:12:13Z</dcterms:modified>
</cp:coreProperties>
</file>