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nas Pertanian" sheetId="1" r:id="rId1"/>
  </sheets>
  <definedNames>
    <definedName name="_xlnm.Print_Area" localSheetId="0">'Dinas Pertanian'!$A$1:$AM$116</definedName>
    <definedName name="_xlnm.Print_Titles" localSheetId="0">'Dinas Pertanian'!$7:$12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1" i="1" l="1"/>
  <c r="T91" i="1"/>
  <c r="W86" i="1"/>
  <c r="T86" i="1"/>
  <c r="Z82" i="1"/>
  <c r="AB82" i="1" s="1"/>
  <c r="Z81" i="1"/>
  <c r="W70" i="1"/>
  <c r="T70" i="1"/>
  <c r="K70" i="1"/>
  <c r="N70" i="1"/>
  <c r="Q70" i="1"/>
  <c r="X71" i="1"/>
  <c r="X72" i="1"/>
  <c r="X73" i="1"/>
  <c r="X74" i="1"/>
  <c r="U71" i="1"/>
  <c r="U72" i="1"/>
  <c r="U73" i="1"/>
  <c r="U74" i="1"/>
  <c r="R71" i="1"/>
  <c r="R72" i="1"/>
  <c r="R73" i="1"/>
  <c r="R74" i="1"/>
  <c r="O71" i="1"/>
  <c r="O72" i="1"/>
  <c r="O73" i="1"/>
  <c r="O74" i="1"/>
  <c r="X70" i="1"/>
  <c r="U70" i="1"/>
  <c r="R70" i="1"/>
  <c r="O70" i="1"/>
  <c r="W68" i="1"/>
  <c r="T68" i="1"/>
  <c r="Q68" i="1"/>
  <c r="X69" i="1"/>
  <c r="U69" i="1"/>
  <c r="R69" i="1"/>
  <c r="O69" i="1"/>
  <c r="X68" i="1"/>
  <c r="U68" i="1"/>
  <c r="R68" i="1"/>
  <c r="O68" i="1"/>
  <c r="O67" i="1"/>
  <c r="X67" i="1"/>
  <c r="R67" i="1"/>
  <c r="U67" i="1"/>
  <c r="O38" i="1"/>
  <c r="AH38" i="1" s="1"/>
  <c r="R38" i="1"/>
  <c r="U38" i="1"/>
  <c r="AA38" i="1"/>
  <c r="AG38" i="1"/>
  <c r="X38" i="1" l="1"/>
  <c r="Z58" i="1"/>
  <c r="Y92" i="1"/>
  <c r="Y91" i="1" s="1"/>
  <c r="Y87" i="1"/>
  <c r="Y86" i="1" s="1"/>
  <c r="Y76" i="1"/>
  <c r="Y28" i="1"/>
  <c r="AD19" i="1"/>
  <c r="AD20" i="1"/>
  <c r="AD21" i="1"/>
  <c r="Z19" i="1"/>
  <c r="Y82" i="1"/>
  <c r="Y81" i="1" s="1"/>
  <c r="Y79" i="1"/>
  <c r="Y70" i="1"/>
  <c r="Y68" i="1"/>
  <c r="Y60" i="1"/>
  <c r="Y56" i="1"/>
  <c r="Y40" i="1"/>
  <c r="Y37" i="1" s="1"/>
  <c r="Y33" i="1"/>
  <c r="Y22" i="1"/>
  <c r="Y17" i="1"/>
  <c r="W17" i="1"/>
  <c r="Y14" i="1"/>
  <c r="W14" i="1"/>
  <c r="Y75" i="1" l="1"/>
  <c r="Y67" i="1"/>
  <c r="Y13" i="1"/>
  <c r="E36" i="1"/>
  <c r="E35" i="1"/>
  <c r="E34" i="1"/>
  <c r="E32" i="1"/>
  <c r="E31" i="1"/>
  <c r="E30" i="1"/>
  <c r="E29" i="1"/>
  <c r="E27" i="1"/>
  <c r="E26" i="1"/>
  <c r="E25" i="1"/>
  <c r="E24" i="1"/>
  <c r="E23" i="1"/>
  <c r="E21" i="1"/>
  <c r="E19" i="1"/>
  <c r="E20" i="1"/>
  <c r="E18" i="1"/>
  <c r="E16" i="1"/>
  <c r="E15" i="1"/>
  <c r="H17" i="1"/>
  <c r="H14" i="1"/>
  <c r="E14" i="1" l="1"/>
  <c r="E17" i="1"/>
  <c r="E39" i="1"/>
  <c r="K39" i="1"/>
  <c r="H39" i="1"/>
  <c r="AG39" i="1" s="1"/>
  <c r="U39" i="1"/>
  <c r="R39" i="1"/>
  <c r="O39" i="1"/>
  <c r="U37" i="1"/>
  <c r="R37" i="1"/>
  <c r="O37" i="1"/>
  <c r="X37" i="1" s="1"/>
  <c r="H37" i="1"/>
  <c r="E47" i="1"/>
  <c r="E46" i="1"/>
  <c r="E45" i="1"/>
  <c r="E44" i="1"/>
  <c r="E43" i="1"/>
  <c r="E42" i="1"/>
  <c r="E41" i="1"/>
  <c r="E40" i="1"/>
  <c r="V40" i="1"/>
  <c r="V37" i="1" s="1"/>
  <c r="S40" i="1"/>
  <c r="P40" i="1"/>
  <c r="P37" i="1" s="1"/>
  <c r="M40" i="1"/>
  <c r="M37" i="1" s="1"/>
  <c r="AA47" i="1"/>
  <c r="Z47" i="1"/>
  <c r="AG47" i="1" s="1"/>
  <c r="U47" i="1"/>
  <c r="R47" i="1"/>
  <c r="O47" i="1"/>
  <c r="AG46" i="1"/>
  <c r="AA46" i="1"/>
  <c r="Z46" i="1"/>
  <c r="AB46" i="1" s="1"/>
  <c r="U46" i="1"/>
  <c r="R46" i="1"/>
  <c r="O46" i="1"/>
  <c r="AA45" i="1"/>
  <c r="Z45" i="1"/>
  <c r="AB45" i="1" s="1"/>
  <c r="U45" i="1"/>
  <c r="R45" i="1"/>
  <c r="O45" i="1"/>
  <c r="AA44" i="1"/>
  <c r="Z44" i="1"/>
  <c r="AG44" i="1" s="1"/>
  <c r="U44" i="1"/>
  <c r="R44" i="1"/>
  <c r="O44" i="1"/>
  <c r="AA43" i="1"/>
  <c r="Z43" i="1"/>
  <c r="AG43" i="1" s="1"/>
  <c r="U43" i="1"/>
  <c r="R43" i="1"/>
  <c r="O43" i="1"/>
  <c r="AA42" i="1"/>
  <c r="Z42" i="1"/>
  <c r="AG42" i="1" s="1"/>
  <c r="U42" i="1"/>
  <c r="R42" i="1"/>
  <c r="O42" i="1"/>
  <c r="AA41" i="1"/>
  <c r="Z41" i="1"/>
  <c r="AB41" i="1" s="1"/>
  <c r="U41" i="1"/>
  <c r="R41" i="1"/>
  <c r="O41" i="1"/>
  <c r="AA40" i="1"/>
  <c r="Z40" i="1"/>
  <c r="AB40" i="1" s="1"/>
  <c r="U40" i="1"/>
  <c r="R40" i="1"/>
  <c r="O40" i="1"/>
  <c r="E55" i="1"/>
  <c r="U55" i="1"/>
  <c r="U54" i="1"/>
  <c r="U53" i="1"/>
  <c r="U52" i="1"/>
  <c r="U51" i="1"/>
  <c r="U50" i="1"/>
  <c r="U49" i="1"/>
  <c r="R55" i="1"/>
  <c r="R54" i="1"/>
  <c r="R53" i="1"/>
  <c r="R52" i="1"/>
  <c r="R51" i="1"/>
  <c r="R50" i="1"/>
  <c r="R49" i="1"/>
  <c r="O55" i="1"/>
  <c r="X55" i="1" s="1"/>
  <c r="O54" i="1"/>
  <c r="O53" i="1"/>
  <c r="O52" i="1"/>
  <c r="X52" i="1" s="1"/>
  <c r="O51" i="1"/>
  <c r="O50" i="1"/>
  <c r="O49" i="1"/>
  <c r="U48" i="1"/>
  <c r="R48" i="1"/>
  <c r="O48" i="1"/>
  <c r="E54" i="1"/>
  <c r="E53" i="1"/>
  <c r="E52" i="1"/>
  <c r="E51" i="1"/>
  <c r="E50" i="1"/>
  <c r="E49" i="1"/>
  <c r="E48" i="1"/>
  <c r="AA51" i="1"/>
  <c r="Z51" i="1"/>
  <c r="AG51" i="1" s="1"/>
  <c r="AA50" i="1"/>
  <c r="Z50" i="1"/>
  <c r="AG50" i="1" s="1"/>
  <c r="AA49" i="1"/>
  <c r="Z49" i="1"/>
  <c r="AB49" i="1" s="1"/>
  <c r="AD48" i="1"/>
  <c r="AI48" i="1" s="1"/>
  <c r="AA48" i="1"/>
  <c r="Z48" i="1"/>
  <c r="AB48" i="1" s="1"/>
  <c r="AA53" i="1"/>
  <c r="Z53" i="1"/>
  <c r="AG53" i="1" s="1"/>
  <c r="AH52" i="1"/>
  <c r="AA52" i="1"/>
  <c r="Z52" i="1"/>
  <c r="AB52" i="1" s="1"/>
  <c r="AA54" i="1"/>
  <c r="Z54" i="1"/>
  <c r="AB54" i="1" s="1"/>
  <c r="Q56" i="1"/>
  <c r="N56" i="1"/>
  <c r="E57" i="1"/>
  <c r="E59" i="1"/>
  <c r="O59" i="1"/>
  <c r="U59" i="1" s="1"/>
  <c r="R59" i="1"/>
  <c r="X59" i="1" s="1"/>
  <c r="O57" i="1"/>
  <c r="U57" i="1" s="1"/>
  <c r="R57" i="1"/>
  <c r="X57" i="1" s="1"/>
  <c r="U79" i="1"/>
  <c r="R79" i="1"/>
  <c r="O79" i="1"/>
  <c r="X79" i="1" s="1"/>
  <c r="U80" i="1"/>
  <c r="R80" i="1"/>
  <c r="O80" i="1"/>
  <c r="X80" i="1" s="1"/>
  <c r="Q75" i="1"/>
  <c r="U75" i="1"/>
  <c r="R75" i="1"/>
  <c r="O75" i="1"/>
  <c r="X75" i="1" s="1"/>
  <c r="U76" i="1"/>
  <c r="R76" i="1"/>
  <c r="O76" i="1"/>
  <c r="X76" i="1" s="1"/>
  <c r="U78" i="1"/>
  <c r="R78" i="1"/>
  <c r="O78" i="1"/>
  <c r="X78" i="1" s="1"/>
  <c r="U77" i="1"/>
  <c r="R77" i="1"/>
  <c r="O77" i="1"/>
  <c r="X77" i="1" s="1"/>
  <c r="R58" i="1"/>
  <c r="X58" i="1" s="1"/>
  <c r="O58" i="1"/>
  <c r="U58" i="1" s="1"/>
  <c r="U65" i="1"/>
  <c r="U64" i="1"/>
  <c r="U63" i="1"/>
  <c r="U62" i="1"/>
  <c r="U61" i="1"/>
  <c r="R65" i="1"/>
  <c r="R64" i="1"/>
  <c r="R63" i="1"/>
  <c r="R62" i="1"/>
  <c r="R61" i="1"/>
  <c r="O65" i="1"/>
  <c r="X65" i="1" s="1"/>
  <c r="O64" i="1"/>
  <c r="O63" i="1"/>
  <c r="X63" i="1" s="1"/>
  <c r="O62" i="1"/>
  <c r="X62" i="1" s="1"/>
  <c r="O61" i="1"/>
  <c r="X61" i="1" s="1"/>
  <c r="U60" i="1"/>
  <c r="R60" i="1"/>
  <c r="O60" i="1"/>
  <c r="X60" i="1" s="1"/>
  <c r="U66" i="1"/>
  <c r="R66" i="1"/>
  <c r="O66" i="1"/>
  <c r="X66" i="1" s="1"/>
  <c r="AA64" i="1"/>
  <c r="Z64" i="1"/>
  <c r="AG64" i="1" s="1"/>
  <c r="T81" i="1"/>
  <c r="H81" i="1"/>
  <c r="H82" i="1"/>
  <c r="U82" i="1"/>
  <c r="R82" i="1"/>
  <c r="O82" i="1"/>
  <c r="X82" i="1" s="1"/>
  <c r="U85" i="1"/>
  <c r="R85" i="1"/>
  <c r="O85" i="1"/>
  <c r="X85" i="1" s="1"/>
  <c r="U84" i="1"/>
  <c r="R84" i="1"/>
  <c r="O84" i="1"/>
  <c r="X84" i="1" s="1"/>
  <c r="E84" i="1"/>
  <c r="U83" i="1"/>
  <c r="R83" i="1"/>
  <c r="O83" i="1"/>
  <c r="X83" i="1" s="1"/>
  <c r="Q86" i="1"/>
  <c r="N86" i="1"/>
  <c r="U87" i="1"/>
  <c r="R87" i="1"/>
  <c r="O87" i="1"/>
  <c r="X87" i="1" s="1"/>
  <c r="U86" i="1"/>
  <c r="R86" i="1"/>
  <c r="O86" i="1"/>
  <c r="X86" i="1" s="1"/>
  <c r="U88" i="1"/>
  <c r="R88" i="1"/>
  <c r="O88" i="1"/>
  <c r="X88" i="1" s="1"/>
  <c r="V87" i="1"/>
  <c r="V86" i="1" s="1"/>
  <c r="U89" i="1"/>
  <c r="R89" i="1"/>
  <c r="O89" i="1"/>
  <c r="X89" i="1" s="1"/>
  <c r="U90" i="1"/>
  <c r="R90" i="1"/>
  <c r="O90" i="1"/>
  <c r="X90" i="1" s="1"/>
  <c r="E90" i="1"/>
  <c r="Q91" i="1"/>
  <c r="N91" i="1"/>
  <c r="Z91" i="1" s="1"/>
  <c r="AB91" i="1" s="1"/>
  <c r="U91" i="1"/>
  <c r="R91" i="1"/>
  <c r="O91" i="1"/>
  <c r="X91" i="1" s="1"/>
  <c r="U92" i="1"/>
  <c r="R92" i="1"/>
  <c r="O92" i="1"/>
  <c r="X92" i="1" s="1"/>
  <c r="U95" i="1"/>
  <c r="R95" i="1"/>
  <c r="O95" i="1"/>
  <c r="X95" i="1" s="1"/>
  <c r="R93" i="1"/>
  <c r="X93" i="1" s="1"/>
  <c r="O93" i="1"/>
  <c r="U93" i="1" s="1"/>
  <c r="E93" i="1"/>
  <c r="V82" i="1"/>
  <c r="V81" i="1" s="1"/>
  <c r="V79" i="1"/>
  <c r="V76" i="1"/>
  <c r="V70" i="1"/>
  <c r="V68" i="1"/>
  <c r="V60" i="1"/>
  <c r="V56" i="1"/>
  <c r="V28" i="1"/>
  <c r="V22" i="1"/>
  <c r="V17" i="1"/>
  <c r="T17" i="1"/>
  <c r="V14" i="1"/>
  <c r="T14" i="1"/>
  <c r="R56" i="1"/>
  <c r="X56" i="1" s="1"/>
  <c r="O56" i="1"/>
  <c r="U56" i="1" s="1"/>
  <c r="S82" i="1"/>
  <c r="S95" i="1"/>
  <c r="S92" i="1" s="1"/>
  <c r="S91" i="1" s="1"/>
  <c r="S87" i="1"/>
  <c r="S86" i="1" s="1"/>
  <c r="M82" i="1"/>
  <c r="M81" i="1" s="1"/>
  <c r="S81" i="1"/>
  <c r="S79" i="1"/>
  <c r="P79" i="1"/>
  <c r="M79" i="1"/>
  <c r="S76" i="1"/>
  <c r="P76" i="1"/>
  <c r="M76" i="1"/>
  <c r="AH72" i="1"/>
  <c r="AD72" i="1"/>
  <c r="AI72" i="1" s="1"/>
  <c r="AA72" i="1"/>
  <c r="Z72" i="1"/>
  <c r="AB72" i="1" s="1"/>
  <c r="P70" i="1"/>
  <c r="M70" i="1"/>
  <c r="S70" i="1"/>
  <c r="S68" i="1"/>
  <c r="P68" i="1"/>
  <c r="S60" i="1"/>
  <c r="P60" i="1"/>
  <c r="M60" i="1"/>
  <c r="S56" i="1"/>
  <c r="P56" i="1"/>
  <c r="M56" i="1"/>
  <c r="S34" i="1"/>
  <c r="S33" i="1" s="1"/>
  <c r="S28" i="1"/>
  <c r="S22" i="1"/>
  <c r="S17" i="1"/>
  <c r="Q17" i="1"/>
  <c r="S14" i="1"/>
  <c r="Q14" i="1"/>
  <c r="V67" i="1" l="1"/>
  <c r="AD40" i="1"/>
  <c r="AE40" i="1" s="1"/>
  <c r="AH48" i="1"/>
  <c r="X48" i="1"/>
  <c r="AH50" i="1"/>
  <c r="X50" i="1"/>
  <c r="AH54" i="1"/>
  <c r="X54" i="1"/>
  <c r="AH43" i="1"/>
  <c r="X43" i="1"/>
  <c r="AH51" i="1"/>
  <c r="X51" i="1"/>
  <c r="AH40" i="1"/>
  <c r="X40" i="1"/>
  <c r="AH44" i="1"/>
  <c r="X44" i="1"/>
  <c r="AH47" i="1"/>
  <c r="X47" i="1"/>
  <c r="AH64" i="1"/>
  <c r="X64" i="1"/>
  <c r="AH41" i="1"/>
  <c r="X41" i="1"/>
  <c r="AH45" i="1"/>
  <c r="X45" i="1"/>
  <c r="AH39" i="1"/>
  <c r="X39" i="1"/>
  <c r="S67" i="1"/>
  <c r="AH49" i="1"/>
  <c r="X49" i="1"/>
  <c r="AH53" i="1"/>
  <c r="X53" i="1"/>
  <c r="AH42" i="1"/>
  <c r="X42" i="1"/>
  <c r="AH46" i="1"/>
  <c r="X46" i="1"/>
  <c r="AG45" i="1"/>
  <c r="S37" i="1"/>
  <c r="AB42" i="1"/>
  <c r="AG41" i="1"/>
  <c r="AB43" i="1"/>
  <c r="AB47" i="1"/>
  <c r="AI40" i="1"/>
  <c r="E56" i="1"/>
  <c r="AG40" i="1"/>
  <c r="AB44" i="1"/>
  <c r="AG54" i="1"/>
  <c r="AE48" i="1"/>
  <c r="AG48" i="1"/>
  <c r="AG49" i="1"/>
  <c r="AB50" i="1"/>
  <c r="AB51" i="1"/>
  <c r="AG52" i="1"/>
  <c r="AB53" i="1"/>
  <c r="P75" i="1"/>
  <c r="AB64" i="1"/>
  <c r="M75" i="1"/>
  <c r="S75" i="1"/>
  <c r="V33" i="1"/>
  <c r="V13" i="1" s="1"/>
  <c r="V75" i="1"/>
  <c r="V92" i="1"/>
  <c r="V91" i="1" s="1"/>
  <c r="AE72" i="1"/>
  <c r="AG72" i="1"/>
  <c r="S13" i="1"/>
  <c r="AH79" i="1"/>
  <c r="AD79" i="1"/>
  <c r="AA79" i="1"/>
  <c r="Z79" i="1"/>
  <c r="AB79" i="1" s="1"/>
  <c r="AE79" i="1" l="1"/>
  <c r="AG79" i="1"/>
  <c r="AI79" i="1"/>
  <c r="AA39" i="1" l="1"/>
  <c r="AH95" i="1" l="1"/>
  <c r="AD95" i="1"/>
  <c r="AI95" i="1" s="1"/>
  <c r="AA95" i="1"/>
  <c r="Z95" i="1"/>
  <c r="AB95" i="1" s="1"/>
  <c r="AH94" i="1"/>
  <c r="AD94" i="1"/>
  <c r="AI94" i="1" s="1"/>
  <c r="AA94" i="1"/>
  <c r="Z94" i="1"/>
  <c r="AB94" i="1" s="1"/>
  <c r="AH93" i="1"/>
  <c r="AD93" i="1"/>
  <c r="AI93" i="1" s="1"/>
  <c r="AA93" i="1"/>
  <c r="Z93" i="1"/>
  <c r="AB93" i="1" s="1"/>
  <c r="AH92" i="1"/>
  <c r="AA92" i="1"/>
  <c r="Z92" i="1"/>
  <c r="AB92" i="1" s="1"/>
  <c r="AH91" i="1"/>
  <c r="AA91" i="1"/>
  <c r="AH90" i="1"/>
  <c r="AD90" i="1"/>
  <c r="AI90" i="1" s="1"/>
  <c r="AA90" i="1"/>
  <c r="Z90" i="1"/>
  <c r="AB90" i="1" s="1"/>
  <c r="AH89" i="1"/>
  <c r="AD89" i="1"/>
  <c r="AI89" i="1" s="1"/>
  <c r="AA89" i="1"/>
  <c r="Z89" i="1"/>
  <c r="AB89" i="1" s="1"/>
  <c r="AH88" i="1"/>
  <c r="AD88" i="1"/>
  <c r="AI88" i="1" s="1"/>
  <c r="AA88" i="1"/>
  <c r="Z88" i="1"/>
  <c r="AB88" i="1" s="1"/>
  <c r="AH87" i="1"/>
  <c r="AA87" i="1"/>
  <c r="Z87" i="1"/>
  <c r="AB87" i="1" s="1"/>
  <c r="AH86" i="1"/>
  <c r="AA86" i="1"/>
  <c r="Z86" i="1"/>
  <c r="AB86" i="1" s="1"/>
  <c r="AH85" i="1"/>
  <c r="AD85" i="1"/>
  <c r="AI85" i="1" s="1"/>
  <c r="AA85" i="1"/>
  <c r="Z85" i="1"/>
  <c r="AB85" i="1" s="1"/>
  <c r="AH84" i="1"/>
  <c r="AD84" i="1"/>
  <c r="AI84" i="1" s="1"/>
  <c r="AA84" i="1"/>
  <c r="Z84" i="1"/>
  <c r="AB84" i="1" s="1"/>
  <c r="AH83" i="1"/>
  <c r="AD83" i="1"/>
  <c r="AI83" i="1" s="1"/>
  <c r="AA83" i="1"/>
  <c r="Z83" i="1"/>
  <c r="AB83" i="1" s="1"/>
  <c r="AH82" i="1"/>
  <c r="AA82" i="1"/>
  <c r="AH81" i="1"/>
  <c r="AA81" i="1"/>
  <c r="AB81" i="1"/>
  <c r="AH80" i="1"/>
  <c r="AD80" i="1"/>
  <c r="AI80" i="1" s="1"/>
  <c r="AA80" i="1"/>
  <c r="Z80" i="1"/>
  <c r="AB80" i="1" s="1"/>
  <c r="AH78" i="1"/>
  <c r="AD78" i="1"/>
  <c r="AI78" i="1" s="1"/>
  <c r="AA78" i="1"/>
  <c r="Z78" i="1"/>
  <c r="AB78" i="1" s="1"/>
  <c r="AH77" i="1"/>
  <c r="AD77" i="1"/>
  <c r="AI77" i="1" s="1"/>
  <c r="AA77" i="1"/>
  <c r="Z77" i="1"/>
  <c r="AB77" i="1" s="1"/>
  <c r="AH76" i="1"/>
  <c r="AA76" i="1"/>
  <c r="Z76" i="1"/>
  <c r="AH75" i="1"/>
  <c r="AA75" i="1"/>
  <c r="Z75" i="1"/>
  <c r="AB75" i="1" s="1"/>
  <c r="AH74" i="1"/>
  <c r="AD74" i="1"/>
  <c r="AI74" i="1" s="1"/>
  <c r="AA74" i="1"/>
  <c r="Z74" i="1"/>
  <c r="AB74" i="1" s="1"/>
  <c r="AH73" i="1"/>
  <c r="AD73" i="1"/>
  <c r="AI73" i="1" s="1"/>
  <c r="AA73" i="1"/>
  <c r="Z73" i="1"/>
  <c r="AB73" i="1" s="1"/>
  <c r="AH71" i="1"/>
  <c r="AD71" i="1"/>
  <c r="AE71" i="1" s="1"/>
  <c r="AA71" i="1"/>
  <c r="Z71" i="1"/>
  <c r="AB71" i="1" s="1"/>
  <c r="AH70" i="1"/>
  <c r="AA70" i="1"/>
  <c r="Z70" i="1"/>
  <c r="AB70" i="1" s="1"/>
  <c r="AH69" i="1"/>
  <c r="AD69" i="1"/>
  <c r="AE69" i="1" s="1"/>
  <c r="AA69" i="1"/>
  <c r="Z69" i="1"/>
  <c r="AB69" i="1" s="1"/>
  <c r="AH68" i="1"/>
  <c r="AA68" i="1"/>
  <c r="Z68" i="1"/>
  <c r="AB68" i="1" s="1"/>
  <c r="AH67" i="1"/>
  <c r="AA67" i="1"/>
  <c r="Z67" i="1"/>
  <c r="AB67" i="1" s="1"/>
  <c r="AH66" i="1"/>
  <c r="AD66" i="1"/>
  <c r="AE66" i="1" s="1"/>
  <c r="AA66" i="1"/>
  <c r="Z66" i="1"/>
  <c r="AB66" i="1" s="1"/>
  <c r="AH65" i="1"/>
  <c r="AA65" i="1"/>
  <c r="Z65" i="1"/>
  <c r="AB65" i="1" s="1"/>
  <c r="AH63" i="1"/>
  <c r="AA63" i="1"/>
  <c r="Z63" i="1"/>
  <c r="AB63" i="1" s="1"/>
  <c r="AH62" i="1"/>
  <c r="AA62" i="1"/>
  <c r="Z62" i="1"/>
  <c r="AB62" i="1" s="1"/>
  <c r="AH61" i="1"/>
  <c r="AA61" i="1"/>
  <c r="Z61" i="1"/>
  <c r="AB61" i="1" s="1"/>
  <c r="AH60" i="1"/>
  <c r="AA60" i="1"/>
  <c r="Z60" i="1"/>
  <c r="AB60" i="1" s="1"/>
  <c r="AH59" i="1"/>
  <c r="AD59" i="1"/>
  <c r="AE59" i="1" s="1"/>
  <c r="AA59" i="1"/>
  <c r="Z59" i="1"/>
  <c r="AB59" i="1" s="1"/>
  <c r="AH58" i="1"/>
  <c r="AD58" i="1"/>
  <c r="AE58" i="1" s="1"/>
  <c r="AA58" i="1"/>
  <c r="AB58" i="1"/>
  <c r="AH57" i="1"/>
  <c r="AD57" i="1"/>
  <c r="AE57" i="1" s="1"/>
  <c r="AA57" i="1"/>
  <c r="Z57" i="1"/>
  <c r="AB57" i="1" s="1"/>
  <c r="AH55" i="1"/>
  <c r="AA55" i="1"/>
  <c r="Z55" i="1"/>
  <c r="AB55" i="1" s="1"/>
  <c r="AH56" i="1"/>
  <c r="AD56" i="1"/>
  <c r="AI56" i="1" s="1"/>
  <c r="AA56" i="1"/>
  <c r="AH37" i="1"/>
  <c r="AA37" i="1"/>
  <c r="Z37" i="1"/>
  <c r="AB37" i="1" s="1"/>
  <c r="AH36" i="1"/>
  <c r="AD36" i="1"/>
  <c r="AI36" i="1" s="1"/>
  <c r="AA36" i="1"/>
  <c r="Z36" i="1"/>
  <c r="AB36" i="1" s="1"/>
  <c r="AH35" i="1"/>
  <c r="AD35" i="1"/>
  <c r="AI35" i="1" s="1"/>
  <c r="AA35" i="1"/>
  <c r="Z35" i="1"/>
  <c r="AB35" i="1" s="1"/>
  <c r="AH34" i="1"/>
  <c r="AD34" i="1"/>
  <c r="AI34" i="1" s="1"/>
  <c r="AA34" i="1"/>
  <c r="Z34" i="1"/>
  <c r="AB34" i="1" s="1"/>
  <c r="AH33" i="1"/>
  <c r="AA33" i="1"/>
  <c r="Z33" i="1"/>
  <c r="AB33" i="1" s="1"/>
  <c r="AH32" i="1"/>
  <c r="AD32" i="1"/>
  <c r="AI32" i="1" s="1"/>
  <c r="AA32" i="1"/>
  <c r="Z32" i="1"/>
  <c r="AB32" i="1" s="1"/>
  <c r="AH31" i="1"/>
  <c r="AD31" i="1"/>
  <c r="AI31" i="1" s="1"/>
  <c r="AA31" i="1"/>
  <c r="Z31" i="1"/>
  <c r="AB31" i="1" s="1"/>
  <c r="AH30" i="1"/>
  <c r="AD30" i="1"/>
  <c r="AI30" i="1" s="1"/>
  <c r="AA30" i="1"/>
  <c r="Z30" i="1"/>
  <c r="AB30" i="1" s="1"/>
  <c r="AH29" i="1"/>
  <c r="AD29" i="1"/>
  <c r="AI29" i="1" s="1"/>
  <c r="AA29" i="1"/>
  <c r="Z29" i="1"/>
  <c r="AB29" i="1" s="1"/>
  <c r="AH28" i="1"/>
  <c r="AA28" i="1"/>
  <c r="Z28" i="1"/>
  <c r="AB28" i="1" s="1"/>
  <c r="AH27" i="1"/>
  <c r="AD27" i="1"/>
  <c r="AI27" i="1" s="1"/>
  <c r="AA27" i="1"/>
  <c r="Z27" i="1"/>
  <c r="AB27" i="1" s="1"/>
  <c r="AH26" i="1"/>
  <c r="AD26" i="1"/>
  <c r="AI26" i="1" s="1"/>
  <c r="AA26" i="1"/>
  <c r="Z26" i="1"/>
  <c r="AB26" i="1" s="1"/>
  <c r="AH25" i="1"/>
  <c r="AD25" i="1"/>
  <c r="AI25" i="1" s="1"/>
  <c r="AA25" i="1"/>
  <c r="Z25" i="1"/>
  <c r="AB25" i="1" s="1"/>
  <c r="AH24" i="1"/>
  <c r="AD24" i="1"/>
  <c r="AI24" i="1" s="1"/>
  <c r="AA24" i="1"/>
  <c r="Z24" i="1"/>
  <c r="AB24" i="1" s="1"/>
  <c r="AH23" i="1"/>
  <c r="AD23" i="1"/>
  <c r="AI23" i="1" s="1"/>
  <c r="AA23" i="1"/>
  <c r="Z23" i="1"/>
  <c r="AB23" i="1" s="1"/>
  <c r="AH22" i="1"/>
  <c r="AA22" i="1"/>
  <c r="Z22" i="1"/>
  <c r="AB22" i="1" s="1"/>
  <c r="AH21" i="1"/>
  <c r="AI21" i="1"/>
  <c r="AA21" i="1"/>
  <c r="Z21" i="1"/>
  <c r="AB21" i="1" s="1"/>
  <c r="AH20" i="1"/>
  <c r="AI20" i="1"/>
  <c r="AA20" i="1"/>
  <c r="Z20" i="1"/>
  <c r="AB20" i="1" s="1"/>
  <c r="AH19" i="1"/>
  <c r="AI19" i="1"/>
  <c r="AA19" i="1"/>
  <c r="AG19" i="1"/>
  <c r="AH18" i="1"/>
  <c r="AD18" i="1"/>
  <c r="AI18" i="1" s="1"/>
  <c r="AA18" i="1"/>
  <c r="Z18" i="1"/>
  <c r="AG18" i="1" s="1"/>
  <c r="AH17" i="1"/>
  <c r="AA17" i="1"/>
  <c r="AH16" i="1"/>
  <c r="AD16" i="1"/>
  <c r="AI16" i="1" s="1"/>
  <c r="AA16" i="1"/>
  <c r="Z16" i="1"/>
  <c r="AB16" i="1" s="1"/>
  <c r="AH15" i="1"/>
  <c r="AD15" i="1"/>
  <c r="AI15" i="1" s="1"/>
  <c r="AA15" i="1"/>
  <c r="Z15" i="1"/>
  <c r="AG15" i="1" s="1"/>
  <c r="AH14" i="1"/>
  <c r="AA14" i="1"/>
  <c r="AH13" i="1"/>
  <c r="AA13" i="1"/>
  <c r="Z13" i="1"/>
  <c r="AG13" i="1" s="1"/>
  <c r="AG95" i="1" l="1"/>
  <c r="AG90" i="1"/>
  <c r="AG91" i="1"/>
  <c r="AG94" i="1"/>
  <c r="AG59" i="1"/>
  <c r="AG84" i="1"/>
  <c r="AG68" i="1"/>
  <c r="AG70" i="1"/>
  <c r="AG61" i="1"/>
  <c r="AI58" i="1"/>
  <c r="AE31" i="1"/>
  <c r="AE34" i="1"/>
  <c r="AG66" i="1"/>
  <c r="AE18" i="1"/>
  <c r="AE15" i="1"/>
  <c r="AE35" i="1"/>
  <c r="AE26" i="1"/>
  <c r="AI69" i="1"/>
  <c r="AG76" i="1"/>
  <c r="AE19" i="1"/>
  <c r="AE23" i="1"/>
  <c r="AE27" i="1"/>
  <c r="AE30" i="1"/>
  <c r="AG57" i="1"/>
  <c r="AG63" i="1"/>
  <c r="AI71" i="1"/>
  <c r="AG73" i="1"/>
  <c r="AG77" i="1"/>
  <c r="AG80" i="1"/>
  <c r="AG81" i="1"/>
  <c r="AG83" i="1"/>
  <c r="AG87" i="1"/>
  <c r="AE56" i="1"/>
  <c r="AE20" i="1"/>
  <c r="AE32" i="1"/>
  <c r="AE36" i="1"/>
  <c r="AE21" i="1"/>
  <c r="AE25" i="1"/>
  <c r="AE29" i="1"/>
  <c r="AG74" i="1"/>
  <c r="AG78" i="1"/>
  <c r="AG82" i="1"/>
  <c r="AG85" i="1"/>
  <c r="AG88" i="1"/>
  <c r="AG92" i="1"/>
  <c r="AE16" i="1"/>
  <c r="AE24" i="1"/>
  <c r="AI57" i="1"/>
  <c r="AG58" i="1"/>
  <c r="AI59" i="1"/>
  <c r="AG60" i="1"/>
  <c r="AG62" i="1"/>
  <c r="AG65" i="1"/>
  <c r="AI66" i="1"/>
  <c r="AG67" i="1"/>
  <c r="AG69" i="1"/>
  <c r="AG71" i="1"/>
  <c r="AG75" i="1"/>
  <c r="AG86" i="1"/>
  <c r="AG89" i="1"/>
  <c r="AG93" i="1"/>
  <c r="AB15" i="1"/>
  <c r="AB18" i="1"/>
  <c r="AB19" i="1"/>
  <c r="AG16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55" i="1"/>
  <c r="AE73" i="1"/>
  <c r="AE74" i="1"/>
  <c r="AE77" i="1"/>
  <c r="AE78" i="1"/>
  <c r="AE80" i="1"/>
  <c r="AE83" i="1"/>
  <c r="AE84" i="1"/>
  <c r="AE85" i="1"/>
  <c r="AE88" i="1"/>
  <c r="AE89" i="1"/>
  <c r="AE90" i="1"/>
  <c r="AE93" i="1"/>
  <c r="AE94" i="1"/>
  <c r="AE95" i="1"/>
  <c r="AB13" i="1"/>
  <c r="P92" i="1"/>
  <c r="AD92" i="1" s="1"/>
  <c r="AI92" i="1" s="1"/>
  <c r="AD76" i="1"/>
  <c r="AI76" i="1" s="1"/>
  <c r="P91" i="1" l="1"/>
  <c r="AD91" i="1" s="1"/>
  <c r="AE76" i="1"/>
  <c r="P87" i="1"/>
  <c r="P86" i="1" s="1"/>
  <c r="P82" i="1"/>
  <c r="P81" i="1" s="1"/>
  <c r="AD75" i="1"/>
  <c r="AD70" i="1"/>
  <c r="AD68" i="1"/>
  <c r="AD60" i="1"/>
  <c r="P33" i="1"/>
  <c r="AD33" i="1" s="1"/>
  <c r="P28" i="1"/>
  <c r="AD28" i="1" s="1"/>
  <c r="P22" i="1"/>
  <c r="AD22" i="1" s="1"/>
  <c r="P17" i="1"/>
  <c r="AD17" i="1" s="1"/>
  <c r="N17" i="1"/>
  <c r="Z17" i="1" s="1"/>
  <c r="P14" i="1"/>
  <c r="AD14" i="1" s="1"/>
  <c r="N14" i="1"/>
  <c r="Z14" i="1" s="1"/>
  <c r="M92" i="1"/>
  <c r="M91" i="1" s="1"/>
  <c r="M87" i="1"/>
  <c r="M86" i="1" s="1"/>
  <c r="M68" i="1"/>
  <c r="M33" i="1"/>
  <c r="M28" i="1"/>
  <c r="M22" i="1"/>
  <c r="M17" i="1"/>
  <c r="M14" i="1"/>
  <c r="AE70" i="1" l="1"/>
  <c r="AI70" i="1"/>
  <c r="AI22" i="1"/>
  <c r="AE22" i="1"/>
  <c r="AI91" i="1"/>
  <c r="AE91" i="1"/>
  <c r="AI17" i="1"/>
  <c r="AE17" i="1"/>
  <c r="AI75" i="1"/>
  <c r="AE75" i="1"/>
  <c r="AI14" i="1"/>
  <c r="AE14" i="1"/>
  <c r="AI28" i="1"/>
  <c r="AE28" i="1"/>
  <c r="AE60" i="1"/>
  <c r="AI60" i="1"/>
  <c r="AD81" i="1"/>
  <c r="AD82" i="1"/>
  <c r="AE92" i="1"/>
  <c r="AG14" i="1"/>
  <c r="AD37" i="1"/>
  <c r="AG17" i="1"/>
  <c r="AI33" i="1"/>
  <c r="AE33" i="1"/>
  <c r="AE68" i="1"/>
  <c r="AI68" i="1"/>
  <c r="AD86" i="1"/>
  <c r="AD87" i="1"/>
  <c r="P67" i="1"/>
  <c r="AD67" i="1" s="1"/>
  <c r="P13" i="1"/>
  <c r="AD13" i="1" s="1"/>
  <c r="M67" i="1"/>
  <c r="M13" i="1"/>
  <c r="K17" i="1"/>
  <c r="AB17" i="1" s="1"/>
  <c r="K14" i="1"/>
  <c r="AB14" i="1" s="1"/>
  <c r="AI86" i="1" l="1"/>
  <c r="AE86" i="1"/>
  <c r="AE67" i="1"/>
  <c r="AI67" i="1"/>
  <c r="AI82" i="1"/>
  <c r="AE82" i="1"/>
  <c r="AI37" i="1"/>
  <c r="AE37" i="1"/>
  <c r="AI13" i="1"/>
  <c r="AE13" i="1"/>
  <c r="AI87" i="1"/>
  <c r="AE87" i="1"/>
  <c r="AI81" i="1"/>
  <c r="AE81" i="1"/>
  <c r="AP21" i="1"/>
  <c r="AP20" i="1"/>
  <c r="AP19" i="1"/>
  <c r="AP18" i="1"/>
  <c r="AP13" i="1"/>
  <c r="AE96" i="1" l="1"/>
  <c r="AE97" i="1" s="1"/>
  <c r="Z56" i="1"/>
  <c r="AG56" i="1" s="1"/>
  <c r="AB56" i="1" l="1"/>
  <c r="AB96" i="1" l="1"/>
  <c r="AB97" i="1" s="1"/>
</calcChain>
</file>

<file path=xl/comments1.xml><?xml version="1.0" encoding="utf-8"?>
<comments xmlns="http://schemas.openxmlformats.org/spreadsheetml/2006/main">
  <authors>
    <author>USER</author>
    <author>W10 PRO</author>
  </authors>
  <commentList>
    <comment ref="K37" authorId="0" shapeId="0">
      <text>
        <r>
          <rPr>
            <b/>
            <sz val="12"/>
            <color indexed="81"/>
            <rFont val="Tahoma"/>
            <family val="2"/>
          </rPr>
          <t>Jumlah luas tanam yang menggunakan benih bersertifikat/luas tanam se Kab.HSSx100</t>
        </r>
      </text>
    </comment>
    <comment ref="E39" authorId="0" shapeId="0">
      <text>
        <r>
          <rPr>
            <b/>
            <sz val="12"/>
            <color indexed="81"/>
            <rFont val="Tahoma"/>
            <family val="2"/>
          </rPr>
          <t>kelapa,kayu manis,kelapa</t>
        </r>
      </text>
    </comment>
    <comment ref="K82" authorId="1" shapeId="0">
      <text>
        <r>
          <rPr>
            <b/>
            <sz val="12"/>
            <color indexed="81"/>
            <rFont val="Tahoma"/>
            <family val="2"/>
          </rPr>
          <t>&lt;11</t>
        </r>
      </text>
    </comment>
    <comment ref="L90" authorId="0" shapeId="0">
      <text>
        <r>
          <rPr>
            <b/>
            <sz val="12"/>
            <color indexed="81"/>
            <rFont val="Tahoma"/>
            <family val="2"/>
          </rPr>
          <t>Usaha Ekonomi Pertanian</t>
        </r>
      </text>
    </comment>
    <comment ref="K91" authorId="0" shapeId="0">
      <text>
        <r>
          <rPr>
            <b/>
            <sz val="12"/>
            <color indexed="81"/>
            <rFont val="Tahoma"/>
            <family val="2"/>
          </rPr>
          <t>60/1004*100
Jumlah kenaikan kelas kelompok tani/jumlah kelompok tani se Kab.HSSx100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</rPr>
          <t>BPP (balai penyuluhan pertanian)</t>
        </r>
      </text>
    </comment>
    <comment ref="L95" authorId="0" shapeId="0">
      <text>
        <r>
          <rPr>
            <b/>
            <sz val="9"/>
            <color indexed="81"/>
            <rFont val="Tahoma"/>
            <family val="2"/>
          </rPr>
          <t>BPP (balai penyuluhan pertanian)</t>
        </r>
      </text>
    </comment>
  </commentList>
</comments>
</file>

<file path=xl/sharedStrings.xml><?xml version="1.0" encoding="utf-8"?>
<sst xmlns="http://schemas.openxmlformats.org/spreadsheetml/2006/main" count="806" uniqueCount="225">
  <si>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</si>
  <si>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</si>
  <si>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</si>
  <si>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</si>
  <si>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</si>
  <si>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</si>
  <si>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</si>
  <si>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</si>
  <si>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</si>
  <si>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</si>
  <si>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</si>
  <si>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</si>
  <si>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</si>
  <si>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</si>
  <si>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</si>
  <si>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</si>
  <si>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</si>
  <si>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</si>
  <si>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</si>
  <si>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</si>
  <si>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</si>
  <si>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</si>
  <si>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</si>
  <si>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</si>
  <si>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</si>
  <si>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</si>
  <si>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</si>
  <si>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</si>
  <si>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</si>
  <si>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</si>
  <si>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</si>
  <si>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</si>
  <si>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</si>
  <si>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</si>
  <si>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</si>
  <si>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</si>
  <si>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</si>
  <si>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</si>
  <si>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</si>
  <si>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</si>
  <si>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</si>
  <si>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</si>
  <si>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</si>
  <si>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</si>
  <si>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</si>
  <si>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</si>
  <si>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</si>
  <si>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</si>
  <si>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PERTANIAN</t>
  </si>
  <si>
    <t>Dinas Pertanian</t>
  </si>
  <si>
    <t>Tercukupinya Ketersediaan Pangan Yang Beragam dan Aman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</si>
  <si>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</si>
  <si>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</si>
  <si>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</si>
  <si>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</si>
  <si>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</si>
  <si>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</si>
  <si>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</si>
  <si>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</si>
  <si>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</si>
  <si>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Pertanian</t>
  </si>
  <si>
    <t>NIP. 19670417 198803 1 010</t>
  </si>
  <si>
    <t>MUHAMMAD NOOR, S.P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</si>
  <si>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</si>
  <si>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</si>
  <si>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</si>
  <si>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</si>
  <si>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Realisasi Capaian Kinerja Renstra Perangkat Daerah sampai dengan Renja Perangkat Daerah Tahun Lalu (2020)</t>
  </si>
  <si>
    <t>Realisasi Kinerja dan Anggaran Renstra Perangkat Daerah s/d Tahun 2021</t>
  </si>
  <si>
    <t>Tingkat Capaian Kinerja dan Realisasi Anggaran Renstra Perangkat Daerah s/d Tahun 2021 (%)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</si>
  <si>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</si>
  <si>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</si>
  <si>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</si>
  <si>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</si>
  <si>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</si>
  <si>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</si>
  <si>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</si>
  <si>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Bahan Logistik Kantor</t>
  </si>
  <si>
    <t>Penyediaan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</si>
  <si>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</si>
  <si>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</si>
  <si>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</si>
  <si>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</si>
  <si>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</si>
  <si>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Peralatan dan Perlengkapan Kantor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</si>
  <si>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</si>
  <si>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</si>
  <si>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</si>
  <si>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</si>
  <si>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Pendukung Gedung Kantor atau Bangunan Lainnya</t>
  </si>
  <si>
    <t>Program Penyediaan Dan Pengembangan Sarana Pertanian</t>
  </si>
  <si>
    <t>Pengawasan Penggunaan Sarana Pertanian</t>
  </si>
  <si>
    <t>Pendampingan Penggunaan Sarana Pendukung Pertanian</t>
  </si>
  <si>
    <t>Pengelolaan Sumber Daya Genetik (SDG) Hewan, Tumbuhan, dan Mikro Organisme Kewenangan Kabupaten/Kota</t>
  </si>
  <si>
    <t>Penjaminan Kemurnian dan Kelestarian SDG Hewan/Tanaman</t>
  </si>
  <si>
    <t>Peningkatan Kualitas SDG Hewan/Tanaman</t>
  </si>
  <si>
    <t>Pemanfaatan SDG Hewan/Tanaman</t>
  </si>
  <si>
    <t>Pengendalian dan Pengawasan Penyediaan dan Peredaran Benih/Bibit Ternak, dan Hijauan Pakan Ternak dalam Daerah Kabupaten/Kota</t>
  </si>
  <si>
    <t>Penjaminan Peredaran Benih/Bibit Ternak</t>
  </si>
  <si>
    <t>Program Penyediaan Dan Pengembangan Prasarana Pertanian</t>
  </si>
  <si>
    <t>Pengembangan Prasarana Pertanian</t>
  </si>
  <si>
    <t>Penyusunan Peta Lahan Pertanian Pangan Berkelanjutan/LP2B</t>
  </si>
  <si>
    <t>Pembangunan Prasarana Pertanian</t>
  </si>
  <si>
    <t>Pembangunan, Rehabilitasi dan Pemeliharaan Jaringan Irigasi Usaha Tani</t>
  </si>
  <si>
    <t>Pembangunan, Rehabilitasi dan Pemeliharaan Balai Penyuluh di Kecamatan serta sarana pendukungnya</t>
  </si>
  <si>
    <t>Pembangunan, Rehabilitasi dan Pemeliharaan Prasarana Pertanian Lainnya</t>
  </si>
  <si>
    <t>Program Pengendalian Kesehatan Hewan Dan Kesehatan Masyarakat Veteriner</t>
  </si>
  <si>
    <t>Penjaminan Kesehatan Hewan, Penutupan dan Pembukaan Daerah Wabah Penyakit Hewan Menular Dalam Daerah Kabupaten/Kota</t>
  </si>
  <si>
    <t>Pengendalian dan Penanggulangan Penyakit Hewan dan Zoonosis</t>
  </si>
  <si>
    <t>Pembebasan Penyakit Hewan Menular dalam 1 (satu) Daerah Kabupaten/Kota</t>
  </si>
  <si>
    <t>Pengawasan Pemasukan dan Pengeluaran Hewan dan Produk Hewan Daerah Kabupaten/Kota</t>
  </si>
  <si>
    <t>Penilaian Risiko Penyakit Hewan dan Keamanan Produk Hewan</t>
  </si>
  <si>
    <t>Program Pengendalian Dan Penanggulangan Bencana Pertanian</t>
  </si>
  <si>
    <t>Pengendalian dan Penanggulangan Bencana Pertanian Kabupaten/Kota</t>
  </si>
  <si>
    <t>Pengendalian Organisme Pengganggu Tumbuhan (OPT) Tanaman Pangan, Hortikultura, dan Perkebunan</t>
  </si>
  <si>
    <t>Penanganan Dampak Perubahan Iklim (DPI) Tanaman Pangan, Hortikultura, dan Perkebunan</t>
  </si>
  <si>
    <t>Pencegahan, Penanganan Kebakaran Lahan, dan Gangguan Usaha Tanaman Pangan, Hortikultura, dan Perkebunan</t>
  </si>
  <si>
    <t>Program Perizinan Usaha Pertanian</t>
  </si>
  <si>
    <t>Penerbitan Izin Usaha Pertanian yang Kegiatan Usahanya dalam Daerah Kabupaten/Kota</t>
  </si>
  <si>
    <t>Penyusunan Standar Pelayanan Publik Pemberian Izin Usaha Pertanian</t>
  </si>
  <si>
    <t>Penilaian Kelayakan dan Pemberian Pertimbangan Teknis Izin Usaha Pertanian</t>
  </si>
  <si>
    <t>Pembinaan dan Pengawasan Penerapan Izin Usaha Pertanian</t>
  </si>
  <si>
    <t>Program Penyuluhan Pertanian</t>
  </si>
  <si>
    <t>Pelaksanaan Penyuluhan Pertanian</t>
  </si>
  <si>
    <t>Peningkatan Kapasitas Kelembagaan Penyuluhan Pertanian di Kecamatan dan Desa</t>
  </si>
  <si>
    <t>Pengembangan Kapasitas Kelembagaan Petani di Kecamatan dan Desa</t>
  </si>
  <si>
    <t>Penyediaan dan Pemanfaatan Sarana dan Prasarana Penyuluhan Pertanian</t>
  </si>
  <si>
    <t>Target Kinerja dan Anggaran Renja Perangkat Daerah Tahun Berjalan (Tahun 2021) yang Dievaluasi</t>
  </si>
  <si>
    <t>Jumlah Dokumen Perencanaan dan Evaluasi Kinerja yang berkualitas</t>
  </si>
  <si>
    <t>Dokumen Perencanaan yang Memenuhi Aspek Kualitas</t>
  </si>
  <si>
    <t>Dokumen Evaluasi yang Memenuhi Aspek Kualitas</t>
  </si>
  <si>
    <t>Jumlah dokumen administrasi Keuangan sesuai standar</t>
  </si>
  <si>
    <t>Pelayanan Administrasi Sesuai Standar</t>
  </si>
  <si>
    <t xml:space="preserve">Laporan Keuangan Yang Memenuhi Aspek Kualitas </t>
  </si>
  <si>
    <t>Jumlah dokumen administrasi umum sesuai standar</t>
  </si>
  <si>
    <t>Peralatan dan Perlengkapan Kantor Dalam Kondisi Baik</t>
  </si>
  <si>
    <t>Tingkat Pelayanan Adminstrasi Umum sesuai Standar</t>
  </si>
  <si>
    <t>Kendaraan Dinas Operasional Dalam Kondisi Baik</t>
  </si>
  <si>
    <t>Gedung Kantor Dalam Kondisi Baik</t>
  </si>
  <si>
    <t>Dok</t>
  </si>
  <si>
    <t>Bln</t>
  </si>
  <si>
    <t>%</t>
  </si>
  <si>
    <t>Ekor</t>
  </si>
  <si>
    <t>Meningkatnya pemulihan kesuburan tanah pertanian</t>
  </si>
  <si>
    <t>Ha</t>
  </si>
  <si>
    <t>Unit</t>
  </si>
  <si>
    <t>Tingkat kepuasan pelayanan</t>
  </si>
  <si>
    <t>Jumlah usaha ekonomi pertanian</t>
  </si>
  <si>
    <t>Jumlah pengembangan prasarana pertanian</t>
  </si>
  <si>
    <t>Pembangunan, Rehabilitasi dan Pemeliharaan Jalan Usaha Tani</t>
  </si>
  <si>
    <t>Temu teknis penyuluh pertanian</t>
  </si>
  <si>
    <t>Penyusunan RDK-RDKK</t>
  </si>
  <si>
    <t>Org</t>
  </si>
  <si>
    <t>Desa</t>
  </si>
  <si>
    <t>Gelar Teknologi</t>
  </si>
  <si>
    <t>BPP</t>
  </si>
  <si>
    <t>Peningkatan Jumlah Kenaikan Kelas Kelompok Tani</t>
  </si>
  <si>
    <t>Kelas Kelompok</t>
  </si>
  <si>
    <t>Persentase kenaikan kelas kelompok</t>
  </si>
  <si>
    <t>Jumlah Usaha Pertanian yang dibina</t>
  </si>
  <si>
    <t>UEP</t>
  </si>
  <si>
    <t>Jumlah Rekomendasi Teknis Izin Usaha Pertanian yang dikeluarkan</t>
  </si>
  <si>
    <t>Rekomendasi Teknis</t>
  </si>
  <si>
    <t>Jumlah Rekomendasi Kelayakan Usaha yang dikeluarkan</t>
  </si>
  <si>
    <t>Usaha Tani</t>
  </si>
  <si>
    <t>Persentase Pembinaan Usaha Ekonomi Pertanian</t>
  </si>
  <si>
    <t>Tersedianya bahan dan sarana pengendalian OPT tanaman pangan, holtikultura, dan perkebunan</t>
  </si>
  <si>
    <t>Kg/Ltr</t>
  </si>
  <si>
    <t>Jumlah bantuan premi asuransi padi</t>
  </si>
  <si>
    <t>Jumlah patroli dan pemadaman penanggulangan bencana kebakaran lahan dan kebun</t>
  </si>
  <si>
    <t>Kali</t>
  </si>
  <si>
    <t>Persentase OPT dan DPI terhadap luas tanam</t>
  </si>
  <si>
    <t>&lt;11</t>
  </si>
  <si>
    <t xml:space="preserve">Persentase kawasan pertanian yang dapat dilindungi akibat OPT dan dampak perubahan iklim
</t>
  </si>
  <si>
    <t>Penambahan Jenis Ternak</t>
  </si>
  <si>
    <t>Jenis</t>
  </si>
  <si>
    <t>Jumlah Populasi Sapi</t>
  </si>
  <si>
    <t>Jumlah Populasi Kerbau</t>
  </si>
  <si>
    <t>Jumlah Populasi Kambing</t>
  </si>
  <si>
    <t>Jumlah Populasi Ayam Ras</t>
  </si>
  <si>
    <t>Jumlah Populasi Ayam Kampung</t>
  </si>
  <si>
    <t>Jumlah Populasi Itik</t>
  </si>
  <si>
    <t>Luas kebun hijauan pakan ternak</t>
  </si>
  <si>
    <t>Jumlah pengobatan dan penyuluhan kesehatan hewan</t>
  </si>
  <si>
    <t>Jumlah kegiatan vaksinasi</t>
  </si>
  <si>
    <t>Penurunan kasus penyakit hewan menular</t>
  </si>
  <si>
    <t>Kasus</t>
  </si>
  <si>
    <t>Persentase pengendalian penyakit hewan menular/zoonosis</t>
  </si>
  <si>
    <t>Jumlah pengambilan sample</t>
  </si>
  <si>
    <t>Tersedianya produk pangan asal hewan yang ASUH (aman sehat utuh dan halal)</t>
  </si>
  <si>
    <t>Jumlah bibit tanaman pisang kultur jaringan</t>
  </si>
  <si>
    <t>Pohon</t>
  </si>
  <si>
    <t>Jumlah bibit tanaman biofarmaka sayuran</t>
  </si>
  <si>
    <t>Batang/pohon</t>
  </si>
  <si>
    <t>Jumlah sarana produksi tanaman hortikultura dan perkebunan</t>
  </si>
  <si>
    <t>Jumlah Benih Padi</t>
  </si>
  <si>
    <t>Jumlah Benih Cabe</t>
  </si>
  <si>
    <t>Jumlah Benih Tomat</t>
  </si>
  <si>
    <t>Jumlah Benih Melon</t>
  </si>
  <si>
    <t>Jumlah Bibit Duku</t>
  </si>
  <si>
    <t>Jumlah Bibit Pisang</t>
  </si>
  <si>
    <t>Jumlah Bibit Durian</t>
  </si>
  <si>
    <t>Jumlah Bibit Kelapa Genjah</t>
  </si>
  <si>
    <t>Kg</t>
  </si>
  <si>
    <t>Bks</t>
  </si>
  <si>
    <t>Luas Tanam Padi</t>
  </si>
  <si>
    <t>Luas Tanam Cabe</t>
  </si>
  <si>
    <t>Luas Tanam Tomat</t>
  </si>
  <si>
    <t>Luas Tanam Melon</t>
  </si>
  <si>
    <t>Luas Tanam Duku</t>
  </si>
  <si>
    <t>Luas Tanam Pisang</t>
  </si>
  <si>
    <t>Luas Tanam Durian</t>
  </si>
  <si>
    <t>Luas Tanam Kelapa Genjah</t>
  </si>
  <si>
    <t>Persentase penyediaan sarana produksi tanaman pangan yang berkualitas</t>
  </si>
  <si>
    <t>Persentase penyediaan sarana produksi tanaman hortikultura yang berkualitas</t>
  </si>
  <si>
    <t>Persentase penyediaan sarana produksi tanaman perkebunan yang berkualitas</t>
  </si>
  <si>
    <t>PERIODE PELAKSANAAN TRIWULAN IV TAHUN 2021</t>
  </si>
  <si>
    <t>Kandangan,           Desember 2021</t>
  </si>
  <si>
    <t>Persentase luas lahan sawah yang terairi dengan sistem irigasi</t>
  </si>
  <si>
    <t>Tersedianya lahan yang dilindungi</t>
  </si>
  <si>
    <t>Tersedianya jaringan irigasi</t>
  </si>
  <si>
    <t>Tersedianya JUT</t>
  </si>
  <si>
    <t xml:space="preserve">Teresedianya Prasarana </t>
  </si>
  <si>
    <t>Tersedianya  JUT dan parasarana lainnya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</si>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</sst>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8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quotePrefix="1" applyFont="1" applyFill="1" applyBorder="1" applyAlignment="1">
      <alignment horizontal="center" vertical="top" wrapText="1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164" fontId="6" fillId="0" borderId="2" xfId="2" quotePrefix="1" applyFont="1" applyFill="1" applyBorder="1" applyAlignment="1">
      <alignment horizontal="center" vertical="top"/>
    </xf>
    <xf numFmtId="164" fontId="8" fillId="0" borderId="2" xfId="2" applyFont="1" applyFill="1" applyBorder="1" applyAlignment="1">
      <alignment horizontal="center" vertical="top"/>
    </xf>
    <xf numFmtId="164" fontId="6" fillId="0" borderId="2" xfId="2" applyFont="1" applyFill="1" applyBorder="1" applyAlignment="1">
      <alignment horizontal="center" vertical="top"/>
    </xf>
    <xf numFmtId="167" fontId="6" fillId="0" borderId="2" xfId="2" quotePrefix="1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 vertical="top"/>
    </xf>
    <xf numFmtId="166" fontId="6" fillId="0" borderId="2" xfId="1" quotePrefix="1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 wrapText="1"/>
    </xf>
    <xf numFmtId="1" fontId="8" fillId="0" borderId="15" xfId="0" applyNumberFormat="1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166" fontId="6" fillId="0" borderId="6" xfId="1" quotePrefix="1" applyNumberFormat="1" applyFont="1" applyFill="1" applyBorder="1" applyAlignment="1">
      <alignment vertical="top"/>
    </xf>
    <xf numFmtId="166" fontId="8" fillId="0" borderId="11" xfId="1" quotePrefix="1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166" fontId="8" fillId="0" borderId="6" xfId="1" quotePrefix="1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8" fillId="4" borderId="13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6" fillId="0" borderId="15" xfId="0" applyFont="1" applyFill="1" applyBorder="1" applyAlignment="1">
      <alignment horizontal="left" vertical="top" wrapText="1"/>
    </xf>
    <xf numFmtId="166" fontId="6" fillId="0" borderId="11" xfId="1" quotePrefix="1" applyNumberFormat="1" applyFont="1" applyFill="1" applyBorder="1" applyAlignment="1">
      <alignment vertical="top"/>
    </xf>
    <xf numFmtId="0" fontId="8" fillId="0" borderId="2" xfId="2" applyNumberFormat="1" applyFont="1" applyFill="1" applyBorder="1" applyAlignment="1">
      <alignment horizontal="center" vertical="top"/>
    </xf>
    <xf numFmtId="0" fontId="6" fillId="0" borderId="2" xfId="2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164" fontId="6" fillId="0" borderId="15" xfId="0" applyNumberFormat="1" applyFont="1" applyFill="1" applyBorder="1" applyAlignment="1">
      <alignment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/>
    </xf>
    <xf numFmtId="1" fontId="6" fillId="0" borderId="2" xfId="2" applyNumberFormat="1" applyFont="1" applyFill="1" applyBorder="1" applyAlignment="1">
      <alignment horizontal="center" vertical="top"/>
    </xf>
    <xf numFmtId="164" fontId="6" fillId="0" borderId="11" xfId="0" applyNumberFormat="1" applyFont="1" applyFill="1" applyBorder="1" applyAlignment="1">
      <alignment vertical="top"/>
    </xf>
    <xf numFmtId="2" fontId="6" fillId="0" borderId="11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64" fontId="8" fillId="0" borderId="2" xfId="2" quotePrefix="1" applyFont="1" applyFill="1" applyBorder="1" applyAlignment="1">
      <alignment vertical="top"/>
    </xf>
    <xf numFmtId="1" fontId="8" fillId="0" borderId="2" xfId="2" quotePrefix="1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6" xfId="1" quotePrefix="1" applyNumberFormat="1" applyFont="1" applyFill="1" applyBorder="1" applyAlignment="1">
      <alignment vertical="top"/>
    </xf>
    <xf numFmtId="3" fontId="8" fillId="0" borderId="2" xfId="0" applyNumberFormat="1" applyFont="1" applyFill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/>
    </xf>
    <xf numFmtId="3" fontId="8" fillId="0" borderId="2" xfId="2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/>
    </xf>
    <xf numFmtId="164" fontId="8" fillId="0" borderId="11" xfId="0" applyNumberFormat="1" applyFont="1" applyFill="1" applyBorder="1" applyAlignment="1">
      <alignment vertical="top"/>
    </xf>
    <xf numFmtId="164" fontId="8" fillId="0" borderId="15" xfId="0" applyNumberFormat="1" applyFont="1" applyFill="1" applyBorder="1" applyAlignment="1">
      <alignment vertical="top"/>
    </xf>
    <xf numFmtId="0" fontId="8" fillId="0" borderId="6" xfId="0" applyFont="1" applyFill="1" applyBorder="1" applyAlignment="1">
      <alignment horizontal="left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2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2" fontId="8" fillId="0" borderId="11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3" fontId="6" fillId="0" borderId="2" xfId="2" applyNumberFormat="1" applyFont="1" applyFill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center" vertical="top"/>
    </xf>
    <xf numFmtId="4" fontId="6" fillId="0" borderId="2" xfId="2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" fontId="6" fillId="0" borderId="2" xfId="2" quotePrefix="1" applyNumberFormat="1" applyFont="1" applyFill="1" applyBorder="1" applyAlignment="1">
      <alignment horizontal="center" vertical="top"/>
    </xf>
    <xf numFmtId="2" fontId="6" fillId="0" borderId="2" xfId="2" quotePrefix="1" applyNumberFormat="1" applyFont="1" applyFill="1" applyBorder="1" applyAlignment="1">
      <alignment horizontal="center" vertical="top"/>
    </xf>
    <xf numFmtId="3" fontId="6" fillId="0" borderId="2" xfId="0" quotePrefix="1" applyNumberFormat="1" applyFont="1" applyFill="1" applyBorder="1" applyAlignment="1">
      <alignment horizontal="center" vertical="top" wrapText="1"/>
    </xf>
    <xf numFmtId="164" fontId="8" fillId="0" borderId="2" xfId="2" quotePrefix="1" applyFont="1" applyFill="1" applyBorder="1" applyAlignment="1">
      <alignment horizontal="center" vertical="top"/>
    </xf>
    <xf numFmtId="3" fontId="8" fillId="0" borderId="2" xfId="0" quotePrefix="1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9" fontId="16" fillId="0" borderId="2" xfId="0" applyNumberFormat="1" applyFont="1" applyFill="1" applyBorder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12"/>
  <sheetViews>
    <sheetView tabSelected="1" showRuler="0" view="pageBreakPreview" zoomScale="70" zoomScaleNormal="40" zoomScaleSheetLayoutView="70" zoomScalePageLayoutView="55" workbookViewId="0">
      <selection activeCell="Z94" sqref="Z94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8.5703125" style="2" customWidth="1"/>
    <col min="4" max="4" width="15" style="2" customWidth="1"/>
    <col min="5" max="5" width="8.28515625" style="2" bestFit="1" customWidth="1"/>
    <col min="6" max="6" width="7.7109375" style="2" customWidth="1"/>
    <col min="7" max="7" width="18.28515625" style="2" customWidth="1"/>
    <col min="8" max="8" width="14.85546875" style="2" bestFit="1" customWidth="1"/>
    <col min="9" max="9" width="7.7109375" style="2" customWidth="1"/>
    <col min="10" max="10" width="21.42578125" style="2" customWidth="1"/>
    <col min="11" max="11" width="11.42578125" style="2" bestFit="1" customWidth="1"/>
    <col min="12" max="12" width="7.5703125" style="2" customWidth="1"/>
    <col min="13" max="13" width="22.7109375" style="2" customWidth="1"/>
    <col min="14" max="14" width="7" style="2" bestFit="1" customWidth="1"/>
    <col min="15" max="15" width="8" style="2" customWidth="1"/>
    <col min="16" max="16" width="18.28515625" style="2" customWidth="1"/>
    <col min="17" max="17" width="9.5703125" style="2" bestFit="1" customWidth="1"/>
    <col min="18" max="18" width="7.7109375" style="2" customWidth="1"/>
    <col min="19" max="19" width="18.7109375" style="2" customWidth="1"/>
    <col min="20" max="20" width="8.28515625" style="2" bestFit="1" customWidth="1"/>
    <col min="21" max="21" width="8" style="2" customWidth="1"/>
    <col min="22" max="22" width="18.28515625" style="2" customWidth="1"/>
    <col min="23" max="23" width="10.28515625" style="2" customWidth="1"/>
    <col min="24" max="24" width="7.5703125" style="2" customWidth="1"/>
    <col min="25" max="25" width="17.85546875" style="2" customWidth="1"/>
    <col min="26" max="26" width="12.42578125" style="2" customWidth="1"/>
    <col min="27" max="27" width="5.5703125" style="86" customWidth="1"/>
    <col min="28" max="28" width="9.85546875" style="2" customWidth="1"/>
    <col min="29" max="29" width="5.5703125" style="4" customWidth="1"/>
    <col min="30" max="30" width="21.7109375" style="2" customWidth="1"/>
    <col min="31" max="31" width="9.85546875" style="2" customWidth="1"/>
    <col min="32" max="32" width="5.5703125" style="4" customWidth="1"/>
    <col min="33" max="33" width="12.85546875" style="2" bestFit="1" customWidth="1"/>
    <col min="34" max="34" width="5.5703125" style="86" customWidth="1"/>
    <col min="35" max="35" width="19.28515625" style="2" bestFit="1" customWidth="1"/>
    <col min="36" max="36" width="9.85546875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"/>
    </row>
    <row r="2" spans="1:45" ht="23.25" x14ac:dyDescent="0.35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3"/>
    </row>
    <row r="3" spans="1:45" ht="23.25" x14ac:dyDescent="0.35">
      <c r="A3" s="169" t="s">
        <v>48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3"/>
    </row>
    <row r="4" spans="1:45" ht="23.25" x14ac:dyDescent="0.35">
      <c r="A4" s="170" t="s">
        <v>216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"/>
    </row>
    <row r="5" spans="1:45" ht="18" x14ac:dyDescent="0.2">
      <c r="A5" s="171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</row>
    <row r="6" spans="1:45" ht="18" x14ac:dyDescent="0.25">
      <c r="A6" s="172" t="s">
        <v>48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</row>
    <row r="7" spans="1:45" ht="81" customHeight="1" x14ac:dyDescent="0.2">
      <c r="A7" s="173" t="s">
        <v>3</v>
      </c>
      <c r="B7" s="173" t="s">
        <v>4</v>
      </c>
      <c r="C7" s="174" t="s">
        <v>5</v>
      </c>
      <c r="D7" s="174" t="s">
        <v>6</v>
      </c>
      <c r="E7" s="160" t="s">
        <v>7</v>
      </c>
      <c r="F7" s="161"/>
      <c r="G7" s="164"/>
      <c r="H7" s="160" t="s">
        <v>67</v>
      </c>
      <c r="I7" s="161"/>
      <c r="J7" s="164"/>
      <c r="K7" s="160" t="s">
        <v>127</v>
      </c>
      <c r="L7" s="161"/>
      <c r="M7" s="161"/>
      <c r="N7" s="160" t="s">
        <v>8</v>
      </c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4"/>
      <c r="Z7" s="160" t="s">
        <v>53</v>
      </c>
      <c r="AA7" s="161"/>
      <c r="AB7" s="161"/>
      <c r="AC7" s="161"/>
      <c r="AD7" s="161"/>
      <c r="AE7" s="161"/>
      <c r="AF7" s="164"/>
      <c r="AG7" s="160" t="s">
        <v>68</v>
      </c>
      <c r="AH7" s="161"/>
      <c r="AI7" s="164"/>
      <c r="AJ7" s="160" t="s">
        <v>69</v>
      </c>
      <c r="AK7" s="161"/>
      <c r="AL7" s="161"/>
      <c r="AM7" s="152" t="s">
        <v>9</v>
      </c>
      <c r="AO7" s="4"/>
      <c r="AP7" s="4"/>
      <c r="AQ7" s="4"/>
      <c r="AR7" s="4"/>
      <c r="AS7" s="4"/>
    </row>
    <row r="8" spans="1:45" ht="18" customHeight="1" x14ac:dyDescent="0.2">
      <c r="A8" s="173"/>
      <c r="B8" s="173"/>
      <c r="C8" s="174"/>
      <c r="D8" s="174"/>
      <c r="E8" s="166"/>
      <c r="F8" s="167"/>
      <c r="G8" s="168"/>
      <c r="H8" s="166"/>
      <c r="I8" s="167"/>
      <c r="J8" s="168"/>
      <c r="K8" s="162"/>
      <c r="L8" s="163"/>
      <c r="M8" s="163"/>
      <c r="N8" s="162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5"/>
      <c r="Z8" s="162"/>
      <c r="AA8" s="163"/>
      <c r="AB8" s="163"/>
      <c r="AC8" s="163"/>
      <c r="AD8" s="163"/>
      <c r="AE8" s="163"/>
      <c r="AF8" s="165"/>
      <c r="AG8" s="162"/>
      <c r="AH8" s="163"/>
      <c r="AI8" s="165"/>
      <c r="AJ8" s="162"/>
      <c r="AK8" s="163"/>
      <c r="AL8" s="163"/>
      <c r="AM8" s="153"/>
    </row>
    <row r="9" spans="1:45" ht="15.75" customHeight="1" x14ac:dyDescent="0.2">
      <c r="A9" s="173"/>
      <c r="B9" s="173"/>
      <c r="C9" s="174"/>
      <c r="D9" s="174"/>
      <c r="E9" s="162"/>
      <c r="F9" s="163"/>
      <c r="G9" s="165"/>
      <c r="H9" s="162"/>
      <c r="I9" s="163"/>
      <c r="J9" s="165"/>
      <c r="K9" s="154">
        <v>2021</v>
      </c>
      <c r="L9" s="155"/>
      <c r="M9" s="156"/>
      <c r="N9" s="157" t="s">
        <v>10</v>
      </c>
      <c r="O9" s="158"/>
      <c r="P9" s="159"/>
      <c r="Q9" s="157" t="s">
        <v>11</v>
      </c>
      <c r="R9" s="158"/>
      <c r="S9" s="159"/>
      <c r="T9" s="157" t="s">
        <v>12</v>
      </c>
      <c r="U9" s="158"/>
      <c r="V9" s="159"/>
      <c r="W9" s="157" t="s">
        <v>13</v>
      </c>
      <c r="X9" s="158"/>
      <c r="Y9" s="159"/>
      <c r="Z9" s="157">
        <v>2021</v>
      </c>
      <c r="AA9" s="158"/>
      <c r="AB9" s="158"/>
      <c r="AC9" s="158"/>
      <c r="AD9" s="158"/>
      <c r="AE9" s="158"/>
      <c r="AF9" s="159"/>
      <c r="AG9" s="157">
        <v>2021</v>
      </c>
      <c r="AH9" s="158"/>
      <c r="AI9" s="159"/>
      <c r="AJ9" s="157">
        <v>2021</v>
      </c>
      <c r="AK9" s="158"/>
      <c r="AL9" s="159"/>
      <c r="AM9" s="5"/>
    </row>
    <row r="10" spans="1:45" s="7" customFormat="1" ht="15.75" x14ac:dyDescent="0.25">
      <c r="A10" s="135">
        <v>1</v>
      </c>
      <c r="B10" s="135">
        <v>2</v>
      </c>
      <c r="C10" s="135">
        <v>3</v>
      </c>
      <c r="D10" s="135">
        <v>4</v>
      </c>
      <c r="E10" s="142">
        <v>5</v>
      </c>
      <c r="F10" s="151"/>
      <c r="G10" s="143"/>
      <c r="H10" s="142">
        <v>6</v>
      </c>
      <c r="I10" s="151"/>
      <c r="J10" s="143"/>
      <c r="K10" s="147">
        <v>7</v>
      </c>
      <c r="L10" s="148"/>
      <c r="M10" s="149"/>
      <c r="N10" s="147">
        <v>8</v>
      </c>
      <c r="O10" s="148"/>
      <c r="P10" s="149"/>
      <c r="Q10" s="147">
        <v>9</v>
      </c>
      <c r="R10" s="148"/>
      <c r="S10" s="149"/>
      <c r="T10" s="147">
        <v>10</v>
      </c>
      <c r="U10" s="148"/>
      <c r="V10" s="149"/>
      <c r="W10" s="147">
        <v>11</v>
      </c>
      <c r="X10" s="148"/>
      <c r="Y10" s="149"/>
      <c r="Z10" s="144">
        <v>12</v>
      </c>
      <c r="AA10" s="145"/>
      <c r="AB10" s="145"/>
      <c r="AC10" s="145"/>
      <c r="AD10" s="145"/>
      <c r="AE10" s="145"/>
      <c r="AF10" s="146"/>
      <c r="AG10" s="144">
        <v>13</v>
      </c>
      <c r="AH10" s="145"/>
      <c r="AI10" s="146"/>
      <c r="AJ10" s="144">
        <v>14</v>
      </c>
      <c r="AK10" s="145"/>
      <c r="AL10" s="146"/>
      <c r="AM10" s="6">
        <v>15</v>
      </c>
    </row>
    <row r="11" spans="1:45" s="7" customFormat="1" ht="87" customHeight="1" x14ac:dyDescent="0.2">
      <c r="A11" s="136"/>
      <c r="B11" s="136"/>
      <c r="C11" s="136"/>
      <c r="D11" s="136"/>
      <c r="E11" s="138" t="s">
        <v>14</v>
      </c>
      <c r="F11" s="139"/>
      <c r="G11" s="137" t="s">
        <v>15</v>
      </c>
      <c r="H11" s="138" t="s">
        <v>14</v>
      </c>
      <c r="I11" s="139"/>
      <c r="J11" s="137" t="s">
        <v>15</v>
      </c>
      <c r="K11" s="138" t="s">
        <v>14</v>
      </c>
      <c r="L11" s="139"/>
      <c r="M11" s="135" t="s">
        <v>15</v>
      </c>
      <c r="N11" s="138" t="s">
        <v>14</v>
      </c>
      <c r="O11" s="139"/>
      <c r="P11" s="135" t="s">
        <v>15</v>
      </c>
      <c r="Q11" s="138" t="s">
        <v>14</v>
      </c>
      <c r="R11" s="139"/>
      <c r="S11" s="135" t="s">
        <v>15</v>
      </c>
      <c r="T11" s="138" t="s">
        <v>14</v>
      </c>
      <c r="U11" s="139"/>
      <c r="V11" s="135" t="s">
        <v>15</v>
      </c>
      <c r="W11" s="138" t="s">
        <v>14</v>
      </c>
      <c r="X11" s="139"/>
      <c r="Y11" s="135" t="s">
        <v>15</v>
      </c>
      <c r="Z11" s="142" t="s">
        <v>16</v>
      </c>
      <c r="AA11" s="143"/>
      <c r="AB11" s="142" t="s">
        <v>51</v>
      </c>
      <c r="AC11" s="143"/>
      <c r="AD11" s="8" t="s">
        <v>17</v>
      </c>
      <c r="AE11" s="142" t="s">
        <v>52</v>
      </c>
      <c r="AF11" s="143"/>
      <c r="AG11" s="142" t="s">
        <v>18</v>
      </c>
      <c r="AH11" s="143"/>
      <c r="AI11" s="8" t="s">
        <v>19</v>
      </c>
      <c r="AJ11" s="142" t="s">
        <v>20</v>
      </c>
      <c r="AK11" s="143"/>
      <c r="AL11" s="8" t="s">
        <v>21</v>
      </c>
      <c r="AM11" s="9"/>
    </row>
    <row r="12" spans="1:45" s="7" customFormat="1" ht="15.75" x14ac:dyDescent="0.2">
      <c r="A12" s="137"/>
      <c r="B12" s="137"/>
      <c r="C12" s="137"/>
      <c r="D12" s="137"/>
      <c r="E12" s="140"/>
      <c r="F12" s="141"/>
      <c r="G12" s="150"/>
      <c r="H12" s="140"/>
      <c r="I12" s="141"/>
      <c r="J12" s="150"/>
      <c r="K12" s="140"/>
      <c r="L12" s="141"/>
      <c r="M12" s="137"/>
      <c r="N12" s="140"/>
      <c r="O12" s="141"/>
      <c r="P12" s="137"/>
      <c r="Q12" s="140"/>
      <c r="R12" s="141"/>
      <c r="S12" s="137"/>
      <c r="T12" s="140"/>
      <c r="U12" s="141"/>
      <c r="V12" s="137"/>
      <c r="W12" s="140"/>
      <c r="X12" s="141"/>
      <c r="Y12" s="137"/>
      <c r="Z12" s="140" t="s">
        <v>14</v>
      </c>
      <c r="AA12" s="141"/>
      <c r="AB12" s="140" t="s">
        <v>14</v>
      </c>
      <c r="AC12" s="141"/>
      <c r="AD12" s="10" t="s">
        <v>15</v>
      </c>
      <c r="AE12" s="140" t="s">
        <v>15</v>
      </c>
      <c r="AF12" s="141"/>
      <c r="AG12" s="140" t="s">
        <v>14</v>
      </c>
      <c r="AH12" s="141"/>
      <c r="AI12" s="10" t="s">
        <v>15</v>
      </c>
      <c r="AJ12" s="140" t="s">
        <v>14</v>
      </c>
      <c r="AK12" s="141"/>
      <c r="AL12" s="10" t="s">
        <v>15</v>
      </c>
      <c r="AM12" s="60"/>
    </row>
    <row r="13" spans="1:45" ht="128.25" customHeight="1" x14ac:dyDescent="0.2">
      <c r="A13" s="37">
        <v>1</v>
      </c>
      <c r="B13" s="13" t="s">
        <v>22</v>
      </c>
      <c r="C13" s="14" t="s">
        <v>63</v>
      </c>
      <c r="D13" s="14" t="s">
        <v>146</v>
      </c>
      <c r="E13" s="33">
        <v>100</v>
      </c>
      <c r="F13" s="34" t="s">
        <v>141</v>
      </c>
      <c r="G13" s="32"/>
      <c r="H13" s="33">
        <v>100</v>
      </c>
      <c r="I13" s="34" t="s">
        <v>141</v>
      </c>
      <c r="J13" s="32"/>
      <c r="K13" s="33">
        <v>100</v>
      </c>
      <c r="L13" s="34" t="s">
        <v>141</v>
      </c>
      <c r="M13" s="32">
        <f>M14+M17+M22+M28+M33</f>
        <v>16107007407</v>
      </c>
      <c r="N13" s="33">
        <v>25</v>
      </c>
      <c r="O13" s="34" t="s">
        <v>141</v>
      </c>
      <c r="P13" s="32">
        <f>P14+P17+P22+P28+P33</f>
        <v>3129815318</v>
      </c>
      <c r="Q13" s="33">
        <v>25</v>
      </c>
      <c r="R13" s="34" t="s">
        <v>141</v>
      </c>
      <c r="S13" s="32">
        <f>S14+S17+S22+S28+S33</f>
        <v>5711547456</v>
      </c>
      <c r="T13" s="33">
        <v>25</v>
      </c>
      <c r="U13" s="34" t="s">
        <v>141</v>
      </c>
      <c r="V13" s="32">
        <f>V14+V17+V22+V28+V33</f>
        <v>3705273010</v>
      </c>
      <c r="W13" s="33">
        <v>25</v>
      </c>
      <c r="X13" s="34" t="s">
        <v>141</v>
      </c>
      <c r="Y13" s="32">
        <f>Y14+Y17+Y22+Y28+Y33</f>
        <v>3023905469</v>
      </c>
      <c r="Z13" s="51">
        <f>SUM(N13,Q13,T13,W13)</f>
        <v>100</v>
      </c>
      <c r="AA13" s="82" t="str">
        <f>L13</f>
        <v>%</v>
      </c>
      <c r="AB13" s="49">
        <f>Z13/K13*100</f>
        <v>100</v>
      </c>
      <c r="AC13" s="48" t="s">
        <v>141</v>
      </c>
      <c r="AD13" s="63">
        <f>SUM(P13,S13,V13,Y13)</f>
        <v>15570541253</v>
      </c>
      <c r="AE13" s="49">
        <f>AD13/M13*100</f>
        <v>96.669361722855768</v>
      </c>
      <c r="AF13" s="48" t="s">
        <v>141</v>
      </c>
      <c r="AG13" s="51">
        <f>SUM(H13,Z13)</f>
        <v>200</v>
      </c>
      <c r="AH13" s="82" t="str">
        <f>O13</f>
        <v>%</v>
      </c>
      <c r="AI13" s="63">
        <f>SUM(J13,AD13)</f>
        <v>15570541253</v>
      </c>
      <c r="AJ13" s="49"/>
      <c r="AK13" s="48" t="s">
        <v>141</v>
      </c>
      <c r="AL13" s="49"/>
      <c r="AM13" s="18" t="s">
        <v>49</v>
      </c>
      <c r="AP13" s="19">
        <f t="shared" ref="AP13:AP21" si="0">P13+S13+V13+Y13</f>
        <v>15570541253</v>
      </c>
    </row>
    <row r="14" spans="1:45" ht="126" x14ac:dyDescent="0.2">
      <c r="A14" s="37">
        <v>2</v>
      </c>
      <c r="B14" s="38" t="s">
        <v>23</v>
      </c>
      <c r="C14" s="14" t="s">
        <v>64</v>
      </c>
      <c r="D14" s="14" t="s">
        <v>128</v>
      </c>
      <c r="E14" s="69">
        <f>SUM(E15:E16)</f>
        <v>45</v>
      </c>
      <c r="F14" s="70" t="s">
        <v>139</v>
      </c>
      <c r="G14" s="32"/>
      <c r="H14" s="69">
        <f>SUM(H15:H16)</f>
        <v>15</v>
      </c>
      <c r="I14" s="70" t="s">
        <v>139</v>
      </c>
      <c r="J14" s="32"/>
      <c r="K14" s="69">
        <f>SUM(K15:K16)</f>
        <v>15</v>
      </c>
      <c r="L14" s="70" t="s">
        <v>139</v>
      </c>
      <c r="M14" s="32">
        <f>SUM(M15:M16)</f>
        <v>9500000</v>
      </c>
      <c r="N14" s="69">
        <f>SUM(N15:N16)</f>
        <v>1</v>
      </c>
      <c r="O14" s="70" t="s">
        <v>139</v>
      </c>
      <c r="P14" s="32">
        <f>SUM(P15:P16)</f>
        <v>0</v>
      </c>
      <c r="Q14" s="69">
        <f>SUM(Q15:Q16)</f>
        <v>3</v>
      </c>
      <c r="R14" s="70" t="s">
        <v>139</v>
      </c>
      <c r="S14" s="32">
        <f>SUM(S15:S16)</f>
        <v>0</v>
      </c>
      <c r="T14" s="69">
        <f>SUM(T15:T16)</f>
        <v>3</v>
      </c>
      <c r="U14" s="70" t="s">
        <v>139</v>
      </c>
      <c r="V14" s="32">
        <f>SUM(V15:V16)</f>
        <v>4450000</v>
      </c>
      <c r="W14" s="69">
        <f>SUM(W15:W16)</f>
        <v>8</v>
      </c>
      <c r="X14" s="70" t="s">
        <v>139</v>
      </c>
      <c r="Y14" s="32">
        <f>SUM(Y15:Y16)</f>
        <v>2600000</v>
      </c>
      <c r="Z14" s="51">
        <f t="shared" ref="Z14:Z85" si="1">SUM(N14,Q14,T14,W14)</f>
        <v>15</v>
      </c>
      <c r="AA14" s="82" t="str">
        <f t="shared" ref="AA14:AA85" si="2">L14</f>
        <v>Dok</v>
      </c>
      <c r="AB14" s="51">
        <f t="shared" ref="AB14:AB85" si="3">Z14/K14*100</f>
        <v>100</v>
      </c>
      <c r="AC14" s="48" t="s">
        <v>141</v>
      </c>
      <c r="AD14" s="63">
        <f t="shared" ref="AD14:AD85" si="4">SUM(P14,S14,V14,Y14)</f>
        <v>7050000</v>
      </c>
      <c r="AE14" s="49">
        <f t="shared" ref="AE14:AE85" si="5">AD14/M14*100</f>
        <v>74.210526315789465</v>
      </c>
      <c r="AF14" s="48" t="s">
        <v>141</v>
      </c>
      <c r="AG14" s="51">
        <f t="shared" ref="AG14:AG85" si="6">SUM(H14,Z14)</f>
        <v>30</v>
      </c>
      <c r="AH14" s="82" t="str">
        <f t="shared" ref="AH14:AH85" si="7">O14</f>
        <v>Dok</v>
      </c>
      <c r="AI14" s="63">
        <f t="shared" ref="AI14:AI85" si="8">SUM(J14,AD14)</f>
        <v>7050000</v>
      </c>
      <c r="AJ14" s="49"/>
      <c r="AK14" s="48" t="s">
        <v>141</v>
      </c>
      <c r="AL14" s="49"/>
      <c r="AM14" s="18"/>
      <c r="AP14" s="19"/>
    </row>
    <row r="15" spans="1:45" ht="90" x14ac:dyDescent="0.2">
      <c r="A15" s="12"/>
      <c r="B15" s="13"/>
      <c r="C15" s="20" t="s">
        <v>65</v>
      </c>
      <c r="D15" s="20" t="s">
        <v>129</v>
      </c>
      <c r="E15" s="15">
        <f>5*3</f>
        <v>15</v>
      </c>
      <c r="F15" s="16" t="s">
        <v>139</v>
      </c>
      <c r="G15" s="17"/>
      <c r="H15" s="15">
        <v>5</v>
      </c>
      <c r="I15" s="16" t="s">
        <v>139</v>
      </c>
      <c r="J15" s="17"/>
      <c r="K15" s="15">
        <v>5</v>
      </c>
      <c r="L15" s="16" t="s">
        <v>139</v>
      </c>
      <c r="M15" s="17">
        <v>8000000</v>
      </c>
      <c r="N15" s="15">
        <v>0</v>
      </c>
      <c r="O15" s="16" t="s">
        <v>139</v>
      </c>
      <c r="P15" s="17">
        <v>0</v>
      </c>
      <c r="Q15" s="15">
        <v>1</v>
      </c>
      <c r="R15" s="16" t="s">
        <v>139</v>
      </c>
      <c r="S15" s="17">
        <v>0</v>
      </c>
      <c r="T15" s="15">
        <v>1</v>
      </c>
      <c r="U15" s="16" t="s">
        <v>139</v>
      </c>
      <c r="V15" s="17">
        <v>3600000</v>
      </c>
      <c r="W15" s="15">
        <v>3</v>
      </c>
      <c r="X15" s="16" t="s">
        <v>139</v>
      </c>
      <c r="Y15" s="17">
        <v>2600000</v>
      </c>
      <c r="Z15" s="52">
        <f t="shared" si="1"/>
        <v>5</v>
      </c>
      <c r="AA15" s="83" t="str">
        <f t="shared" si="2"/>
        <v>Dok</v>
      </c>
      <c r="AB15" s="52">
        <f t="shared" si="3"/>
        <v>100</v>
      </c>
      <c r="AC15" s="25" t="s">
        <v>141</v>
      </c>
      <c r="AD15" s="31">
        <f t="shared" si="4"/>
        <v>6200000</v>
      </c>
      <c r="AE15" s="50">
        <f t="shared" si="5"/>
        <v>77.5</v>
      </c>
      <c r="AF15" s="25" t="s">
        <v>141</v>
      </c>
      <c r="AG15" s="52">
        <f t="shared" si="6"/>
        <v>10</v>
      </c>
      <c r="AH15" s="83" t="str">
        <f t="shared" si="7"/>
        <v>Dok</v>
      </c>
      <c r="AI15" s="31">
        <f t="shared" si="8"/>
        <v>6200000</v>
      </c>
      <c r="AJ15" s="50"/>
      <c r="AK15" s="25" t="s">
        <v>141</v>
      </c>
      <c r="AL15" s="50"/>
      <c r="AM15" s="11"/>
      <c r="AP15" s="19"/>
    </row>
    <row r="16" spans="1:45" ht="90" x14ac:dyDescent="0.2">
      <c r="A16" s="12"/>
      <c r="B16" s="13"/>
      <c r="C16" s="20" t="s">
        <v>66</v>
      </c>
      <c r="D16" s="20" t="s">
        <v>130</v>
      </c>
      <c r="E16" s="15">
        <f>10*3</f>
        <v>30</v>
      </c>
      <c r="F16" s="16" t="s">
        <v>139</v>
      </c>
      <c r="G16" s="17"/>
      <c r="H16" s="15">
        <v>10</v>
      </c>
      <c r="I16" s="16" t="s">
        <v>139</v>
      </c>
      <c r="J16" s="17"/>
      <c r="K16" s="15">
        <v>10</v>
      </c>
      <c r="L16" s="16" t="s">
        <v>139</v>
      </c>
      <c r="M16" s="17">
        <v>1500000</v>
      </c>
      <c r="N16" s="15">
        <v>1</v>
      </c>
      <c r="O16" s="16" t="s">
        <v>139</v>
      </c>
      <c r="P16" s="17">
        <v>0</v>
      </c>
      <c r="Q16" s="15">
        <v>2</v>
      </c>
      <c r="R16" s="16" t="s">
        <v>139</v>
      </c>
      <c r="S16" s="17">
        <v>0</v>
      </c>
      <c r="T16" s="15">
        <v>2</v>
      </c>
      <c r="U16" s="16" t="s">
        <v>139</v>
      </c>
      <c r="V16" s="17">
        <v>850000</v>
      </c>
      <c r="W16" s="15">
        <v>5</v>
      </c>
      <c r="X16" s="16" t="s">
        <v>139</v>
      </c>
      <c r="Y16" s="17">
        <v>0</v>
      </c>
      <c r="Z16" s="52">
        <f t="shared" si="1"/>
        <v>10</v>
      </c>
      <c r="AA16" s="83" t="str">
        <f t="shared" si="2"/>
        <v>Dok</v>
      </c>
      <c r="AB16" s="52">
        <f t="shared" si="3"/>
        <v>100</v>
      </c>
      <c r="AC16" s="25" t="s">
        <v>141</v>
      </c>
      <c r="AD16" s="31">
        <f t="shared" si="4"/>
        <v>850000</v>
      </c>
      <c r="AE16" s="50">
        <f t="shared" si="5"/>
        <v>56.666666666666664</v>
      </c>
      <c r="AF16" s="25" t="s">
        <v>141</v>
      </c>
      <c r="AG16" s="52">
        <f t="shared" si="6"/>
        <v>20</v>
      </c>
      <c r="AH16" s="83" t="str">
        <f t="shared" si="7"/>
        <v>Dok</v>
      </c>
      <c r="AI16" s="31">
        <f t="shared" si="8"/>
        <v>850000</v>
      </c>
      <c r="AJ16" s="50"/>
      <c r="AK16" s="25" t="s">
        <v>141</v>
      </c>
      <c r="AL16" s="50"/>
      <c r="AM16" s="11"/>
      <c r="AP16" s="19"/>
    </row>
    <row r="17" spans="1:42" ht="94.5" x14ac:dyDescent="0.2">
      <c r="A17" s="12"/>
      <c r="B17" s="13"/>
      <c r="C17" s="65" t="s">
        <v>70</v>
      </c>
      <c r="D17" s="14" t="s">
        <v>131</v>
      </c>
      <c r="E17" s="71">
        <f>SUM(E19:E21)</f>
        <v>42</v>
      </c>
      <c r="F17" s="70" t="s">
        <v>139</v>
      </c>
      <c r="G17" s="64"/>
      <c r="H17" s="71">
        <f>SUM(H19:H21)</f>
        <v>14</v>
      </c>
      <c r="I17" s="70" t="s">
        <v>139</v>
      </c>
      <c r="J17" s="32"/>
      <c r="K17" s="71">
        <f>SUM(K19:K21)</f>
        <v>14</v>
      </c>
      <c r="L17" s="70" t="s">
        <v>139</v>
      </c>
      <c r="M17" s="32">
        <f>SUM(M18:M21)</f>
        <v>14540275857</v>
      </c>
      <c r="N17" s="71">
        <f>SUM(N19:N21)</f>
        <v>3</v>
      </c>
      <c r="O17" s="70" t="s">
        <v>139</v>
      </c>
      <c r="P17" s="32">
        <f>SUM(P18:P21)</f>
        <v>3091090117</v>
      </c>
      <c r="Q17" s="71">
        <f>SUM(Q19:Q21)</f>
        <v>4</v>
      </c>
      <c r="R17" s="70" t="s">
        <v>139</v>
      </c>
      <c r="S17" s="32">
        <f>SUM(S18:S21)</f>
        <v>5455738360</v>
      </c>
      <c r="T17" s="71">
        <f>SUM(T19:T21)</f>
        <v>3</v>
      </c>
      <c r="U17" s="70" t="s">
        <v>139</v>
      </c>
      <c r="V17" s="32">
        <f>SUM(V18:V21)</f>
        <v>3372037906</v>
      </c>
      <c r="W17" s="71">
        <f>SUM(W19:W21)</f>
        <v>4</v>
      </c>
      <c r="X17" s="70" t="s">
        <v>139</v>
      </c>
      <c r="Y17" s="32">
        <f>SUM(Y18:Y21)</f>
        <v>2546386584</v>
      </c>
      <c r="Z17" s="51">
        <f t="shared" si="1"/>
        <v>14</v>
      </c>
      <c r="AA17" s="82" t="str">
        <f t="shared" si="2"/>
        <v>Dok</v>
      </c>
      <c r="AB17" s="51">
        <f t="shared" si="3"/>
        <v>100</v>
      </c>
      <c r="AC17" s="48" t="s">
        <v>141</v>
      </c>
      <c r="AD17" s="53">
        <f t="shared" si="4"/>
        <v>14465252967</v>
      </c>
      <c r="AE17" s="49">
        <f t="shared" si="5"/>
        <v>99.484033929357111</v>
      </c>
      <c r="AF17" s="48" t="s">
        <v>141</v>
      </c>
      <c r="AG17" s="51">
        <f t="shared" si="6"/>
        <v>28</v>
      </c>
      <c r="AH17" s="82" t="str">
        <f t="shared" si="7"/>
        <v>Dok</v>
      </c>
      <c r="AI17" s="53">
        <f t="shared" si="8"/>
        <v>14465252967</v>
      </c>
      <c r="AJ17" s="49"/>
      <c r="AK17" s="48" t="s">
        <v>141</v>
      </c>
      <c r="AL17" s="49"/>
      <c r="AM17" s="11"/>
      <c r="AP17" s="19"/>
    </row>
    <row r="18" spans="1:42" ht="60" x14ac:dyDescent="0.2">
      <c r="A18" s="12"/>
      <c r="B18" s="13"/>
      <c r="C18" s="20" t="s">
        <v>71</v>
      </c>
      <c r="D18" s="68" t="s">
        <v>132</v>
      </c>
      <c r="E18" s="15">
        <f>12*3</f>
        <v>36</v>
      </c>
      <c r="F18" s="16" t="s">
        <v>140</v>
      </c>
      <c r="G18" s="17"/>
      <c r="H18" s="15">
        <v>12</v>
      </c>
      <c r="I18" s="16" t="s">
        <v>140</v>
      </c>
      <c r="J18" s="17"/>
      <c r="K18" s="15">
        <v>12</v>
      </c>
      <c r="L18" s="16" t="s">
        <v>140</v>
      </c>
      <c r="M18" s="17">
        <v>14535275857</v>
      </c>
      <c r="N18" s="15">
        <v>3</v>
      </c>
      <c r="O18" s="16" t="s">
        <v>140</v>
      </c>
      <c r="P18" s="17">
        <v>3091090117</v>
      </c>
      <c r="Q18" s="15">
        <v>3</v>
      </c>
      <c r="R18" s="16" t="s">
        <v>140</v>
      </c>
      <c r="S18" s="17">
        <v>5455738360</v>
      </c>
      <c r="T18" s="15">
        <v>3</v>
      </c>
      <c r="U18" s="16" t="s">
        <v>140</v>
      </c>
      <c r="V18" s="17">
        <v>3372037906</v>
      </c>
      <c r="W18" s="15">
        <v>3</v>
      </c>
      <c r="X18" s="16" t="s">
        <v>140</v>
      </c>
      <c r="Y18" s="17">
        <v>2541386584</v>
      </c>
      <c r="Z18" s="52">
        <f t="shared" si="1"/>
        <v>12</v>
      </c>
      <c r="AA18" s="83" t="str">
        <f t="shared" si="2"/>
        <v>Bln</v>
      </c>
      <c r="AB18" s="52">
        <f t="shared" si="3"/>
        <v>100</v>
      </c>
      <c r="AC18" s="25" t="s">
        <v>141</v>
      </c>
      <c r="AD18" s="31">
        <f t="shared" si="4"/>
        <v>14460252967</v>
      </c>
      <c r="AE18" s="50">
        <f t="shared" si="5"/>
        <v>99.483856441817238</v>
      </c>
      <c r="AF18" s="25" t="s">
        <v>141</v>
      </c>
      <c r="AG18" s="52">
        <f t="shared" si="6"/>
        <v>24</v>
      </c>
      <c r="AH18" s="83" t="str">
        <f t="shared" si="7"/>
        <v>Bln</v>
      </c>
      <c r="AI18" s="31">
        <f t="shared" si="8"/>
        <v>14460252967</v>
      </c>
      <c r="AJ18" s="50"/>
      <c r="AK18" s="25" t="s">
        <v>141</v>
      </c>
      <c r="AL18" s="50"/>
      <c r="AM18" s="21"/>
      <c r="AP18" s="19">
        <f t="shared" si="0"/>
        <v>14460252967</v>
      </c>
    </row>
    <row r="19" spans="1:42" ht="90" x14ac:dyDescent="0.2">
      <c r="A19" s="12"/>
      <c r="B19" s="13"/>
      <c r="C19" s="20" t="s">
        <v>72</v>
      </c>
      <c r="D19" s="68" t="s">
        <v>133</v>
      </c>
      <c r="E19" s="15">
        <f>1*3</f>
        <v>3</v>
      </c>
      <c r="F19" s="16" t="s">
        <v>139</v>
      </c>
      <c r="G19" s="17"/>
      <c r="H19" s="15">
        <v>1</v>
      </c>
      <c r="I19" s="16" t="s">
        <v>139</v>
      </c>
      <c r="J19" s="17"/>
      <c r="K19" s="15">
        <v>1</v>
      </c>
      <c r="L19" s="16" t="s">
        <v>139</v>
      </c>
      <c r="M19" s="17">
        <v>2000000</v>
      </c>
      <c r="N19" s="15">
        <v>0</v>
      </c>
      <c r="O19" s="16" t="s">
        <v>139</v>
      </c>
      <c r="P19" s="17">
        <v>0</v>
      </c>
      <c r="Q19" s="15">
        <v>0</v>
      </c>
      <c r="R19" s="16" t="s">
        <v>139</v>
      </c>
      <c r="S19" s="17">
        <v>0</v>
      </c>
      <c r="T19" s="15">
        <v>0</v>
      </c>
      <c r="U19" s="16" t="s">
        <v>139</v>
      </c>
      <c r="V19" s="17">
        <v>0</v>
      </c>
      <c r="W19" s="15">
        <v>1</v>
      </c>
      <c r="X19" s="16" t="s">
        <v>139</v>
      </c>
      <c r="Y19" s="17">
        <v>2000000</v>
      </c>
      <c r="Z19" s="52">
        <f t="shared" si="1"/>
        <v>1</v>
      </c>
      <c r="AA19" s="83" t="str">
        <f t="shared" si="2"/>
        <v>Dok</v>
      </c>
      <c r="AB19" s="52">
        <f t="shared" si="3"/>
        <v>100</v>
      </c>
      <c r="AC19" s="52" t="s">
        <v>141</v>
      </c>
      <c r="AD19" s="31">
        <f t="shared" si="4"/>
        <v>2000000</v>
      </c>
      <c r="AE19" s="50">
        <f t="shared" si="5"/>
        <v>100</v>
      </c>
      <c r="AF19" s="25" t="s">
        <v>141</v>
      </c>
      <c r="AG19" s="52">
        <f t="shared" si="6"/>
        <v>2</v>
      </c>
      <c r="AH19" s="83" t="str">
        <f t="shared" si="7"/>
        <v>Dok</v>
      </c>
      <c r="AI19" s="31">
        <f t="shared" si="8"/>
        <v>2000000</v>
      </c>
      <c r="AJ19" s="50"/>
      <c r="AK19" s="25" t="s">
        <v>141</v>
      </c>
      <c r="AL19" s="50"/>
      <c r="AM19" s="11"/>
      <c r="AP19" s="19">
        <f t="shared" si="0"/>
        <v>2000000</v>
      </c>
    </row>
    <row r="20" spans="1:42" ht="105" x14ac:dyDescent="0.2">
      <c r="A20" s="12"/>
      <c r="B20" s="13"/>
      <c r="C20" s="20" t="s">
        <v>73</v>
      </c>
      <c r="D20" s="68" t="s">
        <v>133</v>
      </c>
      <c r="E20" s="15">
        <f>12*3</f>
        <v>36</v>
      </c>
      <c r="F20" s="16" t="s">
        <v>139</v>
      </c>
      <c r="G20" s="17"/>
      <c r="H20" s="15">
        <v>12</v>
      </c>
      <c r="I20" s="16" t="s">
        <v>139</v>
      </c>
      <c r="J20" s="17"/>
      <c r="K20" s="15">
        <v>12</v>
      </c>
      <c r="L20" s="16" t="s">
        <v>139</v>
      </c>
      <c r="M20" s="17">
        <v>1500000</v>
      </c>
      <c r="N20" s="15">
        <v>3</v>
      </c>
      <c r="O20" s="16" t="s">
        <v>139</v>
      </c>
      <c r="P20" s="17">
        <v>0</v>
      </c>
      <c r="Q20" s="15">
        <v>3</v>
      </c>
      <c r="R20" s="16" t="s">
        <v>139</v>
      </c>
      <c r="S20" s="17">
        <v>0</v>
      </c>
      <c r="T20" s="15">
        <v>3</v>
      </c>
      <c r="U20" s="16" t="s">
        <v>139</v>
      </c>
      <c r="V20" s="17">
        <v>0</v>
      </c>
      <c r="W20" s="15">
        <v>3</v>
      </c>
      <c r="X20" s="16" t="s">
        <v>139</v>
      </c>
      <c r="Y20" s="17">
        <v>1500000</v>
      </c>
      <c r="Z20" s="52">
        <f t="shared" si="1"/>
        <v>12</v>
      </c>
      <c r="AA20" s="83" t="str">
        <f t="shared" si="2"/>
        <v>Dok</v>
      </c>
      <c r="AB20" s="52">
        <f t="shared" si="3"/>
        <v>100</v>
      </c>
      <c r="AC20" s="52" t="s">
        <v>141</v>
      </c>
      <c r="AD20" s="31">
        <f t="shared" si="4"/>
        <v>1500000</v>
      </c>
      <c r="AE20" s="50">
        <f t="shared" si="5"/>
        <v>100</v>
      </c>
      <c r="AF20" s="25" t="s">
        <v>141</v>
      </c>
      <c r="AG20" s="52">
        <f t="shared" si="6"/>
        <v>24</v>
      </c>
      <c r="AH20" s="83" t="str">
        <f t="shared" si="7"/>
        <v>Dok</v>
      </c>
      <c r="AI20" s="31">
        <f t="shared" si="8"/>
        <v>1500000</v>
      </c>
      <c r="AJ20" s="50"/>
      <c r="AK20" s="25" t="s">
        <v>141</v>
      </c>
      <c r="AL20" s="50"/>
      <c r="AM20" s="11"/>
      <c r="AP20" s="19">
        <f t="shared" si="0"/>
        <v>1500000</v>
      </c>
    </row>
    <row r="21" spans="1:42" ht="90" x14ac:dyDescent="0.2">
      <c r="A21" s="12"/>
      <c r="B21" s="13"/>
      <c r="C21" s="20" t="s">
        <v>74</v>
      </c>
      <c r="D21" s="68" t="s">
        <v>133</v>
      </c>
      <c r="E21" s="15">
        <f>1*3</f>
        <v>3</v>
      </c>
      <c r="F21" s="16" t="s">
        <v>139</v>
      </c>
      <c r="G21" s="17"/>
      <c r="H21" s="15">
        <v>1</v>
      </c>
      <c r="I21" s="16" t="s">
        <v>139</v>
      </c>
      <c r="J21" s="17"/>
      <c r="K21" s="15">
        <v>1</v>
      </c>
      <c r="L21" s="16" t="s">
        <v>139</v>
      </c>
      <c r="M21" s="17">
        <v>1500000</v>
      </c>
      <c r="N21" s="15">
        <v>0</v>
      </c>
      <c r="O21" s="16" t="s">
        <v>139</v>
      </c>
      <c r="P21" s="17">
        <v>0</v>
      </c>
      <c r="Q21" s="15">
        <v>1</v>
      </c>
      <c r="R21" s="16" t="s">
        <v>139</v>
      </c>
      <c r="S21" s="17">
        <v>0</v>
      </c>
      <c r="T21" s="15">
        <v>0</v>
      </c>
      <c r="U21" s="16" t="s">
        <v>139</v>
      </c>
      <c r="V21" s="17">
        <v>0</v>
      </c>
      <c r="W21" s="15">
        <v>0</v>
      </c>
      <c r="X21" s="16" t="s">
        <v>139</v>
      </c>
      <c r="Y21" s="17">
        <v>1500000</v>
      </c>
      <c r="Z21" s="52">
        <f t="shared" si="1"/>
        <v>1</v>
      </c>
      <c r="AA21" s="83" t="str">
        <f t="shared" si="2"/>
        <v>Dok</v>
      </c>
      <c r="AB21" s="52">
        <f t="shared" si="3"/>
        <v>100</v>
      </c>
      <c r="AC21" s="25" t="s">
        <v>141</v>
      </c>
      <c r="AD21" s="31">
        <f t="shared" si="4"/>
        <v>1500000</v>
      </c>
      <c r="AE21" s="50">
        <f t="shared" si="5"/>
        <v>100</v>
      </c>
      <c r="AF21" s="25" t="s">
        <v>141</v>
      </c>
      <c r="AG21" s="52">
        <f t="shared" si="6"/>
        <v>2</v>
      </c>
      <c r="AH21" s="83" t="str">
        <f t="shared" si="7"/>
        <v>Dok</v>
      </c>
      <c r="AI21" s="31">
        <f t="shared" si="8"/>
        <v>1500000</v>
      </c>
      <c r="AJ21" s="50"/>
      <c r="AK21" s="25" t="s">
        <v>141</v>
      </c>
      <c r="AL21" s="50"/>
      <c r="AM21" s="11"/>
      <c r="AP21" s="19">
        <f t="shared" si="0"/>
        <v>1500000</v>
      </c>
    </row>
    <row r="22" spans="1:42" ht="94.5" x14ac:dyDescent="0.2">
      <c r="A22" s="12"/>
      <c r="B22" s="13"/>
      <c r="C22" s="14" t="s">
        <v>75</v>
      </c>
      <c r="D22" s="14" t="s">
        <v>134</v>
      </c>
      <c r="E22" s="71">
        <v>1</v>
      </c>
      <c r="F22" s="70" t="s">
        <v>139</v>
      </c>
      <c r="G22" s="17"/>
      <c r="H22" s="71">
        <v>1</v>
      </c>
      <c r="I22" s="70" t="s">
        <v>139</v>
      </c>
      <c r="J22" s="17"/>
      <c r="K22" s="71">
        <v>1</v>
      </c>
      <c r="L22" s="70" t="s">
        <v>139</v>
      </c>
      <c r="M22" s="32">
        <f>SUM(M23:M27)</f>
        <v>490044250</v>
      </c>
      <c r="N22" s="71">
        <v>0</v>
      </c>
      <c r="O22" s="70" t="s">
        <v>139</v>
      </c>
      <c r="P22" s="32">
        <f>SUM(P23:P27)</f>
        <v>0</v>
      </c>
      <c r="Q22" s="71">
        <v>0</v>
      </c>
      <c r="R22" s="70" t="s">
        <v>139</v>
      </c>
      <c r="S22" s="32">
        <f>SUM(S23:S27)</f>
        <v>52148632</v>
      </c>
      <c r="T22" s="71">
        <v>0</v>
      </c>
      <c r="U22" s="70" t="s">
        <v>139</v>
      </c>
      <c r="V22" s="32">
        <f>SUM(V23:V27)</f>
        <v>136067500</v>
      </c>
      <c r="W22" s="71">
        <v>1</v>
      </c>
      <c r="X22" s="70" t="s">
        <v>139</v>
      </c>
      <c r="Y22" s="32">
        <f>SUM(Y23:Y27)</f>
        <v>142049840</v>
      </c>
      <c r="Z22" s="51">
        <f t="shared" si="1"/>
        <v>1</v>
      </c>
      <c r="AA22" s="82" t="str">
        <f t="shared" si="2"/>
        <v>Dok</v>
      </c>
      <c r="AB22" s="51">
        <f t="shared" si="3"/>
        <v>100</v>
      </c>
      <c r="AC22" s="48" t="s">
        <v>141</v>
      </c>
      <c r="AD22" s="53">
        <f t="shared" si="4"/>
        <v>330265972</v>
      </c>
      <c r="AE22" s="49">
        <f t="shared" si="5"/>
        <v>67.395132582414746</v>
      </c>
      <c r="AF22" s="48" t="s">
        <v>141</v>
      </c>
      <c r="AG22" s="51">
        <f t="shared" si="6"/>
        <v>2</v>
      </c>
      <c r="AH22" s="82" t="str">
        <f t="shared" si="7"/>
        <v>Dok</v>
      </c>
      <c r="AI22" s="53">
        <f t="shared" si="8"/>
        <v>330265972</v>
      </c>
      <c r="AJ22" s="49"/>
      <c r="AK22" s="48" t="s">
        <v>141</v>
      </c>
      <c r="AL22" s="49"/>
      <c r="AM22" s="11"/>
      <c r="AP22" s="19"/>
    </row>
    <row r="23" spans="1:42" ht="90" x14ac:dyDescent="0.2">
      <c r="A23" s="12"/>
      <c r="B23" s="13"/>
      <c r="C23" s="66" t="s">
        <v>76</v>
      </c>
      <c r="D23" s="68" t="s">
        <v>135</v>
      </c>
      <c r="E23" s="72">
        <f t="shared" ref="E23:E27" si="9">12*3</f>
        <v>36</v>
      </c>
      <c r="F23" s="73" t="s">
        <v>140</v>
      </c>
      <c r="G23" s="17"/>
      <c r="H23" s="72">
        <v>12</v>
      </c>
      <c r="I23" s="73" t="s">
        <v>140</v>
      </c>
      <c r="J23" s="17"/>
      <c r="K23" s="72">
        <v>12</v>
      </c>
      <c r="L23" s="73" t="s">
        <v>140</v>
      </c>
      <c r="M23" s="17">
        <v>11170000</v>
      </c>
      <c r="N23" s="72">
        <v>3</v>
      </c>
      <c r="O23" s="73" t="s">
        <v>140</v>
      </c>
      <c r="P23" s="17">
        <v>0</v>
      </c>
      <c r="Q23" s="72">
        <v>3</v>
      </c>
      <c r="R23" s="73" t="s">
        <v>140</v>
      </c>
      <c r="S23" s="17">
        <v>0</v>
      </c>
      <c r="T23" s="72">
        <v>3</v>
      </c>
      <c r="U23" s="73" t="s">
        <v>140</v>
      </c>
      <c r="V23" s="17">
        <v>0</v>
      </c>
      <c r="W23" s="72">
        <v>3</v>
      </c>
      <c r="X23" s="73" t="s">
        <v>140</v>
      </c>
      <c r="Y23" s="17">
        <v>5094000</v>
      </c>
      <c r="Z23" s="52">
        <f t="shared" si="1"/>
        <v>12</v>
      </c>
      <c r="AA23" s="83" t="str">
        <f t="shared" si="2"/>
        <v>Bln</v>
      </c>
      <c r="AB23" s="52">
        <f t="shared" si="3"/>
        <v>100</v>
      </c>
      <c r="AC23" s="25" t="s">
        <v>141</v>
      </c>
      <c r="AD23" s="31">
        <f t="shared" si="4"/>
        <v>5094000</v>
      </c>
      <c r="AE23" s="50">
        <f t="shared" si="5"/>
        <v>45.604297224709036</v>
      </c>
      <c r="AF23" s="25" t="s">
        <v>141</v>
      </c>
      <c r="AG23" s="52">
        <f t="shared" si="6"/>
        <v>24</v>
      </c>
      <c r="AH23" s="83" t="str">
        <f t="shared" si="7"/>
        <v>Bln</v>
      </c>
      <c r="AI23" s="31">
        <f t="shared" si="8"/>
        <v>5094000</v>
      </c>
      <c r="AJ23" s="50"/>
      <c r="AK23" s="25" t="s">
        <v>141</v>
      </c>
      <c r="AL23" s="50"/>
      <c r="AM23" s="11"/>
      <c r="AP23" s="19"/>
    </row>
    <row r="24" spans="1:42" ht="60" x14ac:dyDescent="0.2">
      <c r="A24" s="12"/>
      <c r="B24" s="13"/>
      <c r="C24" s="20" t="s">
        <v>77</v>
      </c>
      <c r="D24" s="68" t="s">
        <v>132</v>
      </c>
      <c r="E24" s="72">
        <f t="shared" si="9"/>
        <v>36</v>
      </c>
      <c r="F24" s="73" t="s">
        <v>140</v>
      </c>
      <c r="G24" s="17"/>
      <c r="H24" s="72">
        <v>12</v>
      </c>
      <c r="I24" s="73" t="s">
        <v>140</v>
      </c>
      <c r="J24" s="17"/>
      <c r="K24" s="72">
        <v>12</v>
      </c>
      <c r="L24" s="73" t="s">
        <v>140</v>
      </c>
      <c r="M24" s="17">
        <v>100795750</v>
      </c>
      <c r="N24" s="72">
        <v>3</v>
      </c>
      <c r="O24" s="73" t="s">
        <v>140</v>
      </c>
      <c r="P24" s="17">
        <v>0</v>
      </c>
      <c r="Q24" s="72">
        <v>3</v>
      </c>
      <c r="R24" s="73" t="s">
        <v>140</v>
      </c>
      <c r="S24" s="17">
        <v>0</v>
      </c>
      <c r="T24" s="72">
        <v>3</v>
      </c>
      <c r="U24" s="73" t="s">
        <v>140</v>
      </c>
      <c r="V24" s="17">
        <v>83250000</v>
      </c>
      <c r="W24" s="72">
        <v>3</v>
      </c>
      <c r="X24" s="73" t="s">
        <v>140</v>
      </c>
      <c r="Y24" s="17">
        <v>1110000</v>
      </c>
      <c r="Z24" s="52">
        <f t="shared" si="1"/>
        <v>12</v>
      </c>
      <c r="AA24" s="83" t="str">
        <f t="shared" si="2"/>
        <v>Bln</v>
      </c>
      <c r="AB24" s="52">
        <f t="shared" si="3"/>
        <v>100</v>
      </c>
      <c r="AC24" s="25" t="s">
        <v>141</v>
      </c>
      <c r="AD24" s="31">
        <f t="shared" si="4"/>
        <v>84360000</v>
      </c>
      <c r="AE24" s="50">
        <f t="shared" si="5"/>
        <v>83.694004955566086</v>
      </c>
      <c r="AF24" s="25" t="s">
        <v>141</v>
      </c>
      <c r="AG24" s="52">
        <f t="shared" si="6"/>
        <v>24</v>
      </c>
      <c r="AH24" s="83" t="str">
        <f t="shared" si="7"/>
        <v>Bln</v>
      </c>
      <c r="AI24" s="31">
        <f t="shared" si="8"/>
        <v>84360000</v>
      </c>
      <c r="AJ24" s="50"/>
      <c r="AK24" s="25" t="s">
        <v>141</v>
      </c>
      <c r="AL24" s="50"/>
      <c r="AM24" s="11"/>
      <c r="AP24" s="19"/>
    </row>
    <row r="25" spans="1:42" ht="60" x14ac:dyDescent="0.2">
      <c r="A25" s="12"/>
      <c r="B25" s="13"/>
      <c r="C25" s="20" t="s">
        <v>78</v>
      </c>
      <c r="D25" s="20" t="s">
        <v>132</v>
      </c>
      <c r="E25" s="72">
        <f t="shared" si="9"/>
        <v>36</v>
      </c>
      <c r="F25" s="73" t="s">
        <v>140</v>
      </c>
      <c r="G25" s="17"/>
      <c r="H25" s="72">
        <v>12</v>
      </c>
      <c r="I25" s="73" t="s">
        <v>140</v>
      </c>
      <c r="J25" s="17"/>
      <c r="K25" s="72">
        <v>12</v>
      </c>
      <c r="L25" s="73" t="s">
        <v>140</v>
      </c>
      <c r="M25" s="17">
        <v>71618500</v>
      </c>
      <c r="N25" s="72">
        <v>3</v>
      </c>
      <c r="O25" s="73" t="s">
        <v>140</v>
      </c>
      <c r="P25" s="17">
        <v>0</v>
      </c>
      <c r="Q25" s="72">
        <v>3</v>
      </c>
      <c r="R25" s="73" t="s">
        <v>140</v>
      </c>
      <c r="S25" s="17">
        <v>2475000</v>
      </c>
      <c r="T25" s="72">
        <v>3</v>
      </c>
      <c r="U25" s="73" t="s">
        <v>140</v>
      </c>
      <c r="V25" s="17">
        <v>4587500</v>
      </c>
      <c r="W25" s="72">
        <v>3</v>
      </c>
      <c r="X25" s="73" t="s">
        <v>140</v>
      </c>
      <c r="Y25" s="17">
        <v>14118740</v>
      </c>
      <c r="Z25" s="52">
        <f t="shared" si="1"/>
        <v>12</v>
      </c>
      <c r="AA25" s="83" t="str">
        <f t="shared" si="2"/>
        <v>Bln</v>
      </c>
      <c r="AB25" s="52">
        <f t="shared" si="3"/>
        <v>100</v>
      </c>
      <c r="AC25" s="25" t="s">
        <v>141</v>
      </c>
      <c r="AD25" s="31">
        <f t="shared" si="4"/>
        <v>21181240</v>
      </c>
      <c r="AE25" s="50">
        <f t="shared" si="5"/>
        <v>29.575095820214052</v>
      </c>
      <c r="AF25" s="25" t="s">
        <v>141</v>
      </c>
      <c r="AG25" s="52">
        <f t="shared" si="6"/>
        <v>24</v>
      </c>
      <c r="AH25" s="83" t="str">
        <f t="shared" si="7"/>
        <v>Bln</v>
      </c>
      <c r="AI25" s="31">
        <f t="shared" si="8"/>
        <v>21181240</v>
      </c>
      <c r="AJ25" s="50"/>
      <c r="AK25" s="25" t="s">
        <v>141</v>
      </c>
      <c r="AL25" s="50"/>
      <c r="AM25" s="11"/>
      <c r="AP25" s="19"/>
    </row>
    <row r="26" spans="1:42" ht="75" x14ac:dyDescent="0.2">
      <c r="A26" s="12"/>
      <c r="B26" s="13"/>
      <c r="C26" s="20" t="s">
        <v>79</v>
      </c>
      <c r="D26" s="20" t="s">
        <v>132</v>
      </c>
      <c r="E26" s="72">
        <f t="shared" si="9"/>
        <v>36</v>
      </c>
      <c r="F26" s="73" t="s">
        <v>140</v>
      </c>
      <c r="G26" s="32"/>
      <c r="H26" s="72">
        <v>12</v>
      </c>
      <c r="I26" s="73" t="s">
        <v>140</v>
      </c>
      <c r="J26" s="32"/>
      <c r="K26" s="72">
        <v>12</v>
      </c>
      <c r="L26" s="73" t="s">
        <v>140</v>
      </c>
      <c r="M26" s="17">
        <v>11460000</v>
      </c>
      <c r="N26" s="72">
        <v>3</v>
      </c>
      <c r="O26" s="73" t="s">
        <v>140</v>
      </c>
      <c r="P26" s="17">
        <v>0</v>
      </c>
      <c r="Q26" s="72">
        <v>3</v>
      </c>
      <c r="R26" s="73" t="s">
        <v>140</v>
      </c>
      <c r="S26" s="17">
        <v>1060000</v>
      </c>
      <c r="T26" s="72">
        <v>3</v>
      </c>
      <c r="U26" s="73" t="s">
        <v>140</v>
      </c>
      <c r="V26" s="17">
        <v>2360000</v>
      </c>
      <c r="W26" s="72">
        <v>3</v>
      </c>
      <c r="X26" s="73" t="s">
        <v>140</v>
      </c>
      <c r="Y26" s="17">
        <v>4140000</v>
      </c>
      <c r="Z26" s="52">
        <f t="shared" si="1"/>
        <v>12</v>
      </c>
      <c r="AA26" s="83" t="str">
        <f t="shared" si="2"/>
        <v>Bln</v>
      </c>
      <c r="AB26" s="52">
        <f t="shared" si="3"/>
        <v>100</v>
      </c>
      <c r="AC26" s="25" t="s">
        <v>141</v>
      </c>
      <c r="AD26" s="31">
        <f t="shared" si="4"/>
        <v>7560000</v>
      </c>
      <c r="AE26" s="50">
        <f t="shared" si="5"/>
        <v>65.968586387434556</v>
      </c>
      <c r="AF26" s="25" t="s">
        <v>141</v>
      </c>
      <c r="AG26" s="52">
        <f t="shared" si="6"/>
        <v>24</v>
      </c>
      <c r="AH26" s="83" t="str">
        <f t="shared" si="7"/>
        <v>Bln</v>
      </c>
      <c r="AI26" s="31">
        <f t="shared" si="8"/>
        <v>7560000</v>
      </c>
      <c r="AJ26" s="50"/>
      <c r="AK26" s="25" t="s">
        <v>141</v>
      </c>
      <c r="AL26" s="49"/>
      <c r="AM26" s="11"/>
      <c r="AP26" s="19"/>
    </row>
    <row r="27" spans="1:42" ht="75" x14ac:dyDescent="0.2">
      <c r="A27" s="12"/>
      <c r="B27" s="13"/>
      <c r="C27" s="20" t="s">
        <v>80</v>
      </c>
      <c r="D27" s="20" t="s">
        <v>132</v>
      </c>
      <c r="E27" s="72">
        <f t="shared" si="9"/>
        <v>36</v>
      </c>
      <c r="F27" s="73" t="s">
        <v>140</v>
      </c>
      <c r="G27" s="17"/>
      <c r="H27" s="72">
        <v>12</v>
      </c>
      <c r="I27" s="73" t="s">
        <v>140</v>
      </c>
      <c r="J27" s="17"/>
      <c r="K27" s="72">
        <v>12</v>
      </c>
      <c r="L27" s="73" t="s">
        <v>140</v>
      </c>
      <c r="M27" s="17">
        <v>295000000</v>
      </c>
      <c r="N27" s="72">
        <v>3</v>
      </c>
      <c r="O27" s="73" t="s">
        <v>140</v>
      </c>
      <c r="P27" s="17">
        <v>0</v>
      </c>
      <c r="Q27" s="72">
        <v>3</v>
      </c>
      <c r="R27" s="73" t="s">
        <v>140</v>
      </c>
      <c r="S27" s="17">
        <v>48613632</v>
      </c>
      <c r="T27" s="72">
        <v>3</v>
      </c>
      <c r="U27" s="73" t="s">
        <v>140</v>
      </c>
      <c r="V27" s="17">
        <v>45870000</v>
      </c>
      <c r="W27" s="72">
        <v>3</v>
      </c>
      <c r="X27" s="73" t="s">
        <v>140</v>
      </c>
      <c r="Y27" s="17">
        <v>117587100</v>
      </c>
      <c r="Z27" s="52">
        <f t="shared" si="1"/>
        <v>12</v>
      </c>
      <c r="AA27" s="83" t="str">
        <f t="shared" si="2"/>
        <v>Bln</v>
      </c>
      <c r="AB27" s="52">
        <f t="shared" si="3"/>
        <v>100</v>
      </c>
      <c r="AC27" s="25" t="s">
        <v>141</v>
      </c>
      <c r="AD27" s="31">
        <f t="shared" si="4"/>
        <v>212070732</v>
      </c>
      <c r="AE27" s="50">
        <f t="shared" si="5"/>
        <v>71.888383728813551</v>
      </c>
      <c r="AF27" s="25" t="s">
        <v>141</v>
      </c>
      <c r="AG27" s="52">
        <f t="shared" si="6"/>
        <v>24</v>
      </c>
      <c r="AH27" s="83" t="str">
        <f t="shared" si="7"/>
        <v>Bln</v>
      </c>
      <c r="AI27" s="31">
        <f t="shared" si="8"/>
        <v>212070732</v>
      </c>
      <c r="AJ27" s="50"/>
      <c r="AK27" s="25" t="s">
        <v>141</v>
      </c>
      <c r="AL27" s="50"/>
      <c r="AM27" s="11"/>
      <c r="AP27" s="19"/>
    </row>
    <row r="28" spans="1:42" ht="114" customHeight="1" x14ac:dyDescent="0.2">
      <c r="A28" s="12"/>
      <c r="B28" s="13"/>
      <c r="C28" s="14" t="s">
        <v>81</v>
      </c>
      <c r="D28" s="14" t="s">
        <v>136</v>
      </c>
      <c r="E28" s="71">
        <v>100</v>
      </c>
      <c r="F28" s="70" t="s">
        <v>141</v>
      </c>
      <c r="G28" s="17"/>
      <c r="H28" s="71">
        <v>100</v>
      </c>
      <c r="I28" s="70" t="s">
        <v>141</v>
      </c>
      <c r="J28" s="17"/>
      <c r="K28" s="71">
        <v>100</v>
      </c>
      <c r="L28" s="70" t="s">
        <v>141</v>
      </c>
      <c r="M28" s="32">
        <f>SUM(M29:M32)</f>
        <v>704906750</v>
      </c>
      <c r="N28" s="71">
        <v>25</v>
      </c>
      <c r="O28" s="70" t="s">
        <v>141</v>
      </c>
      <c r="P28" s="32">
        <f>SUM(P29:P32)</f>
        <v>8725201</v>
      </c>
      <c r="Q28" s="71">
        <v>25</v>
      </c>
      <c r="R28" s="70" t="s">
        <v>141</v>
      </c>
      <c r="S28" s="32">
        <f>SUM(S29:S32)</f>
        <v>150703440</v>
      </c>
      <c r="T28" s="71">
        <v>25</v>
      </c>
      <c r="U28" s="70" t="s">
        <v>141</v>
      </c>
      <c r="V28" s="32">
        <f>SUM(V29:V32)</f>
        <v>161270716</v>
      </c>
      <c r="W28" s="71">
        <v>25</v>
      </c>
      <c r="X28" s="70" t="s">
        <v>141</v>
      </c>
      <c r="Y28" s="32">
        <f>SUM(Y29:Y32)</f>
        <v>269132495</v>
      </c>
      <c r="Z28" s="51">
        <f t="shared" si="1"/>
        <v>100</v>
      </c>
      <c r="AA28" s="82" t="str">
        <f t="shared" si="2"/>
        <v>%</v>
      </c>
      <c r="AB28" s="51">
        <f t="shared" si="3"/>
        <v>100</v>
      </c>
      <c r="AC28" s="48" t="s">
        <v>141</v>
      </c>
      <c r="AD28" s="53">
        <f t="shared" si="4"/>
        <v>589831852</v>
      </c>
      <c r="AE28" s="49">
        <f t="shared" si="5"/>
        <v>83.675160154162228</v>
      </c>
      <c r="AF28" s="48" t="s">
        <v>141</v>
      </c>
      <c r="AG28" s="51">
        <f t="shared" si="6"/>
        <v>200</v>
      </c>
      <c r="AH28" s="82" t="str">
        <f t="shared" si="7"/>
        <v>%</v>
      </c>
      <c r="AI28" s="53">
        <f t="shared" si="8"/>
        <v>589831852</v>
      </c>
      <c r="AJ28" s="49"/>
      <c r="AK28" s="48" t="s">
        <v>141</v>
      </c>
      <c r="AL28" s="49"/>
      <c r="AM28" s="11"/>
      <c r="AP28" s="19"/>
    </row>
    <row r="29" spans="1:42" ht="60" x14ac:dyDescent="0.2">
      <c r="A29" s="12"/>
      <c r="B29" s="13"/>
      <c r="C29" s="20" t="s">
        <v>82</v>
      </c>
      <c r="D29" s="20" t="s">
        <v>132</v>
      </c>
      <c r="E29" s="72">
        <f t="shared" ref="E29:E32" si="10">12*3</f>
        <v>36</v>
      </c>
      <c r="F29" s="73" t="s">
        <v>140</v>
      </c>
      <c r="G29" s="17"/>
      <c r="H29" s="72">
        <v>12</v>
      </c>
      <c r="I29" s="73" t="s">
        <v>140</v>
      </c>
      <c r="J29" s="17"/>
      <c r="K29" s="72">
        <v>12</v>
      </c>
      <c r="L29" s="73" t="s">
        <v>140</v>
      </c>
      <c r="M29" s="17">
        <v>750000</v>
      </c>
      <c r="N29" s="72">
        <v>3</v>
      </c>
      <c r="O29" s="73" t="s">
        <v>140</v>
      </c>
      <c r="P29" s="17">
        <v>0</v>
      </c>
      <c r="Q29" s="72">
        <v>3</v>
      </c>
      <c r="R29" s="73" t="s">
        <v>140</v>
      </c>
      <c r="S29" s="17">
        <v>0</v>
      </c>
      <c r="T29" s="72">
        <v>3</v>
      </c>
      <c r="U29" s="73" t="s">
        <v>140</v>
      </c>
      <c r="V29" s="17">
        <v>0</v>
      </c>
      <c r="W29" s="72">
        <v>3</v>
      </c>
      <c r="X29" s="73" t="s">
        <v>140</v>
      </c>
      <c r="Y29" s="17">
        <v>0</v>
      </c>
      <c r="Z29" s="52">
        <f t="shared" si="1"/>
        <v>12</v>
      </c>
      <c r="AA29" s="83" t="str">
        <f t="shared" si="2"/>
        <v>Bln</v>
      </c>
      <c r="AB29" s="52">
        <f t="shared" si="3"/>
        <v>100</v>
      </c>
      <c r="AC29" s="25" t="s">
        <v>141</v>
      </c>
      <c r="AD29" s="31">
        <f t="shared" si="4"/>
        <v>0</v>
      </c>
      <c r="AE29" s="50">
        <f t="shared" si="5"/>
        <v>0</v>
      </c>
      <c r="AF29" s="25" t="s">
        <v>141</v>
      </c>
      <c r="AG29" s="52">
        <f t="shared" si="6"/>
        <v>24</v>
      </c>
      <c r="AH29" s="83" t="str">
        <f t="shared" si="7"/>
        <v>Bln</v>
      </c>
      <c r="AI29" s="31">
        <f t="shared" si="8"/>
        <v>0</v>
      </c>
      <c r="AJ29" s="50"/>
      <c r="AK29" s="25" t="s">
        <v>141</v>
      </c>
      <c r="AL29" s="50"/>
      <c r="AM29" s="11"/>
      <c r="AP29" s="19"/>
    </row>
    <row r="30" spans="1:42" ht="75" x14ac:dyDescent="0.2">
      <c r="A30" s="12"/>
      <c r="B30" s="13"/>
      <c r="C30" s="20" t="s">
        <v>83</v>
      </c>
      <c r="D30" s="20" t="s">
        <v>132</v>
      </c>
      <c r="E30" s="72">
        <f t="shared" si="10"/>
        <v>36</v>
      </c>
      <c r="F30" s="73" t="s">
        <v>140</v>
      </c>
      <c r="G30" s="17"/>
      <c r="H30" s="72">
        <v>12</v>
      </c>
      <c r="I30" s="73" t="s">
        <v>140</v>
      </c>
      <c r="J30" s="17"/>
      <c r="K30" s="72">
        <v>12</v>
      </c>
      <c r="L30" s="73" t="s">
        <v>140</v>
      </c>
      <c r="M30" s="17">
        <v>154920000</v>
      </c>
      <c r="N30" s="72">
        <v>3</v>
      </c>
      <c r="O30" s="73" t="s">
        <v>140</v>
      </c>
      <c r="P30" s="17">
        <v>8725201</v>
      </c>
      <c r="Q30" s="72">
        <v>3</v>
      </c>
      <c r="R30" s="73" t="s">
        <v>140</v>
      </c>
      <c r="S30" s="17">
        <v>23228440</v>
      </c>
      <c r="T30" s="72">
        <v>3</v>
      </c>
      <c r="U30" s="73" t="s">
        <v>140</v>
      </c>
      <c r="V30" s="17">
        <v>28570716</v>
      </c>
      <c r="W30" s="72">
        <v>3</v>
      </c>
      <c r="X30" s="73" t="s">
        <v>140</v>
      </c>
      <c r="Y30" s="17">
        <v>39170695</v>
      </c>
      <c r="Z30" s="52">
        <f t="shared" si="1"/>
        <v>12</v>
      </c>
      <c r="AA30" s="83" t="str">
        <f t="shared" si="2"/>
        <v>Bln</v>
      </c>
      <c r="AB30" s="52">
        <f t="shared" si="3"/>
        <v>100</v>
      </c>
      <c r="AC30" s="25" t="s">
        <v>141</v>
      </c>
      <c r="AD30" s="31">
        <f t="shared" si="4"/>
        <v>99695052</v>
      </c>
      <c r="AE30" s="50">
        <f t="shared" si="5"/>
        <v>64.352602633617352</v>
      </c>
      <c r="AF30" s="25" t="s">
        <v>141</v>
      </c>
      <c r="AG30" s="52">
        <f t="shared" si="6"/>
        <v>24</v>
      </c>
      <c r="AH30" s="83" t="str">
        <f t="shared" si="7"/>
        <v>Bln</v>
      </c>
      <c r="AI30" s="31">
        <f t="shared" si="8"/>
        <v>99695052</v>
      </c>
      <c r="AJ30" s="50"/>
      <c r="AK30" s="25" t="s">
        <v>141</v>
      </c>
      <c r="AL30" s="50"/>
      <c r="AM30" s="11"/>
      <c r="AP30" s="19"/>
    </row>
    <row r="31" spans="1:42" ht="75" x14ac:dyDescent="0.2">
      <c r="A31" s="12"/>
      <c r="B31" s="13"/>
      <c r="C31" s="20" t="s">
        <v>84</v>
      </c>
      <c r="D31" s="20" t="s">
        <v>132</v>
      </c>
      <c r="E31" s="72">
        <f t="shared" si="10"/>
        <v>36</v>
      </c>
      <c r="F31" s="73" t="s">
        <v>140</v>
      </c>
      <c r="G31" s="32"/>
      <c r="H31" s="72">
        <v>12</v>
      </c>
      <c r="I31" s="73" t="s">
        <v>140</v>
      </c>
      <c r="J31" s="32"/>
      <c r="K31" s="72">
        <v>12</v>
      </c>
      <c r="L31" s="73" t="s">
        <v>140</v>
      </c>
      <c r="M31" s="17">
        <v>286971250</v>
      </c>
      <c r="N31" s="72">
        <v>3</v>
      </c>
      <c r="O31" s="73" t="s">
        <v>140</v>
      </c>
      <c r="P31" s="17">
        <v>0</v>
      </c>
      <c r="Q31" s="72">
        <v>3</v>
      </c>
      <c r="R31" s="73" t="s">
        <v>140</v>
      </c>
      <c r="S31" s="17">
        <v>0</v>
      </c>
      <c r="T31" s="72">
        <v>3</v>
      </c>
      <c r="U31" s="73" t="s">
        <v>140</v>
      </c>
      <c r="V31" s="17">
        <v>96700000</v>
      </c>
      <c r="W31" s="72">
        <v>3</v>
      </c>
      <c r="X31" s="73" t="s">
        <v>140</v>
      </c>
      <c r="Y31" s="17">
        <v>159736000</v>
      </c>
      <c r="Z31" s="91">
        <f t="shared" si="1"/>
        <v>12</v>
      </c>
      <c r="AA31" s="83" t="str">
        <f t="shared" si="2"/>
        <v>Bln</v>
      </c>
      <c r="AB31" s="52">
        <f t="shared" si="3"/>
        <v>100</v>
      </c>
      <c r="AC31" s="25" t="s">
        <v>141</v>
      </c>
      <c r="AD31" s="31">
        <f t="shared" si="4"/>
        <v>256436000</v>
      </c>
      <c r="AE31" s="50">
        <f t="shared" si="5"/>
        <v>89.359474163352601</v>
      </c>
      <c r="AF31" s="25" t="s">
        <v>141</v>
      </c>
      <c r="AG31" s="91">
        <f t="shared" si="6"/>
        <v>24</v>
      </c>
      <c r="AH31" s="83" t="str">
        <f t="shared" si="7"/>
        <v>Bln</v>
      </c>
      <c r="AI31" s="31">
        <f t="shared" si="8"/>
        <v>256436000</v>
      </c>
      <c r="AJ31" s="50"/>
      <c r="AK31" s="25" t="s">
        <v>141</v>
      </c>
      <c r="AL31" s="50"/>
      <c r="AM31" s="11"/>
      <c r="AP31" s="19"/>
    </row>
    <row r="32" spans="1:42" ht="60" x14ac:dyDescent="0.2">
      <c r="A32" s="12"/>
      <c r="B32" s="13"/>
      <c r="C32" s="20" t="s">
        <v>85</v>
      </c>
      <c r="D32" s="20" t="s">
        <v>132</v>
      </c>
      <c r="E32" s="72">
        <f t="shared" si="10"/>
        <v>36</v>
      </c>
      <c r="F32" s="73" t="s">
        <v>140</v>
      </c>
      <c r="G32" s="32"/>
      <c r="H32" s="72">
        <v>12</v>
      </c>
      <c r="I32" s="73" t="s">
        <v>140</v>
      </c>
      <c r="J32" s="32"/>
      <c r="K32" s="72">
        <v>12</v>
      </c>
      <c r="L32" s="73" t="s">
        <v>140</v>
      </c>
      <c r="M32" s="17">
        <v>262265500</v>
      </c>
      <c r="N32" s="72">
        <v>3</v>
      </c>
      <c r="O32" s="73" t="s">
        <v>140</v>
      </c>
      <c r="P32" s="17">
        <v>0</v>
      </c>
      <c r="Q32" s="72">
        <v>3</v>
      </c>
      <c r="R32" s="73" t="s">
        <v>140</v>
      </c>
      <c r="S32" s="17">
        <v>127475000</v>
      </c>
      <c r="T32" s="72">
        <v>3</v>
      </c>
      <c r="U32" s="73" t="s">
        <v>140</v>
      </c>
      <c r="V32" s="17">
        <v>36000000</v>
      </c>
      <c r="W32" s="72">
        <v>3</v>
      </c>
      <c r="X32" s="73" t="s">
        <v>140</v>
      </c>
      <c r="Y32" s="17">
        <v>70225800</v>
      </c>
      <c r="Z32" s="91">
        <f t="shared" si="1"/>
        <v>12</v>
      </c>
      <c r="AA32" s="83" t="str">
        <f t="shared" si="2"/>
        <v>Bln</v>
      </c>
      <c r="AB32" s="52">
        <f t="shared" si="3"/>
        <v>100</v>
      </c>
      <c r="AC32" s="25" t="s">
        <v>141</v>
      </c>
      <c r="AD32" s="31">
        <f t="shared" si="4"/>
        <v>233700800</v>
      </c>
      <c r="AE32" s="50">
        <f t="shared" si="5"/>
        <v>89.108479765733577</v>
      </c>
      <c r="AF32" s="25" t="s">
        <v>141</v>
      </c>
      <c r="AG32" s="91">
        <f t="shared" si="6"/>
        <v>24</v>
      </c>
      <c r="AH32" s="83" t="str">
        <f t="shared" si="7"/>
        <v>Bln</v>
      </c>
      <c r="AI32" s="31">
        <f t="shared" si="8"/>
        <v>233700800</v>
      </c>
      <c r="AJ32" s="50"/>
      <c r="AK32" s="25" t="s">
        <v>141</v>
      </c>
      <c r="AL32" s="50"/>
      <c r="AM32" s="11"/>
      <c r="AP32" s="19"/>
    </row>
    <row r="33" spans="1:42" ht="122.25" customHeight="1" x14ac:dyDescent="0.2">
      <c r="A33" s="12"/>
      <c r="B33" s="13"/>
      <c r="C33" s="14" t="s">
        <v>86</v>
      </c>
      <c r="D33" s="14" t="s">
        <v>136</v>
      </c>
      <c r="E33" s="71">
        <v>100</v>
      </c>
      <c r="F33" s="70" t="s">
        <v>141</v>
      </c>
      <c r="G33" s="32"/>
      <c r="H33" s="71">
        <v>100</v>
      </c>
      <c r="I33" s="70" t="s">
        <v>141</v>
      </c>
      <c r="J33" s="32"/>
      <c r="K33" s="71">
        <v>100</v>
      </c>
      <c r="L33" s="70" t="s">
        <v>141</v>
      </c>
      <c r="M33" s="32">
        <f>SUM(M34:M36)</f>
        <v>362280550</v>
      </c>
      <c r="N33" s="71">
        <v>25</v>
      </c>
      <c r="O33" s="70" t="s">
        <v>141</v>
      </c>
      <c r="P33" s="32">
        <f>SUM(P34:P36)</f>
        <v>30000000</v>
      </c>
      <c r="Q33" s="71">
        <v>25</v>
      </c>
      <c r="R33" s="70" t="s">
        <v>141</v>
      </c>
      <c r="S33" s="32">
        <f>SUM(S34:S36)</f>
        <v>52957024</v>
      </c>
      <c r="T33" s="71">
        <v>25</v>
      </c>
      <c r="U33" s="70" t="s">
        <v>141</v>
      </c>
      <c r="V33" s="32">
        <f>SUM(V34:V36)</f>
        <v>31446888</v>
      </c>
      <c r="W33" s="71">
        <v>25</v>
      </c>
      <c r="X33" s="70" t="s">
        <v>141</v>
      </c>
      <c r="Y33" s="32">
        <f>SUM(Y34:Y36)</f>
        <v>63736550</v>
      </c>
      <c r="Z33" s="92">
        <f t="shared" si="1"/>
        <v>100</v>
      </c>
      <c r="AA33" s="82" t="str">
        <f t="shared" si="2"/>
        <v>%</v>
      </c>
      <c r="AB33" s="51">
        <f t="shared" si="3"/>
        <v>100</v>
      </c>
      <c r="AC33" s="48" t="s">
        <v>141</v>
      </c>
      <c r="AD33" s="53">
        <f t="shared" si="4"/>
        <v>178140462</v>
      </c>
      <c r="AE33" s="49">
        <f t="shared" si="5"/>
        <v>49.171964103510383</v>
      </c>
      <c r="AF33" s="48" t="s">
        <v>141</v>
      </c>
      <c r="AG33" s="92">
        <f t="shared" si="6"/>
        <v>200</v>
      </c>
      <c r="AH33" s="82" t="str">
        <f t="shared" si="7"/>
        <v>%</v>
      </c>
      <c r="AI33" s="53">
        <f t="shared" si="8"/>
        <v>178140462</v>
      </c>
      <c r="AJ33" s="49"/>
      <c r="AK33" s="48" t="s">
        <v>141</v>
      </c>
      <c r="AL33" s="49"/>
      <c r="AM33" s="11"/>
      <c r="AP33" s="19"/>
    </row>
    <row r="34" spans="1:42" ht="171.75" customHeight="1" x14ac:dyDescent="0.2">
      <c r="A34" s="12"/>
      <c r="B34" s="13"/>
      <c r="C34" s="20" t="s">
        <v>87</v>
      </c>
      <c r="D34" s="20" t="s">
        <v>137</v>
      </c>
      <c r="E34" s="72">
        <f t="shared" ref="E34:E36" si="11">12*3</f>
        <v>36</v>
      </c>
      <c r="F34" s="73" t="s">
        <v>140</v>
      </c>
      <c r="G34" s="17"/>
      <c r="H34" s="72">
        <v>12</v>
      </c>
      <c r="I34" s="73" t="s">
        <v>140</v>
      </c>
      <c r="J34" s="17"/>
      <c r="K34" s="72">
        <v>12</v>
      </c>
      <c r="L34" s="73" t="s">
        <v>140</v>
      </c>
      <c r="M34" s="17">
        <v>220216550</v>
      </c>
      <c r="N34" s="72">
        <v>3</v>
      </c>
      <c r="O34" s="73" t="s">
        <v>140</v>
      </c>
      <c r="P34" s="17">
        <v>4500000</v>
      </c>
      <c r="Q34" s="72">
        <v>3</v>
      </c>
      <c r="R34" s="73" t="s">
        <v>140</v>
      </c>
      <c r="S34" s="17">
        <f>21457024-P34</f>
        <v>16957024</v>
      </c>
      <c r="T34" s="72">
        <v>3</v>
      </c>
      <c r="U34" s="73" t="s">
        <v>140</v>
      </c>
      <c r="V34" s="17">
        <v>12726888</v>
      </c>
      <c r="W34" s="72">
        <v>3</v>
      </c>
      <c r="X34" s="73" t="s">
        <v>140</v>
      </c>
      <c r="Y34" s="17">
        <v>32604750</v>
      </c>
      <c r="Z34" s="52">
        <f t="shared" si="1"/>
        <v>12</v>
      </c>
      <c r="AA34" s="83" t="str">
        <f t="shared" si="2"/>
        <v>Bln</v>
      </c>
      <c r="AB34" s="52">
        <f t="shared" si="3"/>
        <v>100</v>
      </c>
      <c r="AC34" s="25" t="s">
        <v>141</v>
      </c>
      <c r="AD34" s="31">
        <f t="shared" si="4"/>
        <v>66788662</v>
      </c>
      <c r="AE34" s="50">
        <f t="shared" si="5"/>
        <v>30.32862970562385</v>
      </c>
      <c r="AF34" s="25" t="s">
        <v>141</v>
      </c>
      <c r="AG34" s="52">
        <f t="shared" si="6"/>
        <v>24</v>
      </c>
      <c r="AH34" s="83" t="str">
        <f t="shared" si="7"/>
        <v>Bln</v>
      </c>
      <c r="AI34" s="31">
        <f t="shared" si="8"/>
        <v>66788662</v>
      </c>
      <c r="AJ34" s="50"/>
      <c r="AK34" s="25" t="s">
        <v>141</v>
      </c>
      <c r="AL34" s="50"/>
      <c r="AM34" s="11"/>
      <c r="AP34" s="19"/>
    </row>
    <row r="35" spans="1:42" ht="83.25" customHeight="1" x14ac:dyDescent="0.2">
      <c r="A35" s="12"/>
      <c r="B35" s="13"/>
      <c r="C35" s="20" t="s">
        <v>88</v>
      </c>
      <c r="D35" s="20" t="s">
        <v>138</v>
      </c>
      <c r="E35" s="72">
        <f t="shared" si="11"/>
        <v>36</v>
      </c>
      <c r="F35" s="73" t="s">
        <v>140</v>
      </c>
      <c r="G35" s="17"/>
      <c r="H35" s="72">
        <v>12</v>
      </c>
      <c r="I35" s="73" t="s">
        <v>140</v>
      </c>
      <c r="J35" s="17"/>
      <c r="K35" s="72">
        <v>12</v>
      </c>
      <c r="L35" s="73" t="s">
        <v>140</v>
      </c>
      <c r="M35" s="17">
        <v>117864000</v>
      </c>
      <c r="N35" s="72">
        <v>3</v>
      </c>
      <c r="O35" s="73" t="s">
        <v>140</v>
      </c>
      <c r="P35" s="17">
        <v>25500000</v>
      </c>
      <c r="Q35" s="72">
        <v>3</v>
      </c>
      <c r="R35" s="73" t="s">
        <v>140</v>
      </c>
      <c r="S35" s="17">
        <v>36000000</v>
      </c>
      <c r="T35" s="72">
        <v>3</v>
      </c>
      <c r="U35" s="73" t="s">
        <v>140</v>
      </c>
      <c r="V35" s="17">
        <v>18000000</v>
      </c>
      <c r="W35" s="72">
        <v>3</v>
      </c>
      <c r="X35" s="73" t="s">
        <v>140</v>
      </c>
      <c r="Y35" s="17">
        <v>27226800</v>
      </c>
      <c r="Z35" s="52">
        <f t="shared" si="1"/>
        <v>12</v>
      </c>
      <c r="AA35" s="83" t="str">
        <f t="shared" si="2"/>
        <v>Bln</v>
      </c>
      <c r="AB35" s="52">
        <f t="shared" si="3"/>
        <v>100</v>
      </c>
      <c r="AC35" s="25" t="s">
        <v>141</v>
      </c>
      <c r="AD35" s="31">
        <f t="shared" si="4"/>
        <v>106726800</v>
      </c>
      <c r="AE35" s="50">
        <f t="shared" si="5"/>
        <v>90.550804316839745</v>
      </c>
      <c r="AF35" s="25" t="s">
        <v>141</v>
      </c>
      <c r="AG35" s="52">
        <f t="shared" si="6"/>
        <v>24</v>
      </c>
      <c r="AH35" s="83" t="str">
        <f t="shared" si="7"/>
        <v>Bln</v>
      </c>
      <c r="AI35" s="31">
        <f t="shared" si="8"/>
        <v>106726800</v>
      </c>
      <c r="AJ35" s="50"/>
      <c r="AK35" s="25" t="s">
        <v>141</v>
      </c>
      <c r="AL35" s="50"/>
      <c r="AM35" s="11"/>
      <c r="AP35" s="19"/>
    </row>
    <row r="36" spans="1:42" ht="123" customHeight="1" x14ac:dyDescent="0.2">
      <c r="A36" s="12"/>
      <c r="B36" s="13"/>
      <c r="C36" s="20" t="s">
        <v>89</v>
      </c>
      <c r="D36" s="20" t="s">
        <v>135</v>
      </c>
      <c r="E36" s="72">
        <f t="shared" si="11"/>
        <v>36</v>
      </c>
      <c r="F36" s="73" t="s">
        <v>140</v>
      </c>
      <c r="G36" s="17"/>
      <c r="H36" s="72">
        <v>12</v>
      </c>
      <c r="I36" s="73" t="s">
        <v>140</v>
      </c>
      <c r="J36" s="17"/>
      <c r="K36" s="72">
        <v>12</v>
      </c>
      <c r="L36" s="73" t="s">
        <v>140</v>
      </c>
      <c r="M36" s="17">
        <v>24200000</v>
      </c>
      <c r="N36" s="72">
        <v>3</v>
      </c>
      <c r="O36" s="73" t="s">
        <v>140</v>
      </c>
      <c r="P36" s="17">
        <v>0</v>
      </c>
      <c r="Q36" s="72">
        <v>3</v>
      </c>
      <c r="R36" s="73" t="s">
        <v>140</v>
      </c>
      <c r="S36" s="17">
        <v>0</v>
      </c>
      <c r="T36" s="72">
        <v>3</v>
      </c>
      <c r="U36" s="73" t="s">
        <v>140</v>
      </c>
      <c r="V36" s="17">
        <v>720000</v>
      </c>
      <c r="W36" s="72">
        <v>3</v>
      </c>
      <c r="X36" s="73" t="s">
        <v>140</v>
      </c>
      <c r="Y36" s="17">
        <v>3905000</v>
      </c>
      <c r="Z36" s="52">
        <f t="shared" si="1"/>
        <v>12</v>
      </c>
      <c r="AA36" s="83" t="str">
        <f t="shared" si="2"/>
        <v>Bln</v>
      </c>
      <c r="AB36" s="52">
        <f t="shared" si="3"/>
        <v>100</v>
      </c>
      <c r="AC36" s="25" t="s">
        <v>141</v>
      </c>
      <c r="AD36" s="31">
        <f t="shared" si="4"/>
        <v>4625000</v>
      </c>
      <c r="AE36" s="50">
        <f t="shared" si="5"/>
        <v>19.111570247933884</v>
      </c>
      <c r="AF36" s="25" t="s">
        <v>141</v>
      </c>
      <c r="AG36" s="52">
        <f t="shared" si="6"/>
        <v>24</v>
      </c>
      <c r="AH36" s="83" t="str">
        <f t="shared" si="7"/>
        <v>Bln</v>
      </c>
      <c r="AI36" s="31">
        <f t="shared" si="8"/>
        <v>4625000</v>
      </c>
      <c r="AJ36" s="50"/>
      <c r="AK36" s="25" t="s">
        <v>141</v>
      </c>
      <c r="AL36" s="50"/>
      <c r="AM36" s="11"/>
      <c r="AP36" s="19"/>
    </row>
    <row r="37" spans="1:42" ht="126" x14ac:dyDescent="0.2">
      <c r="A37" s="37">
        <v>25</v>
      </c>
      <c r="B37" s="38" t="s">
        <v>50</v>
      </c>
      <c r="C37" s="38" t="s">
        <v>90</v>
      </c>
      <c r="D37" s="14" t="s">
        <v>213</v>
      </c>
      <c r="E37" s="33">
        <v>25</v>
      </c>
      <c r="F37" s="34" t="s">
        <v>141</v>
      </c>
      <c r="G37" s="80"/>
      <c r="H37" s="59">
        <f>8790/34689*100</f>
        <v>25.339444780766236</v>
      </c>
      <c r="I37" s="70" t="s">
        <v>141</v>
      </c>
      <c r="J37" s="80"/>
      <c r="K37" s="71">
        <v>20</v>
      </c>
      <c r="L37" s="70" t="s">
        <v>141</v>
      </c>
      <c r="M37" s="77">
        <f>M40</f>
        <v>2541744000</v>
      </c>
      <c r="N37" s="118">
        <v>0.47</v>
      </c>
      <c r="O37" s="70" t="str">
        <f>L37</f>
        <v>%</v>
      </c>
      <c r="P37" s="77">
        <f>P40</f>
        <v>0</v>
      </c>
      <c r="Q37" s="59">
        <v>9.5399999999999991</v>
      </c>
      <c r="R37" s="70" t="str">
        <f>L37</f>
        <v>%</v>
      </c>
      <c r="S37" s="77">
        <f>S40</f>
        <v>139456125</v>
      </c>
      <c r="T37" s="59">
        <v>12.04</v>
      </c>
      <c r="U37" s="70" t="str">
        <f>L37</f>
        <v>%</v>
      </c>
      <c r="V37" s="77">
        <f>V40</f>
        <v>981946000</v>
      </c>
      <c r="W37" s="59">
        <v>0</v>
      </c>
      <c r="X37" s="70" t="str">
        <f>O37</f>
        <v>%</v>
      </c>
      <c r="Y37" s="77">
        <f>Y40</f>
        <v>706667400</v>
      </c>
      <c r="Z37" s="49">
        <f t="shared" si="1"/>
        <v>22.049999999999997</v>
      </c>
      <c r="AA37" s="82" t="str">
        <f t="shared" si="2"/>
        <v>%</v>
      </c>
      <c r="AB37" s="51">
        <f t="shared" si="3"/>
        <v>110.24999999999999</v>
      </c>
      <c r="AC37" s="48" t="s">
        <v>141</v>
      </c>
      <c r="AD37" s="93">
        <f t="shared" si="4"/>
        <v>1828069525</v>
      </c>
      <c r="AE37" s="94">
        <f t="shared" si="5"/>
        <v>71.921858574270274</v>
      </c>
      <c r="AF37" s="37" t="s">
        <v>141</v>
      </c>
      <c r="AG37" s="51">
        <f t="shared" si="6"/>
        <v>47.389444780766233</v>
      </c>
      <c r="AH37" s="82" t="str">
        <f t="shared" si="7"/>
        <v>%</v>
      </c>
      <c r="AI37" s="93">
        <f t="shared" si="8"/>
        <v>1828069525</v>
      </c>
      <c r="AJ37" s="49"/>
      <c r="AK37" s="48" t="s">
        <v>141</v>
      </c>
      <c r="AL37" s="49"/>
      <c r="AM37" s="11"/>
      <c r="AP37" s="19"/>
    </row>
    <row r="38" spans="1:42" ht="126" hidden="1" x14ac:dyDescent="0.2">
      <c r="A38" s="12"/>
      <c r="B38" s="13"/>
      <c r="C38" s="13"/>
      <c r="D38" s="14" t="s">
        <v>214</v>
      </c>
      <c r="E38" s="15"/>
      <c r="F38" s="16"/>
      <c r="G38" s="78"/>
      <c r="H38" s="15"/>
      <c r="I38" s="16"/>
      <c r="J38" s="78"/>
      <c r="K38" s="71">
        <v>100</v>
      </c>
      <c r="L38" s="70" t="s">
        <v>141</v>
      </c>
      <c r="M38" s="90"/>
      <c r="N38" s="72"/>
      <c r="O38" s="70" t="str">
        <f t="shared" ref="O38:O39" si="12">L38</f>
        <v>%</v>
      </c>
      <c r="P38" s="90"/>
      <c r="Q38" s="15"/>
      <c r="R38" s="70" t="str">
        <f t="shared" ref="R38:R39" si="13">L38</f>
        <v>%</v>
      </c>
      <c r="S38" s="78"/>
      <c r="T38" s="15"/>
      <c r="U38" s="70" t="str">
        <f t="shared" ref="U38:U39" si="14">L38</f>
        <v>%</v>
      </c>
      <c r="V38" s="78"/>
      <c r="W38" s="15"/>
      <c r="X38" s="70" t="str">
        <f t="shared" ref="X38:X39" si="15">O38</f>
        <v>%</v>
      </c>
      <c r="Y38" s="78"/>
      <c r="Z38" s="51"/>
      <c r="AA38" s="82" t="str">
        <f t="shared" ref="AA38" si="16">L38</f>
        <v>%</v>
      </c>
      <c r="AB38" s="51"/>
      <c r="AC38" s="48"/>
      <c r="AD38" s="101"/>
      <c r="AE38" s="102"/>
      <c r="AF38" s="12"/>
      <c r="AG38" s="51">
        <f t="shared" ref="AG38:AG39" si="17">SUM(H38,Z38)</f>
        <v>0</v>
      </c>
      <c r="AH38" s="82" t="str">
        <f t="shared" ref="AH38:AH39" si="18">O38</f>
        <v>%</v>
      </c>
      <c r="AI38" s="101"/>
      <c r="AJ38" s="49"/>
      <c r="AK38" s="48"/>
      <c r="AL38" s="49"/>
      <c r="AM38" s="11"/>
      <c r="AP38" s="19"/>
    </row>
    <row r="39" spans="1:42" ht="126" x14ac:dyDescent="0.2">
      <c r="A39" s="12"/>
      <c r="B39" s="13"/>
      <c r="C39" s="89"/>
      <c r="D39" s="14" t="s">
        <v>215</v>
      </c>
      <c r="E39" s="59">
        <f>0.16+0.27+0.16</f>
        <v>0.59000000000000008</v>
      </c>
      <c r="F39" s="70" t="s">
        <v>141</v>
      </c>
      <c r="G39" s="79"/>
      <c r="H39" s="59">
        <f>9/6225.5*100</f>
        <v>0.14456670146976147</v>
      </c>
      <c r="I39" s="70" t="s">
        <v>141</v>
      </c>
      <c r="J39" s="79"/>
      <c r="K39" s="59">
        <f>10/6225.5*100</f>
        <v>0.16062966829973496</v>
      </c>
      <c r="L39" s="70" t="s">
        <v>141</v>
      </c>
      <c r="M39" s="81"/>
      <c r="N39" s="72"/>
      <c r="O39" s="70" t="str">
        <f t="shared" si="12"/>
        <v>%</v>
      </c>
      <c r="P39" s="81"/>
      <c r="Q39" s="15"/>
      <c r="R39" s="70" t="str">
        <f t="shared" si="13"/>
        <v>%</v>
      </c>
      <c r="S39" s="79"/>
      <c r="T39" s="15"/>
      <c r="U39" s="70" t="str">
        <f t="shared" si="14"/>
        <v>%</v>
      </c>
      <c r="V39" s="79"/>
      <c r="W39" s="15"/>
      <c r="X39" s="70" t="str">
        <f t="shared" si="15"/>
        <v>%</v>
      </c>
      <c r="Y39" s="79"/>
      <c r="Z39" s="51"/>
      <c r="AA39" s="82" t="str">
        <f t="shared" si="2"/>
        <v>%</v>
      </c>
      <c r="AB39" s="51"/>
      <c r="AC39" s="48"/>
      <c r="AD39" s="95"/>
      <c r="AE39" s="96"/>
      <c r="AF39" s="97"/>
      <c r="AG39" s="51">
        <f t="shared" si="17"/>
        <v>0.14456670146976147</v>
      </c>
      <c r="AH39" s="82" t="str">
        <f t="shared" si="18"/>
        <v>%</v>
      </c>
      <c r="AI39" s="95"/>
      <c r="AJ39" s="49"/>
      <c r="AK39" s="48"/>
      <c r="AL39" s="49"/>
      <c r="AM39" s="11"/>
      <c r="AP39" s="19"/>
    </row>
    <row r="40" spans="1:42" ht="83.25" customHeight="1" x14ac:dyDescent="0.2">
      <c r="A40" s="12"/>
      <c r="B40" s="13"/>
      <c r="C40" s="38" t="s">
        <v>91</v>
      </c>
      <c r="D40" s="14" t="s">
        <v>205</v>
      </c>
      <c r="E40" s="76">
        <f>800+350+800</f>
        <v>1950</v>
      </c>
      <c r="F40" s="34" t="s">
        <v>144</v>
      </c>
      <c r="G40" s="77"/>
      <c r="H40" s="76">
        <v>135</v>
      </c>
      <c r="I40" s="34" t="s">
        <v>144</v>
      </c>
      <c r="J40" s="77"/>
      <c r="K40" s="76">
        <v>800</v>
      </c>
      <c r="L40" s="34" t="s">
        <v>144</v>
      </c>
      <c r="M40" s="77">
        <f>M48</f>
        <v>2541744000</v>
      </c>
      <c r="N40" s="76">
        <v>0</v>
      </c>
      <c r="O40" s="34" t="str">
        <f>L40</f>
        <v>Ha</v>
      </c>
      <c r="P40" s="77">
        <f>P48</f>
        <v>0</v>
      </c>
      <c r="Q40" s="76">
        <v>0</v>
      </c>
      <c r="R40" s="34" t="str">
        <f>L40</f>
        <v>Ha</v>
      </c>
      <c r="S40" s="77">
        <f>S48</f>
        <v>139456125</v>
      </c>
      <c r="T40" s="76">
        <v>700</v>
      </c>
      <c r="U40" s="34" t="str">
        <f>L40</f>
        <v>Ha</v>
      </c>
      <c r="V40" s="77">
        <f>V48</f>
        <v>981946000</v>
      </c>
      <c r="W40" s="76">
        <v>100</v>
      </c>
      <c r="X40" s="34" t="str">
        <f>O40</f>
        <v>Ha</v>
      </c>
      <c r="Y40" s="77">
        <f>Y48</f>
        <v>706667400</v>
      </c>
      <c r="Z40" s="100">
        <f t="shared" si="1"/>
        <v>800</v>
      </c>
      <c r="AA40" s="82" t="str">
        <f t="shared" si="2"/>
        <v>Ha</v>
      </c>
      <c r="AB40" s="51">
        <f t="shared" si="3"/>
        <v>100</v>
      </c>
      <c r="AC40" s="48" t="s">
        <v>141</v>
      </c>
      <c r="AD40" s="93">
        <f t="shared" si="4"/>
        <v>1828069525</v>
      </c>
      <c r="AE40" s="49">
        <f t="shared" si="5"/>
        <v>71.921858574270274</v>
      </c>
      <c r="AF40" s="48" t="s">
        <v>141</v>
      </c>
      <c r="AG40" s="125">
        <f t="shared" si="6"/>
        <v>935</v>
      </c>
      <c r="AH40" s="82" t="str">
        <f t="shared" si="7"/>
        <v>Ha</v>
      </c>
      <c r="AI40" s="93">
        <f t="shared" si="8"/>
        <v>1828069525</v>
      </c>
      <c r="AJ40" s="49"/>
      <c r="AK40" s="48" t="s">
        <v>141</v>
      </c>
      <c r="AL40" s="49"/>
      <c r="AM40" s="11"/>
      <c r="AP40" s="19"/>
    </row>
    <row r="41" spans="1:42" ht="83.25" customHeight="1" x14ac:dyDescent="0.2">
      <c r="A41" s="12"/>
      <c r="B41" s="13"/>
      <c r="C41" s="13"/>
      <c r="D41" s="14" t="s">
        <v>206</v>
      </c>
      <c r="E41" s="76">
        <f>15+5+15</f>
        <v>35</v>
      </c>
      <c r="F41" s="34" t="s">
        <v>144</v>
      </c>
      <c r="G41" s="90"/>
      <c r="H41" s="76">
        <v>3</v>
      </c>
      <c r="I41" s="34" t="s">
        <v>144</v>
      </c>
      <c r="J41" s="90"/>
      <c r="K41" s="76">
        <v>15</v>
      </c>
      <c r="L41" s="34" t="s">
        <v>144</v>
      </c>
      <c r="M41" s="90"/>
      <c r="N41" s="76">
        <v>0</v>
      </c>
      <c r="O41" s="34" t="str">
        <f t="shared" ref="O41:O47" si="19">L41</f>
        <v>Ha</v>
      </c>
      <c r="P41" s="90"/>
      <c r="Q41" s="76">
        <v>11</v>
      </c>
      <c r="R41" s="34" t="str">
        <f t="shared" ref="R41:R47" si="20">L41</f>
        <v>Ha</v>
      </c>
      <c r="S41" s="90"/>
      <c r="T41" s="76">
        <v>4</v>
      </c>
      <c r="U41" s="34" t="str">
        <f t="shared" ref="U41:U47" si="21">L41</f>
        <v>Ha</v>
      </c>
      <c r="V41" s="90"/>
      <c r="W41" s="76">
        <v>0</v>
      </c>
      <c r="X41" s="34" t="str">
        <f t="shared" ref="X41:X47" si="22">O41</f>
        <v>Ha</v>
      </c>
      <c r="Y41" s="90"/>
      <c r="Z41" s="100">
        <f t="shared" si="1"/>
        <v>15</v>
      </c>
      <c r="AA41" s="82" t="str">
        <f t="shared" si="2"/>
        <v>Ha</v>
      </c>
      <c r="AB41" s="51">
        <f t="shared" si="3"/>
        <v>100</v>
      </c>
      <c r="AC41" s="48" t="s">
        <v>141</v>
      </c>
      <c r="AD41" s="101"/>
      <c r="AE41" s="49"/>
      <c r="AF41" s="48"/>
      <c r="AG41" s="125">
        <f t="shared" si="6"/>
        <v>18</v>
      </c>
      <c r="AH41" s="82" t="str">
        <f t="shared" si="7"/>
        <v>Ha</v>
      </c>
      <c r="AI41" s="101"/>
      <c r="AJ41" s="49"/>
      <c r="AK41" s="48" t="s">
        <v>141</v>
      </c>
      <c r="AL41" s="49"/>
      <c r="AM41" s="11"/>
      <c r="AP41" s="19"/>
    </row>
    <row r="42" spans="1:42" ht="83.25" customHeight="1" x14ac:dyDescent="0.2">
      <c r="A42" s="12"/>
      <c r="B42" s="13"/>
      <c r="C42" s="13"/>
      <c r="D42" s="14" t="s">
        <v>207</v>
      </c>
      <c r="E42" s="76">
        <f>10+6+10</f>
        <v>26</v>
      </c>
      <c r="F42" s="34" t="s">
        <v>144</v>
      </c>
      <c r="G42" s="90"/>
      <c r="H42" s="76">
        <v>3</v>
      </c>
      <c r="I42" s="34" t="s">
        <v>144</v>
      </c>
      <c r="J42" s="90"/>
      <c r="K42" s="76">
        <v>10</v>
      </c>
      <c r="L42" s="34" t="s">
        <v>144</v>
      </c>
      <c r="M42" s="90"/>
      <c r="N42" s="76">
        <v>0</v>
      </c>
      <c r="O42" s="34" t="str">
        <f t="shared" si="19"/>
        <v>Ha</v>
      </c>
      <c r="P42" s="90"/>
      <c r="Q42" s="76">
        <v>0</v>
      </c>
      <c r="R42" s="34" t="str">
        <f t="shared" si="20"/>
        <v>Ha</v>
      </c>
      <c r="S42" s="90"/>
      <c r="T42" s="76">
        <v>5</v>
      </c>
      <c r="U42" s="34" t="str">
        <f t="shared" si="21"/>
        <v>Ha</v>
      </c>
      <c r="V42" s="90"/>
      <c r="W42" s="76">
        <v>5</v>
      </c>
      <c r="X42" s="34" t="str">
        <f t="shared" si="22"/>
        <v>Ha</v>
      </c>
      <c r="Y42" s="90"/>
      <c r="Z42" s="100">
        <f t="shared" si="1"/>
        <v>10</v>
      </c>
      <c r="AA42" s="82" t="str">
        <f t="shared" si="2"/>
        <v>Ha</v>
      </c>
      <c r="AB42" s="51">
        <f t="shared" si="3"/>
        <v>100</v>
      </c>
      <c r="AC42" s="48" t="s">
        <v>141</v>
      </c>
      <c r="AD42" s="101"/>
      <c r="AE42" s="49"/>
      <c r="AF42" s="48"/>
      <c r="AG42" s="125">
        <f t="shared" si="6"/>
        <v>13</v>
      </c>
      <c r="AH42" s="82" t="str">
        <f t="shared" si="7"/>
        <v>Ha</v>
      </c>
      <c r="AI42" s="101"/>
      <c r="AJ42" s="49"/>
      <c r="AK42" s="48" t="s">
        <v>141</v>
      </c>
      <c r="AL42" s="49"/>
      <c r="AM42" s="11"/>
      <c r="AP42" s="19"/>
    </row>
    <row r="43" spans="1:42" ht="83.25" customHeight="1" x14ac:dyDescent="0.2">
      <c r="A43" s="12"/>
      <c r="B43" s="13"/>
      <c r="C43" s="13"/>
      <c r="D43" s="14" t="s">
        <v>208</v>
      </c>
      <c r="E43" s="76">
        <f>2+2</f>
        <v>4</v>
      </c>
      <c r="F43" s="34" t="s">
        <v>144</v>
      </c>
      <c r="G43" s="90"/>
      <c r="H43" s="76"/>
      <c r="I43" s="34" t="s">
        <v>144</v>
      </c>
      <c r="J43" s="90"/>
      <c r="K43" s="76">
        <v>2</v>
      </c>
      <c r="L43" s="34" t="s">
        <v>144</v>
      </c>
      <c r="M43" s="90"/>
      <c r="N43" s="76">
        <v>0</v>
      </c>
      <c r="O43" s="34" t="str">
        <f t="shared" si="19"/>
        <v>Ha</v>
      </c>
      <c r="P43" s="90"/>
      <c r="Q43" s="76">
        <v>0</v>
      </c>
      <c r="R43" s="34" t="str">
        <f t="shared" si="20"/>
        <v>Ha</v>
      </c>
      <c r="S43" s="90"/>
      <c r="T43" s="76">
        <v>0</v>
      </c>
      <c r="U43" s="34" t="str">
        <f t="shared" si="21"/>
        <v>Ha</v>
      </c>
      <c r="V43" s="90"/>
      <c r="W43" s="76">
        <v>2</v>
      </c>
      <c r="X43" s="34" t="str">
        <f t="shared" si="22"/>
        <v>Ha</v>
      </c>
      <c r="Y43" s="90"/>
      <c r="Z43" s="100">
        <f t="shared" si="1"/>
        <v>2</v>
      </c>
      <c r="AA43" s="82" t="str">
        <f t="shared" si="2"/>
        <v>Ha</v>
      </c>
      <c r="AB43" s="51">
        <f t="shared" si="3"/>
        <v>100</v>
      </c>
      <c r="AC43" s="48" t="s">
        <v>141</v>
      </c>
      <c r="AD43" s="101"/>
      <c r="AE43" s="49"/>
      <c r="AF43" s="48"/>
      <c r="AG43" s="125">
        <f t="shared" si="6"/>
        <v>2</v>
      </c>
      <c r="AH43" s="82" t="str">
        <f t="shared" si="7"/>
        <v>Ha</v>
      </c>
      <c r="AI43" s="101"/>
      <c r="AJ43" s="49"/>
      <c r="AK43" s="48" t="s">
        <v>141</v>
      </c>
      <c r="AL43" s="49"/>
      <c r="AM43" s="11"/>
      <c r="AP43" s="19"/>
    </row>
    <row r="44" spans="1:42" ht="83.25" customHeight="1" x14ac:dyDescent="0.2">
      <c r="A44" s="12"/>
      <c r="B44" s="13"/>
      <c r="C44" s="13"/>
      <c r="D44" s="14" t="s">
        <v>209</v>
      </c>
      <c r="E44" s="76">
        <f>1+1+1</f>
        <v>3</v>
      </c>
      <c r="F44" s="34" t="s">
        <v>144</v>
      </c>
      <c r="G44" s="90"/>
      <c r="H44" s="76"/>
      <c r="I44" s="34" t="s">
        <v>144</v>
      </c>
      <c r="J44" s="90"/>
      <c r="K44" s="76">
        <v>1</v>
      </c>
      <c r="L44" s="34" t="s">
        <v>144</v>
      </c>
      <c r="M44" s="90"/>
      <c r="N44" s="76">
        <v>0</v>
      </c>
      <c r="O44" s="34" t="str">
        <f t="shared" si="19"/>
        <v>Ha</v>
      </c>
      <c r="P44" s="90"/>
      <c r="Q44" s="76">
        <v>0</v>
      </c>
      <c r="R44" s="34" t="str">
        <f t="shared" si="20"/>
        <v>Ha</v>
      </c>
      <c r="S44" s="90"/>
      <c r="T44" s="76">
        <v>0</v>
      </c>
      <c r="U44" s="34" t="str">
        <f t="shared" si="21"/>
        <v>Ha</v>
      </c>
      <c r="V44" s="90"/>
      <c r="W44" s="76">
        <v>1</v>
      </c>
      <c r="X44" s="34" t="str">
        <f t="shared" si="22"/>
        <v>Ha</v>
      </c>
      <c r="Y44" s="90"/>
      <c r="Z44" s="100">
        <f t="shared" ref="Z44:Z47" si="23">SUM(N44,Q44,T44,W44)</f>
        <v>1</v>
      </c>
      <c r="AA44" s="82" t="str">
        <f t="shared" ref="AA44:AA47" si="24">L44</f>
        <v>Ha</v>
      </c>
      <c r="AB44" s="51">
        <f t="shared" ref="AB44:AB47" si="25">Z44/K44*100</f>
        <v>100</v>
      </c>
      <c r="AC44" s="48" t="s">
        <v>141</v>
      </c>
      <c r="AD44" s="101"/>
      <c r="AE44" s="49"/>
      <c r="AF44" s="48"/>
      <c r="AG44" s="125">
        <f t="shared" ref="AG44:AG47" si="26">SUM(H44,Z44)</f>
        <v>1</v>
      </c>
      <c r="AH44" s="82" t="str">
        <f t="shared" ref="AH44:AH47" si="27">O44</f>
        <v>Ha</v>
      </c>
      <c r="AI44" s="101"/>
      <c r="AJ44" s="49"/>
      <c r="AK44" s="48" t="s">
        <v>141</v>
      </c>
      <c r="AL44" s="49"/>
      <c r="AM44" s="11"/>
      <c r="AP44" s="19"/>
    </row>
    <row r="45" spans="1:42" ht="83.25" customHeight="1" x14ac:dyDescent="0.2">
      <c r="A45" s="12"/>
      <c r="B45" s="13"/>
      <c r="C45" s="13"/>
      <c r="D45" s="14" t="s">
        <v>210</v>
      </c>
      <c r="E45" s="76">
        <f>3+2</f>
        <v>5</v>
      </c>
      <c r="F45" s="34" t="s">
        <v>144</v>
      </c>
      <c r="G45" s="90"/>
      <c r="H45" s="76"/>
      <c r="I45" s="34" t="s">
        <v>144</v>
      </c>
      <c r="J45" s="90"/>
      <c r="K45" s="76">
        <v>3</v>
      </c>
      <c r="L45" s="34" t="s">
        <v>144</v>
      </c>
      <c r="M45" s="90"/>
      <c r="N45" s="76">
        <v>0</v>
      </c>
      <c r="O45" s="34" t="str">
        <f t="shared" si="19"/>
        <v>Ha</v>
      </c>
      <c r="P45" s="90"/>
      <c r="Q45" s="76">
        <v>0</v>
      </c>
      <c r="R45" s="34" t="str">
        <f t="shared" si="20"/>
        <v>Ha</v>
      </c>
      <c r="S45" s="90"/>
      <c r="T45" s="76">
        <v>0</v>
      </c>
      <c r="U45" s="34" t="str">
        <f t="shared" si="21"/>
        <v>Ha</v>
      </c>
      <c r="V45" s="90"/>
      <c r="W45" s="76">
        <v>3</v>
      </c>
      <c r="X45" s="34" t="str">
        <f t="shared" si="22"/>
        <v>Ha</v>
      </c>
      <c r="Y45" s="90"/>
      <c r="Z45" s="100">
        <f t="shared" si="23"/>
        <v>3</v>
      </c>
      <c r="AA45" s="82" t="str">
        <f t="shared" si="24"/>
        <v>Ha</v>
      </c>
      <c r="AB45" s="51">
        <f t="shared" si="25"/>
        <v>100</v>
      </c>
      <c r="AC45" s="48" t="s">
        <v>141</v>
      </c>
      <c r="AD45" s="101"/>
      <c r="AE45" s="49"/>
      <c r="AF45" s="48"/>
      <c r="AG45" s="125">
        <f t="shared" si="26"/>
        <v>3</v>
      </c>
      <c r="AH45" s="82" t="str">
        <f t="shared" si="27"/>
        <v>Ha</v>
      </c>
      <c r="AI45" s="101"/>
      <c r="AJ45" s="49"/>
      <c r="AK45" s="48" t="s">
        <v>141</v>
      </c>
      <c r="AL45" s="49"/>
      <c r="AM45" s="11"/>
      <c r="AP45" s="19"/>
    </row>
    <row r="46" spans="1:42" ht="83.25" customHeight="1" x14ac:dyDescent="0.2">
      <c r="A46" s="12"/>
      <c r="B46" s="13"/>
      <c r="C46" s="13"/>
      <c r="D46" s="14" t="s">
        <v>211</v>
      </c>
      <c r="E46" s="76">
        <f>1+1</f>
        <v>2</v>
      </c>
      <c r="F46" s="34" t="s">
        <v>144</v>
      </c>
      <c r="G46" s="90"/>
      <c r="H46" s="76"/>
      <c r="I46" s="34" t="s">
        <v>144</v>
      </c>
      <c r="J46" s="90"/>
      <c r="K46" s="76">
        <v>1</v>
      </c>
      <c r="L46" s="34" t="s">
        <v>144</v>
      </c>
      <c r="M46" s="90"/>
      <c r="N46" s="76">
        <v>0</v>
      </c>
      <c r="O46" s="34" t="str">
        <f t="shared" si="19"/>
        <v>Ha</v>
      </c>
      <c r="P46" s="90"/>
      <c r="Q46" s="76">
        <v>0</v>
      </c>
      <c r="R46" s="34" t="str">
        <f t="shared" si="20"/>
        <v>Ha</v>
      </c>
      <c r="S46" s="90"/>
      <c r="T46" s="76">
        <v>0</v>
      </c>
      <c r="U46" s="34" t="str">
        <f t="shared" si="21"/>
        <v>Ha</v>
      </c>
      <c r="V46" s="90"/>
      <c r="W46" s="76">
        <v>1</v>
      </c>
      <c r="X46" s="34" t="str">
        <f t="shared" si="22"/>
        <v>Ha</v>
      </c>
      <c r="Y46" s="90"/>
      <c r="Z46" s="100">
        <f t="shared" si="23"/>
        <v>1</v>
      </c>
      <c r="AA46" s="82" t="str">
        <f t="shared" si="24"/>
        <v>Ha</v>
      </c>
      <c r="AB46" s="51">
        <f t="shared" si="25"/>
        <v>100</v>
      </c>
      <c r="AC46" s="48" t="s">
        <v>141</v>
      </c>
      <c r="AD46" s="101"/>
      <c r="AE46" s="49"/>
      <c r="AF46" s="48"/>
      <c r="AG46" s="125">
        <f t="shared" si="26"/>
        <v>1</v>
      </c>
      <c r="AH46" s="82" t="str">
        <f t="shared" si="27"/>
        <v>Ha</v>
      </c>
      <c r="AI46" s="101"/>
      <c r="AJ46" s="49"/>
      <c r="AK46" s="48" t="s">
        <v>141</v>
      </c>
      <c r="AL46" s="49"/>
      <c r="AM46" s="11"/>
      <c r="AP46" s="19"/>
    </row>
    <row r="47" spans="1:42" ht="83.25" customHeight="1" x14ac:dyDescent="0.2">
      <c r="A47" s="12"/>
      <c r="B47" s="13"/>
      <c r="C47" s="89"/>
      <c r="D47" s="14" t="s">
        <v>212</v>
      </c>
      <c r="E47" s="76">
        <f>10+10</f>
        <v>20</v>
      </c>
      <c r="F47" s="34" t="s">
        <v>144</v>
      </c>
      <c r="G47" s="81"/>
      <c r="H47" s="76">
        <v>9</v>
      </c>
      <c r="I47" s="34" t="s">
        <v>144</v>
      </c>
      <c r="J47" s="81"/>
      <c r="K47" s="76">
        <v>10</v>
      </c>
      <c r="L47" s="34" t="s">
        <v>144</v>
      </c>
      <c r="M47" s="81"/>
      <c r="N47" s="76">
        <v>0</v>
      </c>
      <c r="O47" s="34" t="str">
        <f t="shared" si="19"/>
        <v>Ha</v>
      </c>
      <c r="P47" s="81"/>
      <c r="Q47" s="76">
        <v>0</v>
      </c>
      <c r="R47" s="34" t="str">
        <f t="shared" si="20"/>
        <v>Ha</v>
      </c>
      <c r="S47" s="81"/>
      <c r="T47" s="76">
        <v>0</v>
      </c>
      <c r="U47" s="34" t="str">
        <f t="shared" si="21"/>
        <v>Ha</v>
      </c>
      <c r="V47" s="81"/>
      <c r="W47" s="76">
        <v>10</v>
      </c>
      <c r="X47" s="34" t="str">
        <f t="shared" si="22"/>
        <v>Ha</v>
      </c>
      <c r="Y47" s="81"/>
      <c r="Z47" s="100">
        <f t="shared" si="23"/>
        <v>10</v>
      </c>
      <c r="AA47" s="82" t="str">
        <f t="shared" si="24"/>
        <v>Ha</v>
      </c>
      <c r="AB47" s="51">
        <f t="shared" si="25"/>
        <v>100</v>
      </c>
      <c r="AC47" s="48" t="s">
        <v>141</v>
      </c>
      <c r="AD47" s="95"/>
      <c r="AE47" s="49"/>
      <c r="AF47" s="48"/>
      <c r="AG47" s="125">
        <f t="shared" si="26"/>
        <v>19</v>
      </c>
      <c r="AH47" s="82" t="str">
        <f t="shared" si="27"/>
        <v>Ha</v>
      </c>
      <c r="AI47" s="95"/>
      <c r="AJ47" s="49"/>
      <c r="AK47" s="48" t="s">
        <v>141</v>
      </c>
      <c r="AL47" s="49"/>
      <c r="AM47" s="11"/>
      <c r="AP47" s="19"/>
    </row>
    <row r="48" spans="1:42" ht="83.25" customHeight="1" x14ac:dyDescent="0.2">
      <c r="A48" s="12"/>
      <c r="B48" s="13"/>
      <c r="C48" s="117" t="s">
        <v>92</v>
      </c>
      <c r="D48" s="20" t="s">
        <v>195</v>
      </c>
      <c r="E48" s="35">
        <f>20000+8750+20000</f>
        <v>48750</v>
      </c>
      <c r="F48" s="16" t="s">
        <v>203</v>
      </c>
      <c r="G48" s="80"/>
      <c r="H48" s="35">
        <v>3375</v>
      </c>
      <c r="I48" s="16" t="s">
        <v>203</v>
      </c>
      <c r="J48" s="80"/>
      <c r="K48" s="35">
        <v>20000</v>
      </c>
      <c r="L48" s="16" t="s">
        <v>203</v>
      </c>
      <c r="M48" s="80">
        <v>2541744000</v>
      </c>
      <c r="N48" s="35">
        <v>0</v>
      </c>
      <c r="O48" s="16" t="str">
        <f>L48</f>
        <v>Kg</v>
      </c>
      <c r="P48" s="80">
        <v>0</v>
      </c>
      <c r="Q48" s="35">
        <v>0</v>
      </c>
      <c r="R48" s="16" t="str">
        <f>L48</f>
        <v>Kg</v>
      </c>
      <c r="S48" s="80">
        <v>139456125</v>
      </c>
      <c r="T48" s="35">
        <v>17500</v>
      </c>
      <c r="U48" s="16" t="str">
        <f>L48</f>
        <v>Kg</v>
      </c>
      <c r="V48" s="80">
        <v>981946000</v>
      </c>
      <c r="W48" s="35">
        <v>2500</v>
      </c>
      <c r="X48" s="16" t="str">
        <f>O48</f>
        <v>Kg</v>
      </c>
      <c r="Y48" s="80">
        <v>706667400</v>
      </c>
      <c r="Z48" s="113">
        <f t="shared" ref="Z48:Z51" si="28">SUM(N48,Q48,T48,W48)</f>
        <v>20000</v>
      </c>
      <c r="AA48" s="83" t="str">
        <f t="shared" ref="AA48:AA51" si="29">L48</f>
        <v>Kg</v>
      </c>
      <c r="AB48" s="52">
        <f t="shared" ref="AB48:AB51" si="30">Z48/K48*100</f>
        <v>100</v>
      </c>
      <c r="AC48" s="25" t="s">
        <v>141</v>
      </c>
      <c r="AD48" s="114">
        <f t="shared" ref="AD48" si="31">SUM(P48,S48,V48,Y48)</f>
        <v>1828069525</v>
      </c>
      <c r="AE48" s="119">
        <f t="shared" ref="AE48" si="32">AD48/M48*100</f>
        <v>71.921858574270274</v>
      </c>
      <c r="AF48" s="120" t="s">
        <v>141</v>
      </c>
      <c r="AG48" s="113">
        <f t="shared" ref="AG48:AG51" si="33">SUM(H48,Z48)</f>
        <v>23375</v>
      </c>
      <c r="AH48" s="83" t="str">
        <f t="shared" ref="AH48:AH51" si="34">O48</f>
        <v>Kg</v>
      </c>
      <c r="AI48" s="114">
        <f t="shared" ref="AI48" si="35">SUM(J48,AD48)</f>
        <v>1828069525</v>
      </c>
      <c r="AJ48" s="50"/>
      <c r="AK48" s="25" t="s">
        <v>141</v>
      </c>
      <c r="AL48" s="119"/>
      <c r="AM48" s="11"/>
      <c r="AP48" s="19"/>
    </row>
    <row r="49" spans="1:42" ht="83.25" customHeight="1" x14ac:dyDescent="0.2">
      <c r="A49" s="12"/>
      <c r="B49" s="13"/>
      <c r="C49" s="74"/>
      <c r="D49" s="20" t="s">
        <v>196</v>
      </c>
      <c r="E49" s="35">
        <f>225+75+225</f>
        <v>525</v>
      </c>
      <c r="F49" s="16" t="s">
        <v>204</v>
      </c>
      <c r="G49" s="78"/>
      <c r="H49" s="35">
        <v>45</v>
      </c>
      <c r="I49" s="16" t="s">
        <v>204</v>
      </c>
      <c r="J49" s="78"/>
      <c r="K49" s="35">
        <v>225</v>
      </c>
      <c r="L49" s="16" t="s">
        <v>204</v>
      </c>
      <c r="M49" s="78"/>
      <c r="N49" s="35">
        <v>0</v>
      </c>
      <c r="O49" s="16" t="str">
        <f t="shared" ref="O49:O55" si="36">L49</f>
        <v>Bks</v>
      </c>
      <c r="P49" s="78"/>
      <c r="Q49" s="35">
        <v>225</v>
      </c>
      <c r="R49" s="16" t="str">
        <f t="shared" ref="R49:R55" si="37">L49</f>
        <v>Bks</v>
      </c>
      <c r="S49" s="78"/>
      <c r="T49" s="35">
        <v>0</v>
      </c>
      <c r="U49" s="16" t="str">
        <f t="shared" ref="U49:U55" si="38">L49</f>
        <v>Bks</v>
      </c>
      <c r="V49" s="78"/>
      <c r="W49" s="35">
        <v>0</v>
      </c>
      <c r="X49" s="16" t="str">
        <f t="shared" ref="X49:X55" si="39">O49</f>
        <v>Bks</v>
      </c>
      <c r="Y49" s="78"/>
      <c r="Z49" s="113">
        <f t="shared" si="28"/>
        <v>225</v>
      </c>
      <c r="AA49" s="83" t="str">
        <f t="shared" si="29"/>
        <v>Bks</v>
      </c>
      <c r="AB49" s="52">
        <f t="shared" si="30"/>
        <v>100</v>
      </c>
      <c r="AC49" s="25" t="s">
        <v>141</v>
      </c>
      <c r="AD49" s="115"/>
      <c r="AE49" s="121"/>
      <c r="AF49" s="122"/>
      <c r="AG49" s="113">
        <f t="shared" si="33"/>
        <v>270</v>
      </c>
      <c r="AH49" s="83" t="str">
        <f t="shared" si="34"/>
        <v>Bks</v>
      </c>
      <c r="AI49" s="115"/>
      <c r="AJ49" s="50"/>
      <c r="AK49" s="25" t="s">
        <v>141</v>
      </c>
      <c r="AL49" s="121"/>
      <c r="AM49" s="11"/>
      <c r="AP49" s="19"/>
    </row>
    <row r="50" spans="1:42" ht="83.25" customHeight="1" x14ac:dyDescent="0.2">
      <c r="A50" s="12"/>
      <c r="B50" s="13"/>
      <c r="C50" s="74"/>
      <c r="D50" s="20" t="s">
        <v>197</v>
      </c>
      <c r="E50" s="35">
        <f>120+60+120</f>
        <v>300</v>
      </c>
      <c r="F50" s="16" t="s">
        <v>204</v>
      </c>
      <c r="G50" s="78"/>
      <c r="H50" s="35">
        <v>36</v>
      </c>
      <c r="I50" s="16" t="s">
        <v>204</v>
      </c>
      <c r="J50" s="78"/>
      <c r="K50" s="35">
        <v>120</v>
      </c>
      <c r="L50" s="16" t="s">
        <v>204</v>
      </c>
      <c r="M50" s="78"/>
      <c r="N50" s="35">
        <v>0</v>
      </c>
      <c r="O50" s="16" t="str">
        <f t="shared" si="36"/>
        <v>Bks</v>
      </c>
      <c r="P50" s="78"/>
      <c r="Q50" s="35">
        <v>120</v>
      </c>
      <c r="R50" s="16" t="str">
        <f t="shared" si="37"/>
        <v>Bks</v>
      </c>
      <c r="S50" s="78"/>
      <c r="T50" s="35">
        <v>0</v>
      </c>
      <c r="U50" s="16" t="str">
        <f t="shared" si="38"/>
        <v>Bks</v>
      </c>
      <c r="V50" s="78"/>
      <c r="W50" s="35">
        <v>0</v>
      </c>
      <c r="X50" s="16" t="str">
        <f t="shared" si="39"/>
        <v>Bks</v>
      </c>
      <c r="Y50" s="78"/>
      <c r="Z50" s="113">
        <f t="shared" si="28"/>
        <v>120</v>
      </c>
      <c r="AA50" s="83" t="str">
        <f t="shared" si="29"/>
        <v>Bks</v>
      </c>
      <c r="AB50" s="52">
        <f t="shared" si="30"/>
        <v>100</v>
      </c>
      <c r="AC50" s="25" t="s">
        <v>141</v>
      </c>
      <c r="AD50" s="115"/>
      <c r="AE50" s="121"/>
      <c r="AF50" s="122"/>
      <c r="AG50" s="113">
        <f t="shared" si="33"/>
        <v>156</v>
      </c>
      <c r="AH50" s="83" t="str">
        <f t="shared" si="34"/>
        <v>Bks</v>
      </c>
      <c r="AI50" s="115"/>
      <c r="AJ50" s="50"/>
      <c r="AK50" s="25" t="s">
        <v>141</v>
      </c>
      <c r="AL50" s="121"/>
      <c r="AM50" s="11"/>
      <c r="AP50" s="19"/>
    </row>
    <row r="51" spans="1:42" ht="83.25" customHeight="1" x14ac:dyDescent="0.2">
      <c r="A51" s="12"/>
      <c r="B51" s="13"/>
      <c r="C51" s="74"/>
      <c r="D51" s="20" t="s">
        <v>198</v>
      </c>
      <c r="E51" s="35">
        <f>50+50</f>
        <v>100</v>
      </c>
      <c r="F51" s="16" t="s">
        <v>204</v>
      </c>
      <c r="G51" s="78"/>
      <c r="H51" s="35"/>
      <c r="I51" s="16" t="s">
        <v>204</v>
      </c>
      <c r="J51" s="78"/>
      <c r="K51" s="35">
        <v>50</v>
      </c>
      <c r="L51" s="16" t="s">
        <v>204</v>
      </c>
      <c r="M51" s="78"/>
      <c r="N51" s="35">
        <v>0</v>
      </c>
      <c r="O51" s="16" t="str">
        <f t="shared" si="36"/>
        <v>Bks</v>
      </c>
      <c r="P51" s="78"/>
      <c r="Q51" s="35">
        <v>50</v>
      </c>
      <c r="R51" s="16" t="str">
        <f t="shared" si="37"/>
        <v>Bks</v>
      </c>
      <c r="S51" s="78"/>
      <c r="T51" s="35">
        <v>0</v>
      </c>
      <c r="U51" s="16" t="str">
        <f t="shared" si="38"/>
        <v>Bks</v>
      </c>
      <c r="V51" s="78"/>
      <c r="W51" s="35">
        <v>0</v>
      </c>
      <c r="X51" s="16" t="str">
        <f t="shared" si="39"/>
        <v>Bks</v>
      </c>
      <c r="Y51" s="78"/>
      <c r="Z51" s="113">
        <f t="shared" si="28"/>
        <v>50</v>
      </c>
      <c r="AA51" s="83" t="str">
        <f t="shared" si="29"/>
        <v>Bks</v>
      </c>
      <c r="AB51" s="52">
        <f t="shared" si="30"/>
        <v>100</v>
      </c>
      <c r="AC51" s="25" t="s">
        <v>141</v>
      </c>
      <c r="AD51" s="115"/>
      <c r="AE51" s="121"/>
      <c r="AF51" s="122"/>
      <c r="AG51" s="113">
        <f t="shared" si="33"/>
        <v>50</v>
      </c>
      <c r="AH51" s="83" t="str">
        <f t="shared" si="34"/>
        <v>Bks</v>
      </c>
      <c r="AI51" s="115"/>
      <c r="AJ51" s="50"/>
      <c r="AK51" s="25" t="s">
        <v>141</v>
      </c>
      <c r="AL51" s="121"/>
      <c r="AM51" s="11"/>
      <c r="AP51" s="19"/>
    </row>
    <row r="52" spans="1:42" ht="83.25" customHeight="1" x14ac:dyDescent="0.2">
      <c r="A52" s="12"/>
      <c r="B52" s="13"/>
      <c r="C52" s="74"/>
      <c r="D52" s="20" t="s">
        <v>199</v>
      </c>
      <c r="E52" s="35">
        <f>500+500+1000</f>
        <v>2000</v>
      </c>
      <c r="F52" s="16" t="s">
        <v>191</v>
      </c>
      <c r="G52" s="78"/>
      <c r="H52" s="35"/>
      <c r="I52" s="16" t="s">
        <v>191</v>
      </c>
      <c r="J52" s="78"/>
      <c r="K52" s="35">
        <v>500</v>
      </c>
      <c r="L52" s="16" t="s">
        <v>191</v>
      </c>
      <c r="M52" s="78"/>
      <c r="N52" s="35">
        <v>0</v>
      </c>
      <c r="O52" s="16" t="str">
        <f t="shared" si="36"/>
        <v>Pohon</v>
      </c>
      <c r="P52" s="78"/>
      <c r="Q52" s="35">
        <v>0</v>
      </c>
      <c r="R52" s="16" t="str">
        <f t="shared" si="37"/>
        <v>Pohon</v>
      </c>
      <c r="S52" s="78"/>
      <c r="T52" s="35">
        <v>0</v>
      </c>
      <c r="U52" s="16" t="str">
        <f t="shared" si="38"/>
        <v>Pohon</v>
      </c>
      <c r="V52" s="78"/>
      <c r="W52" s="35">
        <v>500</v>
      </c>
      <c r="X52" s="16" t="str">
        <f t="shared" si="39"/>
        <v>Pohon</v>
      </c>
      <c r="Y52" s="78"/>
      <c r="Z52" s="113">
        <f t="shared" si="1"/>
        <v>500</v>
      </c>
      <c r="AA52" s="84" t="str">
        <f t="shared" si="2"/>
        <v>Pohon</v>
      </c>
      <c r="AB52" s="52">
        <f t="shared" si="3"/>
        <v>100</v>
      </c>
      <c r="AC52" s="25" t="s">
        <v>141</v>
      </c>
      <c r="AD52" s="115"/>
      <c r="AE52" s="121"/>
      <c r="AF52" s="122"/>
      <c r="AG52" s="113">
        <f t="shared" si="6"/>
        <v>500</v>
      </c>
      <c r="AH52" s="83" t="str">
        <f t="shared" si="7"/>
        <v>Pohon</v>
      </c>
      <c r="AI52" s="115"/>
      <c r="AJ52" s="50"/>
      <c r="AK52" s="25" t="s">
        <v>141</v>
      </c>
      <c r="AL52" s="121"/>
      <c r="AM52" s="11"/>
      <c r="AP52" s="19"/>
    </row>
    <row r="53" spans="1:42" ht="83.25" customHeight="1" x14ac:dyDescent="0.2">
      <c r="A53" s="12"/>
      <c r="B53" s="13"/>
      <c r="C53" s="74"/>
      <c r="D53" s="20" t="s">
        <v>200</v>
      </c>
      <c r="E53" s="35">
        <f>1500+1000</f>
        <v>2500</v>
      </c>
      <c r="F53" s="16" t="s">
        <v>191</v>
      </c>
      <c r="G53" s="78"/>
      <c r="H53" s="35"/>
      <c r="I53" s="16" t="s">
        <v>191</v>
      </c>
      <c r="J53" s="78"/>
      <c r="K53" s="35">
        <v>1500</v>
      </c>
      <c r="L53" s="16" t="s">
        <v>191</v>
      </c>
      <c r="M53" s="78"/>
      <c r="N53" s="35">
        <v>0</v>
      </c>
      <c r="O53" s="16" t="str">
        <f t="shared" si="36"/>
        <v>Pohon</v>
      </c>
      <c r="P53" s="78"/>
      <c r="Q53" s="35">
        <v>0</v>
      </c>
      <c r="R53" s="16" t="str">
        <f t="shared" si="37"/>
        <v>Pohon</v>
      </c>
      <c r="S53" s="78"/>
      <c r="T53" s="35">
        <v>0</v>
      </c>
      <c r="U53" s="16" t="str">
        <f t="shared" si="38"/>
        <v>Pohon</v>
      </c>
      <c r="V53" s="78"/>
      <c r="W53" s="35">
        <v>1500</v>
      </c>
      <c r="X53" s="16" t="str">
        <f t="shared" si="39"/>
        <v>Pohon</v>
      </c>
      <c r="Y53" s="78"/>
      <c r="Z53" s="113">
        <f t="shared" ref="Z53" si="40">SUM(N53,Q53,T53,W53)</f>
        <v>1500</v>
      </c>
      <c r="AA53" s="84" t="str">
        <f t="shared" ref="AA53" si="41">L53</f>
        <v>Pohon</v>
      </c>
      <c r="AB53" s="52">
        <f t="shared" ref="AB53" si="42">Z53/K53*100</f>
        <v>100</v>
      </c>
      <c r="AC53" s="25" t="s">
        <v>141</v>
      </c>
      <c r="AD53" s="115"/>
      <c r="AE53" s="121"/>
      <c r="AF53" s="122"/>
      <c r="AG53" s="113">
        <f t="shared" ref="AG53" si="43">SUM(H53,Z53)</f>
        <v>1500</v>
      </c>
      <c r="AH53" s="83" t="str">
        <f t="shared" ref="AH53" si="44">O53</f>
        <v>Pohon</v>
      </c>
      <c r="AI53" s="115"/>
      <c r="AJ53" s="50"/>
      <c r="AK53" s="25" t="s">
        <v>141</v>
      </c>
      <c r="AL53" s="121"/>
      <c r="AM53" s="11"/>
      <c r="AP53" s="19"/>
    </row>
    <row r="54" spans="1:42" ht="83.25" customHeight="1" x14ac:dyDescent="0.2">
      <c r="A54" s="12"/>
      <c r="B54" s="13"/>
      <c r="C54" s="74"/>
      <c r="D54" s="20" t="s">
        <v>201</v>
      </c>
      <c r="E54" s="35">
        <f>690+500</f>
        <v>1190</v>
      </c>
      <c r="F54" s="16" t="s">
        <v>191</v>
      </c>
      <c r="G54" s="78"/>
      <c r="H54" s="35"/>
      <c r="I54" s="16" t="s">
        <v>191</v>
      </c>
      <c r="J54" s="78"/>
      <c r="K54" s="35">
        <v>690</v>
      </c>
      <c r="L54" s="16" t="s">
        <v>191</v>
      </c>
      <c r="M54" s="78"/>
      <c r="N54" s="35">
        <v>0</v>
      </c>
      <c r="O54" s="16" t="str">
        <f t="shared" si="36"/>
        <v>Pohon</v>
      </c>
      <c r="P54" s="78"/>
      <c r="Q54" s="35">
        <v>0</v>
      </c>
      <c r="R54" s="16" t="str">
        <f t="shared" si="37"/>
        <v>Pohon</v>
      </c>
      <c r="S54" s="78"/>
      <c r="T54" s="35">
        <v>0</v>
      </c>
      <c r="U54" s="16" t="str">
        <f t="shared" si="38"/>
        <v>Pohon</v>
      </c>
      <c r="V54" s="78"/>
      <c r="W54" s="35">
        <v>690</v>
      </c>
      <c r="X54" s="16" t="str">
        <f t="shared" si="39"/>
        <v>Pohon</v>
      </c>
      <c r="Y54" s="78"/>
      <c r="Z54" s="113">
        <f t="shared" ref="Z54" si="45">SUM(N54,Q54,T54,W54)</f>
        <v>690</v>
      </c>
      <c r="AA54" s="84" t="str">
        <f t="shared" ref="AA54" si="46">L54</f>
        <v>Pohon</v>
      </c>
      <c r="AB54" s="52">
        <f t="shared" ref="AB54" si="47">Z54/K54*100</f>
        <v>100</v>
      </c>
      <c r="AC54" s="25" t="s">
        <v>141</v>
      </c>
      <c r="AD54" s="115"/>
      <c r="AE54" s="121"/>
      <c r="AF54" s="122"/>
      <c r="AG54" s="113">
        <f t="shared" ref="AG54" si="48">SUM(H54,Z54)</f>
        <v>690</v>
      </c>
      <c r="AH54" s="83" t="str">
        <f t="shared" ref="AH54" si="49">O54</f>
        <v>Pohon</v>
      </c>
      <c r="AI54" s="115"/>
      <c r="AJ54" s="50"/>
      <c r="AK54" s="25" t="s">
        <v>141</v>
      </c>
      <c r="AL54" s="121"/>
      <c r="AM54" s="11"/>
      <c r="AP54" s="19"/>
    </row>
    <row r="55" spans="1:42" ht="83.25" customHeight="1" x14ac:dyDescent="0.2">
      <c r="A55" s="12"/>
      <c r="B55" s="13"/>
      <c r="C55" s="68"/>
      <c r="D55" s="20" t="s">
        <v>202</v>
      </c>
      <c r="E55" s="35">
        <f>1000+1100</f>
        <v>2100</v>
      </c>
      <c r="F55" s="16" t="s">
        <v>191</v>
      </c>
      <c r="G55" s="79"/>
      <c r="H55" s="35">
        <v>900</v>
      </c>
      <c r="I55" s="16" t="s">
        <v>191</v>
      </c>
      <c r="J55" s="79"/>
      <c r="K55" s="35">
        <v>1000</v>
      </c>
      <c r="L55" s="16" t="s">
        <v>191</v>
      </c>
      <c r="M55" s="79"/>
      <c r="N55" s="35">
        <v>0</v>
      </c>
      <c r="O55" s="16" t="str">
        <f t="shared" si="36"/>
        <v>Pohon</v>
      </c>
      <c r="P55" s="79"/>
      <c r="Q55" s="35">
        <v>0</v>
      </c>
      <c r="R55" s="16" t="str">
        <f t="shared" si="37"/>
        <v>Pohon</v>
      </c>
      <c r="S55" s="79"/>
      <c r="T55" s="35">
        <v>0</v>
      </c>
      <c r="U55" s="16" t="str">
        <f t="shared" si="38"/>
        <v>Pohon</v>
      </c>
      <c r="V55" s="79"/>
      <c r="W55" s="35">
        <v>1000</v>
      </c>
      <c r="X55" s="16" t="str">
        <f t="shared" si="39"/>
        <v>Pohon</v>
      </c>
      <c r="Y55" s="79"/>
      <c r="Z55" s="113">
        <f t="shared" si="1"/>
        <v>1000</v>
      </c>
      <c r="AA55" s="84" t="str">
        <f t="shared" si="2"/>
        <v>Pohon</v>
      </c>
      <c r="AB55" s="52">
        <f t="shared" si="3"/>
        <v>100</v>
      </c>
      <c r="AC55" s="25" t="s">
        <v>141</v>
      </c>
      <c r="AD55" s="116"/>
      <c r="AE55" s="123"/>
      <c r="AF55" s="124"/>
      <c r="AG55" s="113">
        <f t="shared" si="6"/>
        <v>1900</v>
      </c>
      <c r="AH55" s="83" t="str">
        <f t="shared" si="7"/>
        <v>Pohon</v>
      </c>
      <c r="AI55" s="116"/>
      <c r="AJ55" s="50"/>
      <c r="AK55" s="25" t="s">
        <v>141</v>
      </c>
      <c r="AL55" s="123"/>
      <c r="AM55" s="11"/>
      <c r="AP55" s="19"/>
    </row>
    <row r="56" spans="1:42" ht="160.5" customHeight="1" x14ac:dyDescent="0.2">
      <c r="A56" s="12"/>
      <c r="B56" s="13"/>
      <c r="C56" s="38" t="s">
        <v>93</v>
      </c>
      <c r="D56" s="14" t="s">
        <v>194</v>
      </c>
      <c r="E56" s="76">
        <f>E57+E59</f>
        <v>5650</v>
      </c>
      <c r="F56" s="75" t="s">
        <v>191</v>
      </c>
      <c r="G56" s="78"/>
      <c r="H56" s="35"/>
      <c r="I56" s="16"/>
      <c r="J56" s="78"/>
      <c r="K56" s="76">
        <v>2200</v>
      </c>
      <c r="L56" s="75" t="s">
        <v>191</v>
      </c>
      <c r="M56" s="90">
        <f>SUM(M57:M59)</f>
        <v>854238500</v>
      </c>
      <c r="N56" s="76">
        <f>N57+N59</f>
        <v>0</v>
      </c>
      <c r="O56" s="75" t="str">
        <f>L56</f>
        <v>Pohon</v>
      </c>
      <c r="P56" s="90">
        <f>SUM(P57:P59)</f>
        <v>51500000</v>
      </c>
      <c r="Q56" s="76">
        <f>Q57+Q59</f>
        <v>290</v>
      </c>
      <c r="R56" s="75" t="str">
        <f>L56</f>
        <v>Pohon</v>
      </c>
      <c r="S56" s="90">
        <f>SUM(S57:S59)</f>
        <v>145620000</v>
      </c>
      <c r="T56" s="76">
        <v>255</v>
      </c>
      <c r="U56" s="75" t="str">
        <f>O56</f>
        <v>Pohon</v>
      </c>
      <c r="V56" s="90">
        <f>SUM(V57:V59)</f>
        <v>91328500</v>
      </c>
      <c r="W56" s="76">
        <v>370</v>
      </c>
      <c r="X56" s="75" t="str">
        <f>R56</f>
        <v>Pohon</v>
      </c>
      <c r="Y56" s="90">
        <f>SUM(Y57:Y59)</f>
        <v>283473700</v>
      </c>
      <c r="Z56" s="125">
        <f t="shared" ref="Z56" si="50">SUM(N56,Q56,T56,W56)</f>
        <v>915</v>
      </c>
      <c r="AA56" s="98" t="str">
        <f t="shared" ref="AA56" si="51">L56</f>
        <v>Pohon</v>
      </c>
      <c r="AB56" s="49">
        <f t="shared" ref="AB56" si="52">Z56/K56*100</f>
        <v>41.590909090909086</v>
      </c>
      <c r="AC56" s="48" t="s">
        <v>141</v>
      </c>
      <c r="AD56" s="93">
        <f t="shared" ref="AD56" si="53">SUM(P56,S56,V56,Y56)</f>
        <v>571922200</v>
      </c>
      <c r="AE56" s="94">
        <f t="shared" ref="AE56" si="54">AD56/M56*100</f>
        <v>66.951114940382567</v>
      </c>
      <c r="AF56" s="37" t="s">
        <v>141</v>
      </c>
      <c r="AG56" s="125">
        <f t="shared" ref="AG56" si="55">SUM(H56,Z56)</f>
        <v>915</v>
      </c>
      <c r="AH56" s="82" t="str">
        <f t="shared" ref="AH56" si="56">O56</f>
        <v>Pohon</v>
      </c>
      <c r="AI56" s="93">
        <f t="shared" ref="AI56" si="57">SUM(J56,AD56)</f>
        <v>571922200</v>
      </c>
      <c r="AJ56" s="49"/>
      <c r="AK56" s="48" t="s">
        <v>141</v>
      </c>
      <c r="AL56" s="94"/>
      <c r="AM56" s="11"/>
      <c r="AP56" s="19"/>
    </row>
    <row r="57" spans="1:42" ht="68.25" customHeight="1" x14ac:dyDescent="0.2">
      <c r="A57" s="12"/>
      <c r="B57" s="13"/>
      <c r="C57" s="20" t="s">
        <v>94</v>
      </c>
      <c r="D57" s="20" t="s">
        <v>190</v>
      </c>
      <c r="E57" s="113">
        <f>1000+1000+1000</f>
        <v>3000</v>
      </c>
      <c r="F57" s="16" t="s">
        <v>191</v>
      </c>
      <c r="G57" s="17"/>
      <c r="H57" s="15">
        <v>0</v>
      </c>
      <c r="I57" s="16" t="s">
        <v>191</v>
      </c>
      <c r="J57" s="17"/>
      <c r="K57" s="35">
        <v>1000</v>
      </c>
      <c r="L57" s="16" t="s">
        <v>191</v>
      </c>
      <c r="M57" s="17">
        <v>54350000</v>
      </c>
      <c r="N57" s="15">
        <v>0</v>
      </c>
      <c r="O57" s="16" t="str">
        <f t="shared" ref="O57:O59" si="58">L57</f>
        <v>Pohon</v>
      </c>
      <c r="P57" s="17">
        <v>0</v>
      </c>
      <c r="Q57" s="15">
        <v>40</v>
      </c>
      <c r="R57" s="16" t="str">
        <f t="shared" ref="R57:R59" si="59">L57</f>
        <v>Pohon</v>
      </c>
      <c r="S57" s="17">
        <v>0</v>
      </c>
      <c r="T57" s="15">
        <v>0</v>
      </c>
      <c r="U57" s="16" t="str">
        <f t="shared" ref="U57:U59" si="60">O57</f>
        <v>Pohon</v>
      </c>
      <c r="V57" s="17">
        <v>31350000</v>
      </c>
      <c r="W57" s="15">
        <v>30</v>
      </c>
      <c r="X57" s="16" t="str">
        <f t="shared" ref="X57:X59" si="61">R57</f>
        <v>Pohon</v>
      </c>
      <c r="Y57" s="17">
        <v>0</v>
      </c>
      <c r="Z57" s="109">
        <f t="shared" si="1"/>
        <v>70</v>
      </c>
      <c r="AA57" s="84" t="str">
        <f t="shared" si="2"/>
        <v>Pohon</v>
      </c>
      <c r="AB57" s="50">
        <f>Z57/K57*100</f>
        <v>7.0000000000000009</v>
      </c>
      <c r="AC57" s="25" t="s">
        <v>141</v>
      </c>
      <c r="AD57" s="31">
        <f t="shared" si="4"/>
        <v>31350000</v>
      </c>
      <c r="AE57" s="50">
        <f t="shared" si="5"/>
        <v>57.681692732290713</v>
      </c>
      <c r="AF57" s="25" t="s">
        <v>141</v>
      </c>
      <c r="AG57" s="109">
        <f t="shared" si="6"/>
        <v>70</v>
      </c>
      <c r="AH57" s="83" t="str">
        <f t="shared" si="7"/>
        <v>Pohon</v>
      </c>
      <c r="AI57" s="31">
        <f t="shared" si="8"/>
        <v>31350000</v>
      </c>
      <c r="AJ57" s="50"/>
      <c r="AK57" s="25" t="s">
        <v>141</v>
      </c>
      <c r="AL57" s="50"/>
      <c r="AM57" s="11"/>
      <c r="AP57" s="19"/>
    </row>
    <row r="58" spans="1:42" ht="48" customHeight="1" x14ac:dyDescent="0.2">
      <c r="A58" s="12"/>
      <c r="B58" s="13"/>
      <c r="C58" s="20" t="s">
        <v>95</v>
      </c>
      <c r="D58" s="20" t="s">
        <v>182</v>
      </c>
      <c r="E58" s="15">
        <v>3</v>
      </c>
      <c r="F58" s="16" t="s">
        <v>144</v>
      </c>
      <c r="G58" s="17"/>
      <c r="H58" s="15"/>
      <c r="I58" s="16"/>
      <c r="J58" s="17"/>
      <c r="K58" s="15">
        <v>3</v>
      </c>
      <c r="L58" s="16" t="s">
        <v>144</v>
      </c>
      <c r="M58" s="17">
        <v>478439000</v>
      </c>
      <c r="N58" s="15">
        <v>0</v>
      </c>
      <c r="O58" s="16" t="str">
        <f t="shared" si="58"/>
        <v>Ha</v>
      </c>
      <c r="P58" s="17">
        <v>27500000</v>
      </c>
      <c r="Q58" s="15">
        <v>0</v>
      </c>
      <c r="R58" s="16" t="str">
        <f t="shared" si="59"/>
        <v>Ha</v>
      </c>
      <c r="S58" s="17">
        <v>98145000</v>
      </c>
      <c r="T58" s="15">
        <v>0</v>
      </c>
      <c r="U58" s="16" t="str">
        <f t="shared" si="60"/>
        <v>Ha</v>
      </c>
      <c r="V58" s="17">
        <v>25003500</v>
      </c>
      <c r="W58" s="15">
        <v>3</v>
      </c>
      <c r="X58" s="16" t="str">
        <f t="shared" si="61"/>
        <v>Ha</v>
      </c>
      <c r="Y58" s="17">
        <v>194345900</v>
      </c>
      <c r="Z58" s="52">
        <f>SUM(N58,Q58,T58,W58)</f>
        <v>3</v>
      </c>
      <c r="AA58" s="83" t="str">
        <f t="shared" si="2"/>
        <v>Ha</v>
      </c>
      <c r="AB58" s="52">
        <f t="shared" si="3"/>
        <v>100</v>
      </c>
      <c r="AC58" s="25" t="s">
        <v>141</v>
      </c>
      <c r="AD58" s="31">
        <f t="shared" si="4"/>
        <v>344994400</v>
      </c>
      <c r="AE58" s="50">
        <f t="shared" si="5"/>
        <v>72.108335649894755</v>
      </c>
      <c r="AF58" s="25" t="s">
        <v>141</v>
      </c>
      <c r="AG58" s="52">
        <f t="shared" si="6"/>
        <v>3</v>
      </c>
      <c r="AH58" s="83" t="str">
        <f t="shared" si="7"/>
        <v>Ha</v>
      </c>
      <c r="AI58" s="31">
        <f t="shared" si="8"/>
        <v>344994400</v>
      </c>
      <c r="AJ58" s="50"/>
      <c r="AK58" s="25" t="s">
        <v>141</v>
      </c>
      <c r="AL58" s="50"/>
      <c r="AM58" s="11"/>
      <c r="AP58" s="19"/>
    </row>
    <row r="59" spans="1:42" ht="60" x14ac:dyDescent="0.2">
      <c r="A59" s="12"/>
      <c r="B59" s="13"/>
      <c r="C59" s="20" t="s">
        <v>96</v>
      </c>
      <c r="D59" s="20" t="s">
        <v>192</v>
      </c>
      <c r="E59" s="35">
        <f>1250+700+700</f>
        <v>2650</v>
      </c>
      <c r="F59" s="36" t="s">
        <v>193</v>
      </c>
      <c r="G59" s="17"/>
      <c r="H59" s="15">
        <v>0</v>
      </c>
      <c r="I59" s="36" t="s">
        <v>193</v>
      </c>
      <c r="J59" s="17"/>
      <c r="K59" s="35">
        <v>1200</v>
      </c>
      <c r="L59" s="36" t="s">
        <v>193</v>
      </c>
      <c r="M59" s="17">
        <v>321449500</v>
      </c>
      <c r="N59" s="15">
        <v>0</v>
      </c>
      <c r="O59" s="36" t="str">
        <f t="shared" si="58"/>
        <v>Batang/pohon</v>
      </c>
      <c r="P59" s="17">
        <v>24000000</v>
      </c>
      <c r="Q59" s="15">
        <v>250</v>
      </c>
      <c r="R59" s="36" t="str">
        <f t="shared" si="59"/>
        <v>Batang/pohon</v>
      </c>
      <c r="S59" s="17">
        <v>47475000</v>
      </c>
      <c r="T59" s="15">
        <v>255</v>
      </c>
      <c r="U59" s="36" t="str">
        <f t="shared" si="60"/>
        <v>Batang/pohon</v>
      </c>
      <c r="V59" s="17">
        <v>34975000</v>
      </c>
      <c r="W59" s="15">
        <v>340</v>
      </c>
      <c r="X59" s="36" t="str">
        <f t="shared" si="61"/>
        <v>Batang/pohon</v>
      </c>
      <c r="Y59" s="17">
        <v>89127800</v>
      </c>
      <c r="Z59" s="109">
        <f t="shared" si="1"/>
        <v>845</v>
      </c>
      <c r="AA59" s="84" t="str">
        <f t="shared" si="2"/>
        <v>Batang/pohon</v>
      </c>
      <c r="AB59" s="50">
        <f t="shared" si="3"/>
        <v>70.416666666666671</v>
      </c>
      <c r="AC59" s="25" t="s">
        <v>141</v>
      </c>
      <c r="AD59" s="31">
        <f t="shared" si="4"/>
        <v>195577800</v>
      </c>
      <c r="AE59" s="50">
        <f t="shared" si="5"/>
        <v>60.842465146158261</v>
      </c>
      <c r="AF59" s="25" t="s">
        <v>141</v>
      </c>
      <c r="AG59" s="109">
        <f t="shared" si="6"/>
        <v>845</v>
      </c>
      <c r="AH59" s="83" t="str">
        <f t="shared" si="7"/>
        <v>Batang/pohon</v>
      </c>
      <c r="AI59" s="31">
        <f t="shared" si="8"/>
        <v>195577800</v>
      </c>
      <c r="AJ59" s="50"/>
      <c r="AK59" s="25" t="s">
        <v>141</v>
      </c>
      <c r="AL59" s="50"/>
      <c r="AM59" s="11"/>
      <c r="AP59" s="19"/>
    </row>
    <row r="60" spans="1:42" ht="193.5" customHeight="1" x14ac:dyDescent="0.2">
      <c r="A60" s="12"/>
      <c r="B60" s="13"/>
      <c r="C60" s="38" t="s">
        <v>97</v>
      </c>
      <c r="D60" s="14" t="s">
        <v>176</v>
      </c>
      <c r="E60" s="15"/>
      <c r="F60" s="34" t="s">
        <v>142</v>
      </c>
      <c r="G60" s="80"/>
      <c r="H60" s="112">
        <v>4700</v>
      </c>
      <c r="I60" s="34" t="s">
        <v>142</v>
      </c>
      <c r="J60" s="80"/>
      <c r="K60" s="76">
        <v>4794</v>
      </c>
      <c r="L60" s="34" t="s">
        <v>142</v>
      </c>
      <c r="M60" s="77">
        <f>SUM(M66)</f>
        <v>626075000</v>
      </c>
      <c r="N60" s="76">
        <v>0</v>
      </c>
      <c r="O60" s="34" t="str">
        <f>L60</f>
        <v>Ekor</v>
      </c>
      <c r="P60" s="77">
        <f>SUM(P66)</f>
        <v>0</v>
      </c>
      <c r="Q60" s="76">
        <v>4764</v>
      </c>
      <c r="R60" s="34" t="str">
        <f>L60</f>
        <v>Ekor</v>
      </c>
      <c r="S60" s="77">
        <f>SUM(S66)</f>
        <v>142650000</v>
      </c>
      <c r="T60" s="76">
        <v>0</v>
      </c>
      <c r="U60" s="34" t="str">
        <f>L60</f>
        <v>Ekor</v>
      </c>
      <c r="V60" s="77">
        <f>SUM(V66)</f>
        <v>194500000</v>
      </c>
      <c r="W60" s="76">
        <v>0</v>
      </c>
      <c r="X60" s="34" t="str">
        <f>O60</f>
        <v>Ekor</v>
      </c>
      <c r="Y60" s="77">
        <f>SUM(Y66)</f>
        <v>246250000</v>
      </c>
      <c r="Z60" s="112">
        <f t="shared" si="1"/>
        <v>4764</v>
      </c>
      <c r="AA60" s="82" t="str">
        <f t="shared" si="2"/>
        <v>Ekor</v>
      </c>
      <c r="AB60" s="49">
        <f t="shared" si="3"/>
        <v>99.374217772215275</v>
      </c>
      <c r="AC60" s="48" t="s">
        <v>141</v>
      </c>
      <c r="AD60" s="93">
        <f t="shared" si="4"/>
        <v>583400000</v>
      </c>
      <c r="AE60" s="94">
        <f t="shared" si="5"/>
        <v>93.183723994729064</v>
      </c>
      <c r="AF60" s="37" t="s">
        <v>141</v>
      </c>
      <c r="AG60" s="112">
        <f t="shared" si="6"/>
        <v>9464</v>
      </c>
      <c r="AH60" s="98" t="str">
        <f t="shared" si="7"/>
        <v>Ekor</v>
      </c>
      <c r="AI60" s="93">
        <f t="shared" si="8"/>
        <v>583400000</v>
      </c>
      <c r="AJ60" s="49"/>
      <c r="AK60" s="48" t="s">
        <v>141</v>
      </c>
      <c r="AL60" s="94"/>
      <c r="AM60" s="11"/>
      <c r="AP60" s="19"/>
    </row>
    <row r="61" spans="1:42" ht="53.25" customHeight="1" x14ac:dyDescent="0.2">
      <c r="A61" s="12"/>
      <c r="B61" s="13"/>
      <c r="C61" s="74"/>
      <c r="D61" s="14" t="s">
        <v>177</v>
      </c>
      <c r="E61" s="35"/>
      <c r="F61" s="75" t="s">
        <v>142</v>
      </c>
      <c r="G61" s="78"/>
      <c r="H61" s="76">
        <v>1030</v>
      </c>
      <c r="I61" s="75" t="s">
        <v>142</v>
      </c>
      <c r="J61" s="78"/>
      <c r="K61" s="76">
        <v>1050</v>
      </c>
      <c r="L61" s="34" t="s">
        <v>142</v>
      </c>
      <c r="M61" s="78"/>
      <c r="N61" s="76">
        <v>0</v>
      </c>
      <c r="O61" s="34" t="str">
        <f t="shared" ref="O61:O65" si="62">L61</f>
        <v>Ekor</v>
      </c>
      <c r="P61" s="78"/>
      <c r="Q61" s="76">
        <v>1040</v>
      </c>
      <c r="R61" s="34" t="str">
        <f t="shared" ref="R61:R65" si="63">L61</f>
        <v>Ekor</v>
      </c>
      <c r="S61" s="78"/>
      <c r="T61" s="76">
        <v>0</v>
      </c>
      <c r="U61" s="34" t="str">
        <f t="shared" ref="U61:U65" si="64">L61</f>
        <v>Ekor</v>
      </c>
      <c r="V61" s="78"/>
      <c r="W61" s="76">
        <v>0</v>
      </c>
      <c r="X61" s="34" t="str">
        <f t="shared" ref="X61:X65" si="65">O61</f>
        <v>Ekor</v>
      </c>
      <c r="Y61" s="78"/>
      <c r="Z61" s="112">
        <f t="shared" si="1"/>
        <v>1040</v>
      </c>
      <c r="AA61" s="98" t="str">
        <f t="shared" si="2"/>
        <v>Ekor</v>
      </c>
      <c r="AB61" s="49">
        <f t="shared" si="3"/>
        <v>99.047619047619051</v>
      </c>
      <c r="AC61" s="48" t="s">
        <v>141</v>
      </c>
      <c r="AD61" s="101"/>
      <c r="AE61" s="102"/>
      <c r="AF61" s="12"/>
      <c r="AG61" s="112">
        <f t="shared" si="6"/>
        <v>2070</v>
      </c>
      <c r="AH61" s="98" t="str">
        <f t="shared" si="7"/>
        <v>Ekor</v>
      </c>
      <c r="AI61" s="101"/>
      <c r="AJ61" s="49"/>
      <c r="AK61" s="48" t="s">
        <v>141</v>
      </c>
      <c r="AL61" s="102"/>
      <c r="AM61" s="11"/>
      <c r="AP61" s="19"/>
    </row>
    <row r="62" spans="1:42" ht="47.25" x14ac:dyDescent="0.2">
      <c r="A62" s="12"/>
      <c r="B62" s="13"/>
      <c r="C62" s="74"/>
      <c r="D62" s="14" t="s">
        <v>178</v>
      </c>
      <c r="E62" s="35"/>
      <c r="F62" s="75" t="s">
        <v>142</v>
      </c>
      <c r="G62" s="78"/>
      <c r="H62" s="76">
        <v>2881</v>
      </c>
      <c r="I62" s="75" t="s">
        <v>142</v>
      </c>
      <c r="J62" s="78"/>
      <c r="K62" s="76">
        <v>2917</v>
      </c>
      <c r="L62" s="34" t="s">
        <v>142</v>
      </c>
      <c r="M62" s="78"/>
      <c r="N62" s="76">
        <v>0</v>
      </c>
      <c r="O62" s="34" t="str">
        <f t="shared" si="62"/>
        <v>Ekor</v>
      </c>
      <c r="P62" s="78"/>
      <c r="Q62" s="76">
        <v>2930</v>
      </c>
      <c r="R62" s="34" t="str">
        <f t="shared" si="63"/>
        <v>Ekor</v>
      </c>
      <c r="S62" s="78"/>
      <c r="T62" s="76">
        <v>0</v>
      </c>
      <c r="U62" s="34" t="str">
        <f t="shared" si="64"/>
        <v>Ekor</v>
      </c>
      <c r="V62" s="78"/>
      <c r="W62" s="76">
        <v>0</v>
      </c>
      <c r="X62" s="34" t="str">
        <f t="shared" si="65"/>
        <v>Ekor</v>
      </c>
      <c r="Y62" s="78"/>
      <c r="Z62" s="112">
        <f t="shared" si="1"/>
        <v>2930</v>
      </c>
      <c r="AA62" s="98" t="str">
        <f t="shared" si="2"/>
        <v>Ekor</v>
      </c>
      <c r="AB62" s="49">
        <f t="shared" si="3"/>
        <v>100.44566335275968</v>
      </c>
      <c r="AC62" s="48" t="s">
        <v>141</v>
      </c>
      <c r="AD62" s="101"/>
      <c r="AE62" s="102"/>
      <c r="AF62" s="12"/>
      <c r="AG62" s="112">
        <f t="shared" si="6"/>
        <v>5811</v>
      </c>
      <c r="AH62" s="98" t="str">
        <f t="shared" si="7"/>
        <v>Ekor</v>
      </c>
      <c r="AI62" s="101"/>
      <c r="AJ62" s="49"/>
      <c r="AK62" s="48" t="s">
        <v>141</v>
      </c>
      <c r="AL62" s="102"/>
      <c r="AM62" s="11"/>
      <c r="AP62" s="19"/>
    </row>
    <row r="63" spans="1:42" ht="66.75" customHeight="1" x14ac:dyDescent="0.2">
      <c r="A63" s="12"/>
      <c r="B63" s="13"/>
      <c r="C63" s="74"/>
      <c r="D63" s="14" t="s">
        <v>179</v>
      </c>
      <c r="E63" s="35"/>
      <c r="F63" s="75" t="s">
        <v>142</v>
      </c>
      <c r="G63" s="78"/>
      <c r="H63" s="76">
        <v>963600</v>
      </c>
      <c r="I63" s="75" t="s">
        <v>142</v>
      </c>
      <c r="J63" s="78"/>
      <c r="K63" s="76">
        <v>982872</v>
      </c>
      <c r="L63" s="34" t="s">
        <v>142</v>
      </c>
      <c r="M63" s="78"/>
      <c r="N63" s="76">
        <v>0</v>
      </c>
      <c r="O63" s="34" t="str">
        <f t="shared" si="62"/>
        <v>Ekor</v>
      </c>
      <c r="P63" s="78"/>
      <c r="Q63" s="76">
        <v>973236</v>
      </c>
      <c r="R63" s="34" t="str">
        <f t="shared" si="63"/>
        <v>Ekor</v>
      </c>
      <c r="S63" s="78"/>
      <c r="T63" s="76">
        <v>0</v>
      </c>
      <c r="U63" s="34" t="str">
        <f t="shared" si="64"/>
        <v>Ekor</v>
      </c>
      <c r="V63" s="78"/>
      <c r="W63" s="76">
        <v>0</v>
      </c>
      <c r="X63" s="34" t="str">
        <f t="shared" si="65"/>
        <v>Ekor</v>
      </c>
      <c r="Y63" s="78"/>
      <c r="Z63" s="112">
        <f t="shared" si="1"/>
        <v>973236</v>
      </c>
      <c r="AA63" s="98" t="str">
        <f t="shared" si="2"/>
        <v>Ekor</v>
      </c>
      <c r="AB63" s="49">
        <f t="shared" si="3"/>
        <v>99.019607843137265</v>
      </c>
      <c r="AC63" s="48" t="s">
        <v>141</v>
      </c>
      <c r="AD63" s="101"/>
      <c r="AE63" s="102"/>
      <c r="AF63" s="12"/>
      <c r="AG63" s="112">
        <f t="shared" si="6"/>
        <v>1936836</v>
      </c>
      <c r="AH63" s="98" t="str">
        <f t="shared" si="7"/>
        <v>Ekor</v>
      </c>
      <c r="AI63" s="101"/>
      <c r="AJ63" s="49"/>
      <c r="AK63" s="48" t="s">
        <v>141</v>
      </c>
      <c r="AL63" s="102"/>
      <c r="AM63" s="11"/>
      <c r="AP63" s="19"/>
    </row>
    <row r="64" spans="1:42" ht="63" x14ac:dyDescent="0.2">
      <c r="A64" s="12"/>
      <c r="B64" s="13"/>
      <c r="C64" s="74"/>
      <c r="D64" s="14" t="s">
        <v>180</v>
      </c>
      <c r="E64" s="35"/>
      <c r="F64" s="75" t="s">
        <v>142</v>
      </c>
      <c r="G64" s="78"/>
      <c r="H64" s="76">
        <v>184581</v>
      </c>
      <c r="I64" s="75" t="s">
        <v>142</v>
      </c>
      <c r="J64" s="78"/>
      <c r="K64" s="76">
        <v>188126</v>
      </c>
      <c r="L64" s="34" t="s">
        <v>142</v>
      </c>
      <c r="M64" s="78"/>
      <c r="N64" s="76">
        <v>0</v>
      </c>
      <c r="O64" s="34" t="str">
        <f t="shared" si="62"/>
        <v>Ekor</v>
      </c>
      <c r="P64" s="78"/>
      <c r="Q64" s="76">
        <v>186354</v>
      </c>
      <c r="R64" s="34" t="str">
        <f t="shared" si="63"/>
        <v>Ekor</v>
      </c>
      <c r="S64" s="78"/>
      <c r="T64" s="76">
        <v>0</v>
      </c>
      <c r="U64" s="34" t="str">
        <f t="shared" si="64"/>
        <v>Ekor</v>
      </c>
      <c r="V64" s="78"/>
      <c r="W64" s="76">
        <v>0</v>
      </c>
      <c r="X64" s="34" t="str">
        <f t="shared" si="65"/>
        <v>Ekor</v>
      </c>
      <c r="Y64" s="78"/>
      <c r="Z64" s="112">
        <f t="shared" ref="Z64" si="66">SUM(N64,Q64,T64,W64)</f>
        <v>186354</v>
      </c>
      <c r="AA64" s="98" t="str">
        <f t="shared" ref="AA64" si="67">L64</f>
        <v>Ekor</v>
      </c>
      <c r="AB64" s="49">
        <f t="shared" ref="AB64" si="68">Z64/K64*100</f>
        <v>99.058078096594841</v>
      </c>
      <c r="AC64" s="48" t="s">
        <v>141</v>
      </c>
      <c r="AD64" s="101"/>
      <c r="AE64" s="96"/>
      <c r="AF64" s="97"/>
      <c r="AG64" s="112">
        <f t="shared" ref="AG64" si="69">SUM(H64,Z64)</f>
        <v>370935</v>
      </c>
      <c r="AH64" s="98" t="str">
        <f t="shared" ref="AH64" si="70">O64</f>
        <v>Ekor</v>
      </c>
      <c r="AI64" s="101"/>
      <c r="AJ64" s="49"/>
      <c r="AK64" s="48" t="s">
        <v>141</v>
      </c>
      <c r="AL64" s="102"/>
      <c r="AM64" s="11"/>
      <c r="AP64" s="19"/>
    </row>
    <row r="65" spans="1:42" ht="31.5" x14ac:dyDescent="0.2">
      <c r="A65" s="12"/>
      <c r="B65" s="13"/>
      <c r="C65" s="68"/>
      <c r="D65" s="14" t="s">
        <v>181</v>
      </c>
      <c r="E65" s="35"/>
      <c r="F65" s="75" t="s">
        <v>142</v>
      </c>
      <c r="G65" s="79"/>
      <c r="H65" s="76">
        <v>687205</v>
      </c>
      <c r="I65" s="75" t="s">
        <v>142</v>
      </c>
      <c r="J65" s="79"/>
      <c r="K65" s="76">
        <v>695000</v>
      </c>
      <c r="L65" s="34" t="s">
        <v>142</v>
      </c>
      <c r="M65" s="79"/>
      <c r="N65" s="76">
        <v>0</v>
      </c>
      <c r="O65" s="34" t="str">
        <f t="shared" si="62"/>
        <v>Ekor</v>
      </c>
      <c r="P65" s="79"/>
      <c r="Q65" s="76">
        <v>689805</v>
      </c>
      <c r="R65" s="34" t="str">
        <f t="shared" si="63"/>
        <v>Ekor</v>
      </c>
      <c r="S65" s="79"/>
      <c r="T65" s="76">
        <v>0</v>
      </c>
      <c r="U65" s="34" t="str">
        <f t="shared" si="64"/>
        <v>Ekor</v>
      </c>
      <c r="V65" s="79"/>
      <c r="W65" s="76">
        <v>0</v>
      </c>
      <c r="X65" s="34" t="str">
        <f t="shared" si="65"/>
        <v>Ekor</v>
      </c>
      <c r="Y65" s="79"/>
      <c r="Z65" s="112">
        <f t="shared" si="1"/>
        <v>689805</v>
      </c>
      <c r="AA65" s="98" t="str">
        <f t="shared" si="2"/>
        <v>Ekor</v>
      </c>
      <c r="AB65" s="49">
        <f t="shared" si="3"/>
        <v>99.252517985611505</v>
      </c>
      <c r="AC65" s="48" t="s">
        <v>141</v>
      </c>
      <c r="AD65" s="95"/>
      <c r="AE65" s="96"/>
      <c r="AF65" s="97"/>
      <c r="AG65" s="112">
        <f t="shared" si="6"/>
        <v>1377010</v>
      </c>
      <c r="AH65" s="98" t="str">
        <f t="shared" si="7"/>
        <v>Ekor</v>
      </c>
      <c r="AI65" s="95"/>
      <c r="AJ65" s="49"/>
      <c r="AK65" s="48" t="s">
        <v>141</v>
      </c>
      <c r="AL65" s="96"/>
      <c r="AM65" s="11"/>
      <c r="AP65" s="19"/>
    </row>
    <row r="66" spans="1:42" ht="60" x14ac:dyDescent="0.2">
      <c r="A66" s="12"/>
      <c r="B66" s="13"/>
      <c r="C66" s="20" t="s">
        <v>98</v>
      </c>
      <c r="D66" s="20" t="s">
        <v>174</v>
      </c>
      <c r="E66" s="35">
        <v>2</v>
      </c>
      <c r="F66" s="36" t="s">
        <v>175</v>
      </c>
      <c r="G66" s="17"/>
      <c r="H66" s="35">
        <v>1</v>
      </c>
      <c r="I66" s="36" t="s">
        <v>175</v>
      </c>
      <c r="J66" s="17"/>
      <c r="K66" s="35">
        <v>2</v>
      </c>
      <c r="L66" s="36" t="s">
        <v>175</v>
      </c>
      <c r="M66" s="17">
        <v>626075000</v>
      </c>
      <c r="N66" s="35">
        <v>0</v>
      </c>
      <c r="O66" s="36" t="str">
        <f>L66</f>
        <v>Jenis</v>
      </c>
      <c r="P66" s="17">
        <v>0</v>
      </c>
      <c r="Q66" s="15">
        <v>2</v>
      </c>
      <c r="R66" s="16" t="str">
        <f>L66</f>
        <v>Jenis</v>
      </c>
      <c r="S66" s="17">
        <v>142650000</v>
      </c>
      <c r="T66" s="15">
        <v>0</v>
      </c>
      <c r="U66" s="16" t="str">
        <f>L66</f>
        <v>Jenis</v>
      </c>
      <c r="V66" s="17">
        <v>194500000</v>
      </c>
      <c r="W66" s="15">
        <v>0</v>
      </c>
      <c r="X66" s="16" t="str">
        <f>O66</f>
        <v>Jenis</v>
      </c>
      <c r="Y66" s="17">
        <v>246250000</v>
      </c>
      <c r="Z66" s="52">
        <f t="shared" si="1"/>
        <v>2</v>
      </c>
      <c r="AA66" s="84" t="str">
        <f t="shared" si="2"/>
        <v>Jenis</v>
      </c>
      <c r="AB66" s="52">
        <f t="shared" si="3"/>
        <v>100</v>
      </c>
      <c r="AC66" s="25" t="s">
        <v>141</v>
      </c>
      <c r="AD66" s="31">
        <f t="shared" si="4"/>
        <v>583400000</v>
      </c>
      <c r="AE66" s="50">
        <f t="shared" si="5"/>
        <v>93.183723994729064</v>
      </c>
      <c r="AF66" s="25" t="s">
        <v>141</v>
      </c>
      <c r="AG66" s="52">
        <f t="shared" si="6"/>
        <v>3</v>
      </c>
      <c r="AH66" s="84" t="str">
        <f t="shared" si="7"/>
        <v>Jenis</v>
      </c>
      <c r="AI66" s="31">
        <f t="shared" si="8"/>
        <v>583400000</v>
      </c>
      <c r="AJ66" s="50"/>
      <c r="AK66" s="25" t="s">
        <v>141</v>
      </c>
      <c r="AL66" s="50"/>
      <c r="AM66" s="11"/>
      <c r="AP66" s="19"/>
    </row>
    <row r="67" spans="1:42" ht="110.25" x14ac:dyDescent="0.2">
      <c r="A67" s="12"/>
      <c r="B67" s="13"/>
      <c r="C67" s="65" t="s">
        <v>99</v>
      </c>
      <c r="D67" s="14" t="s">
        <v>218</v>
      </c>
      <c r="E67" s="54"/>
      <c r="F67" s="34" t="s">
        <v>141</v>
      </c>
      <c r="G67" s="32"/>
      <c r="H67" s="54"/>
      <c r="I67" s="34" t="s">
        <v>141</v>
      </c>
      <c r="J67" s="32"/>
      <c r="K67" s="39">
        <v>12.86</v>
      </c>
      <c r="L67" s="34" t="s">
        <v>141</v>
      </c>
      <c r="M67" s="32">
        <f>M68+M70</f>
        <v>4281202160</v>
      </c>
      <c r="N67" s="39">
        <v>2.6</v>
      </c>
      <c r="O67" s="34" t="str">
        <f>L67</f>
        <v>%</v>
      </c>
      <c r="P67" s="32">
        <f>P68+P70</f>
        <v>74137535</v>
      </c>
      <c r="Q67" s="176">
        <v>8.16</v>
      </c>
      <c r="R67" s="34" t="str">
        <f>L67</f>
        <v>%</v>
      </c>
      <c r="S67" s="32">
        <f>S68+S70</f>
        <v>1222883417</v>
      </c>
      <c r="T67" s="176">
        <v>2.1800000000000002</v>
      </c>
      <c r="U67" s="34" t="str">
        <f>L67</f>
        <v>%</v>
      </c>
      <c r="V67" s="32">
        <f>V68+V70</f>
        <v>1472277707</v>
      </c>
      <c r="W67" s="175">
        <v>0</v>
      </c>
      <c r="X67" s="34" t="str">
        <f>O67</f>
        <v>%</v>
      </c>
      <c r="Y67" s="32">
        <f>Y68+Y70</f>
        <v>1164343800</v>
      </c>
      <c r="Z67" s="99">
        <f t="shared" si="1"/>
        <v>12.94</v>
      </c>
      <c r="AA67" s="82" t="str">
        <f t="shared" si="2"/>
        <v>%</v>
      </c>
      <c r="AB67" s="51">
        <f t="shared" si="3"/>
        <v>100.62208398133747</v>
      </c>
      <c r="AC67" s="48" t="s">
        <v>141</v>
      </c>
      <c r="AD67" s="53">
        <f t="shared" si="4"/>
        <v>3933642459</v>
      </c>
      <c r="AE67" s="49">
        <f t="shared" si="5"/>
        <v>91.881726486842666</v>
      </c>
      <c r="AF67" s="48" t="s">
        <v>141</v>
      </c>
      <c r="AG67" s="125">
        <f t="shared" si="6"/>
        <v>12.94</v>
      </c>
      <c r="AH67" s="82" t="str">
        <f t="shared" si="7"/>
        <v>%</v>
      </c>
      <c r="AI67" s="53">
        <f t="shared" si="8"/>
        <v>3933642459</v>
      </c>
      <c r="AJ67" s="49"/>
      <c r="AK67" s="48" t="s">
        <v>141</v>
      </c>
      <c r="AL67" s="49"/>
      <c r="AM67" s="11"/>
      <c r="AP67" s="19"/>
    </row>
    <row r="68" spans="1:42" ht="94.5" x14ac:dyDescent="0.2">
      <c r="A68" s="12"/>
      <c r="B68" s="13"/>
      <c r="C68" s="14" t="s">
        <v>100</v>
      </c>
      <c r="D68" s="14" t="s">
        <v>143</v>
      </c>
      <c r="E68" s="54"/>
      <c r="F68" s="34" t="s">
        <v>144</v>
      </c>
      <c r="G68" s="32"/>
      <c r="H68" s="54"/>
      <c r="I68" s="34" t="s">
        <v>144</v>
      </c>
      <c r="J68" s="32"/>
      <c r="K68" s="177">
        <v>15000</v>
      </c>
      <c r="L68" s="34" t="s">
        <v>144</v>
      </c>
      <c r="M68" s="32">
        <f>SUM(M69)</f>
        <v>389376350</v>
      </c>
      <c r="N68" s="39">
        <v>0</v>
      </c>
      <c r="O68" s="34" t="str">
        <f>L68</f>
        <v>Ha</v>
      </c>
      <c r="P68" s="32">
        <f>SUM(P69)</f>
        <v>0</v>
      </c>
      <c r="Q68" s="54">
        <f>Q69</f>
        <v>11000</v>
      </c>
      <c r="R68" s="34" t="str">
        <f>L68</f>
        <v>Ha</v>
      </c>
      <c r="S68" s="32">
        <f>SUM(S69)</f>
        <v>0</v>
      </c>
      <c r="T68" s="54">
        <f>T69</f>
        <v>4000</v>
      </c>
      <c r="U68" s="34" t="str">
        <f>L68</f>
        <v>Ha</v>
      </c>
      <c r="V68" s="32">
        <f>SUM(V69)</f>
        <v>0</v>
      </c>
      <c r="W68" s="54">
        <f>W69</f>
        <v>0</v>
      </c>
      <c r="X68" s="34" t="str">
        <f>O68</f>
        <v>Ha</v>
      </c>
      <c r="Y68" s="32">
        <f>SUM(Y69)</f>
        <v>190764000</v>
      </c>
      <c r="Z68" s="56">
        <f t="shared" si="1"/>
        <v>15000</v>
      </c>
      <c r="AA68" s="82" t="str">
        <f t="shared" si="2"/>
        <v>Ha</v>
      </c>
      <c r="AB68" s="51">
        <f t="shared" si="3"/>
        <v>100</v>
      </c>
      <c r="AC68" s="48" t="s">
        <v>141</v>
      </c>
      <c r="AD68" s="53">
        <f t="shared" si="4"/>
        <v>190764000</v>
      </c>
      <c r="AE68" s="49">
        <f t="shared" si="5"/>
        <v>48.99218969000043</v>
      </c>
      <c r="AF68" s="48" t="s">
        <v>141</v>
      </c>
      <c r="AG68" s="125">
        <f t="shared" si="6"/>
        <v>15000</v>
      </c>
      <c r="AH68" s="82" t="str">
        <f t="shared" si="7"/>
        <v>Ha</v>
      </c>
      <c r="AI68" s="53">
        <f t="shared" si="8"/>
        <v>190764000</v>
      </c>
      <c r="AJ68" s="49"/>
      <c r="AK68" s="48" t="s">
        <v>141</v>
      </c>
      <c r="AL68" s="49"/>
      <c r="AM68" s="11"/>
      <c r="AP68" s="19"/>
    </row>
    <row r="69" spans="1:42" ht="95.25" customHeight="1" x14ac:dyDescent="0.2">
      <c r="A69" s="12"/>
      <c r="B69" s="13"/>
      <c r="C69" s="20" t="s">
        <v>101</v>
      </c>
      <c r="D69" s="20" t="s">
        <v>219</v>
      </c>
      <c r="E69" s="54"/>
      <c r="F69" s="16" t="s">
        <v>144</v>
      </c>
      <c r="G69" s="32"/>
      <c r="H69" s="54"/>
      <c r="I69" s="16" t="s">
        <v>144</v>
      </c>
      <c r="J69" s="32"/>
      <c r="K69" s="179">
        <v>15000</v>
      </c>
      <c r="L69" s="16" t="s">
        <v>144</v>
      </c>
      <c r="M69" s="17">
        <v>389376350</v>
      </c>
      <c r="N69" s="104">
        <v>0</v>
      </c>
      <c r="O69" s="16" t="str">
        <f>L69</f>
        <v>Ha</v>
      </c>
      <c r="P69" s="17">
        <v>0</v>
      </c>
      <c r="Q69" s="178">
        <v>11000</v>
      </c>
      <c r="R69" s="16" t="str">
        <f>L69</f>
        <v>Ha</v>
      </c>
      <c r="S69" s="17">
        <v>0</v>
      </c>
      <c r="T69" s="178">
        <v>4000</v>
      </c>
      <c r="U69" s="16" t="str">
        <f>L69</f>
        <v>Ha</v>
      </c>
      <c r="V69" s="17">
        <v>0</v>
      </c>
      <c r="W69" s="106">
        <v>0</v>
      </c>
      <c r="X69" s="16" t="str">
        <f>O69</f>
        <v>Ha</v>
      </c>
      <c r="Y69" s="17">
        <v>190764000</v>
      </c>
      <c r="Z69" s="113">
        <f t="shared" si="1"/>
        <v>15000</v>
      </c>
      <c r="AA69" s="83" t="str">
        <f t="shared" si="2"/>
        <v>Ha</v>
      </c>
      <c r="AB69" s="52">
        <f t="shared" si="3"/>
        <v>100</v>
      </c>
      <c r="AC69" s="25" t="s">
        <v>141</v>
      </c>
      <c r="AD69" s="31">
        <f t="shared" si="4"/>
        <v>190764000</v>
      </c>
      <c r="AE69" s="50">
        <f t="shared" si="5"/>
        <v>48.99218969000043</v>
      </c>
      <c r="AF69" s="25" t="s">
        <v>141</v>
      </c>
      <c r="AG69" s="113">
        <f t="shared" si="6"/>
        <v>15000</v>
      </c>
      <c r="AH69" s="83" t="str">
        <f t="shared" si="7"/>
        <v>Ha</v>
      </c>
      <c r="AI69" s="31">
        <f t="shared" si="8"/>
        <v>190764000</v>
      </c>
      <c r="AJ69" s="50"/>
      <c r="AK69" s="25" t="s">
        <v>141</v>
      </c>
      <c r="AL69" s="50"/>
      <c r="AM69" s="11"/>
      <c r="AP69" s="19"/>
    </row>
    <row r="70" spans="1:42" ht="85.5" customHeight="1" x14ac:dyDescent="0.2">
      <c r="A70" s="12"/>
      <c r="B70" s="13"/>
      <c r="C70" s="14" t="s">
        <v>102</v>
      </c>
      <c r="D70" s="14" t="s">
        <v>148</v>
      </c>
      <c r="E70" s="54"/>
      <c r="F70" s="34" t="s">
        <v>145</v>
      </c>
      <c r="G70" s="32"/>
      <c r="H70" s="54"/>
      <c r="I70" s="34" t="s">
        <v>145</v>
      </c>
      <c r="J70" s="32"/>
      <c r="K70" s="175">
        <f>SUM(K71:K74)</f>
        <v>21</v>
      </c>
      <c r="L70" s="34" t="s">
        <v>145</v>
      </c>
      <c r="M70" s="32">
        <f>SUM(M71:M74)</f>
        <v>3891825810</v>
      </c>
      <c r="N70" s="175">
        <f>SUM(N71:N74)</f>
        <v>0</v>
      </c>
      <c r="O70" s="34" t="str">
        <f>L70</f>
        <v>Unit</v>
      </c>
      <c r="P70" s="32">
        <f>SUM(P71:P74)</f>
        <v>74137535</v>
      </c>
      <c r="Q70" s="175">
        <f>SUM(Q71:Q74)</f>
        <v>12</v>
      </c>
      <c r="R70" s="34" t="str">
        <f>L70</f>
        <v>Unit</v>
      </c>
      <c r="S70" s="32">
        <f>SUM(S71:S74)</f>
        <v>1222883417</v>
      </c>
      <c r="T70" s="175">
        <f>SUM(T71:T74)</f>
        <v>9</v>
      </c>
      <c r="U70" s="34" t="str">
        <f>L70</f>
        <v>Unit</v>
      </c>
      <c r="V70" s="32">
        <f>SUM(V71:V74)</f>
        <v>1472277707</v>
      </c>
      <c r="W70" s="175">
        <f>SUM(W71:W74)</f>
        <v>0</v>
      </c>
      <c r="X70" s="34" t="str">
        <f>O70</f>
        <v>Unit</v>
      </c>
      <c r="Y70" s="32">
        <f>SUM(Y71:Y74)</f>
        <v>973579800</v>
      </c>
      <c r="Z70" s="100">
        <f t="shared" si="1"/>
        <v>21</v>
      </c>
      <c r="AA70" s="82" t="str">
        <f t="shared" si="2"/>
        <v>Unit</v>
      </c>
      <c r="AB70" s="51">
        <f t="shared" si="3"/>
        <v>100</v>
      </c>
      <c r="AC70" s="48" t="s">
        <v>141</v>
      </c>
      <c r="AD70" s="53">
        <f t="shared" si="4"/>
        <v>3742878459</v>
      </c>
      <c r="AE70" s="49">
        <f t="shared" si="5"/>
        <v>96.172815581383901</v>
      </c>
      <c r="AF70" s="48" t="s">
        <v>141</v>
      </c>
      <c r="AG70" s="125">
        <f t="shared" si="6"/>
        <v>21</v>
      </c>
      <c r="AH70" s="82" t="str">
        <f t="shared" si="7"/>
        <v>Unit</v>
      </c>
      <c r="AI70" s="53">
        <f t="shared" si="8"/>
        <v>3742878459</v>
      </c>
      <c r="AJ70" s="49"/>
      <c r="AK70" s="48" t="s">
        <v>141</v>
      </c>
      <c r="AL70" s="49"/>
      <c r="AM70" s="11"/>
      <c r="AP70" s="19"/>
    </row>
    <row r="71" spans="1:42" ht="78.75" customHeight="1" x14ac:dyDescent="0.2">
      <c r="A71" s="12"/>
      <c r="B71" s="13"/>
      <c r="C71" s="20" t="s">
        <v>103</v>
      </c>
      <c r="D71" s="180" t="s">
        <v>220</v>
      </c>
      <c r="E71" s="15"/>
      <c r="F71" s="182" t="s">
        <v>224</v>
      </c>
      <c r="G71" s="17"/>
      <c r="H71" s="15"/>
      <c r="I71" s="182" t="s">
        <v>224</v>
      </c>
      <c r="J71" s="17"/>
      <c r="K71" s="181">
        <v>3</v>
      </c>
      <c r="L71" s="182" t="s">
        <v>224</v>
      </c>
      <c r="M71" s="17">
        <v>413341400</v>
      </c>
      <c r="N71" s="15">
        <v>0</v>
      </c>
      <c r="O71" s="16" t="str">
        <f t="shared" ref="O71:O74" si="71">L71</f>
        <v>unit</v>
      </c>
      <c r="P71" s="17">
        <v>0</v>
      </c>
      <c r="Q71" s="181">
        <v>3</v>
      </c>
      <c r="R71" s="16" t="str">
        <f t="shared" ref="R71:R74" si="72">L71</f>
        <v>unit</v>
      </c>
      <c r="S71" s="17">
        <v>299216400</v>
      </c>
      <c r="T71" s="15">
        <v>0</v>
      </c>
      <c r="U71" s="16" t="str">
        <f t="shared" ref="U71:U74" si="73">L71</f>
        <v>unit</v>
      </c>
      <c r="V71" s="17">
        <v>111150000</v>
      </c>
      <c r="W71" s="15">
        <v>0</v>
      </c>
      <c r="X71" s="16" t="str">
        <f t="shared" ref="X71:X74" si="74">O71</f>
        <v>unit</v>
      </c>
      <c r="Y71" s="17">
        <v>2300000</v>
      </c>
      <c r="Z71" s="52">
        <f t="shared" si="1"/>
        <v>3</v>
      </c>
      <c r="AA71" s="83" t="str">
        <f t="shared" si="2"/>
        <v>unit</v>
      </c>
      <c r="AB71" s="52">
        <f t="shared" si="3"/>
        <v>100</v>
      </c>
      <c r="AC71" s="25" t="s">
        <v>141</v>
      </c>
      <c r="AD71" s="31">
        <f t="shared" si="4"/>
        <v>412666400</v>
      </c>
      <c r="AE71" s="50">
        <f t="shared" si="5"/>
        <v>99.836696735434685</v>
      </c>
      <c r="AF71" s="25" t="s">
        <v>141</v>
      </c>
      <c r="AG71" s="52">
        <f t="shared" si="6"/>
        <v>3</v>
      </c>
      <c r="AH71" s="83" t="str">
        <f t="shared" si="7"/>
        <v>unit</v>
      </c>
      <c r="AI71" s="31">
        <f t="shared" si="8"/>
        <v>412666400</v>
      </c>
      <c r="AJ71" s="50"/>
      <c r="AK71" s="25" t="s">
        <v>141</v>
      </c>
      <c r="AL71" s="50"/>
      <c r="AM71" s="11"/>
      <c r="AP71" s="19"/>
    </row>
    <row r="72" spans="1:42" ht="78.75" customHeight="1" x14ac:dyDescent="0.2">
      <c r="A72" s="12"/>
      <c r="B72" s="13"/>
      <c r="C72" s="20" t="s">
        <v>149</v>
      </c>
      <c r="D72" s="180" t="s">
        <v>221</v>
      </c>
      <c r="E72" s="15"/>
      <c r="F72" s="182" t="s">
        <v>145</v>
      </c>
      <c r="G72" s="17"/>
      <c r="H72" s="15"/>
      <c r="I72" s="182" t="s">
        <v>145</v>
      </c>
      <c r="J72" s="17"/>
      <c r="K72" s="181">
        <v>1</v>
      </c>
      <c r="L72" s="182" t="s">
        <v>145</v>
      </c>
      <c r="M72" s="17">
        <v>199457600</v>
      </c>
      <c r="N72" s="15">
        <v>0</v>
      </c>
      <c r="O72" s="16" t="str">
        <f t="shared" si="71"/>
        <v>Unit</v>
      </c>
      <c r="P72" s="17">
        <v>0</v>
      </c>
      <c r="Q72" s="181">
        <v>1</v>
      </c>
      <c r="R72" s="16" t="str">
        <f t="shared" si="72"/>
        <v>Unit</v>
      </c>
      <c r="S72" s="17">
        <v>176616400</v>
      </c>
      <c r="T72" s="15">
        <v>0</v>
      </c>
      <c r="U72" s="16" t="str">
        <f t="shared" si="73"/>
        <v>Unit</v>
      </c>
      <c r="V72" s="17">
        <v>17241200</v>
      </c>
      <c r="W72" s="15">
        <v>0</v>
      </c>
      <c r="X72" s="16" t="str">
        <f t="shared" si="74"/>
        <v>Unit</v>
      </c>
      <c r="Y72" s="17">
        <v>2240000</v>
      </c>
      <c r="Z72" s="52">
        <f t="shared" ref="Z72" si="75">SUM(N72,Q72,T72,W72)</f>
        <v>1</v>
      </c>
      <c r="AA72" s="83" t="str">
        <f t="shared" ref="AA72" si="76">L72</f>
        <v>Unit</v>
      </c>
      <c r="AB72" s="52">
        <f t="shared" ref="AB72" si="77">Z72/K72*100</f>
        <v>100</v>
      </c>
      <c r="AC72" s="25" t="s">
        <v>141</v>
      </c>
      <c r="AD72" s="31">
        <f t="shared" ref="AD72" si="78">SUM(P72,S72,V72,Y72)</f>
        <v>196097600</v>
      </c>
      <c r="AE72" s="50">
        <f t="shared" ref="AE72" si="79">AD72/M72*100</f>
        <v>98.315431450092646</v>
      </c>
      <c r="AF72" s="25" t="s">
        <v>141</v>
      </c>
      <c r="AG72" s="52">
        <f t="shared" ref="AG72" si="80">SUM(H72,Z72)</f>
        <v>1</v>
      </c>
      <c r="AH72" s="83" t="str">
        <f t="shared" ref="AH72" si="81">O72</f>
        <v>Unit</v>
      </c>
      <c r="AI72" s="31">
        <f t="shared" ref="AI72" si="82">SUM(J72,AD72)</f>
        <v>196097600</v>
      </c>
      <c r="AJ72" s="50"/>
      <c r="AK72" s="25" t="s">
        <v>141</v>
      </c>
      <c r="AL72" s="50"/>
      <c r="AM72" s="11"/>
      <c r="AP72" s="19"/>
    </row>
    <row r="73" spans="1:42" ht="112.5" customHeight="1" x14ac:dyDescent="0.2">
      <c r="A73" s="12"/>
      <c r="B73" s="13"/>
      <c r="C73" s="20" t="s">
        <v>104</v>
      </c>
      <c r="D73" s="180" t="s">
        <v>222</v>
      </c>
      <c r="E73" s="15"/>
      <c r="F73" s="182" t="s">
        <v>224</v>
      </c>
      <c r="G73" s="17"/>
      <c r="H73" s="15"/>
      <c r="I73" s="182" t="s">
        <v>224</v>
      </c>
      <c r="J73" s="17"/>
      <c r="K73" s="181">
        <v>6</v>
      </c>
      <c r="L73" s="182" t="s">
        <v>224</v>
      </c>
      <c r="M73" s="17">
        <v>780738810</v>
      </c>
      <c r="N73" s="15">
        <v>0</v>
      </c>
      <c r="O73" s="16" t="str">
        <f t="shared" si="71"/>
        <v>unit</v>
      </c>
      <c r="P73" s="17">
        <v>0</v>
      </c>
      <c r="Q73" s="181">
        <v>3</v>
      </c>
      <c r="R73" s="16" t="str">
        <f t="shared" si="72"/>
        <v>unit</v>
      </c>
      <c r="S73" s="17">
        <v>68961500</v>
      </c>
      <c r="T73" s="181">
        <v>3</v>
      </c>
      <c r="U73" s="16" t="str">
        <f t="shared" si="73"/>
        <v>unit</v>
      </c>
      <c r="V73" s="17">
        <v>383750000</v>
      </c>
      <c r="W73" s="15">
        <v>0</v>
      </c>
      <c r="X73" s="16" t="str">
        <f t="shared" si="74"/>
        <v>unit</v>
      </c>
      <c r="Y73" s="17">
        <v>203750000</v>
      </c>
      <c r="Z73" s="52">
        <f t="shared" si="1"/>
        <v>6</v>
      </c>
      <c r="AA73" s="83" t="str">
        <f t="shared" si="2"/>
        <v>unit</v>
      </c>
      <c r="AB73" s="52">
        <f t="shared" si="3"/>
        <v>100</v>
      </c>
      <c r="AC73" s="25" t="s">
        <v>141</v>
      </c>
      <c r="AD73" s="31">
        <f t="shared" si="4"/>
        <v>656461500</v>
      </c>
      <c r="AE73" s="50">
        <f t="shared" si="5"/>
        <v>84.082088861446508</v>
      </c>
      <c r="AF73" s="25" t="s">
        <v>141</v>
      </c>
      <c r="AG73" s="52">
        <f t="shared" si="6"/>
        <v>6</v>
      </c>
      <c r="AH73" s="83" t="str">
        <f t="shared" si="7"/>
        <v>unit</v>
      </c>
      <c r="AI73" s="31">
        <f t="shared" si="8"/>
        <v>656461500</v>
      </c>
      <c r="AJ73" s="50"/>
      <c r="AK73" s="25" t="s">
        <v>141</v>
      </c>
      <c r="AL73" s="50"/>
      <c r="AM73" s="11"/>
      <c r="AP73" s="19"/>
    </row>
    <row r="74" spans="1:42" ht="90" x14ac:dyDescent="0.2">
      <c r="A74" s="12"/>
      <c r="B74" s="13"/>
      <c r="C74" s="20" t="s">
        <v>105</v>
      </c>
      <c r="D74" s="180" t="s">
        <v>223</v>
      </c>
      <c r="E74" s="15"/>
      <c r="F74" s="182" t="s">
        <v>224</v>
      </c>
      <c r="G74" s="17"/>
      <c r="H74" s="15"/>
      <c r="I74" s="182" t="s">
        <v>224</v>
      </c>
      <c r="J74" s="17"/>
      <c r="K74" s="181">
        <v>11</v>
      </c>
      <c r="L74" s="182" t="s">
        <v>224</v>
      </c>
      <c r="M74" s="17">
        <v>2498288000</v>
      </c>
      <c r="N74" s="15">
        <v>0</v>
      </c>
      <c r="O74" s="16" t="str">
        <f t="shared" si="71"/>
        <v>unit</v>
      </c>
      <c r="P74" s="17">
        <v>74137535</v>
      </c>
      <c r="Q74" s="181">
        <v>5</v>
      </c>
      <c r="R74" s="16" t="str">
        <f t="shared" si="72"/>
        <v>unit</v>
      </c>
      <c r="S74" s="17">
        <v>678089117</v>
      </c>
      <c r="T74" s="181">
        <v>6</v>
      </c>
      <c r="U74" s="16" t="str">
        <f t="shared" si="73"/>
        <v>unit</v>
      </c>
      <c r="V74" s="17">
        <v>960136507</v>
      </c>
      <c r="W74" s="15">
        <v>0</v>
      </c>
      <c r="X74" s="16" t="str">
        <f t="shared" si="74"/>
        <v>unit</v>
      </c>
      <c r="Y74" s="17">
        <v>765289800</v>
      </c>
      <c r="Z74" s="52">
        <f t="shared" si="1"/>
        <v>11</v>
      </c>
      <c r="AA74" s="83" t="str">
        <f t="shared" si="2"/>
        <v>unit</v>
      </c>
      <c r="AB74" s="52">
        <f t="shared" si="3"/>
        <v>100</v>
      </c>
      <c r="AC74" s="25" t="s">
        <v>141</v>
      </c>
      <c r="AD74" s="31">
        <f t="shared" si="4"/>
        <v>2477652959</v>
      </c>
      <c r="AE74" s="50">
        <f t="shared" si="5"/>
        <v>99.174032737618717</v>
      </c>
      <c r="AF74" s="25" t="s">
        <v>141</v>
      </c>
      <c r="AG74" s="52">
        <f t="shared" si="6"/>
        <v>11</v>
      </c>
      <c r="AH74" s="83" t="str">
        <f t="shared" si="7"/>
        <v>unit</v>
      </c>
      <c r="AI74" s="31">
        <f t="shared" si="8"/>
        <v>2477652959</v>
      </c>
      <c r="AJ74" s="50"/>
      <c r="AK74" s="25" t="s">
        <v>141</v>
      </c>
      <c r="AL74" s="50"/>
      <c r="AM74" s="11"/>
      <c r="AP74" s="19"/>
    </row>
    <row r="75" spans="1:42" ht="125.25" customHeight="1" x14ac:dyDescent="0.2">
      <c r="A75" s="12"/>
      <c r="B75" s="13"/>
      <c r="C75" s="14" t="s">
        <v>106</v>
      </c>
      <c r="D75" s="14" t="s">
        <v>187</v>
      </c>
      <c r="E75" s="76">
        <v>100</v>
      </c>
      <c r="F75" s="34" t="s">
        <v>141</v>
      </c>
      <c r="G75" s="17"/>
      <c r="H75" s="35"/>
      <c r="I75" s="16"/>
      <c r="J75" s="17"/>
      <c r="K75" s="76">
        <v>100</v>
      </c>
      <c r="L75" s="34" t="s">
        <v>141</v>
      </c>
      <c r="M75" s="32">
        <f>M76+M79</f>
        <v>242344450</v>
      </c>
      <c r="N75" s="76">
        <v>0</v>
      </c>
      <c r="O75" s="34" t="str">
        <f t="shared" ref="O75:O80" si="83">L75</f>
        <v>%</v>
      </c>
      <c r="P75" s="32">
        <f>P76+P79</f>
        <v>0</v>
      </c>
      <c r="Q75" s="33">
        <f>1/1*100</f>
        <v>100</v>
      </c>
      <c r="R75" s="34" t="str">
        <f t="shared" ref="R75:R80" si="84">L75</f>
        <v>%</v>
      </c>
      <c r="S75" s="32">
        <f>S76+S79</f>
        <v>137350000</v>
      </c>
      <c r="T75" s="33">
        <v>0</v>
      </c>
      <c r="U75" s="34" t="str">
        <f t="shared" ref="U75:U80" si="85">L75</f>
        <v>%</v>
      </c>
      <c r="V75" s="32">
        <f>V76+V79</f>
        <v>20325000</v>
      </c>
      <c r="W75" s="33">
        <v>0</v>
      </c>
      <c r="X75" s="34" t="str">
        <f t="shared" ref="X75:X80" si="86">O75</f>
        <v>%</v>
      </c>
      <c r="Y75" s="32">
        <f>Y76+Y79</f>
        <v>40584500</v>
      </c>
      <c r="Z75" s="51">
        <f t="shared" si="1"/>
        <v>100</v>
      </c>
      <c r="AA75" s="82" t="str">
        <f t="shared" si="2"/>
        <v>%</v>
      </c>
      <c r="AB75" s="51">
        <f t="shared" si="3"/>
        <v>100</v>
      </c>
      <c r="AC75" s="48" t="s">
        <v>141</v>
      </c>
      <c r="AD75" s="53">
        <f t="shared" si="4"/>
        <v>198259500</v>
      </c>
      <c r="AE75" s="49">
        <f t="shared" si="5"/>
        <v>81.808970661387121</v>
      </c>
      <c r="AF75" s="48" t="s">
        <v>141</v>
      </c>
      <c r="AG75" s="51">
        <f t="shared" si="6"/>
        <v>100</v>
      </c>
      <c r="AH75" s="82" t="str">
        <f t="shared" si="7"/>
        <v>%</v>
      </c>
      <c r="AI75" s="53">
        <f t="shared" si="8"/>
        <v>198259500</v>
      </c>
      <c r="AJ75" s="49"/>
      <c r="AK75" s="48" t="s">
        <v>141</v>
      </c>
      <c r="AL75" s="49"/>
      <c r="AM75" s="11"/>
      <c r="AP75" s="19"/>
    </row>
    <row r="76" spans="1:42" ht="174.75" customHeight="1" x14ac:dyDescent="0.2">
      <c r="A76" s="12"/>
      <c r="B76" s="13"/>
      <c r="C76" s="38" t="s">
        <v>107</v>
      </c>
      <c r="D76" s="14" t="s">
        <v>185</v>
      </c>
      <c r="E76" s="76">
        <v>0</v>
      </c>
      <c r="F76" s="34" t="s">
        <v>186</v>
      </c>
      <c r="G76" s="80"/>
      <c r="H76" s="76">
        <v>0</v>
      </c>
      <c r="I76" s="34" t="s">
        <v>186</v>
      </c>
      <c r="J76" s="80"/>
      <c r="K76" s="76">
        <v>0</v>
      </c>
      <c r="L76" s="34" t="s">
        <v>186</v>
      </c>
      <c r="M76" s="77">
        <f>SUM(M77:M78)</f>
        <v>178961450</v>
      </c>
      <c r="N76" s="33">
        <v>0</v>
      </c>
      <c r="O76" s="34" t="str">
        <f t="shared" si="83"/>
        <v>Kasus</v>
      </c>
      <c r="P76" s="77">
        <f>SUM(P77:P78)</f>
        <v>0</v>
      </c>
      <c r="Q76" s="33">
        <v>1</v>
      </c>
      <c r="R76" s="34" t="str">
        <f t="shared" si="84"/>
        <v>Kasus</v>
      </c>
      <c r="S76" s="77">
        <f>SUM(S77:S78)</f>
        <v>116350000</v>
      </c>
      <c r="T76" s="33">
        <v>0</v>
      </c>
      <c r="U76" s="34" t="str">
        <f t="shared" si="85"/>
        <v>Kasus</v>
      </c>
      <c r="V76" s="77">
        <f>SUM(V77:V78)</f>
        <v>12730000</v>
      </c>
      <c r="W76" s="33">
        <v>0</v>
      </c>
      <c r="X76" s="34" t="str">
        <f t="shared" si="86"/>
        <v>Kasus</v>
      </c>
      <c r="Y76" s="77">
        <f>SUM(Y77:Y78)</f>
        <v>17649700</v>
      </c>
      <c r="Z76" s="51">
        <f t="shared" si="1"/>
        <v>1</v>
      </c>
      <c r="AA76" s="98" t="str">
        <f t="shared" si="2"/>
        <v>Kasus</v>
      </c>
      <c r="AB76" s="51">
        <v>75</v>
      </c>
      <c r="AC76" s="48" t="s">
        <v>141</v>
      </c>
      <c r="AD76" s="93">
        <f t="shared" si="4"/>
        <v>146729700</v>
      </c>
      <c r="AE76" s="94">
        <f t="shared" si="5"/>
        <v>81.989556968833227</v>
      </c>
      <c r="AF76" s="37" t="s">
        <v>141</v>
      </c>
      <c r="AG76" s="51">
        <f t="shared" si="6"/>
        <v>1</v>
      </c>
      <c r="AH76" s="82" t="str">
        <f t="shared" si="7"/>
        <v>Kasus</v>
      </c>
      <c r="AI76" s="93">
        <f t="shared" si="8"/>
        <v>146729700</v>
      </c>
      <c r="AJ76" s="49"/>
      <c r="AK76" s="48" t="s">
        <v>141</v>
      </c>
      <c r="AL76" s="94"/>
      <c r="AM76" s="11"/>
      <c r="AP76" s="19"/>
    </row>
    <row r="77" spans="1:42" ht="94.5" customHeight="1" x14ac:dyDescent="0.2">
      <c r="A77" s="12"/>
      <c r="B77" s="13"/>
      <c r="C77" s="20" t="s">
        <v>108</v>
      </c>
      <c r="D77" s="20" t="s">
        <v>183</v>
      </c>
      <c r="E77" s="35">
        <v>48</v>
      </c>
      <c r="F77" s="16" t="s">
        <v>170</v>
      </c>
      <c r="G77" s="17"/>
      <c r="H77" s="35">
        <v>48</v>
      </c>
      <c r="I77" s="16" t="s">
        <v>170</v>
      </c>
      <c r="J77" s="17"/>
      <c r="K77" s="35">
        <v>48</v>
      </c>
      <c r="L77" s="16" t="s">
        <v>170</v>
      </c>
      <c r="M77" s="17">
        <v>175961450</v>
      </c>
      <c r="N77" s="35">
        <v>12</v>
      </c>
      <c r="O77" s="16" t="str">
        <f t="shared" si="83"/>
        <v>Kali</v>
      </c>
      <c r="P77" s="17">
        <v>0</v>
      </c>
      <c r="Q77" s="15">
        <v>15</v>
      </c>
      <c r="R77" s="16" t="str">
        <f t="shared" si="84"/>
        <v>Kali</v>
      </c>
      <c r="S77" s="17">
        <v>116350000</v>
      </c>
      <c r="T77" s="15">
        <v>12</v>
      </c>
      <c r="U77" s="16" t="str">
        <f t="shared" si="85"/>
        <v>Kali</v>
      </c>
      <c r="V77" s="17">
        <v>12730000</v>
      </c>
      <c r="W77" s="15">
        <v>9</v>
      </c>
      <c r="X77" s="16" t="str">
        <f t="shared" si="86"/>
        <v>Kali</v>
      </c>
      <c r="Y77" s="17">
        <v>15909700</v>
      </c>
      <c r="Z77" s="58">
        <f t="shared" si="1"/>
        <v>48</v>
      </c>
      <c r="AA77" s="83" t="str">
        <f t="shared" si="2"/>
        <v>Kali</v>
      </c>
      <c r="AB77" s="52">
        <f t="shared" si="3"/>
        <v>100</v>
      </c>
      <c r="AC77" s="25" t="s">
        <v>141</v>
      </c>
      <c r="AD77" s="31">
        <f t="shared" si="4"/>
        <v>144989700</v>
      </c>
      <c r="AE77" s="50">
        <f t="shared" si="5"/>
        <v>82.398559457199298</v>
      </c>
      <c r="AF77" s="25" t="s">
        <v>141</v>
      </c>
      <c r="AG77" s="52">
        <f t="shared" si="6"/>
        <v>96</v>
      </c>
      <c r="AH77" s="83" t="str">
        <f t="shared" si="7"/>
        <v>Kali</v>
      </c>
      <c r="AI77" s="31">
        <f t="shared" si="8"/>
        <v>144989700</v>
      </c>
      <c r="AJ77" s="50"/>
      <c r="AK77" s="25" t="s">
        <v>141</v>
      </c>
      <c r="AL77" s="50"/>
      <c r="AM77" s="11"/>
      <c r="AP77" s="19"/>
    </row>
    <row r="78" spans="1:42" ht="80.25" customHeight="1" x14ac:dyDescent="0.2">
      <c r="A78" s="12"/>
      <c r="B78" s="13"/>
      <c r="C78" s="20" t="s">
        <v>109</v>
      </c>
      <c r="D78" s="20" t="s">
        <v>184</v>
      </c>
      <c r="E78" s="15">
        <v>4</v>
      </c>
      <c r="F78" s="16" t="s">
        <v>170</v>
      </c>
      <c r="G78" s="17"/>
      <c r="H78" s="15">
        <v>4</v>
      </c>
      <c r="I78" s="16" t="s">
        <v>170</v>
      </c>
      <c r="J78" s="17"/>
      <c r="K78" s="15">
        <v>4</v>
      </c>
      <c r="L78" s="16" t="s">
        <v>170</v>
      </c>
      <c r="M78" s="17">
        <v>3000000</v>
      </c>
      <c r="N78" s="15">
        <v>0</v>
      </c>
      <c r="O78" s="16" t="str">
        <f t="shared" si="83"/>
        <v>Kali</v>
      </c>
      <c r="P78" s="17">
        <v>0</v>
      </c>
      <c r="Q78" s="15">
        <v>2</v>
      </c>
      <c r="R78" s="16" t="str">
        <f t="shared" si="84"/>
        <v>Kali</v>
      </c>
      <c r="S78" s="17">
        <v>0</v>
      </c>
      <c r="T78" s="15">
        <v>2</v>
      </c>
      <c r="U78" s="16" t="str">
        <f t="shared" si="85"/>
        <v>Kali</v>
      </c>
      <c r="V78" s="17">
        <v>0</v>
      </c>
      <c r="W78" s="15">
        <v>0</v>
      </c>
      <c r="X78" s="16" t="str">
        <f t="shared" si="86"/>
        <v>Kali</v>
      </c>
      <c r="Y78" s="17">
        <v>1740000</v>
      </c>
      <c r="Z78" s="52">
        <f t="shared" si="1"/>
        <v>4</v>
      </c>
      <c r="AA78" s="83" t="str">
        <f t="shared" si="2"/>
        <v>Kali</v>
      </c>
      <c r="AB78" s="52">
        <f t="shared" si="3"/>
        <v>100</v>
      </c>
      <c r="AC78" s="25" t="s">
        <v>141</v>
      </c>
      <c r="AD78" s="31">
        <f t="shared" si="4"/>
        <v>1740000</v>
      </c>
      <c r="AE78" s="50">
        <f t="shared" si="5"/>
        <v>57.999999999999993</v>
      </c>
      <c r="AF78" s="25" t="s">
        <v>141</v>
      </c>
      <c r="AG78" s="52">
        <f t="shared" si="6"/>
        <v>8</v>
      </c>
      <c r="AH78" s="83" t="str">
        <f t="shared" si="7"/>
        <v>Kali</v>
      </c>
      <c r="AI78" s="31">
        <f t="shared" si="8"/>
        <v>1740000</v>
      </c>
      <c r="AJ78" s="50"/>
      <c r="AK78" s="25" t="s">
        <v>141</v>
      </c>
      <c r="AL78" s="50"/>
      <c r="AM78" s="11"/>
      <c r="AP78" s="19"/>
    </row>
    <row r="79" spans="1:42" ht="146.25" customHeight="1" x14ac:dyDescent="0.2">
      <c r="A79" s="12"/>
      <c r="B79" s="13"/>
      <c r="C79" s="38" t="s">
        <v>110</v>
      </c>
      <c r="D79" s="14" t="s">
        <v>189</v>
      </c>
      <c r="E79" s="76">
        <v>100</v>
      </c>
      <c r="F79" s="34" t="s">
        <v>141</v>
      </c>
      <c r="G79" s="78"/>
      <c r="H79" s="76">
        <v>100</v>
      </c>
      <c r="I79" s="34" t="s">
        <v>141</v>
      </c>
      <c r="J79" s="78"/>
      <c r="K79" s="76">
        <v>100</v>
      </c>
      <c r="L79" s="34" t="s">
        <v>141</v>
      </c>
      <c r="M79" s="90">
        <f>SUM(M80)</f>
        <v>63383000</v>
      </c>
      <c r="N79" s="76">
        <v>100</v>
      </c>
      <c r="O79" s="34" t="str">
        <f t="shared" si="83"/>
        <v>%</v>
      </c>
      <c r="P79" s="90">
        <f>SUM(P80)</f>
        <v>0</v>
      </c>
      <c r="Q79" s="33">
        <v>0</v>
      </c>
      <c r="R79" s="34" t="str">
        <f t="shared" si="84"/>
        <v>%</v>
      </c>
      <c r="S79" s="90">
        <f>SUM(S80)</f>
        <v>21000000</v>
      </c>
      <c r="T79" s="33">
        <v>0</v>
      </c>
      <c r="U79" s="34" t="str">
        <f t="shared" si="85"/>
        <v>%</v>
      </c>
      <c r="V79" s="90">
        <f>SUM(V80)</f>
        <v>7595000</v>
      </c>
      <c r="W79" s="33">
        <v>0</v>
      </c>
      <c r="X79" s="34" t="str">
        <f t="shared" si="86"/>
        <v>%</v>
      </c>
      <c r="Y79" s="90">
        <f>SUM(Y80)</f>
        <v>22934800</v>
      </c>
      <c r="Z79" s="51">
        <f t="shared" ref="Z79" si="87">SUM(N79,Q79,T79,W79)</f>
        <v>100</v>
      </c>
      <c r="AA79" s="98" t="str">
        <f t="shared" ref="AA79" si="88">L79</f>
        <v>%</v>
      </c>
      <c r="AB79" s="51">
        <f t="shared" ref="AB79" si="89">Z79/K79*100</f>
        <v>100</v>
      </c>
      <c r="AC79" s="48" t="s">
        <v>141</v>
      </c>
      <c r="AD79" s="53">
        <f t="shared" ref="AD79" si="90">SUM(P79,S79,V79,Y79)</f>
        <v>51529800</v>
      </c>
      <c r="AE79" s="49">
        <f t="shared" ref="AE79" si="91">AD79/M79*100</f>
        <v>81.299086505845423</v>
      </c>
      <c r="AF79" s="48" t="s">
        <v>141</v>
      </c>
      <c r="AG79" s="51">
        <f t="shared" ref="AG79" si="92">SUM(H79,Z79)</f>
        <v>200</v>
      </c>
      <c r="AH79" s="98" t="str">
        <f t="shared" ref="AH79" si="93">O79</f>
        <v>%</v>
      </c>
      <c r="AI79" s="53">
        <f t="shared" ref="AI79" si="94">SUM(J79,AD79)</f>
        <v>51529800</v>
      </c>
      <c r="AJ79" s="49"/>
      <c r="AK79" s="48" t="s">
        <v>141</v>
      </c>
      <c r="AL79" s="49"/>
      <c r="AM79" s="11"/>
      <c r="AP79" s="19"/>
    </row>
    <row r="80" spans="1:42" ht="68.25" customHeight="1" x14ac:dyDescent="0.2">
      <c r="A80" s="12"/>
      <c r="B80" s="13"/>
      <c r="C80" s="20" t="s">
        <v>111</v>
      </c>
      <c r="D80" s="20" t="s">
        <v>188</v>
      </c>
      <c r="E80" s="15">
        <v>2</v>
      </c>
      <c r="F80" s="16" t="s">
        <v>170</v>
      </c>
      <c r="G80" s="17"/>
      <c r="H80" s="15">
        <v>2</v>
      </c>
      <c r="I80" s="16" t="s">
        <v>170</v>
      </c>
      <c r="J80" s="17"/>
      <c r="K80" s="15">
        <v>2</v>
      </c>
      <c r="L80" s="16" t="s">
        <v>170</v>
      </c>
      <c r="M80" s="17">
        <v>63383000</v>
      </c>
      <c r="N80" s="15">
        <v>0</v>
      </c>
      <c r="O80" s="16" t="str">
        <f t="shared" si="83"/>
        <v>Kali</v>
      </c>
      <c r="P80" s="17">
        <v>0</v>
      </c>
      <c r="Q80" s="15">
        <v>0</v>
      </c>
      <c r="R80" s="16" t="str">
        <f t="shared" si="84"/>
        <v>Kali</v>
      </c>
      <c r="S80" s="17">
        <v>21000000</v>
      </c>
      <c r="T80" s="15">
        <v>2</v>
      </c>
      <c r="U80" s="16" t="str">
        <f t="shared" si="85"/>
        <v>Kali</v>
      </c>
      <c r="V80" s="17">
        <v>7595000</v>
      </c>
      <c r="W80" s="15">
        <v>0</v>
      </c>
      <c r="X80" s="16" t="str">
        <f t="shared" si="86"/>
        <v>Kali</v>
      </c>
      <c r="Y80" s="17">
        <v>22934800</v>
      </c>
      <c r="Z80" s="52">
        <f t="shared" si="1"/>
        <v>2</v>
      </c>
      <c r="AA80" s="83" t="str">
        <f t="shared" si="2"/>
        <v>Kali</v>
      </c>
      <c r="AB80" s="52">
        <f t="shared" si="3"/>
        <v>100</v>
      </c>
      <c r="AC80" s="25" t="s">
        <v>141</v>
      </c>
      <c r="AD80" s="31">
        <f t="shared" si="4"/>
        <v>51529800</v>
      </c>
      <c r="AE80" s="50">
        <f t="shared" si="5"/>
        <v>81.299086505845423</v>
      </c>
      <c r="AF80" s="25" t="s">
        <v>141</v>
      </c>
      <c r="AG80" s="52">
        <f t="shared" si="6"/>
        <v>4</v>
      </c>
      <c r="AH80" s="83" t="str">
        <f t="shared" si="7"/>
        <v>Kali</v>
      </c>
      <c r="AI80" s="31">
        <f t="shared" si="8"/>
        <v>51529800</v>
      </c>
      <c r="AJ80" s="50"/>
      <c r="AK80" s="25" t="s">
        <v>141</v>
      </c>
      <c r="AL80" s="50"/>
      <c r="AM80" s="11"/>
      <c r="AP80" s="19"/>
    </row>
    <row r="81" spans="1:42" ht="157.5" x14ac:dyDescent="0.2">
      <c r="A81" s="12"/>
      <c r="B81" s="13"/>
      <c r="C81" s="14" t="s">
        <v>112</v>
      </c>
      <c r="D81" s="14" t="s">
        <v>173</v>
      </c>
      <c r="E81" s="33">
        <v>95</v>
      </c>
      <c r="F81" s="34" t="s">
        <v>141</v>
      </c>
      <c r="G81" s="17"/>
      <c r="H81" s="59">
        <f>31538/31796*100</f>
        <v>99.188577179519427</v>
      </c>
      <c r="I81" s="34" t="s">
        <v>141</v>
      </c>
      <c r="J81" s="17"/>
      <c r="K81" s="33">
        <v>95</v>
      </c>
      <c r="L81" s="34" t="s">
        <v>141</v>
      </c>
      <c r="M81" s="32">
        <f>M82</f>
        <v>1447981500</v>
      </c>
      <c r="N81" s="59">
        <v>84.86</v>
      </c>
      <c r="O81" s="34" t="s">
        <v>141</v>
      </c>
      <c r="P81" s="32">
        <f>P82</f>
        <v>37000000</v>
      </c>
      <c r="Q81" s="59">
        <v>99.92</v>
      </c>
      <c r="R81" s="34" t="s">
        <v>141</v>
      </c>
      <c r="S81" s="32">
        <f>S82</f>
        <v>332032000</v>
      </c>
      <c r="T81" s="111">
        <f>28310/30153*100</f>
        <v>93.887838689350971</v>
      </c>
      <c r="U81" s="34" t="s">
        <v>141</v>
      </c>
      <c r="V81" s="32">
        <f>V82</f>
        <v>234996380</v>
      </c>
      <c r="W81" s="111">
        <v>91.66</v>
      </c>
      <c r="X81" s="34" t="s">
        <v>141</v>
      </c>
      <c r="Y81" s="32">
        <f>Y82</f>
        <v>402268940</v>
      </c>
      <c r="Z81" s="49">
        <f>AVERAGE(N81,Q81,T81,W81)</f>
        <v>92.581959672337746</v>
      </c>
      <c r="AA81" s="82" t="str">
        <f t="shared" si="2"/>
        <v>%</v>
      </c>
      <c r="AB81" s="49">
        <f t="shared" si="3"/>
        <v>97.454694391934467</v>
      </c>
      <c r="AC81" s="48" t="s">
        <v>141</v>
      </c>
      <c r="AD81" s="53">
        <f t="shared" si="4"/>
        <v>1006297320</v>
      </c>
      <c r="AE81" s="49">
        <f t="shared" si="5"/>
        <v>69.49655917565245</v>
      </c>
      <c r="AF81" s="48" t="s">
        <v>141</v>
      </c>
      <c r="AG81" s="51">
        <f t="shared" si="6"/>
        <v>191.77053685185717</v>
      </c>
      <c r="AH81" s="82" t="str">
        <f t="shared" si="7"/>
        <v>%</v>
      </c>
      <c r="AI81" s="53">
        <f t="shared" si="8"/>
        <v>1006297320</v>
      </c>
      <c r="AJ81" s="49"/>
      <c r="AK81" s="48" t="s">
        <v>141</v>
      </c>
      <c r="AL81" s="49"/>
      <c r="AM81" s="11"/>
      <c r="AP81" s="19"/>
    </row>
    <row r="82" spans="1:42" ht="110.25" x14ac:dyDescent="0.2">
      <c r="A82" s="12"/>
      <c r="B82" s="13"/>
      <c r="C82" s="38" t="s">
        <v>113</v>
      </c>
      <c r="D82" s="14" t="s">
        <v>171</v>
      </c>
      <c r="E82" s="33" t="s">
        <v>172</v>
      </c>
      <c r="F82" s="34" t="s">
        <v>141</v>
      </c>
      <c r="G82" s="80"/>
      <c r="H82" s="59">
        <f>258/31796*100</f>
        <v>0.81142282048056358</v>
      </c>
      <c r="I82" s="34" t="s">
        <v>141</v>
      </c>
      <c r="J82" s="80"/>
      <c r="K82" s="33">
        <v>11</v>
      </c>
      <c r="L82" s="34" t="s">
        <v>141</v>
      </c>
      <c r="M82" s="77">
        <f>SUM(M83:M85)</f>
        <v>1447981500</v>
      </c>
      <c r="N82" s="59">
        <v>15.14</v>
      </c>
      <c r="O82" s="34" t="str">
        <f t="shared" ref="O82:O93" si="95">L82</f>
        <v>%</v>
      </c>
      <c r="P82" s="77">
        <f>SUM(P83:P85)</f>
        <v>37000000</v>
      </c>
      <c r="Q82" s="33">
        <v>0.01</v>
      </c>
      <c r="R82" s="16" t="str">
        <f t="shared" ref="R82:R93" si="96">L82</f>
        <v>%</v>
      </c>
      <c r="S82" s="77">
        <f>SUM(S83:S85)</f>
        <v>332032000</v>
      </c>
      <c r="T82" s="33">
        <v>0</v>
      </c>
      <c r="U82" s="16" t="str">
        <f t="shared" ref="U82:U92" si="97">L82</f>
        <v>%</v>
      </c>
      <c r="V82" s="77">
        <f>SUM(V83:V85)</f>
        <v>234996380</v>
      </c>
      <c r="W82" s="33">
        <v>0</v>
      </c>
      <c r="X82" s="16" t="str">
        <f t="shared" ref="X82:X92" si="98">O82</f>
        <v>%</v>
      </c>
      <c r="Y82" s="77">
        <f>SUM(Y83:Y85)</f>
        <v>402268940</v>
      </c>
      <c r="Z82" s="49">
        <f>AVERAGE(N82,Q82,T82,W82)</f>
        <v>3.7875000000000001</v>
      </c>
      <c r="AA82" s="82" t="str">
        <f t="shared" si="2"/>
        <v>%</v>
      </c>
      <c r="AB82" s="49">
        <f>(K82-(Z82-K82))/K82*100</f>
        <v>165.56818181818181</v>
      </c>
      <c r="AC82" s="48" t="s">
        <v>141</v>
      </c>
      <c r="AD82" s="93">
        <f t="shared" si="4"/>
        <v>1006297320</v>
      </c>
      <c r="AE82" s="94">
        <f t="shared" si="5"/>
        <v>69.49655917565245</v>
      </c>
      <c r="AF82" s="37" t="s">
        <v>141</v>
      </c>
      <c r="AG82" s="51">
        <f t="shared" si="6"/>
        <v>4.5989228204805634</v>
      </c>
      <c r="AH82" s="82" t="str">
        <f t="shared" si="7"/>
        <v>%</v>
      </c>
      <c r="AI82" s="93">
        <f t="shared" si="8"/>
        <v>1006297320</v>
      </c>
      <c r="AJ82" s="49"/>
      <c r="AK82" s="48" t="s">
        <v>141</v>
      </c>
      <c r="AL82" s="94"/>
      <c r="AM82" s="11"/>
      <c r="AP82" s="19"/>
    </row>
    <row r="83" spans="1:42" ht="150" x14ac:dyDescent="0.2">
      <c r="A83" s="12"/>
      <c r="B83" s="13"/>
      <c r="C83" s="20" t="s">
        <v>114</v>
      </c>
      <c r="D83" s="20" t="s">
        <v>166</v>
      </c>
      <c r="E83" s="109">
        <v>1815</v>
      </c>
      <c r="F83" s="16" t="s">
        <v>167</v>
      </c>
      <c r="G83" s="17"/>
      <c r="H83" s="109">
        <v>1815</v>
      </c>
      <c r="I83" s="16" t="s">
        <v>167</v>
      </c>
      <c r="J83" s="17"/>
      <c r="K83" s="35">
        <v>7930</v>
      </c>
      <c r="L83" s="16" t="s">
        <v>167</v>
      </c>
      <c r="M83" s="17">
        <v>826801500</v>
      </c>
      <c r="N83" s="15">
        <v>0</v>
      </c>
      <c r="O83" s="16" t="str">
        <f t="shared" si="95"/>
        <v>Kg/Ltr</v>
      </c>
      <c r="P83" s="17">
        <v>37000000</v>
      </c>
      <c r="Q83" s="35">
        <v>4256</v>
      </c>
      <c r="R83" s="16" t="str">
        <f t="shared" si="96"/>
        <v>Kg/Ltr</v>
      </c>
      <c r="S83" s="17">
        <v>325122000</v>
      </c>
      <c r="T83" s="35">
        <v>3674</v>
      </c>
      <c r="U83" s="16" t="str">
        <f t="shared" si="97"/>
        <v>Kg/Ltr</v>
      </c>
      <c r="V83" s="17">
        <v>128006700</v>
      </c>
      <c r="W83" s="35">
        <v>0</v>
      </c>
      <c r="X83" s="16" t="str">
        <f t="shared" si="98"/>
        <v>Kg/Ltr</v>
      </c>
      <c r="Y83" s="17">
        <v>126237000</v>
      </c>
      <c r="Z83" s="109">
        <f t="shared" si="1"/>
        <v>7930</v>
      </c>
      <c r="AA83" s="84" t="str">
        <f t="shared" si="2"/>
        <v>Kg/Ltr</v>
      </c>
      <c r="AB83" s="52">
        <f t="shared" si="3"/>
        <v>100</v>
      </c>
      <c r="AC83" s="25" t="s">
        <v>141</v>
      </c>
      <c r="AD83" s="31">
        <f t="shared" si="4"/>
        <v>616365700</v>
      </c>
      <c r="AE83" s="50">
        <f t="shared" si="5"/>
        <v>74.548207762080736</v>
      </c>
      <c r="AF83" s="25" t="s">
        <v>141</v>
      </c>
      <c r="AG83" s="109">
        <f t="shared" si="6"/>
        <v>9745</v>
      </c>
      <c r="AH83" s="83" t="str">
        <f t="shared" si="7"/>
        <v>Kg/Ltr</v>
      </c>
      <c r="AI83" s="31">
        <f t="shared" si="8"/>
        <v>616365700</v>
      </c>
      <c r="AJ83" s="50"/>
      <c r="AK83" s="25" t="s">
        <v>141</v>
      </c>
      <c r="AL83" s="50"/>
      <c r="AM83" s="11"/>
      <c r="AP83" s="19"/>
    </row>
    <row r="84" spans="1:42" ht="110.25" customHeight="1" x14ac:dyDescent="0.2">
      <c r="A84" s="12"/>
      <c r="B84" s="13"/>
      <c r="C84" s="20" t="s">
        <v>115</v>
      </c>
      <c r="D84" s="20" t="s">
        <v>168</v>
      </c>
      <c r="E84" s="35">
        <f>3000+1000+1000</f>
        <v>5000</v>
      </c>
      <c r="F84" s="16" t="s">
        <v>144</v>
      </c>
      <c r="G84" s="17"/>
      <c r="H84" s="110">
        <v>2942.13</v>
      </c>
      <c r="I84" s="16" t="s">
        <v>144</v>
      </c>
      <c r="J84" s="17"/>
      <c r="K84" s="35">
        <v>3000</v>
      </c>
      <c r="L84" s="16" t="s">
        <v>144</v>
      </c>
      <c r="M84" s="17">
        <v>189605000</v>
      </c>
      <c r="N84" s="15">
        <v>0</v>
      </c>
      <c r="O84" s="16" t="str">
        <f t="shared" si="95"/>
        <v>Ha</v>
      </c>
      <c r="P84" s="17">
        <v>0</v>
      </c>
      <c r="Q84" s="15">
        <v>0</v>
      </c>
      <c r="R84" s="16" t="str">
        <f t="shared" si="96"/>
        <v>Ha</v>
      </c>
      <c r="S84" s="17">
        <v>6910000</v>
      </c>
      <c r="T84" s="15">
        <v>849.77</v>
      </c>
      <c r="U84" s="16" t="str">
        <f t="shared" si="97"/>
        <v>Ha</v>
      </c>
      <c r="V84" s="17">
        <v>37469680</v>
      </c>
      <c r="W84" s="35">
        <v>70</v>
      </c>
      <c r="X84" s="16" t="str">
        <f t="shared" si="98"/>
        <v>Ha</v>
      </c>
      <c r="Y84" s="17">
        <v>17277040</v>
      </c>
      <c r="Z84" s="126">
        <f t="shared" si="1"/>
        <v>919.77</v>
      </c>
      <c r="AA84" s="83" t="str">
        <f t="shared" si="2"/>
        <v>Ha</v>
      </c>
      <c r="AB84" s="50">
        <f t="shared" si="3"/>
        <v>30.658999999999999</v>
      </c>
      <c r="AC84" s="25" t="s">
        <v>141</v>
      </c>
      <c r="AD84" s="31">
        <f t="shared" si="4"/>
        <v>61656720</v>
      </c>
      <c r="AE84" s="50">
        <f t="shared" si="5"/>
        <v>32.518509532976452</v>
      </c>
      <c r="AF84" s="25" t="s">
        <v>141</v>
      </c>
      <c r="AG84" s="109">
        <f t="shared" si="6"/>
        <v>3861.9</v>
      </c>
      <c r="AH84" s="83" t="str">
        <f t="shared" si="7"/>
        <v>Ha</v>
      </c>
      <c r="AI84" s="31">
        <f t="shared" si="8"/>
        <v>61656720</v>
      </c>
      <c r="AJ84" s="50"/>
      <c r="AK84" s="25" t="s">
        <v>141</v>
      </c>
      <c r="AL84" s="50"/>
      <c r="AM84" s="11"/>
      <c r="AP84" s="19"/>
    </row>
    <row r="85" spans="1:42" ht="138" customHeight="1" x14ac:dyDescent="0.2">
      <c r="A85" s="12"/>
      <c r="B85" s="13"/>
      <c r="C85" s="20" t="s">
        <v>116</v>
      </c>
      <c r="D85" s="20" t="s">
        <v>169</v>
      </c>
      <c r="E85" s="15">
        <v>20</v>
      </c>
      <c r="F85" s="16" t="s">
        <v>170</v>
      </c>
      <c r="G85" s="17"/>
      <c r="H85" s="15">
        <v>20</v>
      </c>
      <c r="I85" s="16" t="s">
        <v>170</v>
      </c>
      <c r="J85" s="17"/>
      <c r="K85" s="15">
        <v>20</v>
      </c>
      <c r="L85" s="16" t="s">
        <v>170</v>
      </c>
      <c r="M85" s="17">
        <v>431575000</v>
      </c>
      <c r="N85" s="15">
        <v>0</v>
      </c>
      <c r="O85" s="16" t="str">
        <f t="shared" si="95"/>
        <v>Kali</v>
      </c>
      <c r="P85" s="17">
        <v>0</v>
      </c>
      <c r="Q85" s="15">
        <v>4</v>
      </c>
      <c r="R85" s="16" t="str">
        <f t="shared" si="96"/>
        <v>Kali</v>
      </c>
      <c r="S85" s="17">
        <v>0</v>
      </c>
      <c r="T85" s="15">
        <v>11</v>
      </c>
      <c r="U85" s="16" t="str">
        <f t="shared" si="97"/>
        <v>Kali</v>
      </c>
      <c r="V85" s="17">
        <v>69520000</v>
      </c>
      <c r="W85" s="15">
        <v>5</v>
      </c>
      <c r="X85" s="16" t="str">
        <f t="shared" si="98"/>
        <v>Kali</v>
      </c>
      <c r="Y85" s="17">
        <v>258754900</v>
      </c>
      <c r="Z85" s="52">
        <f t="shared" si="1"/>
        <v>20</v>
      </c>
      <c r="AA85" s="83" t="str">
        <f t="shared" si="2"/>
        <v>Kali</v>
      </c>
      <c r="AB85" s="52">
        <f t="shared" si="3"/>
        <v>100</v>
      </c>
      <c r="AC85" s="25" t="s">
        <v>141</v>
      </c>
      <c r="AD85" s="31">
        <f t="shared" si="4"/>
        <v>328274900</v>
      </c>
      <c r="AE85" s="50">
        <f t="shared" si="5"/>
        <v>76.06439205236633</v>
      </c>
      <c r="AF85" s="25" t="s">
        <v>141</v>
      </c>
      <c r="AG85" s="52">
        <f t="shared" si="6"/>
        <v>40</v>
      </c>
      <c r="AH85" s="83" t="str">
        <f t="shared" si="7"/>
        <v>Kali</v>
      </c>
      <c r="AI85" s="31">
        <f t="shared" si="8"/>
        <v>328274900</v>
      </c>
      <c r="AJ85" s="50"/>
      <c r="AK85" s="25" t="s">
        <v>141</v>
      </c>
      <c r="AL85" s="50"/>
      <c r="AM85" s="11"/>
      <c r="AP85" s="19"/>
    </row>
    <row r="86" spans="1:42" ht="78.75" x14ac:dyDescent="0.2">
      <c r="A86" s="12"/>
      <c r="B86" s="13"/>
      <c r="C86" s="14" t="s">
        <v>117</v>
      </c>
      <c r="D86" s="14" t="s">
        <v>165</v>
      </c>
      <c r="E86" s="33">
        <v>10</v>
      </c>
      <c r="F86" s="75" t="s">
        <v>141</v>
      </c>
      <c r="G86" s="17"/>
      <c r="H86" s="15"/>
      <c r="I86" s="16"/>
      <c r="J86" s="17"/>
      <c r="K86" s="33">
        <v>10</v>
      </c>
      <c r="L86" s="75" t="s">
        <v>141</v>
      </c>
      <c r="M86" s="32">
        <f>M87</f>
        <v>291936000</v>
      </c>
      <c r="N86" s="59">
        <f>N90/K87*100</f>
        <v>2.6490066225165565</v>
      </c>
      <c r="O86" s="75" t="str">
        <f t="shared" si="95"/>
        <v>%</v>
      </c>
      <c r="P86" s="32">
        <f>P87</f>
        <v>15300000</v>
      </c>
      <c r="Q86" s="59">
        <f>Q90/K87*100</f>
        <v>2.9801324503311259</v>
      </c>
      <c r="R86" s="75" t="str">
        <f t="shared" si="96"/>
        <v>%</v>
      </c>
      <c r="S86" s="32">
        <f>S87</f>
        <v>52850000</v>
      </c>
      <c r="T86" s="59">
        <f>T90/K87*100</f>
        <v>1.3245033112582782</v>
      </c>
      <c r="U86" s="75" t="str">
        <f t="shared" si="97"/>
        <v>%</v>
      </c>
      <c r="V86" s="32">
        <f>V87</f>
        <v>56999500</v>
      </c>
      <c r="W86" s="59">
        <f>W90/K87*100</f>
        <v>2.9801324503311259</v>
      </c>
      <c r="X86" s="75" t="str">
        <f t="shared" si="98"/>
        <v>%</v>
      </c>
      <c r="Y86" s="32">
        <f>Y87</f>
        <v>157687800</v>
      </c>
      <c r="Z86" s="49">
        <f t="shared" ref="Z86:Z95" si="99">SUM(N86,Q86,T86,W86)</f>
        <v>9.9337748344370862</v>
      </c>
      <c r="AA86" s="82" t="str">
        <f t="shared" ref="AA86:AA95" si="100">L86</f>
        <v>%</v>
      </c>
      <c r="AB86" s="49">
        <f t="shared" ref="AB86:AB95" si="101">Z86/K86*100</f>
        <v>99.337748344370851</v>
      </c>
      <c r="AC86" s="48" t="s">
        <v>141</v>
      </c>
      <c r="AD86" s="53">
        <f t="shared" ref="AD86:AD95" si="102">SUM(P86,S86,V86,Y86)</f>
        <v>282837300</v>
      </c>
      <c r="AE86" s="49">
        <f t="shared" ref="AE86:AE95" si="103">AD86/M86*100</f>
        <v>96.883323742190058</v>
      </c>
      <c r="AF86" s="48" t="s">
        <v>141</v>
      </c>
      <c r="AG86" s="51">
        <f t="shared" ref="AG86:AG95" si="104">SUM(H86,Z86)</f>
        <v>9.9337748344370862</v>
      </c>
      <c r="AH86" s="82" t="str">
        <f t="shared" ref="AH86:AH95" si="105">O86</f>
        <v>%</v>
      </c>
      <c r="AI86" s="53">
        <f t="shared" ref="AI86:AI95" si="106">SUM(J86,AD86)</f>
        <v>282837300</v>
      </c>
      <c r="AJ86" s="49"/>
      <c r="AK86" s="48" t="s">
        <v>141</v>
      </c>
      <c r="AL86" s="49"/>
      <c r="AM86" s="11"/>
      <c r="AP86" s="19"/>
    </row>
    <row r="87" spans="1:42" ht="131.25" customHeight="1" x14ac:dyDescent="0.2">
      <c r="A87" s="12"/>
      <c r="B87" s="13"/>
      <c r="C87" s="38" t="s">
        <v>118</v>
      </c>
      <c r="D87" s="14" t="s">
        <v>147</v>
      </c>
      <c r="E87" s="33">
        <v>306</v>
      </c>
      <c r="F87" s="75" t="s">
        <v>164</v>
      </c>
      <c r="G87" s="80"/>
      <c r="H87" s="33">
        <v>299</v>
      </c>
      <c r="I87" s="75" t="s">
        <v>164</v>
      </c>
      <c r="J87" s="108"/>
      <c r="K87" s="33">
        <v>302</v>
      </c>
      <c r="L87" s="75" t="s">
        <v>164</v>
      </c>
      <c r="M87" s="77">
        <f>SUM(M88:M90)</f>
        <v>291936000</v>
      </c>
      <c r="N87" s="33">
        <v>0</v>
      </c>
      <c r="O87" s="75" t="str">
        <f t="shared" si="95"/>
        <v>Usaha Tani</v>
      </c>
      <c r="P87" s="77">
        <f>SUM(P88:P90)</f>
        <v>15300000</v>
      </c>
      <c r="Q87" s="33">
        <v>0</v>
      </c>
      <c r="R87" s="75" t="str">
        <f t="shared" si="96"/>
        <v>Usaha Tani</v>
      </c>
      <c r="S87" s="77">
        <f>SUM(S88:S90)</f>
        <v>52850000</v>
      </c>
      <c r="T87" s="33">
        <v>301</v>
      </c>
      <c r="U87" s="75" t="str">
        <f t="shared" si="97"/>
        <v>Usaha Tani</v>
      </c>
      <c r="V87" s="77">
        <f>SUM(V88:V90)</f>
        <v>56999500</v>
      </c>
      <c r="W87" s="33">
        <v>1</v>
      </c>
      <c r="X87" s="75" t="str">
        <f t="shared" si="98"/>
        <v>Usaha Tani</v>
      </c>
      <c r="Y87" s="77">
        <f>SUM(Y88:Y90)</f>
        <v>157687800</v>
      </c>
      <c r="Z87" s="51">
        <f t="shared" si="99"/>
        <v>302</v>
      </c>
      <c r="AA87" s="98" t="str">
        <f t="shared" si="100"/>
        <v>Usaha Tani</v>
      </c>
      <c r="AB87" s="51">
        <f t="shared" si="101"/>
        <v>100</v>
      </c>
      <c r="AC87" s="48" t="s">
        <v>141</v>
      </c>
      <c r="AD87" s="93">
        <f t="shared" si="102"/>
        <v>282837300</v>
      </c>
      <c r="AE87" s="94">
        <f t="shared" si="103"/>
        <v>96.883323742190058</v>
      </c>
      <c r="AF87" s="37" t="s">
        <v>141</v>
      </c>
      <c r="AG87" s="51">
        <f t="shared" si="104"/>
        <v>601</v>
      </c>
      <c r="AH87" s="98" t="str">
        <f t="shared" si="105"/>
        <v>Usaha Tani</v>
      </c>
      <c r="AI87" s="93">
        <f t="shared" si="106"/>
        <v>282837300</v>
      </c>
      <c r="AJ87" s="49"/>
      <c r="AK87" s="48" t="s">
        <v>141</v>
      </c>
      <c r="AL87" s="94"/>
      <c r="AM87" s="11"/>
      <c r="AP87" s="19"/>
    </row>
    <row r="88" spans="1:42" ht="95.25" customHeight="1" x14ac:dyDescent="0.2">
      <c r="A88" s="12"/>
      <c r="B88" s="13"/>
      <c r="C88" s="20" t="s">
        <v>119</v>
      </c>
      <c r="D88" s="20" t="s">
        <v>163</v>
      </c>
      <c r="E88" s="104">
        <v>16</v>
      </c>
      <c r="F88" s="36" t="s">
        <v>162</v>
      </c>
      <c r="G88" s="17"/>
      <c r="H88" s="104">
        <v>16</v>
      </c>
      <c r="I88" s="36" t="s">
        <v>162</v>
      </c>
      <c r="J88" s="107"/>
      <c r="K88" s="104">
        <v>16</v>
      </c>
      <c r="L88" s="36" t="s">
        <v>162</v>
      </c>
      <c r="M88" s="17">
        <v>34000000</v>
      </c>
      <c r="N88" s="15">
        <v>2</v>
      </c>
      <c r="O88" s="36" t="str">
        <f t="shared" si="95"/>
        <v>Rekomendasi Teknis</v>
      </c>
      <c r="P88" s="17">
        <v>0</v>
      </c>
      <c r="Q88" s="15">
        <v>6</v>
      </c>
      <c r="R88" s="36" t="str">
        <f t="shared" si="96"/>
        <v>Rekomendasi Teknis</v>
      </c>
      <c r="S88" s="17">
        <v>11350000</v>
      </c>
      <c r="T88" s="15">
        <v>5</v>
      </c>
      <c r="U88" s="36" t="str">
        <f t="shared" si="97"/>
        <v>Rekomendasi Teknis</v>
      </c>
      <c r="V88" s="17">
        <v>1937500</v>
      </c>
      <c r="W88" s="15">
        <v>3</v>
      </c>
      <c r="X88" s="36" t="str">
        <f t="shared" si="98"/>
        <v>Rekomendasi Teknis</v>
      </c>
      <c r="Y88" s="17">
        <v>19637500</v>
      </c>
      <c r="Z88" s="52">
        <f t="shared" si="99"/>
        <v>16</v>
      </c>
      <c r="AA88" s="84" t="str">
        <f t="shared" si="100"/>
        <v>Rekomendasi Teknis</v>
      </c>
      <c r="AB88" s="52">
        <f t="shared" si="101"/>
        <v>100</v>
      </c>
      <c r="AC88" s="25" t="s">
        <v>141</v>
      </c>
      <c r="AD88" s="31">
        <f t="shared" si="102"/>
        <v>32925000</v>
      </c>
      <c r="AE88" s="50">
        <f t="shared" si="103"/>
        <v>96.838235294117652</v>
      </c>
      <c r="AF88" s="25" t="s">
        <v>141</v>
      </c>
      <c r="AG88" s="52">
        <f t="shared" si="104"/>
        <v>32</v>
      </c>
      <c r="AH88" s="84" t="str">
        <f t="shared" si="105"/>
        <v>Rekomendasi Teknis</v>
      </c>
      <c r="AI88" s="31">
        <f t="shared" si="106"/>
        <v>32925000</v>
      </c>
      <c r="AJ88" s="50"/>
      <c r="AK88" s="25" t="s">
        <v>141</v>
      </c>
      <c r="AL88" s="50"/>
      <c r="AM88" s="11"/>
      <c r="AP88" s="19"/>
    </row>
    <row r="89" spans="1:42" ht="105" x14ac:dyDescent="0.2">
      <c r="A89" s="12"/>
      <c r="B89" s="13"/>
      <c r="C89" s="20" t="s">
        <v>120</v>
      </c>
      <c r="D89" s="20" t="s">
        <v>161</v>
      </c>
      <c r="E89" s="104">
        <v>16</v>
      </c>
      <c r="F89" s="36" t="s">
        <v>162</v>
      </c>
      <c r="G89" s="32"/>
      <c r="H89" s="104">
        <v>16</v>
      </c>
      <c r="I89" s="36" t="s">
        <v>162</v>
      </c>
      <c r="J89" s="32"/>
      <c r="K89" s="104">
        <v>16</v>
      </c>
      <c r="L89" s="36" t="s">
        <v>162</v>
      </c>
      <c r="M89" s="17">
        <v>92625000</v>
      </c>
      <c r="N89" s="104">
        <v>2</v>
      </c>
      <c r="O89" s="36" t="str">
        <f t="shared" si="95"/>
        <v>Rekomendasi Teknis</v>
      </c>
      <c r="P89" s="17">
        <v>0</v>
      </c>
      <c r="Q89" s="106">
        <v>6</v>
      </c>
      <c r="R89" s="36" t="str">
        <f t="shared" si="96"/>
        <v>Rekomendasi Teknis</v>
      </c>
      <c r="S89" s="17">
        <v>3000000</v>
      </c>
      <c r="T89" s="106">
        <v>4</v>
      </c>
      <c r="U89" s="36" t="str">
        <f t="shared" si="97"/>
        <v>Rekomendasi Teknis</v>
      </c>
      <c r="V89" s="17">
        <v>20237000</v>
      </c>
      <c r="W89" s="106">
        <v>4</v>
      </c>
      <c r="X89" s="36" t="str">
        <f t="shared" si="98"/>
        <v>Rekomendasi Teknis</v>
      </c>
      <c r="Y89" s="17">
        <v>65562500</v>
      </c>
      <c r="Z89" s="58">
        <f t="shared" si="99"/>
        <v>16</v>
      </c>
      <c r="AA89" s="84" t="str">
        <f t="shared" si="100"/>
        <v>Rekomendasi Teknis</v>
      </c>
      <c r="AB89" s="52">
        <f t="shared" si="101"/>
        <v>100</v>
      </c>
      <c r="AC89" s="25" t="s">
        <v>141</v>
      </c>
      <c r="AD89" s="31">
        <f t="shared" si="102"/>
        <v>88799500</v>
      </c>
      <c r="AE89" s="50">
        <f t="shared" si="103"/>
        <v>95.869905533063431</v>
      </c>
      <c r="AF89" s="25" t="s">
        <v>141</v>
      </c>
      <c r="AG89" s="58">
        <f t="shared" si="104"/>
        <v>32</v>
      </c>
      <c r="AH89" s="84" t="str">
        <f t="shared" si="105"/>
        <v>Rekomendasi Teknis</v>
      </c>
      <c r="AI89" s="31">
        <f t="shared" si="106"/>
        <v>88799500</v>
      </c>
      <c r="AJ89" s="50"/>
      <c r="AK89" s="25" t="s">
        <v>141</v>
      </c>
      <c r="AL89" s="50"/>
      <c r="AM89" s="11"/>
      <c r="AP89" s="19"/>
    </row>
    <row r="90" spans="1:42" ht="66" customHeight="1" x14ac:dyDescent="0.2">
      <c r="A90" s="12"/>
      <c r="B90" s="13"/>
      <c r="C90" s="20" t="s">
        <v>121</v>
      </c>
      <c r="D90" s="20" t="s">
        <v>159</v>
      </c>
      <c r="E90" s="105">
        <f>K90*3</f>
        <v>90</v>
      </c>
      <c r="F90" s="16" t="s">
        <v>160</v>
      </c>
      <c r="G90" s="32"/>
      <c r="H90" s="57"/>
      <c r="I90" s="34"/>
      <c r="J90" s="32"/>
      <c r="K90" s="104">
        <v>30</v>
      </c>
      <c r="L90" s="16" t="s">
        <v>160</v>
      </c>
      <c r="M90" s="17">
        <v>165311000</v>
      </c>
      <c r="N90" s="104">
        <v>8</v>
      </c>
      <c r="O90" s="16" t="str">
        <f t="shared" si="95"/>
        <v>UEP</v>
      </c>
      <c r="P90" s="17">
        <v>15300000</v>
      </c>
      <c r="Q90" s="104">
        <v>9</v>
      </c>
      <c r="R90" s="16" t="str">
        <f t="shared" si="96"/>
        <v>UEP</v>
      </c>
      <c r="S90" s="17">
        <v>38500000</v>
      </c>
      <c r="T90" s="104">
        <v>4</v>
      </c>
      <c r="U90" s="16" t="str">
        <f t="shared" si="97"/>
        <v>UEP</v>
      </c>
      <c r="V90" s="17">
        <v>34825000</v>
      </c>
      <c r="W90" s="104">
        <v>9</v>
      </c>
      <c r="X90" s="16" t="str">
        <f t="shared" si="98"/>
        <v>UEP</v>
      </c>
      <c r="Y90" s="17">
        <v>72487800</v>
      </c>
      <c r="Z90" s="58">
        <f t="shared" si="99"/>
        <v>30</v>
      </c>
      <c r="AA90" s="83" t="str">
        <f t="shared" si="100"/>
        <v>UEP</v>
      </c>
      <c r="AB90" s="52">
        <f t="shared" si="101"/>
        <v>100</v>
      </c>
      <c r="AC90" s="25" t="s">
        <v>141</v>
      </c>
      <c r="AD90" s="31">
        <f t="shared" si="102"/>
        <v>161112800</v>
      </c>
      <c r="AE90" s="50">
        <f t="shared" si="103"/>
        <v>97.460423081343649</v>
      </c>
      <c r="AF90" s="25" t="s">
        <v>141</v>
      </c>
      <c r="AG90" s="55">
        <f t="shared" si="104"/>
        <v>30</v>
      </c>
      <c r="AH90" s="83" t="str">
        <f t="shared" si="105"/>
        <v>UEP</v>
      </c>
      <c r="AI90" s="31">
        <f t="shared" si="106"/>
        <v>161112800</v>
      </c>
      <c r="AJ90" s="50"/>
      <c r="AK90" s="25" t="s">
        <v>141</v>
      </c>
      <c r="AL90" s="50"/>
      <c r="AM90" s="11"/>
      <c r="AP90" s="19"/>
    </row>
    <row r="91" spans="1:42" ht="63" x14ac:dyDescent="0.2">
      <c r="A91" s="12"/>
      <c r="B91" s="13"/>
      <c r="C91" s="67" t="s">
        <v>122</v>
      </c>
      <c r="D91" s="14" t="s">
        <v>158</v>
      </c>
      <c r="E91" s="103">
        <v>15</v>
      </c>
      <c r="F91" s="75" t="s">
        <v>141</v>
      </c>
      <c r="G91" s="32"/>
      <c r="H91" s="33">
        <v>5</v>
      </c>
      <c r="I91" s="34" t="s">
        <v>141</v>
      </c>
      <c r="J91" s="32"/>
      <c r="K91" s="103">
        <v>5</v>
      </c>
      <c r="L91" s="75" t="s">
        <v>141</v>
      </c>
      <c r="M91" s="32">
        <f>M92</f>
        <v>552523900</v>
      </c>
      <c r="N91" s="59">
        <f>N92/1004*100</f>
        <v>1.4940239043824701</v>
      </c>
      <c r="O91" s="75" t="str">
        <f t="shared" si="95"/>
        <v>%</v>
      </c>
      <c r="P91" s="32">
        <f>P92</f>
        <v>27750000</v>
      </c>
      <c r="Q91" s="59">
        <f>Q92/1004*100</f>
        <v>1.4940239043824701</v>
      </c>
      <c r="R91" s="75" t="str">
        <f t="shared" si="96"/>
        <v>%</v>
      </c>
      <c r="S91" s="32">
        <f>S92</f>
        <v>19029900</v>
      </c>
      <c r="T91" s="59">
        <f>T92/1004*100</f>
        <v>2.689243027888446</v>
      </c>
      <c r="U91" s="75" t="str">
        <f t="shared" si="97"/>
        <v>%</v>
      </c>
      <c r="V91" s="32">
        <f>V92</f>
        <v>98280000</v>
      </c>
      <c r="W91" s="59">
        <f>W92/1004*100</f>
        <v>0.29880478087649404</v>
      </c>
      <c r="X91" s="75" t="str">
        <f t="shared" si="98"/>
        <v>%</v>
      </c>
      <c r="Y91" s="32">
        <f>Y92</f>
        <v>374677424</v>
      </c>
      <c r="Z91" s="99">
        <f>SUM(N91,Q91,T91,W91)</f>
        <v>5.9760956175298796</v>
      </c>
      <c r="AA91" s="82" t="str">
        <f t="shared" si="100"/>
        <v>%</v>
      </c>
      <c r="AB91" s="51">
        <f>Z91/K91*100</f>
        <v>119.52191235059759</v>
      </c>
      <c r="AC91" s="48" t="s">
        <v>141</v>
      </c>
      <c r="AD91" s="53">
        <f t="shared" si="102"/>
        <v>519737324</v>
      </c>
      <c r="AE91" s="49">
        <f t="shared" si="103"/>
        <v>94.066034790531234</v>
      </c>
      <c r="AF91" s="48" t="s">
        <v>141</v>
      </c>
      <c r="AG91" s="127">
        <f t="shared" si="104"/>
        <v>10.976095617529879</v>
      </c>
      <c r="AH91" s="82" t="str">
        <f t="shared" si="105"/>
        <v>%</v>
      </c>
      <c r="AI91" s="53">
        <f t="shared" si="106"/>
        <v>519737324</v>
      </c>
      <c r="AJ91" s="49"/>
      <c r="AK91" s="48" t="s">
        <v>141</v>
      </c>
      <c r="AL91" s="49"/>
      <c r="AM91" s="11"/>
      <c r="AP91" s="19"/>
    </row>
    <row r="92" spans="1:42" ht="94.5" x14ac:dyDescent="0.2">
      <c r="A92" s="12"/>
      <c r="B92" s="13"/>
      <c r="C92" s="14" t="s">
        <v>123</v>
      </c>
      <c r="D92" s="14" t="s">
        <v>156</v>
      </c>
      <c r="E92" s="33">
        <v>60</v>
      </c>
      <c r="F92" s="75" t="s">
        <v>157</v>
      </c>
      <c r="G92" s="17"/>
      <c r="H92" s="33">
        <v>60</v>
      </c>
      <c r="I92" s="75" t="s">
        <v>157</v>
      </c>
      <c r="J92" s="17"/>
      <c r="K92" s="33">
        <v>60</v>
      </c>
      <c r="L92" s="75" t="s">
        <v>157</v>
      </c>
      <c r="M92" s="32">
        <f>SUM(M93:M95)</f>
        <v>552523900</v>
      </c>
      <c r="N92" s="33">
        <v>15</v>
      </c>
      <c r="O92" s="75" t="str">
        <f t="shared" si="95"/>
        <v>Kelas Kelompok</v>
      </c>
      <c r="P92" s="32">
        <f>SUM(P93:P95)</f>
        <v>27750000</v>
      </c>
      <c r="Q92" s="33">
        <v>15</v>
      </c>
      <c r="R92" s="75" t="str">
        <f t="shared" si="96"/>
        <v>Kelas Kelompok</v>
      </c>
      <c r="S92" s="32">
        <f>SUM(S93:S95)</f>
        <v>19029900</v>
      </c>
      <c r="T92" s="33">
        <v>27</v>
      </c>
      <c r="U92" s="75" t="str">
        <f t="shared" si="97"/>
        <v>Kelas Kelompok</v>
      </c>
      <c r="V92" s="32">
        <f>SUM(V93:V95)</f>
        <v>98280000</v>
      </c>
      <c r="W92" s="33">
        <v>3</v>
      </c>
      <c r="X92" s="75" t="str">
        <f t="shared" si="98"/>
        <v>Kelas Kelompok</v>
      </c>
      <c r="Y92" s="32">
        <f>SUM(Y93:Y95)</f>
        <v>374677424</v>
      </c>
      <c r="Z92" s="51">
        <f t="shared" si="99"/>
        <v>60</v>
      </c>
      <c r="AA92" s="98" t="str">
        <f t="shared" si="100"/>
        <v>Kelas Kelompok</v>
      </c>
      <c r="AB92" s="51">
        <f t="shared" si="101"/>
        <v>100</v>
      </c>
      <c r="AC92" s="48" t="s">
        <v>141</v>
      </c>
      <c r="AD92" s="53">
        <f t="shared" si="102"/>
        <v>519737324</v>
      </c>
      <c r="AE92" s="49">
        <f t="shared" si="103"/>
        <v>94.066034790531234</v>
      </c>
      <c r="AF92" s="48" t="s">
        <v>141</v>
      </c>
      <c r="AG92" s="51">
        <f t="shared" si="104"/>
        <v>120</v>
      </c>
      <c r="AH92" s="82" t="str">
        <f t="shared" si="105"/>
        <v>Kelas Kelompok</v>
      </c>
      <c r="AI92" s="53">
        <f t="shared" si="106"/>
        <v>519737324</v>
      </c>
      <c r="AJ92" s="49"/>
      <c r="AK92" s="48" t="s">
        <v>141</v>
      </c>
      <c r="AL92" s="49"/>
      <c r="AM92" s="11"/>
      <c r="AP92" s="19"/>
    </row>
    <row r="93" spans="1:42" ht="105" x14ac:dyDescent="0.2">
      <c r="A93" s="12"/>
      <c r="B93" s="13"/>
      <c r="C93" s="66" t="s">
        <v>124</v>
      </c>
      <c r="D93" s="20" t="s">
        <v>150</v>
      </c>
      <c r="E93" s="15">
        <f>K93*3</f>
        <v>450</v>
      </c>
      <c r="F93" s="16" t="s">
        <v>152</v>
      </c>
      <c r="G93" s="17"/>
      <c r="H93" s="15">
        <v>150</v>
      </c>
      <c r="I93" s="16" t="s">
        <v>152</v>
      </c>
      <c r="J93" s="17"/>
      <c r="K93" s="15">
        <v>150</v>
      </c>
      <c r="L93" s="16" t="s">
        <v>152</v>
      </c>
      <c r="M93" s="17">
        <v>136315000</v>
      </c>
      <c r="N93" s="15">
        <v>0</v>
      </c>
      <c r="O93" s="16" t="str">
        <f t="shared" si="95"/>
        <v>Org</v>
      </c>
      <c r="P93" s="17">
        <v>20250000</v>
      </c>
      <c r="Q93" s="15">
        <v>75</v>
      </c>
      <c r="R93" s="16" t="str">
        <f t="shared" si="96"/>
        <v>Org</v>
      </c>
      <c r="S93" s="17">
        <v>12600000</v>
      </c>
      <c r="T93" s="15">
        <v>0</v>
      </c>
      <c r="U93" s="16" t="str">
        <f>O93</f>
        <v>Org</v>
      </c>
      <c r="V93" s="17">
        <v>42180000</v>
      </c>
      <c r="W93" s="15">
        <v>75</v>
      </c>
      <c r="X93" s="16" t="str">
        <f>R93</f>
        <v>Org</v>
      </c>
      <c r="Y93" s="17">
        <v>60887500</v>
      </c>
      <c r="Z93" s="52">
        <f t="shared" si="99"/>
        <v>150</v>
      </c>
      <c r="AA93" s="83" t="str">
        <f t="shared" si="100"/>
        <v>Org</v>
      </c>
      <c r="AB93" s="52">
        <f t="shared" si="101"/>
        <v>100</v>
      </c>
      <c r="AC93" s="25" t="s">
        <v>141</v>
      </c>
      <c r="AD93" s="31">
        <f t="shared" si="102"/>
        <v>135917500</v>
      </c>
      <c r="AE93" s="50">
        <f t="shared" si="103"/>
        <v>99.70839599457139</v>
      </c>
      <c r="AF93" s="25" t="s">
        <v>141</v>
      </c>
      <c r="AG93" s="52">
        <f t="shared" si="104"/>
        <v>300</v>
      </c>
      <c r="AH93" s="83" t="str">
        <f t="shared" si="105"/>
        <v>Org</v>
      </c>
      <c r="AI93" s="31">
        <f t="shared" si="106"/>
        <v>135917500</v>
      </c>
      <c r="AJ93" s="50"/>
      <c r="AK93" s="25" t="s">
        <v>141</v>
      </c>
      <c r="AL93" s="50"/>
      <c r="AM93" s="11"/>
      <c r="AP93" s="19"/>
    </row>
    <row r="94" spans="1:42" ht="99.75" customHeight="1" x14ac:dyDescent="0.2">
      <c r="A94" s="12"/>
      <c r="B94" s="13"/>
      <c r="C94" s="20" t="s">
        <v>125</v>
      </c>
      <c r="D94" s="20" t="s">
        <v>151</v>
      </c>
      <c r="E94" s="15">
        <v>148</v>
      </c>
      <c r="F94" s="16" t="s">
        <v>153</v>
      </c>
      <c r="G94" s="17"/>
      <c r="H94" s="15"/>
      <c r="I94" s="16"/>
      <c r="J94" s="17"/>
      <c r="K94" s="15">
        <v>148</v>
      </c>
      <c r="L94" s="16" t="s">
        <v>153</v>
      </c>
      <c r="M94" s="17">
        <v>91970000</v>
      </c>
      <c r="N94" s="15">
        <v>0</v>
      </c>
      <c r="O94" s="16" t="s">
        <v>153</v>
      </c>
      <c r="P94" s="17">
        <v>3000000</v>
      </c>
      <c r="Q94" s="15">
        <v>75</v>
      </c>
      <c r="R94" s="16" t="s">
        <v>153</v>
      </c>
      <c r="S94" s="17">
        <v>0</v>
      </c>
      <c r="T94" s="15">
        <v>0</v>
      </c>
      <c r="U94" s="16" t="s">
        <v>153</v>
      </c>
      <c r="V94" s="17">
        <v>25150000</v>
      </c>
      <c r="W94" s="15">
        <v>73</v>
      </c>
      <c r="X94" s="16" t="s">
        <v>153</v>
      </c>
      <c r="Y94" s="17">
        <v>47520000</v>
      </c>
      <c r="Z94" s="52">
        <f t="shared" si="99"/>
        <v>148</v>
      </c>
      <c r="AA94" s="83" t="str">
        <f t="shared" si="100"/>
        <v>Desa</v>
      </c>
      <c r="AB94" s="52">
        <f t="shared" si="101"/>
        <v>100</v>
      </c>
      <c r="AC94" s="25" t="s">
        <v>141</v>
      </c>
      <c r="AD94" s="31">
        <f t="shared" si="102"/>
        <v>75670000</v>
      </c>
      <c r="AE94" s="50">
        <f t="shared" si="103"/>
        <v>82.2768294008916</v>
      </c>
      <c r="AF94" s="25" t="s">
        <v>141</v>
      </c>
      <c r="AG94" s="52">
        <f t="shared" si="104"/>
        <v>148</v>
      </c>
      <c r="AH94" s="83" t="str">
        <f t="shared" si="105"/>
        <v>Desa</v>
      </c>
      <c r="AI94" s="31">
        <f t="shared" si="106"/>
        <v>75670000</v>
      </c>
      <c r="AJ94" s="50"/>
      <c r="AK94" s="25" t="s">
        <v>141</v>
      </c>
      <c r="AL94" s="50"/>
      <c r="AM94" s="11"/>
      <c r="AP94" s="19"/>
    </row>
    <row r="95" spans="1:42" ht="99.75" customHeight="1" x14ac:dyDescent="0.2">
      <c r="A95" s="12"/>
      <c r="B95" s="13"/>
      <c r="C95" s="20" t="s">
        <v>126</v>
      </c>
      <c r="D95" s="20" t="s">
        <v>154</v>
      </c>
      <c r="E95" s="58">
        <v>11</v>
      </c>
      <c r="F95" s="16" t="s">
        <v>155</v>
      </c>
      <c r="G95" s="17"/>
      <c r="H95" s="55"/>
      <c r="I95" s="16"/>
      <c r="J95" s="17"/>
      <c r="K95" s="58">
        <v>11</v>
      </c>
      <c r="L95" s="16" t="s">
        <v>155</v>
      </c>
      <c r="M95" s="17">
        <v>324238900</v>
      </c>
      <c r="N95" s="58">
        <v>1</v>
      </c>
      <c r="O95" s="16" t="str">
        <f>L95</f>
        <v>BPP</v>
      </c>
      <c r="P95" s="17">
        <v>4500000</v>
      </c>
      <c r="Q95" s="15">
        <v>9</v>
      </c>
      <c r="R95" s="16" t="str">
        <f>L95</f>
        <v>BPP</v>
      </c>
      <c r="S95" s="17">
        <f>10929900-P95</f>
        <v>6429900</v>
      </c>
      <c r="T95" s="15">
        <v>1</v>
      </c>
      <c r="U95" s="16" t="str">
        <f>L95</f>
        <v>BPP</v>
      </c>
      <c r="V95" s="17">
        <v>30950000</v>
      </c>
      <c r="W95" s="15">
        <v>0</v>
      </c>
      <c r="X95" s="16" t="str">
        <f>O95</f>
        <v>BPP</v>
      </c>
      <c r="Y95" s="17">
        <v>266269924</v>
      </c>
      <c r="Z95" s="58">
        <f t="shared" si="99"/>
        <v>11</v>
      </c>
      <c r="AA95" s="83" t="str">
        <f t="shared" si="100"/>
        <v>BPP</v>
      </c>
      <c r="AB95" s="52">
        <f t="shared" si="101"/>
        <v>100</v>
      </c>
      <c r="AC95" s="25" t="s">
        <v>141</v>
      </c>
      <c r="AD95" s="31">
        <f t="shared" si="102"/>
        <v>308149824</v>
      </c>
      <c r="AE95" s="50">
        <f t="shared" si="103"/>
        <v>95.037894589452407</v>
      </c>
      <c r="AF95" s="25" t="s">
        <v>141</v>
      </c>
      <c r="AG95" s="52">
        <f t="shared" si="104"/>
        <v>11</v>
      </c>
      <c r="AH95" s="83" t="str">
        <f t="shared" si="105"/>
        <v>BPP</v>
      </c>
      <c r="AI95" s="31">
        <f t="shared" si="106"/>
        <v>308149824</v>
      </c>
      <c r="AJ95" s="50"/>
      <c r="AK95" s="25" t="s">
        <v>141</v>
      </c>
      <c r="AL95" s="50"/>
      <c r="AM95" s="11"/>
      <c r="AP95" s="19"/>
    </row>
    <row r="96" spans="1:42" ht="15" x14ac:dyDescent="0.2">
      <c r="A96" s="132" t="s">
        <v>24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4"/>
      <c r="AB96" s="61">
        <f>AVERAGE(AB13:AB95)</f>
        <v>97.6989987745918</v>
      </c>
      <c r="AC96" s="42"/>
      <c r="AD96" s="40"/>
      <c r="AE96" s="61">
        <f>AVERAGE(AE13,AE37,AE67,AE75,AE81,AE86,AE91)</f>
        <v>86.103976450532784</v>
      </c>
      <c r="AF96" s="42"/>
      <c r="AG96" s="41"/>
      <c r="AH96" s="87"/>
      <c r="AI96" s="41"/>
      <c r="AJ96" s="41"/>
      <c r="AK96" s="42"/>
      <c r="AL96" s="43"/>
      <c r="AM96" s="11"/>
    </row>
    <row r="97" spans="1:39" ht="15" x14ac:dyDescent="0.2">
      <c r="A97" s="132" t="s">
        <v>25</v>
      </c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4"/>
      <c r="AB97" s="62" t="str">
        <f>IF(AB96&gt;=91,"Sangat Tinggi",IF(AB96&gt;=76,"Tinggi",IF(AB96&gt;=66,"Sedang",IF(AB96&gt;=51,"Rendah",IF(AB96&lt;=50,"Sangat Rendah")))))</f>
        <v>Sangat Tinggi</v>
      </c>
      <c r="AC97" s="42"/>
      <c r="AD97" s="44"/>
      <c r="AE97" s="62" t="str">
        <f>IF(AE96&gt;=91,"Sangat Tinggi",IF(AE96&gt;=76,"Tinggi",IF(AE96&gt;=66,"Sedang",IF(AE96&gt;=51,"Rendah",IF(AE96&lt;=50,"Sangat Rendah")))))</f>
        <v>Tinggi</v>
      </c>
      <c r="AF97" s="42"/>
      <c r="AG97" s="45"/>
      <c r="AH97" s="87"/>
      <c r="AI97" s="46"/>
      <c r="AJ97" s="45"/>
      <c r="AK97" s="42"/>
      <c r="AL97" s="47"/>
      <c r="AM97" s="11"/>
    </row>
    <row r="98" spans="1:39" ht="15" x14ac:dyDescent="0.2">
      <c r="A98" s="131" t="s">
        <v>26</v>
      </c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1"/>
    </row>
    <row r="99" spans="1:39" ht="15" x14ac:dyDescent="0.2">
      <c r="A99" s="131" t="s">
        <v>27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1"/>
    </row>
    <row r="100" spans="1:39" ht="15" x14ac:dyDescent="0.2">
      <c r="A100" s="131" t="s">
        <v>28</v>
      </c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1"/>
    </row>
    <row r="101" spans="1:39" ht="15" x14ac:dyDescent="0.2">
      <c r="A101" s="131" t="s">
        <v>29</v>
      </c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22"/>
    </row>
    <row r="102" spans="1:39" ht="15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85"/>
      <c r="AB102" s="23"/>
      <c r="AC102" s="24"/>
      <c r="AD102" s="23"/>
      <c r="AE102" s="23"/>
      <c r="AF102" s="24"/>
      <c r="AG102" s="23"/>
      <c r="AH102" s="85"/>
      <c r="AI102" s="23"/>
      <c r="AJ102" s="23"/>
      <c r="AK102" s="24"/>
      <c r="AL102" s="23"/>
    </row>
    <row r="103" spans="1:39" ht="15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128" t="s">
        <v>54</v>
      </c>
      <c r="AA103" s="128"/>
      <c r="AB103" s="128"/>
      <c r="AC103" s="128"/>
      <c r="AD103" s="128"/>
      <c r="AE103" s="128"/>
      <c r="AF103" s="24"/>
      <c r="AG103" s="23"/>
      <c r="AH103" s="128" t="s">
        <v>55</v>
      </c>
      <c r="AI103" s="128"/>
      <c r="AJ103" s="128"/>
      <c r="AK103" s="128"/>
      <c r="AL103" s="128"/>
      <c r="AM103" s="128"/>
    </row>
    <row r="104" spans="1:39" ht="15.75" x14ac:dyDescent="0.25">
      <c r="A104" s="29"/>
      <c r="B104" s="30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128" t="s">
        <v>217</v>
      </c>
      <c r="AA104" s="128"/>
      <c r="AB104" s="128"/>
      <c r="AC104" s="128"/>
      <c r="AD104" s="128"/>
      <c r="AE104" s="128"/>
      <c r="AF104" s="24"/>
      <c r="AG104" s="23"/>
      <c r="AH104" s="128" t="s">
        <v>217</v>
      </c>
      <c r="AI104" s="128"/>
      <c r="AJ104" s="128"/>
      <c r="AK104" s="128"/>
      <c r="AL104" s="128"/>
      <c r="AM104" s="128"/>
    </row>
    <row r="105" spans="1:39" ht="15" x14ac:dyDescent="0.2">
      <c r="Z105" s="128" t="s">
        <v>60</v>
      </c>
      <c r="AA105" s="128"/>
      <c r="AB105" s="128"/>
      <c r="AC105" s="128"/>
      <c r="AD105" s="128"/>
      <c r="AE105" s="128"/>
      <c r="AH105" s="128" t="s">
        <v>56</v>
      </c>
      <c r="AI105" s="128"/>
      <c r="AJ105" s="128"/>
      <c r="AK105" s="128"/>
      <c r="AL105" s="128"/>
      <c r="AM105" s="128"/>
    </row>
    <row r="106" spans="1:39" ht="15" x14ac:dyDescent="0.2">
      <c r="Z106" s="128" t="s">
        <v>57</v>
      </c>
      <c r="AA106" s="128"/>
      <c r="AB106" s="128"/>
      <c r="AC106" s="128"/>
      <c r="AD106" s="128"/>
      <c r="AE106" s="128"/>
      <c r="AH106" s="128" t="s">
        <v>57</v>
      </c>
      <c r="AI106" s="128"/>
      <c r="AJ106" s="128"/>
      <c r="AK106" s="128"/>
      <c r="AL106" s="128"/>
      <c r="AM106" s="128"/>
    </row>
    <row r="107" spans="1:39" ht="25.5" x14ac:dyDescent="0.2">
      <c r="A107" s="26" t="s">
        <v>30</v>
      </c>
      <c r="B107" s="26" t="s">
        <v>31</v>
      </c>
      <c r="C107" s="26" t="s">
        <v>32</v>
      </c>
      <c r="Z107" s="23"/>
      <c r="AA107" s="85"/>
      <c r="AB107" s="23"/>
      <c r="AC107" s="24"/>
      <c r="AD107" s="23"/>
      <c r="AH107" s="88"/>
      <c r="AI107" s="24"/>
      <c r="AJ107" s="23"/>
      <c r="AK107" s="24"/>
      <c r="AL107" s="23"/>
    </row>
    <row r="108" spans="1:39" ht="25.5" x14ac:dyDescent="0.25">
      <c r="A108" s="27" t="s">
        <v>33</v>
      </c>
      <c r="B108" s="27" t="s">
        <v>34</v>
      </c>
      <c r="C108" s="27" t="s">
        <v>35</v>
      </c>
      <c r="Z108" s="129" t="s">
        <v>62</v>
      </c>
      <c r="AA108" s="129"/>
      <c r="AB108" s="129"/>
      <c r="AC108" s="129"/>
      <c r="AD108" s="129"/>
      <c r="AE108" s="129"/>
      <c r="AH108" s="129" t="s">
        <v>58</v>
      </c>
      <c r="AI108" s="129"/>
      <c r="AJ108" s="129"/>
      <c r="AK108" s="129"/>
      <c r="AL108" s="129"/>
      <c r="AM108" s="129"/>
    </row>
    <row r="109" spans="1:39" ht="25.5" x14ac:dyDescent="0.2">
      <c r="A109" s="27" t="s">
        <v>36</v>
      </c>
      <c r="B109" s="27" t="s">
        <v>37</v>
      </c>
      <c r="C109" s="27" t="s">
        <v>38</v>
      </c>
      <c r="Z109" s="130" t="s">
        <v>61</v>
      </c>
      <c r="AA109" s="130"/>
      <c r="AB109" s="130"/>
      <c r="AC109" s="130"/>
      <c r="AD109" s="130"/>
      <c r="AE109" s="130"/>
      <c r="AH109" s="130" t="s">
        <v>59</v>
      </c>
      <c r="AI109" s="130"/>
      <c r="AJ109" s="130"/>
      <c r="AK109" s="130"/>
      <c r="AL109" s="130"/>
      <c r="AM109" s="130"/>
    </row>
    <row r="110" spans="1:39" ht="25.5" x14ac:dyDescent="0.2">
      <c r="A110" s="27" t="s">
        <v>39</v>
      </c>
      <c r="B110" s="27" t="s">
        <v>40</v>
      </c>
      <c r="C110" s="27" t="s">
        <v>41</v>
      </c>
    </row>
    <row r="111" spans="1:39" ht="25.5" x14ac:dyDescent="0.2">
      <c r="A111" s="27" t="s">
        <v>42</v>
      </c>
      <c r="B111" s="27" t="s">
        <v>43</v>
      </c>
      <c r="C111" s="27" t="s">
        <v>44</v>
      </c>
    </row>
    <row r="112" spans="1:39" ht="25.5" x14ac:dyDescent="0.2">
      <c r="A112" s="27" t="s">
        <v>45</v>
      </c>
      <c r="B112" s="28" t="s">
        <v>46</v>
      </c>
      <c r="C112" s="27" t="s">
        <v>47</v>
      </c>
    </row>
  </sheetData>
  <mergeCells count="82">
    <mergeCell ref="A6:AL6"/>
    <mergeCell ref="Z7:AF8"/>
    <mergeCell ref="Z9:AF9"/>
    <mergeCell ref="A7:A9"/>
    <mergeCell ref="B7:B9"/>
    <mergeCell ref="C7:C9"/>
    <mergeCell ref="D7:D9"/>
    <mergeCell ref="E7:G9"/>
    <mergeCell ref="A1:AL1"/>
    <mergeCell ref="A2:AL2"/>
    <mergeCell ref="A3:AL3"/>
    <mergeCell ref="A4:AL4"/>
    <mergeCell ref="A5:AL5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E11:F12"/>
    <mergeCell ref="G11:G12"/>
    <mergeCell ref="H11:I12"/>
    <mergeCell ref="J11:J12"/>
    <mergeCell ref="K11:L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W10:Y10"/>
    <mergeCell ref="A10:A12"/>
    <mergeCell ref="B10:B12"/>
    <mergeCell ref="C10:C12"/>
    <mergeCell ref="D10:D12"/>
    <mergeCell ref="A98:AL98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A99:AL99"/>
    <mergeCell ref="A100:AL100"/>
    <mergeCell ref="A101:AL101"/>
    <mergeCell ref="A96:AA96"/>
    <mergeCell ref="A97:AA97"/>
    <mergeCell ref="Z103:AE103"/>
    <mergeCell ref="AH103:AM103"/>
    <mergeCell ref="Z104:AE104"/>
    <mergeCell ref="AH104:AM104"/>
    <mergeCell ref="Z105:AE105"/>
    <mergeCell ref="AH105:AM105"/>
    <mergeCell ref="Z106:AE106"/>
    <mergeCell ref="AH106:AM106"/>
    <mergeCell ref="Z108:AE108"/>
    <mergeCell ref="AH108:AM108"/>
    <mergeCell ref="Z109:AE109"/>
    <mergeCell ref="AH109:AM109"/>
  </mergeCells>
  <printOptions horizontalCentered="1"/>
  <pageMargins left="3.937007874015748E-2" right="3.937007874015748E-2" top="3.937007874015748E-2" bottom="3.937007874015748E-2" header="0" footer="0"/>
  <pageSetup paperSize="256" scale="31" orientation="landscape" horizontalDpi="4294967294" r:id="rId1"/>
  <rowBreaks count="1" manualBreakCount="1">
    <brk id="101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Pertanian</vt:lpstr>
      <vt:lpstr>'Dinas Pertanian'!Print_Area</vt:lpstr>
      <vt:lpstr>'Dinas Pertanian'!Print_Titles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2020-06-02T00:36:02Z</cp:lastPrinted>
  <dcterms:created xsi:type="dcterms:W3CDTF">2020-03-18T05:59:44Z</dcterms:created>
  <dcterms:modified xsi:type="dcterms:W3CDTF">2022-01-10T01:07:47Z</dcterms:modified>
</cp:coreProperties>
</file>