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160"/>
  </bookViews>
  <sheets>
    <sheet name="Satpol PP dan Damkar" sheetId="1" r:id="rId1"/>
  </sheets>
  <definedNames>
    <definedName name="_xlnm.Print_Area" localSheetId="0">'Satpol PP dan Damkar'!$A$1:$AM$94</definedName>
    <definedName name="_xlnm.Print_Titles" localSheetId="0">'Satpol PP dan Damkar'!$7:$12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0" i="1" l="1"/>
  <c r="S34" i="1" l="1"/>
  <c r="Z25" i="1"/>
  <c r="W20" i="1"/>
  <c r="T20" i="1"/>
  <c r="Y17" i="1"/>
  <c r="X60" i="1"/>
  <c r="Y59" i="1"/>
  <c r="X59" i="1"/>
  <c r="W59" i="1"/>
  <c r="X58" i="1"/>
  <c r="W58" i="1"/>
  <c r="W57" i="1" s="1"/>
  <c r="W56" i="1" s="1"/>
  <c r="Y57" i="1"/>
  <c r="Y56" i="1" s="1"/>
  <c r="X57" i="1"/>
  <c r="X56" i="1"/>
  <c r="X55" i="1"/>
  <c r="Y54" i="1"/>
  <c r="X54" i="1"/>
  <c r="X53" i="1"/>
  <c r="W53" i="1"/>
  <c r="X52" i="1"/>
  <c r="Y51" i="1"/>
  <c r="X51" i="1"/>
  <c r="W51" i="1"/>
  <c r="X50" i="1"/>
  <c r="X49" i="1"/>
  <c r="W49" i="1"/>
  <c r="X48" i="1"/>
  <c r="X47" i="1"/>
  <c r="X46" i="1"/>
  <c r="W46" i="1"/>
  <c r="Y45" i="1"/>
  <c r="X45" i="1"/>
  <c r="W45" i="1"/>
  <c r="X44" i="1"/>
  <c r="W44" i="1"/>
  <c r="X43" i="1"/>
  <c r="X42" i="1"/>
  <c r="X41" i="1"/>
  <c r="Y40" i="1"/>
  <c r="X40" i="1"/>
  <c r="X39" i="1"/>
  <c r="X38" i="1"/>
  <c r="X37" i="1"/>
  <c r="Y36" i="1"/>
  <c r="X36" i="1"/>
  <c r="X35" i="1"/>
  <c r="Y34" i="1"/>
  <c r="X34" i="1"/>
  <c r="X33" i="1"/>
  <c r="X32" i="1"/>
  <c r="X31" i="1"/>
  <c r="X30" i="1"/>
  <c r="X29" i="1"/>
  <c r="X28" i="1"/>
  <c r="Y27" i="1"/>
  <c r="X27" i="1"/>
  <c r="X26" i="1"/>
  <c r="Y25" i="1"/>
  <c r="X25" i="1"/>
  <c r="X24" i="1"/>
  <c r="X23" i="1"/>
  <c r="X22" i="1"/>
  <c r="X21" i="1"/>
  <c r="Y20" i="1"/>
  <c r="X20" i="1"/>
  <c r="X19" i="1"/>
  <c r="X18" i="1"/>
  <c r="X17" i="1"/>
  <c r="W17" i="1"/>
  <c r="X16" i="1"/>
  <c r="Y44" i="1" l="1"/>
  <c r="Y16" i="1"/>
  <c r="T17" i="1"/>
  <c r="T59" i="1" l="1"/>
  <c r="Q59" i="1"/>
  <c r="N59" i="1"/>
  <c r="K59" i="1"/>
  <c r="E59" i="1"/>
  <c r="E60" i="1"/>
  <c r="Z60" i="1"/>
  <c r="AB60" i="1" s="1"/>
  <c r="Z58" i="1"/>
  <c r="AB58" i="1" s="1"/>
  <c r="Z56" i="1"/>
  <c r="AB56" i="1" s="1"/>
  <c r="Z57" i="1"/>
  <c r="AB57" i="1" s="1"/>
  <c r="H58" i="1"/>
  <c r="T57" i="1"/>
  <c r="T56" i="1"/>
  <c r="Q56" i="1"/>
  <c r="N56" i="1"/>
  <c r="Q57" i="1"/>
  <c r="N57" i="1"/>
  <c r="Q58" i="1"/>
  <c r="N58" i="1"/>
  <c r="T58" i="1"/>
  <c r="G53" i="1"/>
  <c r="Z53" i="1"/>
  <c r="AB53" i="1" s="1"/>
  <c r="T53" i="1"/>
  <c r="Q53" i="1"/>
  <c r="N53" i="1"/>
  <c r="K53" i="1"/>
  <c r="G52" i="1"/>
  <c r="Z51" i="1"/>
  <c r="T51" i="1"/>
  <c r="Q51" i="1"/>
  <c r="N51" i="1"/>
  <c r="K51" i="1"/>
  <c r="Q50" i="1"/>
  <c r="K50" i="1"/>
  <c r="H49" i="1"/>
  <c r="G50" i="1"/>
  <c r="G49" i="1"/>
  <c r="G47" i="1"/>
  <c r="G46" i="1"/>
  <c r="Z49" i="1"/>
  <c r="T49" i="1"/>
  <c r="Q49" i="1"/>
  <c r="N49" i="1"/>
  <c r="K49" i="1"/>
  <c r="N44" i="1"/>
  <c r="Z46" i="1"/>
  <c r="T46" i="1"/>
  <c r="Q46" i="1"/>
  <c r="N46" i="1"/>
  <c r="Z45" i="1"/>
  <c r="T45" i="1"/>
  <c r="Q45" i="1"/>
  <c r="N45" i="1"/>
  <c r="Z44" i="1"/>
  <c r="T44" i="1"/>
  <c r="Q44" i="1"/>
  <c r="J45" i="1"/>
  <c r="J44" i="1" s="1"/>
  <c r="V40" i="1"/>
  <c r="V36" i="1"/>
  <c r="V20" i="1"/>
  <c r="V17" i="1"/>
  <c r="V45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V59" i="1"/>
  <c r="V57" i="1"/>
  <c r="V56" i="1" s="1"/>
  <c r="V54" i="1"/>
  <c r="V51" i="1"/>
  <c r="V34" i="1"/>
  <c r="V27" i="1"/>
  <c r="V25" i="1"/>
  <c r="Z55" i="1"/>
  <c r="AB55" i="1" s="1"/>
  <c r="Z54" i="1"/>
  <c r="AB54" i="1" s="1"/>
  <c r="Z52" i="1"/>
  <c r="E26" i="1"/>
  <c r="E48" i="1"/>
  <c r="E47" i="1"/>
  <c r="E43" i="1"/>
  <c r="E42" i="1"/>
  <c r="E41" i="1"/>
  <c r="E39" i="1"/>
  <c r="E38" i="1"/>
  <c r="E37" i="1"/>
  <c r="E35" i="1"/>
  <c r="E33" i="1"/>
  <c r="E32" i="1"/>
  <c r="E31" i="1"/>
  <c r="E30" i="1"/>
  <c r="E29" i="1"/>
  <c r="E28" i="1"/>
  <c r="G17" i="1"/>
  <c r="G16" i="1" s="1"/>
  <c r="P17" i="1"/>
  <c r="M17" i="1"/>
  <c r="G20" i="1"/>
  <c r="P20" i="1"/>
  <c r="M20" i="1"/>
  <c r="G25" i="1"/>
  <c r="P25" i="1"/>
  <c r="M25" i="1"/>
  <c r="G27" i="1"/>
  <c r="P27" i="1"/>
  <c r="G34" i="1"/>
  <c r="P34" i="1"/>
  <c r="M34" i="1"/>
  <c r="G36" i="1"/>
  <c r="P36" i="1"/>
  <c r="M36" i="1"/>
  <c r="G40" i="1"/>
  <c r="P40" i="1"/>
  <c r="M40" i="1"/>
  <c r="G45" i="1"/>
  <c r="P45" i="1"/>
  <c r="M45" i="1"/>
  <c r="S51" i="1"/>
  <c r="P51" i="1"/>
  <c r="G51" i="1"/>
  <c r="M51" i="1"/>
  <c r="S54" i="1"/>
  <c r="P54" i="1"/>
  <c r="G54" i="1"/>
  <c r="M54" i="1"/>
  <c r="G57" i="1"/>
  <c r="G56" i="1" s="1"/>
  <c r="P57" i="1"/>
  <c r="P56" i="1" s="1"/>
  <c r="M57" i="1"/>
  <c r="S59" i="1"/>
  <c r="M59" i="1"/>
  <c r="G59" i="1"/>
  <c r="P59" i="1"/>
  <c r="M27" i="1"/>
  <c r="O26" i="1"/>
  <c r="R26" i="1"/>
  <c r="E24" i="1"/>
  <c r="E23" i="1"/>
  <c r="E22" i="1"/>
  <c r="E21" i="1"/>
  <c r="K20" i="1"/>
  <c r="E20" i="1" s="1"/>
  <c r="E19" i="1"/>
  <c r="E18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5" i="1"/>
  <c r="R24" i="1"/>
  <c r="R23" i="1"/>
  <c r="R22" i="1"/>
  <c r="R21" i="1"/>
  <c r="R20" i="1"/>
  <c r="R19" i="1"/>
  <c r="R18" i="1"/>
  <c r="R17" i="1"/>
  <c r="R16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Q17" i="1"/>
  <c r="N17" i="1"/>
  <c r="K17" i="1"/>
  <c r="Z59" i="1" l="1"/>
  <c r="AB59" i="1" s="1"/>
  <c r="G44" i="1"/>
  <c r="V16" i="1"/>
  <c r="V44" i="1"/>
  <c r="E17" i="1"/>
  <c r="M44" i="1"/>
  <c r="M56" i="1"/>
  <c r="P44" i="1"/>
  <c r="M16" i="1"/>
  <c r="P16" i="1"/>
  <c r="AK16" i="1"/>
  <c r="AI48" i="1"/>
  <c r="Z48" i="1" l="1"/>
  <c r="AG48" i="1" s="1"/>
  <c r="S41" i="1"/>
  <c r="S39" i="1"/>
  <c r="S36" i="1" s="1"/>
  <c r="S18" i="1"/>
  <c r="S17" i="1" s="1"/>
  <c r="Q20" i="1"/>
  <c r="AB48" i="1" l="1"/>
  <c r="S58" i="1"/>
  <c r="S57" i="1" s="1"/>
  <c r="S56" i="1" s="1"/>
  <c r="S47" i="1"/>
  <c r="S45" i="1" s="1"/>
  <c r="S44" i="1" s="1"/>
  <c r="S43" i="1"/>
  <c r="S40" i="1" s="1"/>
  <c r="S28" i="1"/>
  <c r="S29" i="1"/>
  <c r="S30" i="1"/>
  <c r="S31" i="1"/>
  <c r="S32" i="1"/>
  <c r="S33" i="1"/>
  <c r="S26" i="1"/>
  <c r="S25" i="1" s="1"/>
  <c r="S21" i="1"/>
  <c r="S22" i="1"/>
  <c r="S27" i="1" l="1"/>
  <c r="S20" i="1"/>
  <c r="S16" i="1" s="1"/>
  <c r="AH48" i="1"/>
  <c r="AD60" i="1" l="1"/>
  <c r="AH60" i="1"/>
  <c r="AH59" i="1"/>
  <c r="AD58" i="1"/>
  <c r="AH58" i="1"/>
  <c r="AH57" i="1"/>
  <c r="AH56" i="1"/>
  <c r="AD55" i="1"/>
  <c r="AH55" i="1"/>
  <c r="AH54" i="1"/>
  <c r="AD53" i="1"/>
  <c r="AH53" i="1"/>
  <c r="AD52" i="1"/>
  <c r="AH52" i="1"/>
  <c r="AH51" i="1"/>
  <c r="AD50" i="1"/>
  <c r="AH50" i="1"/>
  <c r="Z50" i="1"/>
  <c r="AD49" i="1"/>
  <c r="AH49" i="1"/>
  <c r="AD47" i="1"/>
  <c r="AH47" i="1"/>
  <c r="Z47" i="1"/>
  <c r="AD46" i="1"/>
  <c r="AH46" i="1"/>
  <c r="AH45" i="1"/>
  <c r="AH44" i="1"/>
  <c r="AD43" i="1"/>
  <c r="AH43" i="1"/>
  <c r="Z43" i="1"/>
  <c r="AD42" i="1"/>
  <c r="AH42" i="1"/>
  <c r="Z42" i="1"/>
  <c r="AD41" i="1"/>
  <c r="AH41" i="1"/>
  <c r="Z41" i="1"/>
  <c r="AH40" i="1"/>
  <c r="Z40" i="1"/>
  <c r="AD39" i="1"/>
  <c r="AH39" i="1"/>
  <c r="Z39" i="1"/>
  <c r="AD38" i="1"/>
  <c r="AH38" i="1"/>
  <c r="Z38" i="1"/>
  <c r="AD37" i="1"/>
  <c r="AH37" i="1"/>
  <c r="Z37" i="1"/>
  <c r="AH36" i="1"/>
  <c r="Z36" i="1"/>
  <c r="AD35" i="1"/>
  <c r="AH35" i="1"/>
  <c r="Z35" i="1"/>
  <c r="AH34" i="1"/>
  <c r="Z34" i="1"/>
  <c r="AD33" i="1"/>
  <c r="AH33" i="1"/>
  <c r="Z33" i="1"/>
  <c r="AD32" i="1"/>
  <c r="AH32" i="1"/>
  <c r="Z32" i="1"/>
  <c r="AD31" i="1"/>
  <c r="AH31" i="1"/>
  <c r="Z31" i="1"/>
  <c r="AD30" i="1"/>
  <c r="AH30" i="1"/>
  <c r="Z30" i="1"/>
  <c r="AD29" i="1"/>
  <c r="AH29" i="1"/>
  <c r="Z29" i="1"/>
  <c r="AD28" i="1"/>
  <c r="AH28" i="1"/>
  <c r="Z28" i="1"/>
  <c r="AH27" i="1"/>
  <c r="Z27" i="1"/>
  <c r="AD26" i="1"/>
  <c r="AH26" i="1"/>
  <c r="Z26" i="1"/>
  <c r="AH25" i="1"/>
  <c r="AD24" i="1"/>
  <c r="AH24" i="1"/>
  <c r="Z24" i="1"/>
  <c r="AD23" i="1"/>
  <c r="AH23" i="1"/>
  <c r="Z23" i="1"/>
  <c r="AD22" i="1"/>
  <c r="AH22" i="1"/>
  <c r="Z22" i="1"/>
  <c r="AD21" i="1"/>
  <c r="AH21" i="1"/>
  <c r="Z21" i="1"/>
  <c r="AH20" i="1"/>
  <c r="AD19" i="1"/>
  <c r="AH19" i="1"/>
  <c r="Z19" i="1"/>
  <c r="AD18" i="1"/>
  <c r="AH18" i="1"/>
  <c r="Z18" i="1"/>
  <c r="AH17" i="1"/>
  <c r="AH16" i="1"/>
  <c r="Z16" i="1"/>
  <c r="AE29" i="1" l="1"/>
  <c r="AI29" i="1"/>
  <c r="AE49" i="1"/>
  <c r="AI49" i="1"/>
  <c r="AE58" i="1"/>
  <c r="AI58" i="1"/>
  <c r="AE22" i="1"/>
  <c r="AI22" i="1"/>
  <c r="AE28" i="1"/>
  <c r="AI28" i="1"/>
  <c r="AE32" i="1"/>
  <c r="AI32" i="1"/>
  <c r="AE35" i="1"/>
  <c r="AI35" i="1"/>
  <c r="AE38" i="1"/>
  <c r="AI38" i="1"/>
  <c r="AE41" i="1"/>
  <c r="AI41" i="1"/>
  <c r="AE47" i="1"/>
  <c r="AI47" i="1"/>
  <c r="AE53" i="1"/>
  <c r="AI53" i="1"/>
  <c r="AE23" i="1"/>
  <c r="AI23" i="1"/>
  <c r="AE42" i="1"/>
  <c r="AI42" i="1"/>
  <c r="AE55" i="1"/>
  <c r="AI55" i="1"/>
  <c r="AE19" i="1"/>
  <c r="AI19" i="1"/>
  <c r="AE21" i="1"/>
  <c r="AI21" i="1"/>
  <c r="AE31" i="1"/>
  <c r="AI31" i="1"/>
  <c r="AE37" i="1"/>
  <c r="AI37" i="1"/>
  <c r="AE46" i="1"/>
  <c r="AI46" i="1"/>
  <c r="AE26" i="1"/>
  <c r="AI26" i="1"/>
  <c r="AE33" i="1"/>
  <c r="AI33" i="1"/>
  <c r="AE39" i="1"/>
  <c r="AI39" i="1"/>
  <c r="AE18" i="1"/>
  <c r="AI18" i="1"/>
  <c r="AE24" i="1"/>
  <c r="AI24" i="1"/>
  <c r="AE30" i="1"/>
  <c r="AI30" i="1"/>
  <c r="AE43" i="1"/>
  <c r="AI43" i="1"/>
  <c r="AE50" i="1"/>
  <c r="AI50" i="1"/>
  <c r="AE52" i="1"/>
  <c r="AI52" i="1"/>
  <c r="AE60" i="1"/>
  <c r="AI60" i="1"/>
  <c r="AB31" i="1"/>
  <c r="AG31" i="1"/>
  <c r="AB51" i="1"/>
  <c r="AG51" i="1"/>
  <c r="AB18" i="1"/>
  <c r="AG18" i="1"/>
  <c r="AB24" i="1"/>
  <c r="AG24" i="1"/>
  <c r="AB27" i="1"/>
  <c r="AG27" i="1"/>
  <c r="AB30" i="1"/>
  <c r="AG30" i="1"/>
  <c r="AB34" i="1"/>
  <c r="AG34" i="1"/>
  <c r="AB40" i="1"/>
  <c r="AG40" i="1"/>
  <c r="AB43" i="1"/>
  <c r="AG43" i="1"/>
  <c r="AB50" i="1"/>
  <c r="AG50" i="1"/>
  <c r="AB21" i="1"/>
  <c r="AG21" i="1"/>
  <c r="AB25" i="1"/>
  <c r="AG25" i="1"/>
  <c r="AB44" i="1"/>
  <c r="AG44" i="1"/>
  <c r="AB26" i="1"/>
  <c r="AG26" i="1"/>
  <c r="AB33" i="1"/>
  <c r="AG33" i="1"/>
  <c r="AB39" i="1"/>
  <c r="AG39" i="1"/>
  <c r="AB49" i="1"/>
  <c r="AG49" i="1"/>
  <c r="AB19" i="1"/>
  <c r="AG19" i="1"/>
  <c r="AB37" i="1"/>
  <c r="AG37" i="1"/>
  <c r="AB46" i="1"/>
  <c r="AG46" i="1"/>
  <c r="AB23" i="1"/>
  <c r="AG23" i="1"/>
  <c r="AB29" i="1"/>
  <c r="AG29" i="1"/>
  <c r="AB36" i="1"/>
  <c r="AG36" i="1"/>
  <c r="AB42" i="1"/>
  <c r="AG42" i="1"/>
  <c r="AB45" i="1"/>
  <c r="AG45" i="1"/>
  <c r="AB22" i="1"/>
  <c r="AG22" i="1"/>
  <c r="AB28" i="1"/>
  <c r="AG28" i="1"/>
  <c r="AB32" i="1"/>
  <c r="AG32" i="1"/>
  <c r="AB35" i="1"/>
  <c r="AG35" i="1"/>
  <c r="AB38" i="1"/>
  <c r="AG38" i="1"/>
  <c r="AB41" i="1"/>
  <c r="AG41" i="1"/>
  <c r="AB47" i="1"/>
  <c r="AG47" i="1"/>
  <c r="AG60" i="1"/>
  <c r="AG59" i="1"/>
  <c r="AG58" i="1"/>
  <c r="AG57" i="1"/>
  <c r="AG56" i="1"/>
  <c r="AG55" i="1"/>
  <c r="AG54" i="1"/>
  <c r="AG53" i="1"/>
  <c r="AB52" i="1"/>
  <c r="AG52" i="1"/>
  <c r="AB16" i="1"/>
  <c r="AG16" i="1"/>
  <c r="N20" i="1"/>
  <c r="Z20" i="1" s="1"/>
  <c r="Z17" i="1"/>
  <c r="AB17" i="1" l="1"/>
  <c r="AG17" i="1"/>
  <c r="AB20" i="1"/>
  <c r="AG20" i="1"/>
  <c r="AD17" i="1"/>
  <c r="AI17" i="1" s="1"/>
  <c r="AD20" i="1"/>
  <c r="AI20" i="1" s="1"/>
  <c r="AD25" i="1"/>
  <c r="AI25" i="1" s="1"/>
  <c r="AD27" i="1"/>
  <c r="AI27" i="1" s="1"/>
  <c r="AD34" i="1"/>
  <c r="AI34" i="1" s="1"/>
  <c r="AD36" i="1"/>
  <c r="AI36" i="1" s="1"/>
  <c r="AD40" i="1"/>
  <c r="AI40" i="1" s="1"/>
  <c r="AD57" i="1"/>
  <c r="AB61" i="1" l="1"/>
  <c r="AE57" i="1"/>
  <c r="AI57" i="1"/>
  <c r="AE36" i="1"/>
  <c r="AE20" i="1"/>
  <c r="AE34" i="1"/>
  <c r="AE17" i="1"/>
  <c r="AD59" i="1"/>
  <c r="AI59" i="1" s="1"/>
  <c r="AD56" i="1"/>
  <c r="AI56" i="1" s="1"/>
  <c r="AD54" i="1"/>
  <c r="AD51" i="1"/>
  <c r="AD44" i="1"/>
  <c r="AD45" i="1"/>
  <c r="AE27" i="1"/>
  <c r="AE40" i="1"/>
  <c r="AE25" i="1"/>
  <c r="AD16" i="1"/>
  <c r="AI16" i="1" s="1"/>
  <c r="AE59" i="1" l="1"/>
  <c r="AE44" i="1"/>
  <c r="AI44" i="1"/>
  <c r="AE56" i="1"/>
  <c r="AE51" i="1"/>
  <c r="AI51" i="1"/>
  <c r="AE45" i="1"/>
  <c r="AI45" i="1"/>
  <c r="AE54" i="1"/>
  <c r="AI54" i="1"/>
  <c r="AE16" i="1"/>
  <c r="AP24" i="1"/>
  <c r="AP23" i="1"/>
  <c r="AP22" i="1"/>
  <c r="AP21" i="1"/>
  <c r="AP16" i="1"/>
  <c r="AE61" i="1" l="1"/>
  <c r="AE62" i="1" s="1"/>
  <c r="AB62" i="1" l="1"/>
</calcChain>
</file>

<file path=xl/comments1.xml><?xml version="1.0" encoding="utf-8"?>
<comments xmlns="http://schemas.openxmlformats.org/spreadsheetml/2006/main">
  <authors>
    <author>USER</author>
    <author>user</author>
  </authors>
  <commentList>
    <comment ref="K50" authorId="0" shapeId="0">
      <text>
        <r>
          <rPr>
            <b/>
            <sz val="12"/>
            <color indexed="81"/>
            <rFont val="Tahoma"/>
            <family val="2"/>
          </rPr>
          <t>2 air softgun, 8 Borgol, 5 Alat Kejut, 10 Sangkur, 5 Senter</t>
        </r>
      </text>
    </comment>
    <comment ref="D5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pelanggaran Perda yang diselesaikan / jumlah pelanggaran perda yang ada x 100%</t>
        </r>
      </text>
    </comment>
    <comment ref="D54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penindakan pelanggaran Perda melalui penyidikan, BAP dan Persidangan Tipiring / Jumlah pelanggaran Perda yg perlu dilakukan penyidikan, BAP dan Persidangan  x 100%</t>
        </r>
      </text>
    </comment>
    <comment ref="D55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penindakan pelanggaran Perda melalui Penyidikan, BAP dan Persidangan / Jumlah pelanggaran Perda yg perlu dilakukan penyidikan, BAP dan Persidangan x 100%</t>
        </r>
      </text>
    </comment>
    <comment ref="D58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pemadaman dan pengendalian kebakaran / Jumlah kejadian kebakaran x 100%</t>
        </r>
      </text>
    </comment>
    <comment ref="K58" authorId="0" shapeId="0">
      <text>
        <r>
          <rPr>
            <b/>
            <sz val="12"/>
            <color indexed="81"/>
            <rFont val="Tahoma"/>
            <family val="2"/>
          </rPr>
          <t>Penyediaan BBM Mesin dan Mobil</t>
        </r>
      </text>
    </comment>
    <comment ref="Q60" authorId="0" shapeId="0">
      <text>
        <r>
          <rPr>
            <b/>
            <sz val="9"/>
            <color indexed="81"/>
            <rFont val="Tahoma"/>
            <family val="2"/>
          </rPr>
          <t>Sosialisasi penggunaan apar dan jalur evakuasi di 3 Instansi (PD, Polres, Kejaksaan)</t>
        </r>
      </text>
    </comment>
  </commentList>
</comments>
</file>

<file path=xl/sharedStrings.xml><?xml version="1.0" encoding="utf-8"?>
<sst xmlns="http://schemas.openxmlformats.org/spreadsheetml/2006/main" count="435" uniqueCount="182">
  <si>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</si>
  <si>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</si>
  <si>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</si>
  <si>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</si>
  <si>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</si>
  <si>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</si>
  <si>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</si>
  <si>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</si>
  <si>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</si>
  <si>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</si>
  <si>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</si>
  <si>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</si>
  <si>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</si>
  <si>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</si>
  <si>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</si>
  <si>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</si>
  <si>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</si>
  <si>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</si>
  <si>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</si>
  <si>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</si>
  <si>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</si>
  <si>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</si>
  <si>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</si>
  <si>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</si>
  <si>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</si>
  <si>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</si>
  <si>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</si>
  <si>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</si>
  <si>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</si>
  <si>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</si>
  <si>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</si>
  <si>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</si>
  <si>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</si>
  <si>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</si>
  <si>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</si>
  <si>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</si>
  <si>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</si>
  <si>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</si>
  <si>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</si>
  <si>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</si>
  <si>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</si>
  <si>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</si>
  <si>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</si>
  <si>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</si>
  <si>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</si>
  <si>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</si>
  <si>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</si>
  <si>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</si>
  <si>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</si>
  <si>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</si>
  <si>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</si>
  <si>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[kolom (12)(K) : kolom (7)(K)] x 100%</t>
  </si>
  <si>
    <t>[kolom (12)(Rp) : kolom (7)(Rp)]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</si>
  <si>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</si>
  <si>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</si>
  <si>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</si>
  <si>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</si>
  <si>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</si>
  <si>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</si>
  <si>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</si>
  <si>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Satuan Polisi Pamong Praja</t>
  </si>
  <si>
    <t>Drs. H. IWAN FRIADY, M.AP</t>
  </si>
  <si>
    <t>NIP. 19740808 199311 1 002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</si>
  <si>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</si>
  <si>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</si>
  <si>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</si>
  <si>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</si>
  <si>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</si>
  <si>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</si>
  <si>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</si>
  <si>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</si>
  <si>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</si>
  <si>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</si>
  <si>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</si>
  <si>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Kepegawaian Perangkat Daerah</t>
  </si>
  <si>
    <t>Pengadaan Pakaian Dinas Beserta Atribut Kelengkapannya</t>
  </si>
  <si>
    <t>Administrasi Umum Perangkat Daerah</t>
  </si>
  <si>
    <t>Penyedian Komponen Instalasi Listrik/Penerangan Bangunan kantor</t>
  </si>
  <si>
    <t>Penyedian Peralatan dan Perlengkapan Kantor</t>
  </si>
  <si>
    <t>Penyedian Bahan Logistik Kantor</t>
  </si>
  <si>
    <t>Penyedian Barang Cetakan dan Penggandaan</t>
  </si>
  <si>
    <t>Penyediaan Bahan Bacaan dan Peraturan Perundang-undangan</t>
  </si>
  <si>
    <t>Penyelenggaraan Rapat Koordinasi dan Konsultasi SKPD</t>
  </si>
  <si>
    <t>Pengadaan Barang Milik Daerah Penunjang Urusan Pemerintah Daerah</t>
  </si>
  <si>
    <t>Pengadaan Mebel</t>
  </si>
  <si>
    <t>Penyediaan Jasa Penunjang Urusan Pemerintahan Daerah</t>
  </si>
  <si>
    <t>Penyediaan Jasa Surat Menyurat</t>
  </si>
  <si>
    <t>Penyediaan Jasa Komunikasi, Sumber Daya Air dan Listrik</t>
  </si>
  <si>
    <t xml:space="preserve">Penyediaan Jasa Pelayanan Umum Kantor 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</si>
  <si>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</si>
  <si>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</si>
  <si>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</si>
  <si>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</si>
  <si>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Penanganan Gangguan Ketenteraman dan Ketertiban Umum dalam 1 (satu) Daerah Kabupaten/Kota</t>
  </si>
  <si>
    <t>Pencegahan Gangguan Ketenteraman dan Ketertiban Umum melalui Deteksi Dini dan Cegah Dini, Pembinaan dan Penyuluhan, Pelaksanaan Patroli, Pengamanan, dan Pengawalan</t>
  </si>
  <si>
    <t>Peningkatan Kapasitas SDM Satuan Polisi Pamongpraja dan Satuan Perlindungan Masyarakat termasuk dalam Pelaksanaan Tugas yang Bernuansa Hak Asasi Manusia</t>
  </si>
  <si>
    <t>Kerjasama antar Lembaga dan Kemitraan dalam Teknik Pencegahan dan Penanganan Gangguan Ketentraman dan Ketertiban Umum</t>
  </si>
  <si>
    <t>Pengadaan dan Pemeliharaan Sarana dan Prasarana Ketentraman dan Ketertiban Umum</t>
  </si>
  <si>
    <t>Penegakan Peraturan Daerah Kabupaten/Kota dan Peraturan Bupati/Wali Kota</t>
  </si>
  <si>
    <t>Sosialisasi Penegakan Peraturan Daerah dan Peraturan Bupati/Wali Kota</t>
  </si>
  <si>
    <t>Penanganan atas Pelanggaran Peraturan Daerah dan Peraturan Bupati/Wali Kota</t>
  </si>
  <si>
    <t>Pembinaan Penyidik Pegawai Negeri Sipil (PPNS) Kabupaten/Kota</t>
  </si>
  <si>
    <t>Pengembangan Kapasitas dan Karier PPNS</t>
  </si>
  <si>
    <t>Pencegahan, Pengendalian, Pemadaman, Penyelamatan, dan Penanganan Bahan Berbahaya dan Beracun Kebakaran dalam Daerah Kabupaten/Kota</t>
  </si>
  <si>
    <t>Pemadaman dan Pengendalian Kebakaran dalam Daerah Kabupaten/Kota</t>
  </si>
  <si>
    <t>Pemberdayaan Masyarakat dalam Pencegahan Kebakaran</t>
  </si>
  <si>
    <t>Pemberdayaan Masyarakat dalam Pencegahan dan Penanggulangan Kebakaran melalui Sosialisasi dan Edukasi Masyarakat</t>
  </si>
  <si>
    <t>Perencanaan, Penganggaran dan Evaluasi Kinerja Perangkat Daerah</t>
  </si>
  <si>
    <t>Program Penunjang Urusan Pemerintahan Daerah Kabupaten/Kota</t>
  </si>
  <si>
    <t>Program Peningkatan Ketenteraman Dan Ketertiban Umum</t>
  </si>
  <si>
    <t>Program Pencegahan, Penanggulangan, Penyelamatan Kebakaran Dan Penyelamatan Non Kebakaran</t>
  </si>
  <si>
    <t>Dok</t>
  </si>
  <si>
    <t>Bln</t>
  </si>
  <si>
    <t>Lap</t>
  </si>
  <si>
    <t>Jumlah dokumen administrasi Keuangan sesuai standar</t>
  </si>
  <si>
    <t>%</t>
  </si>
  <si>
    <t>Tingkat kepuasan pelayanan</t>
  </si>
  <si>
    <t>keg</t>
  </si>
  <si>
    <t>jumlah pakaian dinas beserta atributnya</t>
  </si>
  <si>
    <t>Jumlah dokumen Perencanaan dan Evaluasi Kinerja yang berkualitas</t>
  </si>
  <si>
    <t>Jumlah dokumen perencanaan kinerja Dinas PMD yang berkualitas</t>
  </si>
  <si>
    <t>Jumlah Dokumen Evaluasi Kinerja Dinas PMD Yang Berkualitas</t>
  </si>
  <si>
    <t>Jumlah PNS Yang Menerima Gaji dan Tunjangan</t>
  </si>
  <si>
    <t>Jumlah Dokumen Laporan keuangan Akhir Tahun</t>
  </si>
  <si>
    <t>Jumlah Laporan keuangan sesuai kebutuhan</t>
  </si>
  <si>
    <t>Jumlah Laporan Administrasi Keuangan Sesuai Standar</t>
  </si>
  <si>
    <t>Persentase Pelayanan Administrasi Umum Sesuai Kebutuhan</t>
  </si>
  <si>
    <t>Persentase pelayanan administrasi kepegawaian perangkat daerah sesuai kebutuhan</t>
  </si>
  <si>
    <t>Jumlah  Penyediaan Komponen Instalasi Listrik/Penerangan Bangunan Kantor Sesuai Kebutuhan</t>
  </si>
  <si>
    <t>Jumlah Penyediaan Peralatan dan Perlengkapan kantor Sesuai Kebutuhan</t>
  </si>
  <si>
    <t>Jumlah Penyediaan Bahan Logistik Kantor Sesuai Kebutuhan</t>
  </si>
  <si>
    <t>Jumlah Penyediaan Barang Cetakan dan Penggandaan Sesuai Kebutuhan</t>
  </si>
  <si>
    <t>Jumlah Penyediaan Bahan Bacaan dan Peraturan Perundang-undangan Sesuai Kebutuhan</t>
  </si>
  <si>
    <t>Jumlah Rapat, Koordinasi dan konsultasi SKPD Yang Diikuti Sesuai Kebutuhan</t>
  </si>
  <si>
    <t>Persentase Ppengadaan barang milik daerah sesuai kebutuhan</t>
  </si>
  <si>
    <t>Jumlah Mebel</t>
  </si>
  <si>
    <t>Buah</t>
  </si>
  <si>
    <t>Jumlah Penyediaan Jasa Penunjang Urusan Pemerintahan Daerah Sesuai Kebutuhan</t>
  </si>
  <si>
    <t>Jumlah penyediaan Jasa Surat Menyurat Sesuai Kebutuhan</t>
  </si>
  <si>
    <t>Jumlah Penyediaan Jasa Komunikasi, Sumber Daya Air dan Listrik Sesuai Kebutuhan</t>
  </si>
  <si>
    <t>Jumlah Penyediaan Jasa Pelayanan Umum Kantor Sesuai Kebutuhan</t>
  </si>
  <si>
    <t>Penyediaan Jasa Pemeliharaan, Biaya Pemeliharaan, Pajak dan Perizinan Kendaraan Dinas Operasional atau Lapangan Sesuai Kebutuhan</t>
  </si>
  <si>
    <t>Jumlah Jasa Pemeliharaan, Biaya Pemeliharaan, Pajak dan Perizinan Kendaraan Dinas Operasional atau Lapangan Sesuai Kebutuhan</t>
  </si>
  <si>
    <t>Jumlah Pemeliharaan/ Rehabilitasi Gedung Kantor dan Bangunan Lainnya Sesuai Kebutuhan</t>
  </si>
  <si>
    <t>Jumlah Pemeliharaan / Rehabilitasi Sarana dan Prasarana gedung Kantor atau Bangunan Lainnya Sesuai Kebutuhan</t>
  </si>
  <si>
    <t>Keg</t>
  </si>
  <si>
    <t>Perda/Perkada</t>
  </si>
  <si>
    <t>Jumlah kegiatan pembinaan mental dan fisik bagi anggota Satpol PP</t>
  </si>
  <si>
    <t>Jumlah kegiatan pelatihan bagi anggota Satlinmas</t>
  </si>
  <si>
    <t>Presentase penindakan pelanggaran Perda melalui penyidikan, BAP, dan persidangan tipiring</t>
  </si>
  <si>
    <t>Persentase pemenuhan pelayanan penyelamatan dan evakuasi</t>
  </si>
  <si>
    <t xml:space="preserve">Pemadaman dan pengendalian kebakaran yang dilaksanakan   sesuai dengan kebutuhan </t>
  </si>
  <si>
    <t>Jumlah Kegiatan  Pemberdayaan masyarakat dalam pencegahan kebakaran</t>
  </si>
  <si>
    <t>Jumlah Kegiatan  Pemberdayaan Masyarakat dalam Pencegahan dan Penanggulangan Kebakaran melalui Sosialisasi dan Edukasi Masyarakat</t>
  </si>
  <si>
    <t>2. Adanya hubungan  sinegritas antara  Satpol PP, SKPD terkait,  TNI dan Polri berjalan harmonis.</t>
  </si>
  <si>
    <t xml:space="preserve">Faktor penghambat pencapaian kinerja: </t>
  </si>
  <si>
    <t>1. Ada beberapa kegiatan yang  tidak bisa dilaksanakan karena adanya pandemi Covid-19.</t>
  </si>
  <si>
    <t>3. Kurangnya SDM PPNS untuk melakukan penyidikan kasus dikarenakan jumlahyang dimiliki  Satpol PP hanya 1 (satu) orang.</t>
  </si>
  <si>
    <t>4. Walaupun di setiap kecamatan terdapat anggota Satpol PP namun kualitas SDMnya belum memadai.</t>
  </si>
  <si>
    <t>1. Terus menjalankan inovasi PATANGGA RAMAN ANUM (Percepatan Penanganan Gangguan Ketenteraman dan Ketertiban Umum) baik melalui URC maupun Gabungan bersama  TNI dan Polri</t>
  </si>
  <si>
    <t>2. Belum diadakannya rapat koordinasi penanganan atas pelanggaran PERDA dan PERBUB dikarenakan masih pandemi Covid - 19</t>
  </si>
  <si>
    <t>Tindak lanjut yang diperlukan dalam Renja Perangkat Daerah Kabupaten berikutnya*): merubah beberapa indikator kinerja sub kegiatan.</t>
  </si>
  <si>
    <t>3. Kerjasama dan Komunikasi antara Satpol PP &amp; Damkar,  BPK/PMK dan Masyrakat di HSS berjalan denganbaik sehingga musibah kebakaran bisa cepat tertangani.</t>
  </si>
  <si>
    <t xml:space="preserve">5. Kurangnya anggota Pemadam Kebakaran yang dimiliki Satpol PP dan Damkar  Kab. HSS. </t>
  </si>
  <si>
    <t xml:space="preserve">Faktor pendorong keberhasilan pencapaian: </t>
  </si>
  <si>
    <t>1. Adanya  sumber dana (anggaran) pada Satuan Polisi Pamong Praja untuk mendukung kegiatan yg dilaksanakan.</t>
  </si>
  <si>
    <t xml:space="preserve">Tindak lanjut yang diperlukan dalam triwulan berikutnya*): </t>
  </si>
  <si>
    <t>2. Kegiatan rapat koordinasi penanganan  atas pelanggaran PERDA dan PERBUB bersama lembaga terkait akan dilaksanakan pada TW berikutnya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</si>
  <si>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</si>
  <si>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SATUAN POLISI PAMONG PRAJA DAN PEMADAM KEBAKARAN</t>
  </si>
  <si>
    <t>Satuan Polisi Pamong Praja dan Pemadam Kebakaran</t>
  </si>
  <si>
    <t>Stel</t>
  </si>
  <si>
    <t>Persentase Gangguan Trantibum Yang Dapat Diselesaikan</t>
  </si>
  <si>
    <t>Persentase Kawasan Ketertiban Umum yang Diobservasi</t>
  </si>
  <si>
    <t>Persentase Laporan Masyarakat yang Ditindaklanjuti</t>
  </si>
  <si>
    <t>Persentase Kawasan Bebas PKL yang Terlayani Pengawasannya</t>
  </si>
  <si>
    <t>Persentase Sarana dan Prasarana Trantibum dalam Keadaan Baik</t>
  </si>
  <si>
    <t>Cakupan Penyelesaian Penegakan Perda</t>
  </si>
  <si>
    <t>Jumlah Peraturan Daerah dan Peraturan Bupati yang Disosialisasikan</t>
  </si>
  <si>
    <t>Persentase pelayanan penyelamatan dan evakuasi korban bencana kebakaran</t>
  </si>
  <si>
    <t>PERIODE PELAKSANAAN TRIWULAN IV TAHUN 2021</t>
  </si>
  <si>
    <t>Kandangan,   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</si>
</sst>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3" borderId="0" xfId="0" applyFont="1" applyFill="1"/>
    <xf numFmtId="166" fontId="4" fillId="0" borderId="0" xfId="1" quotePrefix="1" applyNumberFormat="1" applyFont="1" applyFill="1" applyBorder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6" fillId="5" borderId="16" xfId="3" applyFont="1" applyFill="1" applyBorder="1" applyAlignment="1">
      <alignment horizontal="center" vertical="center" wrapText="1"/>
    </xf>
    <xf numFmtId="0" fontId="6" fillId="0" borderId="16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0" xfId="0" applyFont="1" applyFill="1" applyBorder="1"/>
    <xf numFmtId="0" fontId="2" fillId="6" borderId="0" xfId="0" applyFont="1" applyFill="1"/>
    <xf numFmtId="0" fontId="12" fillId="6" borderId="4" xfId="0" applyFont="1" applyFill="1" applyBorder="1" applyAlignment="1">
      <alignment horizontal="left" vertical="top"/>
    </xf>
    <xf numFmtId="0" fontId="0" fillId="6" borderId="0" xfId="0" applyFont="1" applyFill="1" applyBorder="1"/>
    <xf numFmtId="0" fontId="2" fillId="4" borderId="0" xfId="0" applyFont="1" applyFill="1"/>
    <xf numFmtId="0" fontId="14" fillId="0" borderId="0" xfId="0" applyFont="1" applyFill="1"/>
    <xf numFmtId="0" fontId="13" fillId="0" borderId="0" xfId="0" applyFont="1" applyFill="1" applyAlignment="1"/>
    <xf numFmtId="0" fontId="3" fillId="2" borderId="15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 wrapText="1"/>
    </xf>
    <xf numFmtId="0" fontId="2" fillId="3" borderId="1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2" fillId="3" borderId="15" xfId="0" applyFont="1" applyFill="1" applyBorder="1"/>
    <xf numFmtId="0" fontId="4" fillId="0" borderId="6" xfId="0" applyFont="1" applyFill="1" applyBorder="1"/>
    <xf numFmtId="0" fontId="4" fillId="0" borderId="6" xfId="0" applyFont="1" applyFill="1" applyBorder="1" applyAlignment="1">
      <alignment horizontal="center"/>
    </xf>
    <xf numFmtId="0" fontId="2" fillId="0" borderId="11" xfId="0" applyFont="1" applyFill="1" applyBorder="1"/>
    <xf numFmtId="0" fontId="4" fillId="0" borderId="11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9" fontId="3" fillId="0" borderId="2" xfId="0" applyNumberFormat="1" applyFont="1" applyFill="1" applyBorder="1" applyAlignment="1">
      <alignment horizontal="center" vertical="top"/>
    </xf>
    <xf numFmtId="1" fontId="3" fillId="0" borderId="2" xfId="0" applyNumberFormat="1" applyFont="1" applyFill="1" applyBorder="1" applyAlignment="1">
      <alignment horizontal="center" vertical="top" wrapText="1"/>
    </xf>
    <xf numFmtId="166" fontId="3" fillId="0" borderId="2" xfId="1" quotePrefix="1" applyNumberFormat="1" applyFont="1" applyFill="1" applyBorder="1" applyAlignment="1">
      <alignment vertical="top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164" fontId="3" fillId="0" borderId="2" xfId="0" applyNumberFormat="1" applyFont="1" applyFill="1" applyBorder="1" applyAlignment="1">
      <alignment vertical="top"/>
    </xf>
    <xf numFmtId="0" fontId="3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/>
    </xf>
    <xf numFmtId="0" fontId="3" fillId="0" borderId="2" xfId="3" applyNumberFormat="1" applyFont="1" applyFill="1" applyBorder="1" applyAlignment="1">
      <alignment horizontal="left" vertical="top" wrapText="1"/>
    </xf>
    <xf numFmtId="9" fontId="3" fillId="0" borderId="15" xfId="0" applyNumberFormat="1" applyFont="1" applyFill="1" applyBorder="1" applyAlignment="1">
      <alignment horizontal="center" vertical="top"/>
    </xf>
    <xf numFmtId="1" fontId="3" fillId="0" borderId="2" xfId="0" applyNumberFormat="1" applyFont="1" applyFill="1" applyBorder="1" applyAlignment="1">
      <alignment horizontal="center" vertical="top"/>
    </xf>
    <xf numFmtId="0" fontId="4" fillId="0" borderId="2" xfId="3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9" fontId="4" fillId="0" borderId="2" xfId="0" applyNumberFormat="1" applyFont="1" applyFill="1" applyBorder="1" applyAlignment="1">
      <alignment horizontal="center" vertical="top"/>
    </xf>
    <xf numFmtId="166" fontId="4" fillId="0" borderId="2" xfId="1" quotePrefix="1" applyNumberFormat="1" applyFont="1" applyFill="1" applyBorder="1" applyAlignment="1">
      <alignment vertical="top"/>
    </xf>
    <xf numFmtId="1" fontId="4" fillId="0" borderId="2" xfId="0" applyNumberFormat="1" applyFont="1" applyFill="1" applyBorder="1" applyAlignment="1">
      <alignment horizontal="center" vertical="top"/>
    </xf>
    <xf numFmtId="2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vertical="top"/>
    </xf>
    <xf numFmtId="0" fontId="3" fillId="0" borderId="2" xfId="3" applyNumberFormat="1" applyFont="1" applyBorder="1" applyAlignment="1">
      <alignment horizontal="left" vertical="top" wrapText="1"/>
    </xf>
    <xf numFmtId="1" fontId="3" fillId="0" borderId="15" xfId="0" applyNumberFormat="1" applyFont="1" applyFill="1" applyBorder="1" applyAlignment="1">
      <alignment horizontal="center" vertical="top" wrapText="1"/>
    </xf>
    <xf numFmtId="0" fontId="4" fillId="0" borderId="2" xfId="3" applyNumberFormat="1" applyFont="1" applyBorder="1" applyAlignment="1">
      <alignment horizontal="left" vertical="top" wrapText="1"/>
    </xf>
    <xf numFmtId="0" fontId="17" fillId="0" borderId="2" xfId="0" applyFont="1" applyBorder="1" applyAlignment="1">
      <alignment vertical="top" wrapText="1"/>
    </xf>
    <xf numFmtId="1" fontId="4" fillId="0" borderId="15" xfId="0" applyNumberFormat="1" applyFont="1" applyFill="1" applyBorder="1" applyAlignment="1">
      <alignment horizontal="center" vertical="top" wrapText="1"/>
    </xf>
    <xf numFmtId="9" fontId="4" fillId="0" borderId="15" xfId="0" applyNumberFormat="1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17" fillId="0" borderId="2" xfId="3" applyFont="1" applyBorder="1" applyAlignment="1">
      <alignment vertical="top" wrapText="1"/>
    </xf>
    <xf numFmtId="0" fontId="17" fillId="0" borderId="15" xfId="3" applyFont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left" vertical="top" wrapText="1"/>
    </xf>
    <xf numFmtId="9" fontId="3" fillId="0" borderId="2" xfId="0" applyNumberFormat="1" applyFont="1" applyFill="1" applyBorder="1" applyAlignment="1">
      <alignment horizontal="center" vertical="top" wrapText="1"/>
    </xf>
    <xf numFmtId="0" fontId="19" fillId="6" borderId="6" xfId="0" applyFont="1" applyFill="1" applyBorder="1" applyAlignment="1">
      <alignment vertical="top" wrapText="1"/>
    </xf>
    <xf numFmtId="166" fontId="4" fillId="0" borderId="6" xfId="1" quotePrefix="1" applyNumberFormat="1" applyFont="1" applyFill="1" applyBorder="1" applyAlignment="1">
      <alignment vertical="top"/>
    </xf>
    <xf numFmtId="164" fontId="4" fillId="0" borderId="6" xfId="0" applyNumberFormat="1" applyFont="1" applyFill="1" applyBorder="1" applyAlignment="1">
      <alignment vertical="top"/>
    </xf>
    <xf numFmtId="2" fontId="4" fillId="0" borderId="6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166" fontId="4" fillId="0" borderId="15" xfId="1" quotePrefix="1" applyNumberFormat="1" applyFont="1" applyFill="1" applyBorder="1" applyAlignment="1">
      <alignment vertical="top"/>
    </xf>
    <xf numFmtId="164" fontId="4" fillId="0" borderId="15" xfId="0" applyNumberFormat="1" applyFont="1" applyFill="1" applyBorder="1" applyAlignment="1">
      <alignment vertical="top"/>
    </xf>
    <xf numFmtId="2" fontId="4" fillId="0" borderId="15" xfId="0" applyNumberFormat="1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vertical="top" wrapText="1"/>
    </xf>
    <xf numFmtId="166" fontId="3" fillId="0" borderId="2" xfId="0" applyNumberFormat="1" applyFont="1" applyFill="1" applyBorder="1" applyAlignment="1">
      <alignment vertical="top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right"/>
    </xf>
    <xf numFmtId="2" fontId="4" fillId="4" borderId="13" xfId="0" applyNumberFormat="1" applyFont="1" applyFill="1" applyBorder="1" applyAlignment="1">
      <alignment horizontal="right"/>
    </xf>
    <xf numFmtId="2" fontId="4" fillId="4" borderId="14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0" fontId="4" fillId="4" borderId="12" xfId="0" applyFont="1" applyFill="1" applyBorder="1"/>
    <xf numFmtId="0" fontId="4" fillId="4" borderId="13" xfId="0" applyFont="1" applyFill="1" applyBorder="1" applyAlignment="1">
      <alignment horizontal="left"/>
    </xf>
    <xf numFmtId="0" fontId="4" fillId="4" borderId="13" xfId="0" applyFont="1" applyFill="1" applyBorder="1"/>
    <xf numFmtId="0" fontId="4" fillId="4" borderId="14" xfId="0" applyFont="1" applyFill="1" applyBorder="1"/>
    <xf numFmtId="0" fontId="2" fillId="0" borderId="15" xfId="0" applyFont="1" applyFill="1" applyBorder="1"/>
    <xf numFmtId="166" fontId="4" fillId="0" borderId="2" xfId="3" applyNumberFormat="1" applyFont="1" applyFill="1" applyBorder="1" applyAlignment="1">
      <alignment horizontal="left" vertical="top" wrapText="1"/>
    </xf>
    <xf numFmtId="166" fontId="4" fillId="0" borderId="2" xfId="3" applyNumberFormat="1" applyFont="1" applyBorder="1" applyAlignment="1">
      <alignment horizontal="left" vertical="top" wrapText="1"/>
    </xf>
    <xf numFmtId="166" fontId="4" fillId="0" borderId="15" xfId="3" applyNumberFormat="1" applyFont="1" applyBorder="1" applyAlignment="1">
      <alignment horizontal="left" vertical="top" wrapText="1"/>
    </xf>
    <xf numFmtId="41" fontId="3" fillId="0" borderId="2" xfId="0" applyNumberFormat="1" applyFont="1" applyFill="1" applyBorder="1" applyAlignment="1">
      <alignment horizontal="center" vertical="top"/>
    </xf>
    <xf numFmtId="41" fontId="4" fillId="0" borderId="0" xfId="0" applyNumberFormat="1" applyFont="1" applyFill="1" applyAlignment="1">
      <alignment vertical="top"/>
    </xf>
    <xf numFmtId="41" fontId="4" fillId="0" borderId="2" xfId="0" applyNumberFormat="1" applyFont="1" applyFill="1" applyBorder="1" applyAlignment="1">
      <alignment horizontal="center" vertical="top"/>
    </xf>
    <xf numFmtId="41" fontId="3" fillId="0" borderId="2" xfId="0" applyNumberFormat="1" applyFont="1" applyFill="1" applyBorder="1" applyAlignment="1">
      <alignment horizontal="center" vertical="top" wrapText="1"/>
    </xf>
    <xf numFmtId="41" fontId="4" fillId="0" borderId="6" xfId="0" applyNumberFormat="1" applyFont="1" applyFill="1" applyBorder="1" applyAlignment="1">
      <alignment horizontal="center" vertical="top"/>
    </xf>
    <xf numFmtId="41" fontId="4" fillId="0" borderId="15" xfId="0" applyNumberFormat="1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left" vertical="top" wrapText="1"/>
    </xf>
    <xf numFmtId="0" fontId="20" fillId="6" borderId="6" xfId="0" applyFont="1" applyFill="1" applyBorder="1" applyAlignment="1">
      <alignment vertical="top" wrapText="1"/>
    </xf>
    <xf numFmtId="9" fontId="4" fillId="0" borderId="2" xfId="0" applyNumberFormat="1" applyFont="1" applyFill="1" applyBorder="1" applyAlignment="1">
      <alignment horizontal="center" vertical="top" wrapText="1"/>
    </xf>
    <xf numFmtId="41" fontId="2" fillId="0" borderId="15" xfId="0" applyNumberFormat="1" applyFont="1" applyFill="1" applyBorder="1"/>
    <xf numFmtId="0" fontId="4" fillId="0" borderId="6" xfId="3" applyNumberFormat="1" applyFont="1" applyBorder="1" applyAlignment="1">
      <alignment vertical="top" wrapText="1"/>
    </xf>
    <xf numFmtId="0" fontId="4" fillId="0" borderId="15" xfId="3" applyNumberFormat="1" applyFont="1" applyBorder="1" applyAlignment="1">
      <alignment vertical="top" wrapText="1"/>
    </xf>
    <xf numFmtId="166" fontId="3" fillId="0" borderId="2" xfId="1" applyNumberFormat="1" applyFont="1" applyFill="1" applyBorder="1" applyAlignment="1">
      <alignment vertical="top"/>
    </xf>
    <xf numFmtId="166" fontId="4" fillId="0" borderId="2" xfId="1" applyNumberFormat="1" applyFont="1" applyFill="1" applyBorder="1" applyAlignment="1">
      <alignment vertical="top"/>
    </xf>
    <xf numFmtId="164" fontId="4" fillId="0" borderId="2" xfId="2" applyFont="1" applyFill="1" applyBorder="1" applyAlignment="1">
      <alignment horizontal="center" vertical="top" wrapText="1"/>
    </xf>
    <xf numFmtId="164" fontId="4" fillId="0" borderId="2" xfId="2" applyFont="1" applyFill="1" applyBorder="1" applyAlignment="1">
      <alignment horizontal="center" vertical="top"/>
    </xf>
    <xf numFmtId="164" fontId="4" fillId="0" borderId="6" xfId="2" applyFont="1" applyFill="1" applyBorder="1" applyAlignment="1">
      <alignment vertical="top"/>
    </xf>
    <xf numFmtId="164" fontId="4" fillId="0" borderId="15" xfId="2" applyFont="1" applyFill="1" applyBorder="1" applyAlignment="1">
      <alignment vertical="top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left" vertical="top"/>
    </xf>
    <xf numFmtId="0" fontId="15" fillId="0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right"/>
    </xf>
    <xf numFmtId="0" fontId="4" fillId="4" borderId="13" xfId="0" applyFont="1" applyFill="1" applyBorder="1" applyAlignment="1">
      <alignment horizontal="right"/>
    </xf>
    <xf numFmtId="0" fontId="4" fillId="4" borderId="14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4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left" vertical="top"/>
    </xf>
    <xf numFmtId="0" fontId="4" fillId="4" borderId="14" xfId="0" applyFont="1" applyFill="1" applyBorder="1" applyAlignment="1">
      <alignment horizontal="left" vertical="top"/>
    </xf>
  </cellXfs>
  <cellStyles count="5">
    <cellStyle name="Comma" xfId="1" builtinId="3"/>
    <cellStyle name="Comma [0]" xfId="2" builtinId="6"/>
    <cellStyle name="Comm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1070428</xdr:colOff>
      <xdr:row>81</xdr:row>
      <xdr:rowOff>172357</xdr:rowOff>
    </xdr:from>
    <xdr:to>
      <xdr:col>21</xdr:col>
      <xdr:colOff>129268</xdr:colOff>
      <xdr:row>87</xdr:row>
      <xdr:rowOff>38553</xdr:rowOff>
    </xdr:to>
    <xdr:pic>
      <xdr:nvPicPr>
        <xdr:cNvPr id="2" name="Picture 1" descr="Description: E:\161545849553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5428" y="62955714"/>
          <a:ext cx="1470025" cy="1444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145142</xdr:colOff>
      <xdr:row>83</xdr:row>
      <xdr:rowOff>63500</xdr:rowOff>
    </xdr:from>
    <xdr:to>
      <xdr:col>29</xdr:col>
      <xdr:colOff>379933</xdr:colOff>
      <xdr:row>86</xdr:row>
      <xdr:rowOff>54429</xdr:rowOff>
    </xdr:to>
    <xdr:pic>
      <xdr:nvPicPr>
        <xdr:cNvPr id="3" name="Picture 2" descr="Description: E:\1615979333378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8" y="63246000"/>
          <a:ext cx="1288144" cy="8436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90"/>
  <sheetViews>
    <sheetView tabSelected="1" showRuler="0" view="pageBreakPreview" topLeftCell="C1" zoomScale="70" zoomScaleNormal="40" zoomScaleSheetLayoutView="70" zoomScalePageLayoutView="55" workbookViewId="0">
      <selection activeCell="AD60" sqref="AD60"/>
    </sheetView>
  </sheetViews>
  <sheetFormatPr defaultColWidth="9.140625" defaultRowHeight="14.25" x14ac:dyDescent="0.2"/>
  <cols>
    <col min="1" max="1" width="6.42578125" style="1" customWidth="1"/>
    <col min="2" max="2" width="18" style="1" customWidth="1"/>
    <col min="3" max="3" width="25.42578125" style="1" customWidth="1"/>
    <col min="4" max="4" width="28.42578125" style="1" customWidth="1"/>
    <col min="5" max="5" width="7.7109375" style="1" customWidth="1"/>
    <col min="6" max="6" width="9.42578125" style="1" customWidth="1"/>
    <col min="7" max="7" width="23.7109375" style="1" customWidth="1"/>
    <col min="8" max="8" width="7.28515625" style="1" customWidth="1"/>
    <col min="9" max="9" width="7.7109375" style="1" customWidth="1"/>
    <col min="10" max="10" width="21.42578125" style="1" customWidth="1"/>
    <col min="11" max="11" width="9" style="1" customWidth="1"/>
    <col min="12" max="12" width="7.5703125" style="1" customWidth="1"/>
    <col min="13" max="13" width="30.42578125" style="1" bestFit="1" customWidth="1"/>
    <col min="14" max="14" width="7.7109375" style="1" customWidth="1"/>
    <col min="15" max="15" width="8" style="1" customWidth="1"/>
    <col min="16" max="16" width="18.28515625" style="1" customWidth="1"/>
    <col min="17" max="18" width="7.7109375" style="1" customWidth="1"/>
    <col min="19" max="19" width="18.7109375" style="1" customWidth="1"/>
    <col min="20" max="20" width="7.7109375" style="1" customWidth="1"/>
    <col min="21" max="21" width="8" style="1" customWidth="1"/>
    <col min="22" max="22" width="18.28515625" style="1" customWidth="1"/>
    <col min="23" max="23" width="9" style="1" customWidth="1"/>
    <col min="24" max="24" width="7.5703125" style="1" customWidth="1"/>
    <col min="25" max="25" width="17.85546875" style="1" customWidth="1"/>
    <col min="26" max="26" width="8" style="1" customWidth="1"/>
    <col min="27" max="27" width="5.5703125" style="2" customWidth="1"/>
    <col min="28" max="28" width="9.5703125" style="1" bestFit="1" customWidth="1"/>
    <col min="29" max="29" width="5.5703125" style="2" customWidth="1"/>
    <col min="30" max="30" width="18.5703125" style="1" bestFit="1" customWidth="1"/>
    <col min="31" max="31" width="8" style="1" customWidth="1"/>
    <col min="32" max="32" width="5.5703125" style="2" customWidth="1"/>
    <col min="33" max="33" width="8" style="1" customWidth="1"/>
    <col min="34" max="34" width="5.5703125" style="2" customWidth="1"/>
    <col min="35" max="35" width="16.7109375" style="1" customWidth="1"/>
    <col min="36" max="36" width="8" style="1" customWidth="1"/>
    <col min="37" max="37" width="5.5703125" style="2" customWidth="1"/>
    <col min="38" max="38" width="13.140625" style="1" customWidth="1"/>
    <col min="39" max="39" width="15" style="1" customWidth="1"/>
    <col min="40" max="40" width="9.140625" style="1"/>
    <col min="41" max="45" width="19.5703125" style="1" customWidth="1"/>
    <col min="46" max="16384" width="9.140625" style="1"/>
  </cols>
  <sheetData>
    <row r="1" spans="1:45" ht="23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6"/>
    </row>
    <row r="2" spans="1:45" ht="23.25" x14ac:dyDescent="0.3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7"/>
    </row>
    <row r="3" spans="1:45" ht="23.25" x14ac:dyDescent="0.35">
      <c r="A3" s="117" t="s">
        <v>169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7"/>
    </row>
    <row r="4" spans="1:45" ht="23.25" x14ac:dyDescent="0.35">
      <c r="A4" s="118" t="s">
        <v>180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6"/>
    </row>
    <row r="5" spans="1:45" ht="18" x14ac:dyDescent="0.2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</row>
    <row r="6" spans="1:45" ht="18" x14ac:dyDescent="0.25">
      <c r="A6" s="120" t="s">
        <v>169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</row>
    <row r="7" spans="1:45" ht="81" customHeight="1" x14ac:dyDescent="0.2">
      <c r="A7" s="130" t="s">
        <v>3</v>
      </c>
      <c r="B7" s="130" t="s">
        <v>4</v>
      </c>
      <c r="C7" s="131" t="s">
        <v>5</v>
      </c>
      <c r="D7" s="131" t="s">
        <v>168</v>
      </c>
      <c r="E7" s="121" t="s">
        <v>6</v>
      </c>
      <c r="F7" s="122"/>
      <c r="G7" s="123"/>
      <c r="H7" s="121" t="s">
        <v>63</v>
      </c>
      <c r="I7" s="122"/>
      <c r="J7" s="123"/>
      <c r="K7" s="121" t="s">
        <v>64</v>
      </c>
      <c r="L7" s="122"/>
      <c r="M7" s="122"/>
      <c r="N7" s="121" t="s">
        <v>7</v>
      </c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3"/>
      <c r="Z7" s="121" t="s">
        <v>53</v>
      </c>
      <c r="AA7" s="122"/>
      <c r="AB7" s="122"/>
      <c r="AC7" s="122"/>
      <c r="AD7" s="122"/>
      <c r="AE7" s="122"/>
      <c r="AF7" s="123"/>
      <c r="AG7" s="121" t="s">
        <v>65</v>
      </c>
      <c r="AH7" s="122"/>
      <c r="AI7" s="123"/>
      <c r="AJ7" s="121" t="s">
        <v>66</v>
      </c>
      <c r="AK7" s="122"/>
      <c r="AL7" s="122"/>
      <c r="AM7" s="147" t="s">
        <v>8</v>
      </c>
      <c r="AO7" s="2"/>
      <c r="AP7" s="2"/>
      <c r="AQ7" s="2"/>
      <c r="AR7" s="2"/>
      <c r="AS7" s="2"/>
    </row>
    <row r="8" spans="1:45" ht="18" customHeight="1" x14ac:dyDescent="0.2">
      <c r="A8" s="130"/>
      <c r="B8" s="130"/>
      <c r="C8" s="131"/>
      <c r="D8" s="131"/>
      <c r="E8" s="132"/>
      <c r="F8" s="133"/>
      <c r="G8" s="134"/>
      <c r="H8" s="132"/>
      <c r="I8" s="133"/>
      <c r="J8" s="134"/>
      <c r="K8" s="124"/>
      <c r="L8" s="125"/>
      <c r="M8" s="125"/>
      <c r="N8" s="124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6"/>
      <c r="Z8" s="124"/>
      <c r="AA8" s="125"/>
      <c r="AB8" s="125"/>
      <c r="AC8" s="125"/>
      <c r="AD8" s="125"/>
      <c r="AE8" s="125"/>
      <c r="AF8" s="126"/>
      <c r="AG8" s="124"/>
      <c r="AH8" s="125"/>
      <c r="AI8" s="126"/>
      <c r="AJ8" s="124"/>
      <c r="AK8" s="125"/>
      <c r="AL8" s="125"/>
      <c r="AM8" s="148"/>
    </row>
    <row r="9" spans="1:45" ht="15.75" customHeight="1" x14ac:dyDescent="0.2">
      <c r="A9" s="130"/>
      <c r="B9" s="130"/>
      <c r="C9" s="131"/>
      <c r="D9" s="131"/>
      <c r="E9" s="124"/>
      <c r="F9" s="125"/>
      <c r="G9" s="126"/>
      <c r="H9" s="124"/>
      <c r="I9" s="125"/>
      <c r="J9" s="126"/>
      <c r="K9" s="149">
        <v>2021</v>
      </c>
      <c r="L9" s="150"/>
      <c r="M9" s="151"/>
      <c r="N9" s="127" t="s">
        <v>9</v>
      </c>
      <c r="O9" s="128"/>
      <c r="P9" s="129"/>
      <c r="Q9" s="127" t="s">
        <v>10</v>
      </c>
      <c r="R9" s="128"/>
      <c r="S9" s="129"/>
      <c r="T9" s="127" t="s">
        <v>11</v>
      </c>
      <c r="U9" s="128"/>
      <c r="V9" s="129"/>
      <c r="W9" s="127" t="s">
        <v>12</v>
      </c>
      <c r="X9" s="128"/>
      <c r="Y9" s="129"/>
      <c r="Z9" s="127">
        <v>2021</v>
      </c>
      <c r="AA9" s="128"/>
      <c r="AB9" s="128"/>
      <c r="AC9" s="128"/>
      <c r="AD9" s="128"/>
      <c r="AE9" s="128"/>
      <c r="AF9" s="129"/>
      <c r="AG9" s="127">
        <v>2021</v>
      </c>
      <c r="AH9" s="128"/>
      <c r="AI9" s="129"/>
      <c r="AJ9" s="127">
        <v>2021</v>
      </c>
      <c r="AK9" s="128"/>
      <c r="AL9" s="129"/>
      <c r="AM9" s="18"/>
    </row>
    <row r="10" spans="1:45" s="3" customFormat="1" ht="15.75" x14ac:dyDescent="0.25">
      <c r="A10" s="155">
        <v>1</v>
      </c>
      <c r="B10" s="155">
        <v>2</v>
      </c>
      <c r="C10" s="155">
        <v>3</v>
      </c>
      <c r="D10" s="155">
        <v>4</v>
      </c>
      <c r="E10" s="144">
        <v>5</v>
      </c>
      <c r="F10" s="145"/>
      <c r="G10" s="146"/>
      <c r="H10" s="144">
        <v>6</v>
      </c>
      <c r="I10" s="145"/>
      <c r="J10" s="146"/>
      <c r="K10" s="141">
        <v>7</v>
      </c>
      <c r="L10" s="142"/>
      <c r="M10" s="143"/>
      <c r="N10" s="141">
        <v>8</v>
      </c>
      <c r="O10" s="142"/>
      <c r="P10" s="143"/>
      <c r="Q10" s="141">
        <v>9</v>
      </c>
      <c r="R10" s="142"/>
      <c r="S10" s="143"/>
      <c r="T10" s="141">
        <v>10</v>
      </c>
      <c r="U10" s="142"/>
      <c r="V10" s="143"/>
      <c r="W10" s="141">
        <v>11</v>
      </c>
      <c r="X10" s="142"/>
      <c r="Y10" s="143"/>
      <c r="Z10" s="152">
        <v>12</v>
      </c>
      <c r="AA10" s="153"/>
      <c r="AB10" s="153"/>
      <c r="AC10" s="153"/>
      <c r="AD10" s="153"/>
      <c r="AE10" s="153"/>
      <c r="AF10" s="154"/>
      <c r="AG10" s="152">
        <v>13</v>
      </c>
      <c r="AH10" s="153"/>
      <c r="AI10" s="154"/>
      <c r="AJ10" s="152">
        <v>14</v>
      </c>
      <c r="AK10" s="153"/>
      <c r="AL10" s="154"/>
      <c r="AM10" s="19">
        <v>15</v>
      </c>
    </row>
    <row r="11" spans="1:45" s="3" customFormat="1" ht="87" customHeight="1" x14ac:dyDescent="0.2">
      <c r="A11" s="156"/>
      <c r="B11" s="156"/>
      <c r="C11" s="156"/>
      <c r="D11" s="156"/>
      <c r="E11" s="135" t="s">
        <v>13</v>
      </c>
      <c r="F11" s="136"/>
      <c r="G11" s="139" t="s">
        <v>14</v>
      </c>
      <c r="H11" s="135" t="s">
        <v>13</v>
      </c>
      <c r="I11" s="136"/>
      <c r="J11" s="139" t="s">
        <v>14</v>
      </c>
      <c r="K11" s="135" t="s">
        <v>13</v>
      </c>
      <c r="L11" s="136"/>
      <c r="M11" s="155" t="s">
        <v>14</v>
      </c>
      <c r="N11" s="135" t="s">
        <v>13</v>
      </c>
      <c r="O11" s="136"/>
      <c r="P11" s="155" t="s">
        <v>14</v>
      </c>
      <c r="Q11" s="135" t="s">
        <v>13</v>
      </c>
      <c r="R11" s="136"/>
      <c r="S11" s="155" t="s">
        <v>14</v>
      </c>
      <c r="T11" s="135" t="s">
        <v>13</v>
      </c>
      <c r="U11" s="136"/>
      <c r="V11" s="155" t="s">
        <v>14</v>
      </c>
      <c r="W11" s="135" t="s">
        <v>13</v>
      </c>
      <c r="X11" s="136"/>
      <c r="Y11" s="155" t="s">
        <v>14</v>
      </c>
      <c r="Z11" s="144" t="s">
        <v>15</v>
      </c>
      <c r="AA11" s="146"/>
      <c r="AB11" s="144" t="s">
        <v>51</v>
      </c>
      <c r="AC11" s="146"/>
      <c r="AD11" s="20" t="s">
        <v>16</v>
      </c>
      <c r="AE11" s="144" t="s">
        <v>52</v>
      </c>
      <c r="AF11" s="146"/>
      <c r="AG11" s="144" t="s">
        <v>17</v>
      </c>
      <c r="AH11" s="146"/>
      <c r="AI11" s="20" t="s">
        <v>18</v>
      </c>
      <c r="AJ11" s="144" t="s">
        <v>19</v>
      </c>
      <c r="AK11" s="146"/>
      <c r="AL11" s="20" t="s">
        <v>20</v>
      </c>
      <c r="AM11" s="21"/>
    </row>
    <row r="12" spans="1:45" s="3" customFormat="1" ht="15.75" x14ac:dyDescent="0.2">
      <c r="A12" s="139"/>
      <c r="B12" s="139"/>
      <c r="C12" s="139"/>
      <c r="D12" s="139"/>
      <c r="E12" s="137"/>
      <c r="F12" s="138"/>
      <c r="G12" s="140"/>
      <c r="H12" s="137"/>
      <c r="I12" s="138"/>
      <c r="J12" s="140"/>
      <c r="K12" s="137"/>
      <c r="L12" s="138"/>
      <c r="M12" s="139"/>
      <c r="N12" s="137"/>
      <c r="O12" s="138"/>
      <c r="P12" s="139"/>
      <c r="Q12" s="137"/>
      <c r="R12" s="138"/>
      <c r="S12" s="139"/>
      <c r="T12" s="137"/>
      <c r="U12" s="138"/>
      <c r="V12" s="139"/>
      <c r="W12" s="137"/>
      <c r="X12" s="138"/>
      <c r="Y12" s="139"/>
      <c r="Z12" s="137" t="s">
        <v>13</v>
      </c>
      <c r="AA12" s="138"/>
      <c r="AB12" s="137" t="s">
        <v>13</v>
      </c>
      <c r="AC12" s="138"/>
      <c r="AD12" s="22" t="s">
        <v>14</v>
      </c>
      <c r="AE12" s="137" t="s">
        <v>14</v>
      </c>
      <c r="AF12" s="138"/>
      <c r="AG12" s="137" t="s">
        <v>13</v>
      </c>
      <c r="AH12" s="138"/>
      <c r="AI12" s="22" t="s">
        <v>14</v>
      </c>
      <c r="AJ12" s="137" t="s">
        <v>13</v>
      </c>
      <c r="AK12" s="138"/>
      <c r="AL12" s="22" t="s">
        <v>14</v>
      </c>
      <c r="AM12" s="23"/>
    </row>
    <row r="13" spans="1:45" ht="15" hidden="1" customHeight="1" x14ac:dyDescent="0.2">
      <c r="A13" s="158"/>
      <c r="B13" s="161" t="s">
        <v>21</v>
      </c>
      <c r="C13" s="164" t="s">
        <v>22</v>
      </c>
      <c r="D13" s="161" t="s">
        <v>23</v>
      </c>
      <c r="E13" s="167" t="s">
        <v>24</v>
      </c>
      <c r="F13" s="168"/>
      <c r="G13" s="158"/>
      <c r="H13" s="167" t="s">
        <v>25</v>
      </c>
      <c r="I13" s="168"/>
      <c r="J13" s="164" t="s">
        <v>26</v>
      </c>
      <c r="K13" s="174" t="s">
        <v>27</v>
      </c>
      <c r="L13" s="175"/>
      <c r="M13" s="164" t="s">
        <v>28</v>
      </c>
      <c r="N13" s="174" t="s">
        <v>29</v>
      </c>
      <c r="O13" s="175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  <c r="AB13" s="24"/>
      <c r="AC13" s="25"/>
      <c r="AD13" s="24"/>
      <c r="AE13" s="24"/>
      <c r="AF13" s="25"/>
      <c r="AG13" s="24"/>
      <c r="AH13" s="25"/>
      <c r="AI13" s="24"/>
      <c r="AJ13" s="24"/>
      <c r="AK13" s="25"/>
      <c r="AL13" s="24"/>
      <c r="AM13" s="26"/>
    </row>
    <row r="14" spans="1:45" ht="15" hidden="1" customHeight="1" x14ac:dyDescent="0.2">
      <c r="A14" s="159"/>
      <c r="B14" s="162"/>
      <c r="C14" s="165"/>
      <c r="D14" s="162"/>
      <c r="E14" s="169"/>
      <c r="F14" s="170"/>
      <c r="G14" s="159"/>
      <c r="H14" s="169"/>
      <c r="I14" s="170"/>
      <c r="J14" s="165"/>
      <c r="K14" s="176"/>
      <c r="L14" s="177"/>
      <c r="M14" s="165"/>
      <c r="N14" s="176"/>
      <c r="O14" s="17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8"/>
      <c r="AB14" s="27"/>
      <c r="AC14" s="28"/>
      <c r="AD14" s="27"/>
      <c r="AE14" s="27"/>
      <c r="AF14" s="28"/>
      <c r="AG14" s="27"/>
      <c r="AH14" s="28"/>
      <c r="AI14" s="27"/>
      <c r="AJ14" s="27"/>
      <c r="AK14" s="28"/>
      <c r="AL14" s="27"/>
      <c r="AM14" s="26"/>
    </row>
    <row r="15" spans="1:45" ht="15" hidden="1" customHeight="1" x14ac:dyDescent="0.2">
      <c r="A15" s="160"/>
      <c r="B15" s="163"/>
      <c r="C15" s="166"/>
      <c r="D15" s="163"/>
      <c r="E15" s="171"/>
      <c r="F15" s="172"/>
      <c r="G15" s="160"/>
      <c r="H15" s="171"/>
      <c r="I15" s="172"/>
      <c r="J15" s="166"/>
      <c r="K15" s="178"/>
      <c r="L15" s="179"/>
      <c r="M15" s="166"/>
      <c r="N15" s="178"/>
      <c r="O15" s="17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30"/>
      <c r="AB15" s="29"/>
      <c r="AC15" s="30"/>
      <c r="AD15" s="29"/>
      <c r="AE15" s="29"/>
      <c r="AF15" s="30"/>
      <c r="AG15" s="29"/>
      <c r="AH15" s="30"/>
      <c r="AI15" s="29"/>
      <c r="AJ15" s="29"/>
      <c r="AK15" s="30"/>
      <c r="AL15" s="29"/>
      <c r="AM15" s="26"/>
    </row>
    <row r="16" spans="1:45" ht="117.75" customHeight="1" x14ac:dyDescent="0.2">
      <c r="A16" s="31">
        <v>1</v>
      </c>
      <c r="B16" s="32" t="s">
        <v>30</v>
      </c>
      <c r="C16" s="33" t="s">
        <v>108</v>
      </c>
      <c r="D16" s="34" t="s">
        <v>116</v>
      </c>
      <c r="E16" s="35">
        <v>100</v>
      </c>
      <c r="F16" s="36" t="s">
        <v>115</v>
      </c>
      <c r="G16" s="99">
        <f>G17+G20+G25+G27+G34+G36+G40</f>
        <v>24319304878</v>
      </c>
      <c r="H16" s="35"/>
      <c r="I16" s="36"/>
      <c r="J16" s="38"/>
      <c r="K16" s="35">
        <v>100</v>
      </c>
      <c r="L16" s="36" t="s">
        <v>115</v>
      </c>
      <c r="M16" s="99">
        <f>M17+M20+M25+M27+M34+M36+M40</f>
        <v>7545878628</v>
      </c>
      <c r="N16" s="37">
        <v>25</v>
      </c>
      <c r="O16" s="36" t="str">
        <f>L16</f>
        <v>%</v>
      </c>
      <c r="P16" s="99">
        <f>P17+P20+P25+P27+P34+P36+P40</f>
        <v>1498265436</v>
      </c>
      <c r="Q16" s="37">
        <v>25</v>
      </c>
      <c r="R16" s="36" t="str">
        <f>L16</f>
        <v>%</v>
      </c>
      <c r="S16" s="99">
        <f>S17+S20+S25+S27+S34+S36+S40</f>
        <v>2468635315</v>
      </c>
      <c r="T16" s="37">
        <v>25</v>
      </c>
      <c r="U16" s="36" t="str">
        <f>L16</f>
        <v>%</v>
      </c>
      <c r="V16" s="99">
        <f>V17+V20+V25+V27+V34+V36+V40</f>
        <v>1528631546</v>
      </c>
      <c r="W16" s="37">
        <v>25</v>
      </c>
      <c r="X16" s="36" t="str">
        <f>O16</f>
        <v>%</v>
      </c>
      <c r="Y16" s="99">
        <f>Y17+Y20+Y25+Y27+Y34+Y36+Y40</f>
        <v>1505549195</v>
      </c>
      <c r="Z16" s="40">
        <f>SUM(N16,Q16,T16,W16)</f>
        <v>100</v>
      </c>
      <c r="AA16" s="36" t="str">
        <f>L16</f>
        <v>%</v>
      </c>
      <c r="AB16" s="40">
        <f>Z16/K16*100</f>
        <v>100</v>
      </c>
      <c r="AC16" s="41" t="s">
        <v>115</v>
      </c>
      <c r="AD16" s="42">
        <f>SUM(P16,S16,V16,Y16)</f>
        <v>7001081492</v>
      </c>
      <c r="AE16" s="40">
        <f>AD16/M16*100</f>
        <v>92.780202772166817</v>
      </c>
      <c r="AF16" s="41" t="s">
        <v>115</v>
      </c>
      <c r="AG16" s="40">
        <f>H16+Z16</f>
        <v>100</v>
      </c>
      <c r="AH16" s="36" t="str">
        <f>AA16</f>
        <v>%</v>
      </c>
      <c r="AI16" s="42">
        <f>J16+AD16</f>
        <v>7001081492</v>
      </c>
      <c r="AJ16" s="40"/>
      <c r="AK16" s="41" t="str">
        <f>AC16</f>
        <v>%</v>
      </c>
      <c r="AL16" s="40"/>
      <c r="AM16" s="43" t="s">
        <v>170</v>
      </c>
      <c r="AP16" s="4">
        <f t="shared" ref="AP16:AP24" si="0">P16+S16+V16+Y16</f>
        <v>7001081492</v>
      </c>
    </row>
    <row r="17" spans="1:42" ht="137.25" customHeight="1" x14ac:dyDescent="0.2">
      <c r="A17" s="44"/>
      <c r="B17" s="32"/>
      <c r="C17" s="45" t="s">
        <v>107</v>
      </c>
      <c r="D17" s="34" t="s">
        <v>119</v>
      </c>
      <c r="E17" s="35">
        <f>SUM(E18:E19)</f>
        <v>45</v>
      </c>
      <c r="F17" s="36" t="s">
        <v>111</v>
      </c>
      <c r="G17" s="99">
        <f>SUM(G18:G19)</f>
        <v>28500000</v>
      </c>
      <c r="H17" s="35"/>
      <c r="I17" s="36"/>
      <c r="J17" s="111"/>
      <c r="K17" s="35">
        <f>SUM(K18:K19)</f>
        <v>15</v>
      </c>
      <c r="L17" s="36" t="s">
        <v>111</v>
      </c>
      <c r="M17" s="99">
        <f>SUM(M18:M19)</f>
        <v>9500000</v>
      </c>
      <c r="N17" s="35">
        <f>SUM(N18:N19)</f>
        <v>1</v>
      </c>
      <c r="O17" s="46" t="str">
        <f t="shared" ref="O17:O60" si="1">L17</f>
        <v>Dok</v>
      </c>
      <c r="P17" s="99">
        <f>SUM(P18:P19)</f>
        <v>1437000</v>
      </c>
      <c r="Q17" s="35">
        <f>SUM(Q18:Q19)</f>
        <v>3</v>
      </c>
      <c r="R17" s="36" t="str">
        <f t="shared" ref="R17:R60" si="2">L17</f>
        <v>Dok</v>
      </c>
      <c r="S17" s="99">
        <f>SUM(S18:S19)</f>
        <v>551250</v>
      </c>
      <c r="T17" s="35">
        <f>SUM(T18:T19)</f>
        <v>3</v>
      </c>
      <c r="U17" s="36" t="str">
        <f t="shared" ref="U17:U60" si="3">L17</f>
        <v>Dok</v>
      </c>
      <c r="V17" s="99">
        <f>SUM(V18:V19)</f>
        <v>3276500</v>
      </c>
      <c r="W17" s="35">
        <f>SUM(W18:W19)</f>
        <v>8</v>
      </c>
      <c r="X17" s="36" t="str">
        <f t="shared" ref="X17:X60" si="4">O17</f>
        <v>Dok</v>
      </c>
      <c r="Y17" s="99">
        <f>SUM(Y18:Y19)</f>
        <v>4225250</v>
      </c>
      <c r="Z17" s="47">
        <f t="shared" ref="Z17:Z60" si="5">SUM(N17,Q17,T17,W17)</f>
        <v>15</v>
      </c>
      <c r="AA17" s="36" t="str">
        <f t="shared" ref="AA17:AA60" si="6">L17</f>
        <v>Dok</v>
      </c>
      <c r="AB17" s="40">
        <f t="shared" ref="AB17:AB60" si="7">Z17/K17*100</f>
        <v>100</v>
      </c>
      <c r="AC17" s="41" t="s">
        <v>115</v>
      </c>
      <c r="AD17" s="42">
        <f t="shared" ref="AD17:AD60" si="8">SUM(P17,S17,V17,Y17)</f>
        <v>9490000</v>
      </c>
      <c r="AE17" s="40">
        <f t="shared" ref="AE17:AE60" si="9">AD17/M17*100</f>
        <v>99.89473684210526</v>
      </c>
      <c r="AF17" s="41" t="s">
        <v>115</v>
      </c>
      <c r="AG17" s="40">
        <f t="shared" ref="AG17:AG60" si="10">H17+Z17</f>
        <v>15</v>
      </c>
      <c r="AH17" s="36" t="str">
        <f t="shared" ref="AH17:AH60" si="11">AA17</f>
        <v>Dok</v>
      </c>
      <c r="AI17" s="42">
        <f t="shared" ref="AI17:AI60" si="12">J17+AD17</f>
        <v>9490000</v>
      </c>
      <c r="AJ17" s="40"/>
      <c r="AK17" s="41" t="s">
        <v>115</v>
      </c>
      <c r="AL17" s="40"/>
      <c r="AM17" s="43"/>
      <c r="AP17" s="4"/>
    </row>
    <row r="18" spans="1:42" ht="97.5" customHeight="1" x14ac:dyDescent="0.2">
      <c r="A18" s="44"/>
      <c r="B18" s="32"/>
      <c r="C18" s="48" t="s">
        <v>67</v>
      </c>
      <c r="D18" s="49" t="s">
        <v>120</v>
      </c>
      <c r="E18" s="50">
        <f>K18*3</f>
        <v>15</v>
      </c>
      <c r="F18" s="51" t="s">
        <v>111</v>
      </c>
      <c r="G18" s="96">
        <v>24000000</v>
      </c>
      <c r="H18" s="50"/>
      <c r="I18" s="51"/>
      <c r="J18" s="112"/>
      <c r="K18" s="50">
        <v>5</v>
      </c>
      <c r="L18" s="51" t="s">
        <v>111</v>
      </c>
      <c r="M18" s="100">
        <v>8000000</v>
      </c>
      <c r="N18" s="50">
        <v>0</v>
      </c>
      <c r="O18" s="51" t="str">
        <f t="shared" si="1"/>
        <v>Dok</v>
      </c>
      <c r="P18" s="52">
        <v>1437000</v>
      </c>
      <c r="Q18" s="50">
        <v>1</v>
      </c>
      <c r="R18" s="51" t="str">
        <f t="shared" si="2"/>
        <v>Dok</v>
      </c>
      <c r="S18" s="52">
        <f>1988250-P18</f>
        <v>551250</v>
      </c>
      <c r="T18" s="50">
        <v>1</v>
      </c>
      <c r="U18" s="51" t="str">
        <f t="shared" si="3"/>
        <v>Dok</v>
      </c>
      <c r="V18" s="52">
        <v>2457250</v>
      </c>
      <c r="W18" s="50">
        <v>3</v>
      </c>
      <c r="X18" s="51" t="str">
        <f t="shared" si="4"/>
        <v>Dok</v>
      </c>
      <c r="Y18" s="52">
        <v>3547250</v>
      </c>
      <c r="Z18" s="53">
        <f t="shared" si="5"/>
        <v>5</v>
      </c>
      <c r="AA18" s="51" t="str">
        <f t="shared" si="6"/>
        <v>Dok</v>
      </c>
      <c r="AB18" s="54">
        <f t="shared" si="7"/>
        <v>100</v>
      </c>
      <c r="AC18" s="55" t="s">
        <v>115</v>
      </c>
      <c r="AD18" s="56">
        <f t="shared" si="8"/>
        <v>7992750</v>
      </c>
      <c r="AE18" s="54">
        <f t="shared" si="9"/>
        <v>99.909374999999997</v>
      </c>
      <c r="AF18" s="55" t="s">
        <v>115</v>
      </c>
      <c r="AG18" s="53">
        <f t="shared" si="10"/>
        <v>5</v>
      </c>
      <c r="AH18" s="51" t="str">
        <f t="shared" si="11"/>
        <v>Dok</v>
      </c>
      <c r="AI18" s="56">
        <f t="shared" si="12"/>
        <v>7992750</v>
      </c>
      <c r="AJ18" s="54"/>
      <c r="AK18" s="55" t="s">
        <v>115</v>
      </c>
      <c r="AL18" s="54"/>
      <c r="AM18" s="26"/>
      <c r="AP18" s="4"/>
    </row>
    <row r="19" spans="1:42" ht="97.5" customHeight="1" x14ac:dyDescent="0.2">
      <c r="A19" s="44"/>
      <c r="B19" s="32"/>
      <c r="C19" s="48" t="s">
        <v>68</v>
      </c>
      <c r="D19" s="49" t="s">
        <v>121</v>
      </c>
      <c r="E19" s="50">
        <f>K19*3</f>
        <v>30</v>
      </c>
      <c r="F19" s="51" t="s">
        <v>111</v>
      </c>
      <c r="G19" s="96">
        <v>4500000</v>
      </c>
      <c r="H19" s="50"/>
      <c r="I19" s="51"/>
      <c r="J19" s="112"/>
      <c r="K19" s="50">
        <v>10</v>
      </c>
      <c r="L19" s="51" t="s">
        <v>111</v>
      </c>
      <c r="M19" s="101">
        <v>1500000</v>
      </c>
      <c r="N19" s="50">
        <v>1</v>
      </c>
      <c r="O19" s="51" t="str">
        <f t="shared" si="1"/>
        <v>Dok</v>
      </c>
      <c r="P19" s="52">
        <v>0</v>
      </c>
      <c r="Q19" s="50">
        <v>2</v>
      </c>
      <c r="R19" s="51" t="str">
        <f t="shared" si="2"/>
        <v>Dok</v>
      </c>
      <c r="S19" s="52">
        <v>0</v>
      </c>
      <c r="T19" s="50">
        <v>2</v>
      </c>
      <c r="U19" s="51" t="str">
        <f t="shared" si="3"/>
        <v>Dok</v>
      </c>
      <c r="V19" s="52">
        <v>819250</v>
      </c>
      <c r="W19" s="50">
        <v>5</v>
      </c>
      <c r="X19" s="51" t="str">
        <f t="shared" si="4"/>
        <v>Dok</v>
      </c>
      <c r="Y19" s="52">
        <v>678000</v>
      </c>
      <c r="Z19" s="53">
        <f t="shared" si="5"/>
        <v>10</v>
      </c>
      <c r="AA19" s="51" t="str">
        <f t="shared" si="6"/>
        <v>Dok</v>
      </c>
      <c r="AB19" s="54">
        <f t="shared" si="7"/>
        <v>100</v>
      </c>
      <c r="AC19" s="55" t="s">
        <v>115</v>
      </c>
      <c r="AD19" s="56">
        <f t="shared" si="8"/>
        <v>1497250</v>
      </c>
      <c r="AE19" s="54">
        <f t="shared" si="9"/>
        <v>99.816666666666663</v>
      </c>
      <c r="AF19" s="55" t="s">
        <v>115</v>
      </c>
      <c r="AG19" s="53">
        <f t="shared" si="10"/>
        <v>10</v>
      </c>
      <c r="AH19" s="51" t="str">
        <f t="shared" si="11"/>
        <v>Dok</v>
      </c>
      <c r="AI19" s="56">
        <f t="shared" si="12"/>
        <v>1497250</v>
      </c>
      <c r="AJ19" s="54"/>
      <c r="AK19" s="55" t="s">
        <v>115</v>
      </c>
      <c r="AL19" s="54"/>
      <c r="AM19" s="26"/>
      <c r="AP19" s="4"/>
    </row>
    <row r="20" spans="1:42" ht="105.75" customHeight="1" x14ac:dyDescent="0.2">
      <c r="A20" s="44"/>
      <c r="B20" s="32"/>
      <c r="C20" s="57" t="s">
        <v>69</v>
      </c>
      <c r="D20" s="34" t="s">
        <v>114</v>
      </c>
      <c r="E20" s="58">
        <f>K20*3</f>
        <v>42</v>
      </c>
      <c r="F20" s="46" t="s">
        <v>111</v>
      </c>
      <c r="G20" s="99">
        <f>SUM(G21:G24)</f>
        <v>20760865987</v>
      </c>
      <c r="H20" s="35"/>
      <c r="I20" s="36"/>
      <c r="J20" s="38"/>
      <c r="K20" s="58">
        <f>SUM(K22:K24)</f>
        <v>14</v>
      </c>
      <c r="L20" s="46" t="s">
        <v>111</v>
      </c>
      <c r="M20" s="99">
        <f>SUM(M21:M24)</f>
        <v>6394412387</v>
      </c>
      <c r="N20" s="58">
        <f>SUM(N22:N24)</f>
        <v>3</v>
      </c>
      <c r="O20" s="46" t="str">
        <f t="shared" si="1"/>
        <v>Dok</v>
      </c>
      <c r="P20" s="99">
        <f>SUM(P21:P24)</f>
        <v>1371418860</v>
      </c>
      <c r="Q20" s="58">
        <f>SUM(Q22:Q24)</f>
        <v>4</v>
      </c>
      <c r="R20" s="36" t="str">
        <f t="shared" si="2"/>
        <v>Dok</v>
      </c>
      <c r="S20" s="99">
        <f>SUM(S21:S24)</f>
        <v>2131500706</v>
      </c>
      <c r="T20" s="58">
        <f>SUM(T22:T24)</f>
        <v>3</v>
      </c>
      <c r="U20" s="36" t="str">
        <f t="shared" si="3"/>
        <v>Dok</v>
      </c>
      <c r="V20" s="99">
        <f>SUM(V21:V24)</f>
        <v>1336318588</v>
      </c>
      <c r="W20" s="58">
        <f>SUM(W22:W24)</f>
        <v>4</v>
      </c>
      <c r="X20" s="36" t="str">
        <f t="shared" si="4"/>
        <v>Dok</v>
      </c>
      <c r="Y20" s="99">
        <f>SUM(Y21:Y24)</f>
        <v>1122523281</v>
      </c>
      <c r="Z20" s="47">
        <f t="shared" si="5"/>
        <v>14</v>
      </c>
      <c r="AA20" s="36" t="str">
        <f t="shared" si="6"/>
        <v>Dok</v>
      </c>
      <c r="AB20" s="40">
        <f t="shared" si="7"/>
        <v>100</v>
      </c>
      <c r="AC20" s="41" t="s">
        <v>115</v>
      </c>
      <c r="AD20" s="42">
        <f t="shared" si="8"/>
        <v>5961761435</v>
      </c>
      <c r="AE20" s="40">
        <f t="shared" si="9"/>
        <v>93.233921651978676</v>
      </c>
      <c r="AF20" s="41" t="s">
        <v>115</v>
      </c>
      <c r="AG20" s="47">
        <f t="shared" si="10"/>
        <v>14</v>
      </c>
      <c r="AH20" s="36" t="str">
        <f t="shared" si="11"/>
        <v>Dok</v>
      </c>
      <c r="AI20" s="42">
        <f t="shared" si="12"/>
        <v>5961761435</v>
      </c>
      <c r="AJ20" s="40"/>
      <c r="AK20" s="41" t="s">
        <v>115</v>
      </c>
      <c r="AL20" s="40"/>
      <c r="AM20" s="26"/>
      <c r="AP20" s="4"/>
    </row>
    <row r="21" spans="1:42" ht="45" x14ac:dyDescent="0.2">
      <c r="A21" s="44"/>
      <c r="B21" s="32"/>
      <c r="C21" s="59" t="s">
        <v>70</v>
      </c>
      <c r="D21" s="60" t="s">
        <v>122</v>
      </c>
      <c r="E21" s="61">
        <f t="shared" ref="E21:E24" si="13">K21*3</f>
        <v>36</v>
      </c>
      <c r="F21" s="62" t="s">
        <v>112</v>
      </c>
      <c r="G21" s="97">
        <v>20745865987</v>
      </c>
      <c r="H21" s="63"/>
      <c r="I21" s="51"/>
      <c r="J21" s="112"/>
      <c r="K21" s="61">
        <v>12</v>
      </c>
      <c r="L21" s="62" t="s">
        <v>112</v>
      </c>
      <c r="M21" s="101">
        <v>6389412387</v>
      </c>
      <c r="N21" s="63">
        <v>3</v>
      </c>
      <c r="O21" s="51" t="str">
        <f t="shared" si="1"/>
        <v>Bln</v>
      </c>
      <c r="P21" s="52">
        <v>1371205360</v>
      </c>
      <c r="Q21" s="63">
        <v>3</v>
      </c>
      <c r="R21" s="51" t="str">
        <f t="shared" si="2"/>
        <v>Bln</v>
      </c>
      <c r="S21" s="52">
        <f>3502474066-P21</f>
        <v>2131268706</v>
      </c>
      <c r="T21" s="63">
        <v>3</v>
      </c>
      <c r="U21" s="51" t="str">
        <f t="shared" si="3"/>
        <v>Bln</v>
      </c>
      <c r="V21" s="52">
        <v>1334206088</v>
      </c>
      <c r="W21" s="63">
        <v>3</v>
      </c>
      <c r="X21" s="51" t="str">
        <f t="shared" si="4"/>
        <v>Bln</v>
      </c>
      <c r="Y21" s="52">
        <v>1120084031</v>
      </c>
      <c r="Z21" s="53">
        <f t="shared" si="5"/>
        <v>12</v>
      </c>
      <c r="AA21" s="51" t="str">
        <f t="shared" si="6"/>
        <v>Bln</v>
      </c>
      <c r="AB21" s="54">
        <f t="shared" si="7"/>
        <v>100</v>
      </c>
      <c r="AC21" s="55" t="s">
        <v>115</v>
      </c>
      <c r="AD21" s="56">
        <f t="shared" si="8"/>
        <v>5956764185</v>
      </c>
      <c r="AE21" s="54">
        <f t="shared" si="9"/>
        <v>93.228669934025959</v>
      </c>
      <c r="AF21" s="55" t="s">
        <v>115</v>
      </c>
      <c r="AG21" s="53">
        <f t="shared" si="10"/>
        <v>12</v>
      </c>
      <c r="AH21" s="51" t="str">
        <f t="shared" si="11"/>
        <v>Bln</v>
      </c>
      <c r="AI21" s="56">
        <f t="shared" si="12"/>
        <v>5956764185</v>
      </c>
      <c r="AJ21" s="54"/>
      <c r="AK21" s="55" t="s">
        <v>115</v>
      </c>
      <c r="AL21" s="54"/>
      <c r="AM21" s="64"/>
      <c r="AP21" s="4">
        <f t="shared" si="0"/>
        <v>5956764185</v>
      </c>
    </row>
    <row r="22" spans="1:42" ht="60" x14ac:dyDescent="0.2">
      <c r="A22" s="44"/>
      <c r="B22" s="32"/>
      <c r="C22" s="59" t="s">
        <v>71</v>
      </c>
      <c r="D22" s="65" t="s">
        <v>123</v>
      </c>
      <c r="E22" s="61">
        <f t="shared" si="13"/>
        <v>3</v>
      </c>
      <c r="F22" s="62" t="s">
        <v>111</v>
      </c>
      <c r="G22" s="97">
        <v>5000000</v>
      </c>
      <c r="H22" s="63"/>
      <c r="I22" s="51"/>
      <c r="J22" s="112"/>
      <c r="K22" s="61">
        <v>1</v>
      </c>
      <c r="L22" s="62" t="s">
        <v>111</v>
      </c>
      <c r="M22" s="101">
        <v>2000000</v>
      </c>
      <c r="N22" s="63">
        <v>0</v>
      </c>
      <c r="O22" s="51" t="str">
        <f t="shared" si="1"/>
        <v>Dok</v>
      </c>
      <c r="P22" s="52">
        <v>213500</v>
      </c>
      <c r="Q22" s="63">
        <v>0</v>
      </c>
      <c r="R22" s="51" t="str">
        <f t="shared" si="2"/>
        <v>Dok</v>
      </c>
      <c r="S22" s="52">
        <f>445500-P22</f>
        <v>232000</v>
      </c>
      <c r="T22" s="63">
        <v>0</v>
      </c>
      <c r="U22" s="51" t="str">
        <f t="shared" si="3"/>
        <v>Dok</v>
      </c>
      <c r="V22" s="52">
        <v>437500</v>
      </c>
      <c r="W22" s="63">
        <v>1</v>
      </c>
      <c r="X22" s="51" t="str">
        <f t="shared" si="4"/>
        <v>Dok</v>
      </c>
      <c r="Y22" s="52">
        <v>1114250</v>
      </c>
      <c r="Z22" s="53">
        <f t="shared" si="5"/>
        <v>1</v>
      </c>
      <c r="AA22" s="51" t="str">
        <f t="shared" si="6"/>
        <v>Dok</v>
      </c>
      <c r="AB22" s="54">
        <f t="shared" si="7"/>
        <v>100</v>
      </c>
      <c r="AC22" s="55" t="s">
        <v>115</v>
      </c>
      <c r="AD22" s="56">
        <f t="shared" si="8"/>
        <v>1997250</v>
      </c>
      <c r="AE22" s="54">
        <f t="shared" si="9"/>
        <v>99.862499999999997</v>
      </c>
      <c r="AF22" s="55" t="s">
        <v>115</v>
      </c>
      <c r="AG22" s="53">
        <f t="shared" si="10"/>
        <v>1</v>
      </c>
      <c r="AH22" s="51" t="str">
        <f t="shared" si="11"/>
        <v>Dok</v>
      </c>
      <c r="AI22" s="56">
        <f t="shared" si="12"/>
        <v>1997250</v>
      </c>
      <c r="AJ22" s="54"/>
      <c r="AK22" s="55" t="s">
        <v>115</v>
      </c>
      <c r="AL22" s="54"/>
      <c r="AM22" s="26"/>
      <c r="AP22" s="4">
        <f t="shared" si="0"/>
        <v>1997250</v>
      </c>
    </row>
    <row r="23" spans="1:42" ht="75" x14ac:dyDescent="0.2">
      <c r="A23" s="44"/>
      <c r="B23" s="32"/>
      <c r="C23" s="59" t="s">
        <v>72</v>
      </c>
      <c r="D23" s="65" t="s">
        <v>124</v>
      </c>
      <c r="E23" s="61">
        <f t="shared" si="13"/>
        <v>36</v>
      </c>
      <c r="F23" s="62" t="s">
        <v>113</v>
      </c>
      <c r="G23" s="97">
        <v>4500000</v>
      </c>
      <c r="H23" s="63"/>
      <c r="I23" s="51"/>
      <c r="J23" s="112"/>
      <c r="K23" s="61">
        <v>12</v>
      </c>
      <c r="L23" s="62" t="s">
        <v>113</v>
      </c>
      <c r="M23" s="101">
        <v>1500000</v>
      </c>
      <c r="N23" s="63">
        <v>3</v>
      </c>
      <c r="O23" s="51" t="str">
        <f t="shared" si="1"/>
        <v>Lap</v>
      </c>
      <c r="P23" s="52">
        <v>0</v>
      </c>
      <c r="Q23" s="63">
        <v>3</v>
      </c>
      <c r="R23" s="51" t="str">
        <f t="shared" si="2"/>
        <v>Lap</v>
      </c>
      <c r="S23" s="52">
        <v>0</v>
      </c>
      <c r="T23" s="63">
        <v>3</v>
      </c>
      <c r="U23" s="51" t="str">
        <f t="shared" si="3"/>
        <v>Lap</v>
      </c>
      <c r="V23" s="52">
        <v>950000</v>
      </c>
      <c r="W23" s="63">
        <v>3</v>
      </c>
      <c r="X23" s="51" t="str">
        <f t="shared" si="4"/>
        <v>Lap</v>
      </c>
      <c r="Y23" s="52">
        <v>550000</v>
      </c>
      <c r="Z23" s="53">
        <f t="shared" si="5"/>
        <v>12</v>
      </c>
      <c r="AA23" s="51" t="str">
        <f t="shared" si="6"/>
        <v>Lap</v>
      </c>
      <c r="AB23" s="54">
        <f t="shared" si="7"/>
        <v>100</v>
      </c>
      <c r="AC23" s="55" t="s">
        <v>115</v>
      </c>
      <c r="AD23" s="56">
        <f t="shared" si="8"/>
        <v>1500000</v>
      </c>
      <c r="AE23" s="54">
        <f t="shared" si="9"/>
        <v>100</v>
      </c>
      <c r="AF23" s="55" t="s">
        <v>115</v>
      </c>
      <c r="AG23" s="53">
        <f t="shared" si="10"/>
        <v>12</v>
      </c>
      <c r="AH23" s="51" t="str">
        <f t="shared" si="11"/>
        <v>Lap</v>
      </c>
      <c r="AI23" s="56">
        <f t="shared" si="12"/>
        <v>1500000</v>
      </c>
      <c r="AJ23" s="54"/>
      <c r="AK23" s="55" t="s">
        <v>115</v>
      </c>
      <c r="AL23" s="54"/>
      <c r="AM23" s="26"/>
      <c r="AP23" s="4">
        <f t="shared" si="0"/>
        <v>1500000</v>
      </c>
    </row>
    <row r="24" spans="1:42" ht="105.75" customHeight="1" x14ac:dyDescent="0.2">
      <c r="A24" s="44"/>
      <c r="B24" s="32"/>
      <c r="C24" s="59" t="s">
        <v>73</v>
      </c>
      <c r="D24" s="66" t="s">
        <v>125</v>
      </c>
      <c r="E24" s="61">
        <f t="shared" si="13"/>
        <v>3</v>
      </c>
      <c r="F24" s="62" t="s">
        <v>113</v>
      </c>
      <c r="G24" s="97">
        <v>5500000</v>
      </c>
      <c r="H24" s="63"/>
      <c r="I24" s="51"/>
      <c r="J24" s="112"/>
      <c r="K24" s="61">
        <v>1</v>
      </c>
      <c r="L24" s="62" t="s">
        <v>113</v>
      </c>
      <c r="M24" s="101">
        <v>1500000</v>
      </c>
      <c r="N24" s="63">
        <v>0</v>
      </c>
      <c r="O24" s="51" t="str">
        <f t="shared" si="1"/>
        <v>Lap</v>
      </c>
      <c r="P24" s="52">
        <v>0</v>
      </c>
      <c r="Q24" s="63">
        <v>1</v>
      </c>
      <c r="R24" s="51" t="str">
        <f t="shared" si="2"/>
        <v>Lap</v>
      </c>
      <c r="S24" s="52">
        <v>0</v>
      </c>
      <c r="T24" s="63">
        <v>0</v>
      </c>
      <c r="U24" s="51" t="str">
        <f t="shared" si="3"/>
        <v>Lap</v>
      </c>
      <c r="V24" s="52">
        <v>725000</v>
      </c>
      <c r="W24" s="63">
        <v>0</v>
      </c>
      <c r="X24" s="51" t="str">
        <f t="shared" si="4"/>
        <v>Lap</v>
      </c>
      <c r="Y24" s="52">
        <v>775000</v>
      </c>
      <c r="Z24" s="53">
        <f t="shared" si="5"/>
        <v>1</v>
      </c>
      <c r="AA24" s="51" t="str">
        <f t="shared" si="6"/>
        <v>Lap</v>
      </c>
      <c r="AB24" s="54">
        <f t="shared" si="7"/>
        <v>100</v>
      </c>
      <c r="AC24" s="55" t="s">
        <v>115</v>
      </c>
      <c r="AD24" s="56">
        <f t="shared" si="8"/>
        <v>1500000</v>
      </c>
      <c r="AE24" s="54">
        <f t="shared" si="9"/>
        <v>100</v>
      </c>
      <c r="AF24" s="55" t="s">
        <v>115</v>
      </c>
      <c r="AG24" s="53">
        <f t="shared" si="10"/>
        <v>1</v>
      </c>
      <c r="AH24" s="51" t="str">
        <f t="shared" si="11"/>
        <v>Lap</v>
      </c>
      <c r="AI24" s="56">
        <f t="shared" si="12"/>
        <v>1500000</v>
      </c>
      <c r="AJ24" s="54"/>
      <c r="AK24" s="55" t="s">
        <v>115</v>
      </c>
      <c r="AL24" s="54"/>
      <c r="AM24" s="26"/>
      <c r="AP24" s="4">
        <f t="shared" si="0"/>
        <v>1500000</v>
      </c>
    </row>
    <row r="25" spans="1:42" ht="78.75" x14ac:dyDescent="0.2">
      <c r="A25" s="44"/>
      <c r="B25" s="32"/>
      <c r="C25" s="57" t="s">
        <v>74</v>
      </c>
      <c r="D25" s="34" t="s">
        <v>127</v>
      </c>
      <c r="E25" s="35">
        <v>100</v>
      </c>
      <c r="F25" s="36" t="s">
        <v>115</v>
      </c>
      <c r="G25" s="99">
        <f>SUM(G26)</f>
        <v>474775000</v>
      </c>
      <c r="H25" s="37"/>
      <c r="I25" s="36"/>
      <c r="J25" s="111"/>
      <c r="K25" s="35">
        <v>100</v>
      </c>
      <c r="L25" s="36" t="s">
        <v>115</v>
      </c>
      <c r="M25" s="99">
        <f>SUM(M26)</f>
        <v>199475000</v>
      </c>
      <c r="N25" s="37">
        <v>100</v>
      </c>
      <c r="O25" s="36" t="str">
        <f t="shared" si="1"/>
        <v>%</v>
      </c>
      <c r="P25" s="99">
        <f>SUM(P26)</f>
        <v>14925000</v>
      </c>
      <c r="Q25" s="37">
        <v>100</v>
      </c>
      <c r="R25" s="36" t="str">
        <f t="shared" si="2"/>
        <v>%</v>
      </c>
      <c r="S25" s="99">
        <f>SUM(S26)</f>
        <v>181250000</v>
      </c>
      <c r="T25" s="37">
        <v>100</v>
      </c>
      <c r="U25" s="36" t="str">
        <f t="shared" si="3"/>
        <v>%</v>
      </c>
      <c r="V25" s="99">
        <f>SUM(V26)</f>
        <v>0</v>
      </c>
      <c r="W25" s="37">
        <v>100</v>
      </c>
      <c r="X25" s="36" t="str">
        <f t="shared" si="4"/>
        <v>%</v>
      </c>
      <c r="Y25" s="99">
        <f>SUM(Y26)</f>
        <v>0</v>
      </c>
      <c r="Z25" s="47">
        <f>AVERAGE(N25,Q25,T25,W25)</f>
        <v>100</v>
      </c>
      <c r="AA25" s="36" t="str">
        <f t="shared" si="6"/>
        <v>%</v>
      </c>
      <c r="AB25" s="40">
        <f t="shared" si="7"/>
        <v>100</v>
      </c>
      <c r="AC25" s="41" t="s">
        <v>115</v>
      </c>
      <c r="AD25" s="42">
        <f t="shared" si="8"/>
        <v>196175000</v>
      </c>
      <c r="AE25" s="40">
        <f t="shared" si="9"/>
        <v>98.345657350545181</v>
      </c>
      <c r="AF25" s="41" t="s">
        <v>115</v>
      </c>
      <c r="AG25" s="47">
        <f t="shared" si="10"/>
        <v>100</v>
      </c>
      <c r="AH25" s="36" t="str">
        <f t="shared" si="11"/>
        <v>%</v>
      </c>
      <c r="AI25" s="42">
        <f t="shared" si="12"/>
        <v>196175000</v>
      </c>
      <c r="AJ25" s="40"/>
      <c r="AK25" s="41" t="s">
        <v>115</v>
      </c>
      <c r="AL25" s="40"/>
      <c r="AM25" s="26"/>
      <c r="AP25" s="4"/>
    </row>
    <row r="26" spans="1:42" ht="79.5" customHeight="1" x14ac:dyDescent="0.2">
      <c r="A26" s="44"/>
      <c r="B26" s="32"/>
      <c r="C26" s="59" t="s">
        <v>75</v>
      </c>
      <c r="D26" s="67" t="s">
        <v>118</v>
      </c>
      <c r="E26" s="50">
        <f>K26+105*2</f>
        <v>325</v>
      </c>
      <c r="F26" s="51" t="s">
        <v>171</v>
      </c>
      <c r="G26" s="97">
        <v>474775000</v>
      </c>
      <c r="H26" s="50"/>
      <c r="I26" s="51"/>
      <c r="J26" s="112"/>
      <c r="K26" s="50">
        <v>115</v>
      </c>
      <c r="L26" s="51" t="s">
        <v>171</v>
      </c>
      <c r="M26" s="101">
        <v>199475000</v>
      </c>
      <c r="N26" s="50">
        <v>0</v>
      </c>
      <c r="O26" s="53" t="str">
        <f t="shared" si="1"/>
        <v>Stel</v>
      </c>
      <c r="P26" s="52">
        <v>14925000</v>
      </c>
      <c r="Q26" s="50">
        <v>115</v>
      </c>
      <c r="R26" s="68" t="str">
        <f t="shared" si="2"/>
        <v>Stel</v>
      </c>
      <c r="S26" s="52">
        <f>196175000-P26</f>
        <v>181250000</v>
      </c>
      <c r="T26" s="50">
        <v>0</v>
      </c>
      <c r="U26" s="68" t="str">
        <f t="shared" si="3"/>
        <v>Stel</v>
      </c>
      <c r="V26" s="52">
        <v>0</v>
      </c>
      <c r="W26" s="50">
        <v>0</v>
      </c>
      <c r="X26" s="68" t="str">
        <f t="shared" si="4"/>
        <v>Stel</v>
      </c>
      <c r="Y26" s="52">
        <v>0</v>
      </c>
      <c r="Z26" s="53">
        <f t="shared" si="5"/>
        <v>115</v>
      </c>
      <c r="AA26" s="51" t="str">
        <f t="shared" si="6"/>
        <v>Stel</v>
      </c>
      <c r="AB26" s="53">
        <f t="shared" si="7"/>
        <v>100</v>
      </c>
      <c r="AC26" s="55" t="s">
        <v>115</v>
      </c>
      <c r="AD26" s="56">
        <f t="shared" si="8"/>
        <v>196175000</v>
      </c>
      <c r="AE26" s="54">
        <f t="shared" si="9"/>
        <v>98.345657350545181</v>
      </c>
      <c r="AF26" s="55" t="s">
        <v>115</v>
      </c>
      <c r="AG26" s="53">
        <f t="shared" si="10"/>
        <v>115</v>
      </c>
      <c r="AH26" s="51" t="str">
        <f t="shared" si="11"/>
        <v>Stel</v>
      </c>
      <c r="AI26" s="56">
        <f t="shared" si="12"/>
        <v>196175000</v>
      </c>
      <c r="AJ26" s="54"/>
      <c r="AK26" s="55" t="s">
        <v>115</v>
      </c>
      <c r="AL26" s="54"/>
      <c r="AM26" s="26"/>
      <c r="AP26" s="4"/>
    </row>
    <row r="27" spans="1:42" ht="47.25" x14ac:dyDescent="0.2">
      <c r="A27" s="44"/>
      <c r="B27" s="32"/>
      <c r="C27" s="57" t="s">
        <v>76</v>
      </c>
      <c r="D27" s="69" t="s">
        <v>126</v>
      </c>
      <c r="E27" s="58">
        <v>100</v>
      </c>
      <c r="F27" s="46" t="s">
        <v>115</v>
      </c>
      <c r="G27" s="38">
        <f>SUM(G28:G33)</f>
        <v>2306663464</v>
      </c>
      <c r="H27" s="37"/>
      <c r="I27" s="36"/>
      <c r="J27" s="111"/>
      <c r="K27" s="58">
        <v>100</v>
      </c>
      <c r="L27" s="46" t="s">
        <v>115</v>
      </c>
      <c r="M27" s="38">
        <f>SUM(M28:M33)</f>
        <v>681978814</v>
      </c>
      <c r="N27" s="58">
        <v>25</v>
      </c>
      <c r="O27" s="46" t="str">
        <f t="shared" si="1"/>
        <v>%</v>
      </c>
      <c r="P27" s="38">
        <f>SUM(P28:P33)</f>
        <v>87108185</v>
      </c>
      <c r="Q27" s="35">
        <v>25</v>
      </c>
      <c r="R27" s="36" t="str">
        <f t="shared" si="2"/>
        <v>%</v>
      </c>
      <c r="S27" s="38">
        <f>SUM(S28:S33)</f>
        <v>124655141</v>
      </c>
      <c r="T27" s="35">
        <v>25</v>
      </c>
      <c r="U27" s="36" t="str">
        <f t="shared" si="3"/>
        <v>%</v>
      </c>
      <c r="V27" s="38">
        <f>SUM(V28:V33)</f>
        <v>149232332</v>
      </c>
      <c r="W27" s="35">
        <v>25</v>
      </c>
      <c r="X27" s="36" t="str">
        <f t="shared" si="4"/>
        <v>%</v>
      </c>
      <c r="Y27" s="38">
        <f>SUM(Y28:Y33)</f>
        <v>276333463</v>
      </c>
      <c r="Z27" s="47">
        <f t="shared" si="5"/>
        <v>100</v>
      </c>
      <c r="AA27" s="36" t="str">
        <f t="shared" si="6"/>
        <v>%</v>
      </c>
      <c r="AB27" s="40">
        <f t="shared" si="7"/>
        <v>100</v>
      </c>
      <c r="AC27" s="41" t="s">
        <v>115</v>
      </c>
      <c r="AD27" s="42">
        <f t="shared" si="8"/>
        <v>637329121</v>
      </c>
      <c r="AE27" s="40">
        <f t="shared" si="9"/>
        <v>93.452920811701347</v>
      </c>
      <c r="AF27" s="41" t="s">
        <v>115</v>
      </c>
      <c r="AG27" s="47">
        <f t="shared" si="10"/>
        <v>100</v>
      </c>
      <c r="AH27" s="36" t="str">
        <f t="shared" si="11"/>
        <v>%</v>
      </c>
      <c r="AI27" s="42">
        <f t="shared" si="12"/>
        <v>637329121</v>
      </c>
      <c r="AJ27" s="40"/>
      <c r="AK27" s="41" t="s">
        <v>115</v>
      </c>
      <c r="AL27" s="40"/>
      <c r="AM27" s="26"/>
      <c r="AP27" s="4"/>
    </row>
    <row r="28" spans="1:42" ht="75" x14ac:dyDescent="0.2">
      <c r="A28" s="44"/>
      <c r="B28" s="32"/>
      <c r="C28" s="59" t="s">
        <v>77</v>
      </c>
      <c r="D28" s="70" t="s">
        <v>128</v>
      </c>
      <c r="E28" s="61">
        <f t="shared" ref="E28:E33" si="14">K28*3</f>
        <v>36</v>
      </c>
      <c r="F28" s="62" t="s">
        <v>112</v>
      </c>
      <c r="G28" s="97">
        <v>37267940</v>
      </c>
      <c r="H28" s="63"/>
      <c r="I28" s="51"/>
      <c r="J28" s="112"/>
      <c r="K28" s="61">
        <v>12</v>
      </c>
      <c r="L28" s="62" t="s">
        <v>112</v>
      </c>
      <c r="M28" s="101">
        <v>18302720</v>
      </c>
      <c r="N28" s="63">
        <v>3</v>
      </c>
      <c r="O28" s="51" t="str">
        <f t="shared" si="1"/>
        <v>Bln</v>
      </c>
      <c r="P28" s="52">
        <v>5206345</v>
      </c>
      <c r="Q28" s="63">
        <v>3</v>
      </c>
      <c r="R28" s="51" t="str">
        <f t="shared" si="2"/>
        <v>Bln</v>
      </c>
      <c r="S28" s="52">
        <f>8379421-P28</f>
        <v>3173076</v>
      </c>
      <c r="T28" s="63">
        <v>3</v>
      </c>
      <c r="U28" s="51" t="str">
        <f t="shared" si="3"/>
        <v>Bln</v>
      </c>
      <c r="V28" s="52">
        <v>4277000</v>
      </c>
      <c r="W28" s="63">
        <v>3</v>
      </c>
      <c r="X28" s="51" t="str">
        <f t="shared" si="4"/>
        <v>Bln</v>
      </c>
      <c r="Y28" s="52">
        <v>4761257</v>
      </c>
      <c r="Z28" s="53">
        <f t="shared" si="5"/>
        <v>12</v>
      </c>
      <c r="AA28" s="51" t="str">
        <f t="shared" si="6"/>
        <v>Bln</v>
      </c>
      <c r="AB28" s="54">
        <f t="shared" si="7"/>
        <v>100</v>
      </c>
      <c r="AC28" s="55" t="s">
        <v>115</v>
      </c>
      <c r="AD28" s="56">
        <f t="shared" si="8"/>
        <v>17417678</v>
      </c>
      <c r="AE28" s="54">
        <f t="shared" si="9"/>
        <v>95.164423648506897</v>
      </c>
      <c r="AF28" s="55" t="s">
        <v>115</v>
      </c>
      <c r="AG28" s="53">
        <f t="shared" si="10"/>
        <v>12</v>
      </c>
      <c r="AH28" s="51" t="str">
        <f t="shared" si="11"/>
        <v>Bln</v>
      </c>
      <c r="AI28" s="56">
        <f t="shared" si="12"/>
        <v>17417678</v>
      </c>
      <c r="AJ28" s="54"/>
      <c r="AK28" s="55" t="s">
        <v>115</v>
      </c>
      <c r="AL28" s="54"/>
      <c r="AM28" s="26"/>
      <c r="AP28" s="4"/>
    </row>
    <row r="29" spans="1:42" ht="60" x14ac:dyDescent="0.2">
      <c r="A29" s="44"/>
      <c r="B29" s="32"/>
      <c r="C29" s="59" t="s">
        <v>78</v>
      </c>
      <c r="D29" s="70" t="s">
        <v>129</v>
      </c>
      <c r="E29" s="61">
        <f t="shared" si="14"/>
        <v>36</v>
      </c>
      <c r="F29" s="62" t="s">
        <v>112</v>
      </c>
      <c r="G29" s="97">
        <v>196328783</v>
      </c>
      <c r="H29" s="35"/>
      <c r="I29" s="36"/>
      <c r="J29" s="38"/>
      <c r="K29" s="61">
        <v>12</v>
      </c>
      <c r="L29" s="62" t="s">
        <v>112</v>
      </c>
      <c r="M29" s="101">
        <v>92988253</v>
      </c>
      <c r="N29" s="63">
        <v>3</v>
      </c>
      <c r="O29" s="51" t="str">
        <f t="shared" si="1"/>
        <v>Bln</v>
      </c>
      <c r="P29" s="52">
        <v>17053776</v>
      </c>
      <c r="Q29" s="63">
        <v>3</v>
      </c>
      <c r="R29" s="51" t="str">
        <f t="shared" si="2"/>
        <v>Bln</v>
      </c>
      <c r="S29" s="52">
        <f>53187841-P29</f>
        <v>36134065</v>
      </c>
      <c r="T29" s="63">
        <v>3</v>
      </c>
      <c r="U29" s="51" t="str">
        <f t="shared" si="3"/>
        <v>Bln</v>
      </c>
      <c r="V29" s="52">
        <v>7993407</v>
      </c>
      <c r="W29" s="63">
        <v>3</v>
      </c>
      <c r="X29" s="51" t="str">
        <f t="shared" si="4"/>
        <v>Bln</v>
      </c>
      <c r="Y29" s="52">
        <v>25406849</v>
      </c>
      <c r="Z29" s="53">
        <f t="shared" si="5"/>
        <v>12</v>
      </c>
      <c r="AA29" s="51" t="str">
        <f t="shared" si="6"/>
        <v>Bln</v>
      </c>
      <c r="AB29" s="54">
        <f t="shared" si="7"/>
        <v>100</v>
      </c>
      <c r="AC29" s="55" t="s">
        <v>115</v>
      </c>
      <c r="AD29" s="56">
        <f t="shared" si="8"/>
        <v>86588097</v>
      </c>
      <c r="AE29" s="54">
        <f t="shared" si="9"/>
        <v>93.117242454269999</v>
      </c>
      <c r="AF29" s="55" t="s">
        <v>115</v>
      </c>
      <c r="AG29" s="53">
        <f t="shared" si="10"/>
        <v>12</v>
      </c>
      <c r="AH29" s="51" t="str">
        <f t="shared" si="11"/>
        <v>Bln</v>
      </c>
      <c r="AI29" s="56">
        <f t="shared" si="12"/>
        <v>86588097</v>
      </c>
      <c r="AJ29" s="54"/>
      <c r="AK29" s="55" t="s">
        <v>115</v>
      </c>
      <c r="AL29" s="54"/>
      <c r="AM29" s="26"/>
      <c r="AP29" s="4"/>
    </row>
    <row r="30" spans="1:42" ht="45" x14ac:dyDescent="0.2">
      <c r="A30" s="44"/>
      <c r="B30" s="32"/>
      <c r="C30" s="59" t="s">
        <v>79</v>
      </c>
      <c r="D30" s="70" t="s">
        <v>130</v>
      </c>
      <c r="E30" s="61">
        <f t="shared" si="14"/>
        <v>36</v>
      </c>
      <c r="F30" s="62" t="s">
        <v>112</v>
      </c>
      <c r="G30" s="97">
        <v>217075000</v>
      </c>
      <c r="H30" s="63"/>
      <c r="I30" s="51"/>
      <c r="J30" s="112"/>
      <c r="K30" s="61">
        <v>12</v>
      </c>
      <c r="L30" s="62" t="s">
        <v>112</v>
      </c>
      <c r="M30" s="101">
        <v>39025000</v>
      </c>
      <c r="N30" s="63">
        <v>3</v>
      </c>
      <c r="O30" s="51" t="str">
        <f t="shared" si="1"/>
        <v>Bln</v>
      </c>
      <c r="P30" s="52">
        <v>3000000</v>
      </c>
      <c r="Q30" s="63">
        <v>3</v>
      </c>
      <c r="R30" s="51" t="str">
        <f t="shared" si="2"/>
        <v>Bln</v>
      </c>
      <c r="S30" s="52">
        <f>6010000-P30</f>
        <v>3010000</v>
      </c>
      <c r="T30" s="63">
        <v>3</v>
      </c>
      <c r="U30" s="51" t="str">
        <f t="shared" si="3"/>
        <v>Bln</v>
      </c>
      <c r="V30" s="52">
        <v>2700000</v>
      </c>
      <c r="W30" s="63">
        <v>3</v>
      </c>
      <c r="X30" s="51" t="str">
        <f t="shared" si="4"/>
        <v>Bln</v>
      </c>
      <c r="Y30" s="52">
        <v>11300000</v>
      </c>
      <c r="Z30" s="53">
        <f t="shared" si="5"/>
        <v>12</v>
      </c>
      <c r="AA30" s="51" t="str">
        <f t="shared" si="6"/>
        <v>Bln</v>
      </c>
      <c r="AB30" s="54">
        <f t="shared" si="7"/>
        <v>100</v>
      </c>
      <c r="AC30" s="55" t="s">
        <v>115</v>
      </c>
      <c r="AD30" s="56">
        <f t="shared" si="8"/>
        <v>20010000</v>
      </c>
      <c r="AE30" s="54">
        <f t="shared" si="9"/>
        <v>51.274823830877651</v>
      </c>
      <c r="AF30" s="55" t="s">
        <v>115</v>
      </c>
      <c r="AG30" s="53">
        <f t="shared" si="10"/>
        <v>12</v>
      </c>
      <c r="AH30" s="51" t="str">
        <f t="shared" si="11"/>
        <v>Bln</v>
      </c>
      <c r="AI30" s="56">
        <f t="shared" si="12"/>
        <v>20010000</v>
      </c>
      <c r="AJ30" s="54"/>
      <c r="AK30" s="55" t="s">
        <v>115</v>
      </c>
      <c r="AL30" s="54"/>
      <c r="AM30" s="26"/>
      <c r="AP30" s="4"/>
    </row>
    <row r="31" spans="1:42" ht="60" x14ac:dyDescent="0.2">
      <c r="A31" s="44"/>
      <c r="B31" s="32"/>
      <c r="C31" s="59" t="s">
        <v>80</v>
      </c>
      <c r="D31" s="70" t="s">
        <v>131</v>
      </c>
      <c r="E31" s="61">
        <f t="shared" si="14"/>
        <v>36</v>
      </c>
      <c r="F31" s="62" t="s">
        <v>112</v>
      </c>
      <c r="G31" s="97">
        <v>117693350</v>
      </c>
      <c r="H31" s="63"/>
      <c r="I31" s="51"/>
      <c r="J31" s="112"/>
      <c r="K31" s="61">
        <v>12</v>
      </c>
      <c r="L31" s="62" t="s">
        <v>112</v>
      </c>
      <c r="M31" s="101">
        <v>40564450</v>
      </c>
      <c r="N31" s="63">
        <v>3</v>
      </c>
      <c r="O31" s="51" t="str">
        <f t="shared" si="1"/>
        <v>Bln</v>
      </c>
      <c r="P31" s="52">
        <v>2177564</v>
      </c>
      <c r="Q31" s="63">
        <v>3</v>
      </c>
      <c r="R31" s="51" t="str">
        <f t="shared" si="2"/>
        <v>Bln</v>
      </c>
      <c r="S31" s="52">
        <f>12240064-P31</f>
        <v>10062500</v>
      </c>
      <c r="T31" s="63">
        <v>3</v>
      </c>
      <c r="U31" s="51" t="str">
        <f t="shared" si="3"/>
        <v>Bln</v>
      </c>
      <c r="V31" s="52">
        <v>4604100</v>
      </c>
      <c r="W31" s="63">
        <v>3</v>
      </c>
      <c r="X31" s="51" t="str">
        <f t="shared" si="4"/>
        <v>Bln</v>
      </c>
      <c r="Y31" s="52">
        <v>7725400</v>
      </c>
      <c r="Z31" s="53">
        <f t="shared" si="5"/>
        <v>12</v>
      </c>
      <c r="AA31" s="51" t="str">
        <f t="shared" si="6"/>
        <v>Bln</v>
      </c>
      <c r="AB31" s="54">
        <f t="shared" si="7"/>
        <v>100</v>
      </c>
      <c r="AC31" s="55" t="s">
        <v>115</v>
      </c>
      <c r="AD31" s="56">
        <f t="shared" si="8"/>
        <v>24569564</v>
      </c>
      <c r="AE31" s="54">
        <f t="shared" si="9"/>
        <v>60.569202836473814</v>
      </c>
      <c r="AF31" s="55" t="s">
        <v>115</v>
      </c>
      <c r="AG31" s="53">
        <f t="shared" si="10"/>
        <v>12</v>
      </c>
      <c r="AH31" s="51" t="str">
        <f t="shared" si="11"/>
        <v>Bln</v>
      </c>
      <c r="AI31" s="56">
        <f t="shared" si="12"/>
        <v>24569564</v>
      </c>
      <c r="AJ31" s="54"/>
      <c r="AK31" s="55" t="s">
        <v>115</v>
      </c>
      <c r="AL31" s="54"/>
      <c r="AM31" s="26"/>
      <c r="AP31" s="4"/>
    </row>
    <row r="32" spans="1:42" ht="87" customHeight="1" x14ac:dyDescent="0.2">
      <c r="A32" s="44"/>
      <c r="B32" s="32"/>
      <c r="C32" s="59" t="s">
        <v>81</v>
      </c>
      <c r="D32" s="70" t="s">
        <v>132</v>
      </c>
      <c r="E32" s="61">
        <f t="shared" si="14"/>
        <v>36</v>
      </c>
      <c r="F32" s="62" t="s">
        <v>112</v>
      </c>
      <c r="G32" s="97">
        <v>10800000</v>
      </c>
      <c r="H32" s="63"/>
      <c r="I32" s="51"/>
      <c r="J32" s="112"/>
      <c r="K32" s="61">
        <v>12</v>
      </c>
      <c r="L32" s="62" t="s">
        <v>112</v>
      </c>
      <c r="M32" s="101">
        <v>3600000</v>
      </c>
      <c r="N32" s="63">
        <v>3</v>
      </c>
      <c r="O32" s="51" t="str">
        <f t="shared" si="1"/>
        <v>Bln</v>
      </c>
      <c r="P32" s="52">
        <v>240000</v>
      </c>
      <c r="Q32" s="50">
        <v>3</v>
      </c>
      <c r="R32" s="51" t="str">
        <f t="shared" si="2"/>
        <v>Bln</v>
      </c>
      <c r="S32" s="52">
        <f>600000-P32</f>
        <v>360000</v>
      </c>
      <c r="T32" s="50">
        <v>3</v>
      </c>
      <c r="U32" s="51" t="str">
        <f t="shared" si="3"/>
        <v>Bln</v>
      </c>
      <c r="V32" s="52">
        <v>240000</v>
      </c>
      <c r="W32" s="50">
        <v>3</v>
      </c>
      <c r="X32" s="51" t="str">
        <f t="shared" si="4"/>
        <v>Bln</v>
      </c>
      <c r="Y32" s="52">
        <v>480000</v>
      </c>
      <c r="Z32" s="53">
        <f t="shared" si="5"/>
        <v>12</v>
      </c>
      <c r="AA32" s="51" t="str">
        <f t="shared" si="6"/>
        <v>Bln</v>
      </c>
      <c r="AB32" s="54">
        <f t="shared" si="7"/>
        <v>100</v>
      </c>
      <c r="AC32" s="55" t="s">
        <v>115</v>
      </c>
      <c r="AD32" s="56">
        <f t="shared" si="8"/>
        <v>1320000</v>
      </c>
      <c r="AE32" s="54">
        <f t="shared" si="9"/>
        <v>36.666666666666664</v>
      </c>
      <c r="AF32" s="55" t="s">
        <v>115</v>
      </c>
      <c r="AG32" s="53">
        <f t="shared" si="10"/>
        <v>12</v>
      </c>
      <c r="AH32" s="51" t="str">
        <f t="shared" si="11"/>
        <v>Bln</v>
      </c>
      <c r="AI32" s="56">
        <f t="shared" si="12"/>
        <v>1320000</v>
      </c>
      <c r="AJ32" s="54"/>
      <c r="AK32" s="55" t="s">
        <v>115</v>
      </c>
      <c r="AL32" s="54"/>
      <c r="AM32" s="26"/>
      <c r="AP32" s="4"/>
    </row>
    <row r="33" spans="1:42" ht="60" x14ac:dyDescent="0.2">
      <c r="A33" s="44"/>
      <c r="B33" s="32"/>
      <c r="C33" s="59" t="s">
        <v>82</v>
      </c>
      <c r="D33" s="70" t="s">
        <v>133</v>
      </c>
      <c r="E33" s="61">
        <f t="shared" si="14"/>
        <v>36</v>
      </c>
      <c r="F33" s="62" t="s">
        <v>112</v>
      </c>
      <c r="G33" s="97">
        <v>1727498391</v>
      </c>
      <c r="H33" s="63"/>
      <c r="I33" s="51"/>
      <c r="J33" s="112"/>
      <c r="K33" s="61">
        <v>12</v>
      </c>
      <c r="L33" s="62" t="s">
        <v>112</v>
      </c>
      <c r="M33" s="101">
        <v>487498391</v>
      </c>
      <c r="N33" s="63">
        <v>3</v>
      </c>
      <c r="O33" s="51" t="str">
        <f t="shared" si="1"/>
        <v>Bln</v>
      </c>
      <c r="P33" s="52">
        <v>59430500</v>
      </c>
      <c r="Q33" s="50">
        <v>3</v>
      </c>
      <c r="R33" s="51" t="str">
        <f t="shared" si="2"/>
        <v>Bln</v>
      </c>
      <c r="S33" s="52">
        <f>131346000-P33</f>
        <v>71915500</v>
      </c>
      <c r="T33" s="50">
        <v>3</v>
      </c>
      <c r="U33" s="51" t="str">
        <f t="shared" si="3"/>
        <v>Bln</v>
      </c>
      <c r="V33" s="52">
        <v>129417825</v>
      </c>
      <c r="W33" s="50">
        <v>3</v>
      </c>
      <c r="X33" s="51" t="str">
        <f t="shared" si="4"/>
        <v>Bln</v>
      </c>
      <c r="Y33" s="52">
        <v>226659957</v>
      </c>
      <c r="Z33" s="53">
        <f t="shared" si="5"/>
        <v>12</v>
      </c>
      <c r="AA33" s="51" t="str">
        <f t="shared" si="6"/>
        <v>Bln</v>
      </c>
      <c r="AB33" s="54">
        <f t="shared" si="7"/>
        <v>100</v>
      </c>
      <c r="AC33" s="55" t="s">
        <v>115</v>
      </c>
      <c r="AD33" s="56">
        <f t="shared" si="8"/>
        <v>487423782</v>
      </c>
      <c r="AE33" s="54">
        <f t="shared" si="9"/>
        <v>99.984695539231012</v>
      </c>
      <c r="AF33" s="55" t="s">
        <v>115</v>
      </c>
      <c r="AG33" s="53">
        <f t="shared" si="10"/>
        <v>12</v>
      </c>
      <c r="AH33" s="51" t="str">
        <f t="shared" si="11"/>
        <v>Bln</v>
      </c>
      <c r="AI33" s="56">
        <f t="shared" si="12"/>
        <v>487423782</v>
      </c>
      <c r="AJ33" s="54"/>
      <c r="AK33" s="55" t="s">
        <v>115</v>
      </c>
      <c r="AL33" s="54"/>
      <c r="AM33" s="26"/>
      <c r="AP33" s="4"/>
    </row>
    <row r="34" spans="1:42" ht="108.75" customHeight="1" x14ac:dyDescent="0.2">
      <c r="A34" s="44"/>
      <c r="B34" s="32"/>
      <c r="C34" s="57" t="s">
        <v>83</v>
      </c>
      <c r="D34" s="69" t="s">
        <v>134</v>
      </c>
      <c r="E34" s="58">
        <v>100</v>
      </c>
      <c r="F34" s="46" t="s">
        <v>115</v>
      </c>
      <c r="G34" s="99">
        <f>SUM(G35)</f>
        <v>5000000</v>
      </c>
      <c r="H34" s="39"/>
      <c r="I34" s="36"/>
      <c r="J34" s="38"/>
      <c r="K34" s="58">
        <v>100</v>
      </c>
      <c r="L34" s="46" t="s">
        <v>115</v>
      </c>
      <c r="M34" s="99">
        <f>SUM(M35)</f>
        <v>5000000</v>
      </c>
      <c r="N34" s="35">
        <v>0</v>
      </c>
      <c r="O34" s="46" t="str">
        <f t="shared" si="1"/>
        <v>%</v>
      </c>
      <c r="P34" s="99">
        <f>SUM(P35)</f>
        <v>0</v>
      </c>
      <c r="Q34" s="35">
        <v>0</v>
      </c>
      <c r="R34" s="36" t="str">
        <f t="shared" si="2"/>
        <v>%</v>
      </c>
      <c r="S34" s="99">
        <f>SUM(S35)</f>
        <v>0</v>
      </c>
      <c r="T34" s="35">
        <v>0</v>
      </c>
      <c r="U34" s="36" t="str">
        <f t="shared" si="3"/>
        <v>%</v>
      </c>
      <c r="V34" s="99">
        <f>SUM(V35)</f>
        <v>0</v>
      </c>
      <c r="W34" s="35">
        <v>100</v>
      </c>
      <c r="X34" s="36" t="str">
        <f t="shared" si="4"/>
        <v>%</v>
      </c>
      <c r="Y34" s="99">
        <f>SUM(Y35)</f>
        <v>5000000</v>
      </c>
      <c r="Z34" s="47">
        <f t="shared" si="5"/>
        <v>100</v>
      </c>
      <c r="AA34" s="36" t="str">
        <f t="shared" si="6"/>
        <v>%</v>
      </c>
      <c r="AB34" s="40">
        <f t="shared" si="7"/>
        <v>100</v>
      </c>
      <c r="AC34" s="41" t="s">
        <v>115</v>
      </c>
      <c r="AD34" s="42">
        <f t="shared" si="8"/>
        <v>5000000</v>
      </c>
      <c r="AE34" s="40">
        <f t="shared" si="9"/>
        <v>100</v>
      </c>
      <c r="AF34" s="41" t="s">
        <v>115</v>
      </c>
      <c r="AG34" s="47">
        <f t="shared" si="10"/>
        <v>100</v>
      </c>
      <c r="AH34" s="36" t="str">
        <f t="shared" si="11"/>
        <v>%</v>
      </c>
      <c r="AI34" s="42">
        <f t="shared" si="12"/>
        <v>5000000</v>
      </c>
      <c r="AJ34" s="40"/>
      <c r="AK34" s="41" t="s">
        <v>115</v>
      </c>
      <c r="AL34" s="40"/>
      <c r="AM34" s="26"/>
      <c r="AP34" s="4"/>
    </row>
    <row r="35" spans="1:42" ht="68.25" customHeight="1" x14ac:dyDescent="0.2">
      <c r="A35" s="44"/>
      <c r="B35" s="32"/>
      <c r="C35" s="59" t="s">
        <v>84</v>
      </c>
      <c r="D35" s="67" t="s">
        <v>135</v>
      </c>
      <c r="E35" s="63">
        <f t="shared" ref="E35" si="15">K35*3</f>
        <v>3</v>
      </c>
      <c r="F35" s="51" t="s">
        <v>136</v>
      </c>
      <c r="G35" s="97">
        <v>5000000</v>
      </c>
      <c r="H35" s="63"/>
      <c r="I35" s="51"/>
      <c r="J35" s="52"/>
      <c r="K35" s="63">
        <v>1</v>
      </c>
      <c r="L35" s="51" t="s">
        <v>136</v>
      </c>
      <c r="M35" s="101">
        <v>5000000</v>
      </c>
      <c r="N35" s="63">
        <v>0</v>
      </c>
      <c r="O35" s="51" t="str">
        <f t="shared" si="1"/>
        <v>Buah</v>
      </c>
      <c r="P35" s="52">
        <v>0</v>
      </c>
      <c r="Q35" s="63">
        <v>0</v>
      </c>
      <c r="R35" s="68" t="str">
        <f t="shared" si="2"/>
        <v>Buah</v>
      </c>
      <c r="S35" s="52">
        <v>0</v>
      </c>
      <c r="T35" s="63">
        <v>0</v>
      </c>
      <c r="U35" s="68" t="str">
        <f t="shared" si="3"/>
        <v>Buah</v>
      </c>
      <c r="V35" s="52">
        <v>0</v>
      </c>
      <c r="W35" s="63">
        <v>1</v>
      </c>
      <c r="X35" s="68" t="str">
        <f t="shared" si="4"/>
        <v>Buah</v>
      </c>
      <c r="Y35" s="101">
        <v>5000000</v>
      </c>
      <c r="Z35" s="53">
        <f t="shared" si="5"/>
        <v>1</v>
      </c>
      <c r="AA35" s="51" t="str">
        <f t="shared" si="6"/>
        <v>Buah</v>
      </c>
      <c r="AB35" s="54">
        <f t="shared" si="7"/>
        <v>100</v>
      </c>
      <c r="AC35" s="55" t="s">
        <v>115</v>
      </c>
      <c r="AD35" s="56">
        <f t="shared" si="8"/>
        <v>5000000</v>
      </c>
      <c r="AE35" s="54">
        <f t="shared" si="9"/>
        <v>100</v>
      </c>
      <c r="AF35" s="55" t="s">
        <v>115</v>
      </c>
      <c r="AG35" s="53">
        <f t="shared" si="10"/>
        <v>1</v>
      </c>
      <c r="AH35" s="51" t="str">
        <f t="shared" si="11"/>
        <v>Buah</v>
      </c>
      <c r="AI35" s="56">
        <f t="shared" si="12"/>
        <v>5000000</v>
      </c>
      <c r="AJ35" s="54"/>
      <c r="AK35" s="55" t="s">
        <v>115</v>
      </c>
      <c r="AL35" s="54"/>
      <c r="AM35" s="26"/>
      <c r="AP35" s="4"/>
    </row>
    <row r="36" spans="1:42" ht="117.75" customHeight="1" x14ac:dyDescent="0.2">
      <c r="A36" s="44"/>
      <c r="B36" s="32"/>
      <c r="C36" s="57" t="s">
        <v>85</v>
      </c>
      <c r="D36" s="105" t="s">
        <v>137</v>
      </c>
      <c r="E36" s="58">
        <v>100</v>
      </c>
      <c r="F36" s="46" t="s">
        <v>115</v>
      </c>
      <c r="G36" s="99">
        <f>SUM(G37:G39)</f>
        <v>178750427</v>
      </c>
      <c r="H36" s="35"/>
      <c r="I36" s="36"/>
      <c r="J36" s="38"/>
      <c r="K36" s="58">
        <v>100</v>
      </c>
      <c r="L36" s="46" t="s">
        <v>115</v>
      </c>
      <c r="M36" s="99">
        <f>SUM(M37:M39)</f>
        <v>56662427</v>
      </c>
      <c r="N36" s="58">
        <v>25</v>
      </c>
      <c r="O36" s="46" t="str">
        <f t="shared" si="1"/>
        <v>%</v>
      </c>
      <c r="P36" s="99">
        <f>SUM(P37:P39)</f>
        <v>4853391</v>
      </c>
      <c r="Q36" s="37">
        <v>25</v>
      </c>
      <c r="R36" s="36" t="str">
        <f t="shared" si="2"/>
        <v>%</v>
      </c>
      <c r="S36" s="99">
        <f>SUM(S37:S39)</f>
        <v>15688218</v>
      </c>
      <c r="T36" s="37">
        <v>25</v>
      </c>
      <c r="U36" s="36" t="str">
        <f t="shared" si="3"/>
        <v>%</v>
      </c>
      <c r="V36" s="99">
        <f>SUM(V37:V39)</f>
        <v>9019176</v>
      </c>
      <c r="W36" s="37">
        <v>25</v>
      </c>
      <c r="X36" s="36" t="str">
        <f t="shared" si="4"/>
        <v>%</v>
      </c>
      <c r="Y36" s="99">
        <f>SUM(Y37:Y39)</f>
        <v>11974965</v>
      </c>
      <c r="Z36" s="47">
        <f t="shared" si="5"/>
        <v>100</v>
      </c>
      <c r="AA36" s="36" t="str">
        <f t="shared" si="6"/>
        <v>%</v>
      </c>
      <c r="AB36" s="40">
        <f t="shared" si="7"/>
        <v>100</v>
      </c>
      <c r="AC36" s="41" t="s">
        <v>115</v>
      </c>
      <c r="AD36" s="42">
        <f t="shared" si="8"/>
        <v>41535750</v>
      </c>
      <c r="AE36" s="40">
        <f t="shared" si="9"/>
        <v>73.303866775773656</v>
      </c>
      <c r="AF36" s="41" t="s">
        <v>115</v>
      </c>
      <c r="AG36" s="47">
        <f t="shared" si="10"/>
        <v>100</v>
      </c>
      <c r="AH36" s="36" t="str">
        <f t="shared" si="11"/>
        <v>%</v>
      </c>
      <c r="AI36" s="42">
        <f t="shared" si="12"/>
        <v>41535750</v>
      </c>
      <c r="AJ36" s="40"/>
      <c r="AK36" s="41" t="s">
        <v>115</v>
      </c>
      <c r="AL36" s="40"/>
      <c r="AM36" s="26"/>
      <c r="AP36" s="4"/>
    </row>
    <row r="37" spans="1:42" ht="45" x14ac:dyDescent="0.2">
      <c r="A37" s="44"/>
      <c r="B37" s="32"/>
      <c r="C37" s="59" t="s">
        <v>86</v>
      </c>
      <c r="D37" s="70" t="s">
        <v>138</v>
      </c>
      <c r="E37" s="63">
        <f t="shared" ref="E37:E39" si="16">K37*3</f>
        <v>36</v>
      </c>
      <c r="F37" s="51" t="s">
        <v>112</v>
      </c>
      <c r="G37" s="97">
        <v>3018427</v>
      </c>
      <c r="H37" s="63"/>
      <c r="I37" s="51"/>
      <c r="J37" s="112"/>
      <c r="K37" s="63">
        <v>12</v>
      </c>
      <c r="L37" s="51" t="s">
        <v>112</v>
      </c>
      <c r="M37" s="101">
        <v>1018427</v>
      </c>
      <c r="N37" s="63">
        <v>3</v>
      </c>
      <c r="O37" s="51" t="str">
        <f t="shared" si="1"/>
        <v>Bln</v>
      </c>
      <c r="P37" s="52">
        <v>0</v>
      </c>
      <c r="Q37" s="63">
        <v>3</v>
      </c>
      <c r="R37" s="51" t="str">
        <f t="shared" si="2"/>
        <v>Bln</v>
      </c>
      <c r="S37" s="52">
        <v>0</v>
      </c>
      <c r="T37" s="63">
        <v>3</v>
      </c>
      <c r="U37" s="51" t="str">
        <f t="shared" si="3"/>
        <v>Bln</v>
      </c>
      <c r="V37" s="52">
        <v>0</v>
      </c>
      <c r="W37" s="63">
        <v>3</v>
      </c>
      <c r="X37" s="51" t="str">
        <f t="shared" si="4"/>
        <v>Bln</v>
      </c>
      <c r="Y37" s="52">
        <v>0</v>
      </c>
      <c r="Z37" s="53">
        <f t="shared" si="5"/>
        <v>12</v>
      </c>
      <c r="AA37" s="51" t="str">
        <f t="shared" si="6"/>
        <v>Bln</v>
      </c>
      <c r="AB37" s="54">
        <f t="shared" si="7"/>
        <v>100</v>
      </c>
      <c r="AC37" s="55" t="s">
        <v>115</v>
      </c>
      <c r="AD37" s="56">
        <f t="shared" si="8"/>
        <v>0</v>
      </c>
      <c r="AE37" s="54">
        <f t="shared" si="9"/>
        <v>0</v>
      </c>
      <c r="AF37" s="55" t="s">
        <v>115</v>
      </c>
      <c r="AG37" s="53">
        <f t="shared" si="10"/>
        <v>12</v>
      </c>
      <c r="AH37" s="51" t="str">
        <f t="shared" si="11"/>
        <v>Bln</v>
      </c>
      <c r="AI37" s="56">
        <f t="shared" si="12"/>
        <v>0</v>
      </c>
      <c r="AJ37" s="54"/>
      <c r="AK37" s="55" t="s">
        <v>115</v>
      </c>
      <c r="AL37" s="54"/>
      <c r="AM37" s="26"/>
      <c r="AP37" s="4"/>
    </row>
    <row r="38" spans="1:42" ht="76.5" customHeight="1" x14ac:dyDescent="0.2">
      <c r="A38" s="44"/>
      <c r="B38" s="32"/>
      <c r="C38" s="59" t="s">
        <v>87</v>
      </c>
      <c r="D38" s="70" t="s">
        <v>139</v>
      </c>
      <c r="E38" s="63">
        <f t="shared" si="16"/>
        <v>36</v>
      </c>
      <c r="F38" s="51" t="s">
        <v>112</v>
      </c>
      <c r="G38" s="97">
        <v>108000000</v>
      </c>
      <c r="H38" s="63"/>
      <c r="I38" s="51"/>
      <c r="J38" s="112"/>
      <c r="K38" s="63">
        <v>12</v>
      </c>
      <c r="L38" s="51" t="s">
        <v>112</v>
      </c>
      <c r="M38" s="101">
        <v>36000000</v>
      </c>
      <c r="N38" s="63">
        <v>3</v>
      </c>
      <c r="O38" s="51" t="str">
        <f t="shared" si="1"/>
        <v>Bln</v>
      </c>
      <c r="P38" s="52">
        <v>0</v>
      </c>
      <c r="Q38" s="63">
        <v>3</v>
      </c>
      <c r="R38" s="51" t="str">
        <f t="shared" si="2"/>
        <v>Bln</v>
      </c>
      <c r="S38" s="52">
        <v>9203530</v>
      </c>
      <c r="T38" s="63">
        <v>3</v>
      </c>
      <c r="U38" s="51" t="str">
        <f t="shared" si="3"/>
        <v>Bln</v>
      </c>
      <c r="V38" s="52">
        <v>5772782</v>
      </c>
      <c r="W38" s="63">
        <v>3</v>
      </c>
      <c r="X38" s="51" t="str">
        <f t="shared" si="4"/>
        <v>Bln</v>
      </c>
      <c r="Y38" s="52">
        <v>7097274</v>
      </c>
      <c r="Z38" s="53">
        <f t="shared" si="5"/>
        <v>12</v>
      </c>
      <c r="AA38" s="51" t="str">
        <f t="shared" si="6"/>
        <v>Bln</v>
      </c>
      <c r="AB38" s="54">
        <f t="shared" si="7"/>
        <v>100</v>
      </c>
      <c r="AC38" s="55" t="s">
        <v>115</v>
      </c>
      <c r="AD38" s="56">
        <f t="shared" si="8"/>
        <v>22073586</v>
      </c>
      <c r="AE38" s="54">
        <f t="shared" si="9"/>
        <v>61.315516666666667</v>
      </c>
      <c r="AF38" s="55" t="s">
        <v>115</v>
      </c>
      <c r="AG38" s="53">
        <f t="shared" si="10"/>
        <v>12</v>
      </c>
      <c r="AH38" s="51" t="str">
        <f t="shared" si="11"/>
        <v>Bln</v>
      </c>
      <c r="AI38" s="56">
        <f t="shared" si="12"/>
        <v>22073586</v>
      </c>
      <c r="AJ38" s="54"/>
      <c r="AK38" s="55" t="s">
        <v>115</v>
      </c>
      <c r="AL38" s="54"/>
      <c r="AM38" s="26"/>
      <c r="AP38" s="4"/>
    </row>
    <row r="39" spans="1:42" ht="68.25" customHeight="1" x14ac:dyDescent="0.2">
      <c r="A39" s="44"/>
      <c r="B39" s="32"/>
      <c r="C39" s="59" t="s">
        <v>88</v>
      </c>
      <c r="D39" s="70" t="s">
        <v>140</v>
      </c>
      <c r="E39" s="63">
        <f t="shared" si="16"/>
        <v>36</v>
      </c>
      <c r="F39" s="51" t="s">
        <v>112</v>
      </c>
      <c r="G39" s="97">
        <v>67732000</v>
      </c>
      <c r="H39" s="63"/>
      <c r="I39" s="51"/>
      <c r="J39" s="112"/>
      <c r="K39" s="63">
        <v>12</v>
      </c>
      <c r="L39" s="51" t="s">
        <v>112</v>
      </c>
      <c r="M39" s="101">
        <v>19644000</v>
      </c>
      <c r="N39" s="63">
        <v>3</v>
      </c>
      <c r="O39" s="51" t="str">
        <f t="shared" si="1"/>
        <v>Bln</v>
      </c>
      <c r="P39" s="52">
        <v>4853391</v>
      </c>
      <c r="Q39" s="63">
        <v>3</v>
      </c>
      <c r="R39" s="51" t="str">
        <f t="shared" si="2"/>
        <v>Bln</v>
      </c>
      <c r="S39" s="52">
        <f>11338079-P39</f>
        <v>6484688</v>
      </c>
      <c r="T39" s="63">
        <v>3</v>
      </c>
      <c r="U39" s="51" t="str">
        <f t="shared" si="3"/>
        <v>Bln</v>
      </c>
      <c r="V39" s="52">
        <v>3246394</v>
      </c>
      <c r="W39" s="63">
        <v>3</v>
      </c>
      <c r="X39" s="51" t="str">
        <f t="shared" si="4"/>
        <v>Bln</v>
      </c>
      <c r="Y39" s="52">
        <v>4877691</v>
      </c>
      <c r="Z39" s="53">
        <f t="shared" si="5"/>
        <v>12</v>
      </c>
      <c r="AA39" s="51" t="str">
        <f t="shared" si="6"/>
        <v>Bln</v>
      </c>
      <c r="AB39" s="54">
        <f t="shared" si="7"/>
        <v>100</v>
      </c>
      <c r="AC39" s="55" t="s">
        <v>115</v>
      </c>
      <c r="AD39" s="56">
        <f t="shared" si="8"/>
        <v>19462164</v>
      </c>
      <c r="AE39" s="54">
        <f t="shared" si="9"/>
        <v>99.074343310934637</v>
      </c>
      <c r="AF39" s="55" t="s">
        <v>115</v>
      </c>
      <c r="AG39" s="53">
        <f t="shared" si="10"/>
        <v>12</v>
      </c>
      <c r="AH39" s="51" t="str">
        <f t="shared" si="11"/>
        <v>Bln</v>
      </c>
      <c r="AI39" s="56">
        <f t="shared" si="12"/>
        <v>19462164</v>
      </c>
      <c r="AJ39" s="54"/>
      <c r="AK39" s="55" t="s">
        <v>115</v>
      </c>
      <c r="AL39" s="54"/>
      <c r="AM39" s="26"/>
      <c r="AP39" s="4"/>
    </row>
    <row r="40" spans="1:42" ht="126" x14ac:dyDescent="0.2">
      <c r="A40" s="44"/>
      <c r="B40" s="32"/>
      <c r="C40" s="57" t="s">
        <v>89</v>
      </c>
      <c r="D40" s="34" t="s">
        <v>141</v>
      </c>
      <c r="E40" s="58">
        <v>100</v>
      </c>
      <c r="F40" s="46" t="s">
        <v>115</v>
      </c>
      <c r="G40" s="99">
        <f>SUM(G41:G43)</f>
        <v>564750000</v>
      </c>
      <c r="H40" s="39"/>
      <c r="I40" s="36"/>
      <c r="J40" s="38"/>
      <c r="K40" s="58">
        <v>100</v>
      </c>
      <c r="L40" s="46" t="s">
        <v>115</v>
      </c>
      <c r="M40" s="99">
        <f>SUM(M41:M43)</f>
        <v>198850000</v>
      </c>
      <c r="N40" s="58">
        <v>25</v>
      </c>
      <c r="O40" s="46" t="str">
        <f t="shared" si="1"/>
        <v>%</v>
      </c>
      <c r="P40" s="99">
        <f>SUM(P41:P43)</f>
        <v>18523000</v>
      </c>
      <c r="Q40" s="37">
        <v>25</v>
      </c>
      <c r="R40" s="36" t="str">
        <f t="shared" si="2"/>
        <v>%</v>
      </c>
      <c r="S40" s="99">
        <f>SUM(S41:S43)</f>
        <v>14990000</v>
      </c>
      <c r="T40" s="37">
        <v>25</v>
      </c>
      <c r="U40" s="36" t="str">
        <f t="shared" si="3"/>
        <v>%</v>
      </c>
      <c r="V40" s="99">
        <f>SUM(V41:V43)</f>
        <v>30784950</v>
      </c>
      <c r="W40" s="37">
        <v>25</v>
      </c>
      <c r="X40" s="36" t="str">
        <f t="shared" si="4"/>
        <v>%</v>
      </c>
      <c r="Y40" s="99">
        <f>SUM(Y41:Y43)</f>
        <v>85492236</v>
      </c>
      <c r="Z40" s="47">
        <f t="shared" si="5"/>
        <v>100</v>
      </c>
      <c r="AA40" s="36" t="str">
        <f t="shared" si="6"/>
        <v>%</v>
      </c>
      <c r="AB40" s="40">
        <f t="shared" si="7"/>
        <v>100</v>
      </c>
      <c r="AC40" s="41" t="s">
        <v>115</v>
      </c>
      <c r="AD40" s="42">
        <f t="shared" si="8"/>
        <v>149790186</v>
      </c>
      <c r="AE40" s="40">
        <f t="shared" si="9"/>
        <v>75.328230324365094</v>
      </c>
      <c r="AF40" s="41" t="s">
        <v>115</v>
      </c>
      <c r="AG40" s="47">
        <f t="shared" si="10"/>
        <v>100</v>
      </c>
      <c r="AH40" s="36" t="str">
        <f t="shared" si="11"/>
        <v>%</v>
      </c>
      <c r="AI40" s="42">
        <f t="shared" si="12"/>
        <v>149790186</v>
      </c>
      <c r="AJ40" s="40"/>
      <c r="AK40" s="41" t="s">
        <v>115</v>
      </c>
      <c r="AL40" s="40"/>
      <c r="AM40" s="26"/>
      <c r="AP40" s="4"/>
    </row>
    <row r="41" spans="1:42" ht="105" x14ac:dyDescent="0.2">
      <c r="A41" s="44"/>
      <c r="B41" s="32"/>
      <c r="C41" s="59" t="s">
        <v>90</v>
      </c>
      <c r="D41" s="70" t="s">
        <v>142</v>
      </c>
      <c r="E41" s="63">
        <f t="shared" ref="E41:E43" si="17">K41*3</f>
        <v>36</v>
      </c>
      <c r="F41" s="51" t="s">
        <v>112</v>
      </c>
      <c r="G41" s="97">
        <v>479950000</v>
      </c>
      <c r="H41" s="113"/>
      <c r="I41" s="51"/>
      <c r="J41" s="112"/>
      <c r="K41" s="63">
        <v>12</v>
      </c>
      <c r="L41" s="51" t="s">
        <v>112</v>
      </c>
      <c r="M41" s="101">
        <v>163250000</v>
      </c>
      <c r="N41" s="63">
        <v>3</v>
      </c>
      <c r="O41" s="51" t="str">
        <f t="shared" si="1"/>
        <v>Bln</v>
      </c>
      <c r="P41" s="52">
        <v>18313000</v>
      </c>
      <c r="Q41" s="63">
        <v>3</v>
      </c>
      <c r="R41" s="51" t="str">
        <f t="shared" si="2"/>
        <v>Bln</v>
      </c>
      <c r="S41" s="52">
        <f>33053000-P41</f>
        <v>14740000</v>
      </c>
      <c r="T41" s="63">
        <v>3</v>
      </c>
      <c r="U41" s="51" t="str">
        <f t="shared" si="3"/>
        <v>Bln</v>
      </c>
      <c r="V41" s="52">
        <v>29449950</v>
      </c>
      <c r="W41" s="63">
        <v>3</v>
      </c>
      <c r="X41" s="51" t="str">
        <f t="shared" si="4"/>
        <v>Bln</v>
      </c>
      <c r="Y41" s="52">
        <v>52515236</v>
      </c>
      <c r="Z41" s="53">
        <f t="shared" si="5"/>
        <v>12</v>
      </c>
      <c r="AA41" s="51" t="str">
        <f t="shared" si="6"/>
        <v>Bln</v>
      </c>
      <c r="AB41" s="54">
        <f t="shared" si="7"/>
        <v>100</v>
      </c>
      <c r="AC41" s="55" t="s">
        <v>115</v>
      </c>
      <c r="AD41" s="56">
        <f t="shared" si="8"/>
        <v>115018186</v>
      </c>
      <c r="AE41" s="54">
        <f t="shared" si="9"/>
        <v>70.455244104134763</v>
      </c>
      <c r="AF41" s="55" t="s">
        <v>115</v>
      </c>
      <c r="AG41" s="53">
        <f t="shared" si="10"/>
        <v>12</v>
      </c>
      <c r="AH41" s="51" t="str">
        <f t="shared" si="11"/>
        <v>Bln</v>
      </c>
      <c r="AI41" s="56">
        <f t="shared" si="12"/>
        <v>115018186</v>
      </c>
      <c r="AJ41" s="54"/>
      <c r="AK41" s="55" t="s">
        <v>115</v>
      </c>
      <c r="AL41" s="54"/>
      <c r="AM41" s="26"/>
      <c r="AP41" s="4"/>
    </row>
    <row r="42" spans="1:42" ht="78" customHeight="1" x14ac:dyDescent="0.2">
      <c r="A42" s="44"/>
      <c r="B42" s="32"/>
      <c r="C42" s="59" t="s">
        <v>91</v>
      </c>
      <c r="D42" s="72" t="s">
        <v>143</v>
      </c>
      <c r="E42" s="63">
        <f t="shared" si="17"/>
        <v>36</v>
      </c>
      <c r="F42" s="51" t="s">
        <v>112</v>
      </c>
      <c r="G42" s="97">
        <v>56000000</v>
      </c>
      <c r="H42" s="114"/>
      <c r="I42" s="51"/>
      <c r="J42" s="112"/>
      <c r="K42" s="63">
        <v>12</v>
      </c>
      <c r="L42" s="51" t="s">
        <v>112</v>
      </c>
      <c r="M42" s="101">
        <v>26000000</v>
      </c>
      <c r="N42" s="63">
        <v>3</v>
      </c>
      <c r="O42" s="51" t="str">
        <f t="shared" si="1"/>
        <v>Bln</v>
      </c>
      <c r="P42" s="52">
        <v>0</v>
      </c>
      <c r="Q42" s="63">
        <v>3</v>
      </c>
      <c r="R42" s="51" t="str">
        <f t="shared" si="2"/>
        <v>Bln</v>
      </c>
      <c r="S42" s="52">
        <v>0</v>
      </c>
      <c r="T42" s="63">
        <v>3</v>
      </c>
      <c r="U42" s="51" t="str">
        <f t="shared" si="3"/>
        <v>Bln</v>
      </c>
      <c r="V42" s="52">
        <v>0</v>
      </c>
      <c r="W42" s="63">
        <v>3</v>
      </c>
      <c r="X42" s="51" t="str">
        <f t="shared" si="4"/>
        <v>Bln</v>
      </c>
      <c r="Y42" s="52">
        <v>25902000</v>
      </c>
      <c r="Z42" s="53">
        <f t="shared" si="5"/>
        <v>12</v>
      </c>
      <c r="AA42" s="51" t="str">
        <f t="shared" si="6"/>
        <v>Bln</v>
      </c>
      <c r="AB42" s="54">
        <f t="shared" si="7"/>
        <v>100</v>
      </c>
      <c r="AC42" s="55" t="s">
        <v>115</v>
      </c>
      <c r="AD42" s="56">
        <f t="shared" si="8"/>
        <v>25902000</v>
      </c>
      <c r="AE42" s="54">
        <f t="shared" si="9"/>
        <v>99.623076923076923</v>
      </c>
      <c r="AF42" s="55" t="s">
        <v>115</v>
      </c>
      <c r="AG42" s="53">
        <f t="shared" si="10"/>
        <v>12</v>
      </c>
      <c r="AH42" s="51" t="str">
        <f t="shared" si="11"/>
        <v>Bln</v>
      </c>
      <c r="AI42" s="56">
        <f t="shared" si="12"/>
        <v>25902000</v>
      </c>
      <c r="AJ42" s="54"/>
      <c r="AK42" s="55" t="s">
        <v>115</v>
      </c>
      <c r="AL42" s="54"/>
      <c r="AM42" s="26"/>
      <c r="AP42" s="4"/>
    </row>
    <row r="43" spans="1:42" ht="75" x14ac:dyDescent="0.2">
      <c r="A43" s="44"/>
      <c r="B43" s="32"/>
      <c r="C43" s="59" t="s">
        <v>92</v>
      </c>
      <c r="D43" s="70" t="s">
        <v>144</v>
      </c>
      <c r="E43" s="63">
        <f t="shared" si="17"/>
        <v>36</v>
      </c>
      <c r="F43" s="51" t="s">
        <v>112</v>
      </c>
      <c r="G43" s="97">
        <v>28800000</v>
      </c>
      <c r="H43" s="71"/>
      <c r="I43" s="51"/>
      <c r="J43" s="112"/>
      <c r="K43" s="63">
        <v>12</v>
      </c>
      <c r="L43" s="51" t="s">
        <v>112</v>
      </c>
      <c r="M43" s="101">
        <v>9600000</v>
      </c>
      <c r="N43" s="63">
        <v>3</v>
      </c>
      <c r="O43" s="51" t="str">
        <f t="shared" si="1"/>
        <v>Bln</v>
      </c>
      <c r="P43" s="52">
        <v>210000</v>
      </c>
      <c r="Q43" s="63">
        <v>3</v>
      </c>
      <c r="R43" s="51" t="str">
        <f t="shared" si="2"/>
        <v>Bln</v>
      </c>
      <c r="S43" s="52">
        <f>460000-P43</f>
        <v>250000</v>
      </c>
      <c r="T43" s="63">
        <v>3</v>
      </c>
      <c r="U43" s="51" t="str">
        <f t="shared" si="3"/>
        <v>Bln</v>
      </c>
      <c r="V43" s="52">
        <v>1335000</v>
      </c>
      <c r="W43" s="63">
        <v>3</v>
      </c>
      <c r="X43" s="51" t="str">
        <f t="shared" si="4"/>
        <v>Bln</v>
      </c>
      <c r="Y43" s="52">
        <v>7075000</v>
      </c>
      <c r="Z43" s="53">
        <f t="shared" si="5"/>
        <v>12</v>
      </c>
      <c r="AA43" s="51" t="str">
        <f t="shared" si="6"/>
        <v>Bln</v>
      </c>
      <c r="AB43" s="54">
        <f t="shared" si="7"/>
        <v>100</v>
      </c>
      <c r="AC43" s="55" t="s">
        <v>115</v>
      </c>
      <c r="AD43" s="56">
        <f t="shared" si="8"/>
        <v>8870000</v>
      </c>
      <c r="AE43" s="54">
        <f t="shared" si="9"/>
        <v>92.395833333333329</v>
      </c>
      <c r="AF43" s="55" t="s">
        <v>115</v>
      </c>
      <c r="AG43" s="53">
        <f t="shared" si="10"/>
        <v>12</v>
      </c>
      <c r="AH43" s="51" t="str">
        <f t="shared" si="11"/>
        <v>Bln</v>
      </c>
      <c r="AI43" s="56">
        <f t="shared" si="12"/>
        <v>8870000</v>
      </c>
      <c r="AJ43" s="54"/>
      <c r="AK43" s="55" t="s">
        <v>115</v>
      </c>
      <c r="AL43" s="54"/>
      <c r="AM43" s="26"/>
      <c r="AP43" s="4"/>
    </row>
    <row r="44" spans="1:42" ht="47.25" x14ac:dyDescent="0.2">
      <c r="A44" s="44"/>
      <c r="B44" s="32"/>
      <c r="C44" s="33" t="s">
        <v>109</v>
      </c>
      <c r="D44" s="34" t="s">
        <v>172</v>
      </c>
      <c r="E44" s="35">
        <v>100</v>
      </c>
      <c r="F44" s="73" t="s">
        <v>115</v>
      </c>
      <c r="G44" s="102">
        <f>G45+G51+G54</f>
        <v>3581196266</v>
      </c>
      <c r="H44" s="35">
        <v>100</v>
      </c>
      <c r="I44" s="73" t="s">
        <v>115</v>
      </c>
      <c r="J44" s="102">
        <f>J45+J51+J54</f>
        <v>0</v>
      </c>
      <c r="K44" s="35">
        <v>100</v>
      </c>
      <c r="L44" s="73" t="s">
        <v>115</v>
      </c>
      <c r="M44" s="102">
        <f>M45+M51+M54</f>
        <v>1114591428</v>
      </c>
      <c r="N44" s="35">
        <f>12/12*100</f>
        <v>100</v>
      </c>
      <c r="O44" s="73" t="str">
        <f t="shared" si="1"/>
        <v>%</v>
      </c>
      <c r="P44" s="102">
        <f>P45+P51+P54</f>
        <v>190431550</v>
      </c>
      <c r="Q44" s="35">
        <f>9/9*100</f>
        <v>100</v>
      </c>
      <c r="R44" s="73" t="str">
        <f t="shared" si="2"/>
        <v>%</v>
      </c>
      <c r="S44" s="102">
        <f>S45+S51+S54</f>
        <v>347370508</v>
      </c>
      <c r="T44" s="35">
        <f>14/14*100</f>
        <v>100</v>
      </c>
      <c r="U44" s="73" t="str">
        <f t="shared" si="3"/>
        <v>%</v>
      </c>
      <c r="V44" s="102">
        <f>V45+V51+V54</f>
        <v>153856698</v>
      </c>
      <c r="W44" s="35">
        <f>14/14*100</f>
        <v>100</v>
      </c>
      <c r="X44" s="73" t="str">
        <f t="shared" si="4"/>
        <v>%</v>
      </c>
      <c r="Y44" s="102">
        <f>Y45+Y51+Y54</f>
        <v>247377065</v>
      </c>
      <c r="Z44" s="47">
        <f>AVERAGE(N44,Q44,T44,W44)</f>
        <v>100</v>
      </c>
      <c r="AA44" s="73" t="str">
        <f t="shared" si="6"/>
        <v>%</v>
      </c>
      <c r="AB44" s="47">
        <f t="shared" si="7"/>
        <v>100</v>
      </c>
      <c r="AC44" s="41" t="s">
        <v>115</v>
      </c>
      <c r="AD44" s="42">
        <f t="shared" si="8"/>
        <v>939035821</v>
      </c>
      <c r="AE44" s="40">
        <f t="shared" si="9"/>
        <v>84.249330957531825</v>
      </c>
      <c r="AF44" s="41" t="s">
        <v>115</v>
      </c>
      <c r="AG44" s="47">
        <f t="shared" si="10"/>
        <v>200</v>
      </c>
      <c r="AH44" s="73" t="str">
        <f t="shared" si="11"/>
        <v>%</v>
      </c>
      <c r="AI44" s="42">
        <f t="shared" si="12"/>
        <v>939035821</v>
      </c>
      <c r="AJ44" s="40"/>
      <c r="AK44" s="41" t="s">
        <v>115</v>
      </c>
      <c r="AL44" s="40"/>
      <c r="AM44" s="26"/>
      <c r="AP44" s="4"/>
    </row>
    <row r="45" spans="1:42" ht="126" customHeight="1" x14ac:dyDescent="0.2">
      <c r="A45" s="44"/>
      <c r="B45" s="32"/>
      <c r="C45" s="57" t="s">
        <v>93</v>
      </c>
      <c r="D45" s="34" t="s">
        <v>173</v>
      </c>
      <c r="E45" s="35">
        <v>100</v>
      </c>
      <c r="F45" s="36" t="s">
        <v>115</v>
      </c>
      <c r="G45" s="99">
        <f>SUM(G46:G50)</f>
        <v>3326133009</v>
      </c>
      <c r="H45" s="35">
        <v>100</v>
      </c>
      <c r="I45" s="36" t="s">
        <v>115</v>
      </c>
      <c r="J45" s="99">
        <f>SUM(J46:J50)</f>
        <v>0</v>
      </c>
      <c r="K45" s="35">
        <v>100</v>
      </c>
      <c r="L45" s="36" t="s">
        <v>115</v>
      </c>
      <c r="M45" s="99">
        <f>SUM(M46:M50)</f>
        <v>1033251009</v>
      </c>
      <c r="N45" s="35">
        <f>11/11*100</f>
        <v>100</v>
      </c>
      <c r="O45" s="36" t="str">
        <f t="shared" si="1"/>
        <v>%</v>
      </c>
      <c r="P45" s="99">
        <f>SUM(P46:P50)</f>
        <v>190431550</v>
      </c>
      <c r="Q45" s="35">
        <f>11/11*100</f>
        <v>100</v>
      </c>
      <c r="R45" s="36" t="str">
        <f t="shared" si="2"/>
        <v>%</v>
      </c>
      <c r="S45" s="99">
        <f>SUM(S46:S50)</f>
        <v>344955508</v>
      </c>
      <c r="T45" s="35">
        <f>11/11*100</f>
        <v>100</v>
      </c>
      <c r="U45" s="36" t="str">
        <f t="shared" si="3"/>
        <v>%</v>
      </c>
      <c r="V45" s="99">
        <f>SUM(V46:V50)</f>
        <v>143856698</v>
      </c>
      <c r="W45" s="35">
        <f>11/11*100</f>
        <v>100</v>
      </c>
      <c r="X45" s="36" t="str">
        <f t="shared" si="4"/>
        <v>%</v>
      </c>
      <c r="Y45" s="99">
        <f>SUM(Y46:Y50)</f>
        <v>247377065</v>
      </c>
      <c r="Z45" s="47">
        <f>AVERAGE(N45,Q45,T45,W45)</f>
        <v>100</v>
      </c>
      <c r="AA45" s="36" t="str">
        <f t="shared" si="6"/>
        <v>%</v>
      </c>
      <c r="AB45" s="47">
        <f t="shared" si="7"/>
        <v>100</v>
      </c>
      <c r="AC45" s="41" t="s">
        <v>115</v>
      </c>
      <c r="AD45" s="42">
        <f t="shared" si="8"/>
        <v>926620821</v>
      </c>
      <c r="AE45" s="40">
        <f t="shared" si="9"/>
        <v>89.680127377451228</v>
      </c>
      <c r="AF45" s="41" t="s">
        <v>115</v>
      </c>
      <c r="AG45" s="47">
        <f t="shared" si="10"/>
        <v>200</v>
      </c>
      <c r="AH45" s="36" t="str">
        <f t="shared" si="11"/>
        <v>%</v>
      </c>
      <c r="AI45" s="42">
        <f t="shared" si="12"/>
        <v>926620821</v>
      </c>
      <c r="AJ45" s="40"/>
      <c r="AK45" s="41" t="s">
        <v>115</v>
      </c>
      <c r="AL45" s="40"/>
      <c r="AM45" s="26"/>
      <c r="AP45" s="4"/>
    </row>
    <row r="46" spans="1:42" ht="174.75" customHeight="1" x14ac:dyDescent="0.2">
      <c r="A46" s="44"/>
      <c r="B46" s="32"/>
      <c r="C46" s="59" t="s">
        <v>94</v>
      </c>
      <c r="D46" s="74" t="s">
        <v>174</v>
      </c>
      <c r="E46" s="50">
        <v>100</v>
      </c>
      <c r="F46" s="51" t="s">
        <v>115</v>
      </c>
      <c r="G46" s="101">
        <f>10000000+10000000+10000000</f>
        <v>30000000</v>
      </c>
      <c r="H46" s="35"/>
      <c r="I46" s="36"/>
      <c r="J46" s="38"/>
      <c r="K46" s="50">
        <v>100</v>
      </c>
      <c r="L46" s="51" t="s">
        <v>115</v>
      </c>
      <c r="M46" s="101">
        <v>10000000</v>
      </c>
      <c r="N46" s="50">
        <f>12/12*100</f>
        <v>100</v>
      </c>
      <c r="O46" s="51" t="str">
        <f t="shared" si="1"/>
        <v>%</v>
      </c>
      <c r="P46" s="52">
        <v>0</v>
      </c>
      <c r="Q46" s="50">
        <f>9/9*100</f>
        <v>100</v>
      </c>
      <c r="R46" s="36" t="str">
        <f t="shared" si="2"/>
        <v>%</v>
      </c>
      <c r="S46" s="52">
        <v>0</v>
      </c>
      <c r="T46" s="50">
        <f>14/14*100</f>
        <v>100</v>
      </c>
      <c r="U46" s="36" t="str">
        <f t="shared" si="3"/>
        <v>%</v>
      </c>
      <c r="V46" s="52">
        <v>0</v>
      </c>
      <c r="W46" s="50">
        <f>14/14*100</f>
        <v>100</v>
      </c>
      <c r="X46" s="36" t="str">
        <f t="shared" si="4"/>
        <v>%</v>
      </c>
      <c r="Y46" s="52">
        <v>2800000</v>
      </c>
      <c r="Z46" s="53">
        <f>AVERAGE(N46,Q46,T46,W46)</f>
        <v>100</v>
      </c>
      <c r="AA46" s="51" t="str">
        <f t="shared" si="6"/>
        <v>%</v>
      </c>
      <c r="AB46" s="53">
        <f t="shared" si="7"/>
        <v>100</v>
      </c>
      <c r="AC46" s="55" t="s">
        <v>115</v>
      </c>
      <c r="AD46" s="56">
        <f t="shared" si="8"/>
        <v>2800000</v>
      </c>
      <c r="AE46" s="54">
        <f t="shared" si="9"/>
        <v>28.000000000000004</v>
      </c>
      <c r="AF46" s="55" t="s">
        <v>115</v>
      </c>
      <c r="AG46" s="53">
        <f t="shared" si="10"/>
        <v>100</v>
      </c>
      <c r="AH46" s="51" t="str">
        <f t="shared" si="11"/>
        <v>%</v>
      </c>
      <c r="AI46" s="56">
        <f t="shared" si="12"/>
        <v>2800000</v>
      </c>
      <c r="AJ46" s="54"/>
      <c r="AK46" s="55" t="s">
        <v>115</v>
      </c>
      <c r="AL46" s="54"/>
      <c r="AM46" s="26"/>
      <c r="AP46" s="4"/>
    </row>
    <row r="47" spans="1:42" ht="123" customHeight="1" x14ac:dyDescent="0.2">
      <c r="A47" s="44"/>
      <c r="B47" s="32"/>
      <c r="C47" s="109" t="s">
        <v>95</v>
      </c>
      <c r="D47" s="74" t="s">
        <v>147</v>
      </c>
      <c r="E47" s="50">
        <f t="shared" ref="E47:E48" si="18">K47*3</f>
        <v>15</v>
      </c>
      <c r="F47" s="51" t="s">
        <v>145</v>
      </c>
      <c r="G47" s="103">
        <f>860351009+973541000*2</f>
        <v>2807433009</v>
      </c>
      <c r="H47" s="50">
        <v>5</v>
      </c>
      <c r="I47" s="51" t="s">
        <v>117</v>
      </c>
      <c r="J47" s="115"/>
      <c r="K47" s="50">
        <v>5</v>
      </c>
      <c r="L47" s="51" t="s">
        <v>117</v>
      </c>
      <c r="M47" s="103">
        <v>860351009</v>
      </c>
      <c r="N47" s="50">
        <v>1</v>
      </c>
      <c r="O47" s="51" t="str">
        <f t="shared" si="1"/>
        <v>keg</v>
      </c>
      <c r="P47" s="75">
        <v>190431550</v>
      </c>
      <c r="Q47" s="50">
        <v>1</v>
      </c>
      <c r="R47" s="51" t="str">
        <f t="shared" si="2"/>
        <v>keg</v>
      </c>
      <c r="S47" s="75">
        <f>442468440-P47</f>
        <v>252036890</v>
      </c>
      <c r="T47" s="50">
        <v>1</v>
      </c>
      <c r="U47" s="51" t="str">
        <f t="shared" si="3"/>
        <v>keg</v>
      </c>
      <c r="V47" s="75">
        <v>143856698</v>
      </c>
      <c r="W47" s="50">
        <v>2</v>
      </c>
      <c r="X47" s="51" t="str">
        <f t="shared" si="4"/>
        <v>keg</v>
      </c>
      <c r="Y47" s="75">
        <v>195745247</v>
      </c>
      <c r="Z47" s="53">
        <f t="shared" si="5"/>
        <v>5</v>
      </c>
      <c r="AA47" s="51" t="str">
        <f t="shared" si="6"/>
        <v>keg</v>
      </c>
      <c r="AB47" s="53">
        <f t="shared" si="7"/>
        <v>100</v>
      </c>
      <c r="AC47" s="55" t="s">
        <v>115</v>
      </c>
      <c r="AD47" s="76">
        <f t="shared" si="8"/>
        <v>782070385</v>
      </c>
      <c r="AE47" s="77">
        <f t="shared" si="9"/>
        <v>90.901315488548462</v>
      </c>
      <c r="AF47" s="78" t="s">
        <v>115</v>
      </c>
      <c r="AG47" s="53">
        <f t="shared" si="10"/>
        <v>10</v>
      </c>
      <c r="AH47" s="51" t="str">
        <f t="shared" si="11"/>
        <v>keg</v>
      </c>
      <c r="AI47" s="76">
        <f t="shared" si="12"/>
        <v>782070385</v>
      </c>
      <c r="AJ47" s="54"/>
      <c r="AK47" s="55" t="s">
        <v>115</v>
      </c>
      <c r="AL47" s="77"/>
      <c r="AM47" s="26"/>
      <c r="AP47" s="4"/>
    </row>
    <row r="48" spans="1:42" ht="69.75" customHeight="1" x14ac:dyDescent="0.2">
      <c r="A48" s="44"/>
      <c r="B48" s="32"/>
      <c r="C48" s="110"/>
      <c r="D48" s="74" t="s">
        <v>148</v>
      </c>
      <c r="E48" s="50">
        <f t="shared" si="18"/>
        <v>3</v>
      </c>
      <c r="F48" s="51" t="s">
        <v>145</v>
      </c>
      <c r="G48" s="98"/>
      <c r="H48" s="50">
        <v>1</v>
      </c>
      <c r="I48" s="51" t="s">
        <v>117</v>
      </c>
      <c r="J48" s="116"/>
      <c r="K48" s="50">
        <v>1</v>
      </c>
      <c r="L48" s="51" t="s">
        <v>117</v>
      </c>
      <c r="M48" s="108"/>
      <c r="N48" s="50">
        <v>0</v>
      </c>
      <c r="O48" s="51" t="str">
        <f t="shared" si="1"/>
        <v>keg</v>
      </c>
      <c r="P48" s="79"/>
      <c r="Q48" s="50">
        <v>1</v>
      </c>
      <c r="R48" s="51" t="str">
        <f t="shared" si="2"/>
        <v>keg</v>
      </c>
      <c r="S48" s="79"/>
      <c r="T48" s="50">
        <v>0</v>
      </c>
      <c r="U48" s="51" t="str">
        <f t="shared" si="3"/>
        <v>keg</v>
      </c>
      <c r="V48" s="79"/>
      <c r="W48" s="50">
        <v>0</v>
      </c>
      <c r="X48" s="51" t="str">
        <f t="shared" si="4"/>
        <v>keg</v>
      </c>
      <c r="Y48" s="79"/>
      <c r="Z48" s="53">
        <f t="shared" si="5"/>
        <v>1</v>
      </c>
      <c r="AA48" s="51" t="str">
        <f t="shared" si="6"/>
        <v>keg</v>
      </c>
      <c r="AB48" s="53">
        <f t="shared" ref="AB48" si="19">Z48/K48*100</f>
        <v>100</v>
      </c>
      <c r="AC48" s="55" t="s">
        <v>115</v>
      </c>
      <c r="AD48" s="80"/>
      <c r="AE48" s="81"/>
      <c r="AF48" s="82"/>
      <c r="AG48" s="53">
        <f t="shared" si="10"/>
        <v>2</v>
      </c>
      <c r="AH48" s="51" t="str">
        <f t="shared" si="11"/>
        <v>keg</v>
      </c>
      <c r="AI48" s="80">
        <f t="shared" si="12"/>
        <v>0</v>
      </c>
      <c r="AJ48" s="54"/>
      <c r="AK48" s="55" t="s">
        <v>115</v>
      </c>
      <c r="AL48" s="81"/>
      <c r="AM48" s="26"/>
      <c r="AP48" s="4"/>
    </row>
    <row r="49" spans="1:42" ht="105" x14ac:dyDescent="0.2">
      <c r="A49" s="44"/>
      <c r="B49" s="32"/>
      <c r="C49" s="59" t="s">
        <v>96</v>
      </c>
      <c r="D49" s="74" t="s">
        <v>175</v>
      </c>
      <c r="E49" s="50">
        <v>100</v>
      </c>
      <c r="F49" s="51" t="s">
        <v>115</v>
      </c>
      <c r="G49" s="104">
        <f>143400000+143400000+143400000</f>
        <v>430200000</v>
      </c>
      <c r="H49" s="50">
        <f>11/11*100</f>
        <v>100</v>
      </c>
      <c r="I49" s="51" t="s">
        <v>115</v>
      </c>
      <c r="J49" s="112"/>
      <c r="K49" s="50">
        <f>11/11*100</f>
        <v>100</v>
      </c>
      <c r="L49" s="51" t="s">
        <v>115</v>
      </c>
      <c r="M49" s="104">
        <v>143400000</v>
      </c>
      <c r="N49" s="50">
        <f>11/11*100</f>
        <v>100</v>
      </c>
      <c r="O49" s="51" t="str">
        <f t="shared" si="1"/>
        <v>%</v>
      </c>
      <c r="P49" s="52">
        <v>0</v>
      </c>
      <c r="Q49" s="50">
        <f>11/11*100</f>
        <v>100</v>
      </c>
      <c r="R49" s="51" t="str">
        <f t="shared" si="2"/>
        <v>%</v>
      </c>
      <c r="S49" s="52">
        <v>84000000</v>
      </c>
      <c r="T49" s="50">
        <f>11/11*100</f>
        <v>100</v>
      </c>
      <c r="U49" s="51" t="str">
        <f t="shared" si="3"/>
        <v>%</v>
      </c>
      <c r="V49" s="52">
        <v>0</v>
      </c>
      <c r="W49" s="50">
        <f>11/11*100</f>
        <v>100</v>
      </c>
      <c r="X49" s="51" t="str">
        <f t="shared" si="4"/>
        <v>%</v>
      </c>
      <c r="Y49" s="52">
        <v>43800000</v>
      </c>
      <c r="Z49" s="53">
        <f>AVERAGE(N49,Q49,T49,W49)</f>
        <v>100</v>
      </c>
      <c r="AA49" s="51" t="str">
        <f t="shared" si="6"/>
        <v>%</v>
      </c>
      <c r="AB49" s="54">
        <f t="shared" si="7"/>
        <v>100</v>
      </c>
      <c r="AC49" s="55" t="s">
        <v>115</v>
      </c>
      <c r="AD49" s="56">
        <f t="shared" si="8"/>
        <v>127800000</v>
      </c>
      <c r="AE49" s="54">
        <f t="shared" si="9"/>
        <v>89.121338912133893</v>
      </c>
      <c r="AF49" s="55" t="s">
        <v>115</v>
      </c>
      <c r="AG49" s="53">
        <f t="shared" si="10"/>
        <v>200</v>
      </c>
      <c r="AH49" s="51" t="str">
        <f t="shared" si="11"/>
        <v>%</v>
      </c>
      <c r="AI49" s="56">
        <f t="shared" si="12"/>
        <v>127800000</v>
      </c>
      <c r="AJ49" s="54"/>
      <c r="AK49" s="55" t="s">
        <v>115</v>
      </c>
      <c r="AL49" s="54"/>
      <c r="AM49" s="26"/>
      <c r="AP49" s="4"/>
    </row>
    <row r="50" spans="1:42" ht="75" x14ac:dyDescent="0.2">
      <c r="A50" s="44"/>
      <c r="B50" s="32"/>
      <c r="C50" s="59" t="s">
        <v>97</v>
      </c>
      <c r="D50" s="74" t="s">
        <v>176</v>
      </c>
      <c r="E50" s="50">
        <v>100</v>
      </c>
      <c r="F50" s="51" t="s">
        <v>115</v>
      </c>
      <c r="G50" s="101">
        <f>19500000+19500000+19500000</f>
        <v>58500000</v>
      </c>
      <c r="H50" s="50">
        <v>100</v>
      </c>
      <c r="I50" s="51" t="s">
        <v>115</v>
      </c>
      <c r="J50" s="112"/>
      <c r="K50" s="50">
        <f>(2+8+5+5+10)/30*100</f>
        <v>100</v>
      </c>
      <c r="L50" s="51" t="s">
        <v>115</v>
      </c>
      <c r="M50" s="101">
        <v>19500000</v>
      </c>
      <c r="N50" s="50">
        <v>0</v>
      </c>
      <c r="O50" s="51" t="str">
        <f t="shared" si="1"/>
        <v>%</v>
      </c>
      <c r="P50" s="52">
        <v>0</v>
      </c>
      <c r="Q50" s="71">
        <f>2/30*100</f>
        <v>6.666666666666667</v>
      </c>
      <c r="R50" s="51" t="str">
        <f t="shared" si="2"/>
        <v>%</v>
      </c>
      <c r="S50" s="52">
        <v>8918618</v>
      </c>
      <c r="T50" s="50">
        <v>0</v>
      </c>
      <c r="U50" s="51" t="str">
        <f t="shared" si="3"/>
        <v>%</v>
      </c>
      <c r="V50" s="52">
        <v>0</v>
      </c>
      <c r="W50" s="71">
        <f>28/30*100</f>
        <v>93.333333333333329</v>
      </c>
      <c r="X50" s="51" t="str">
        <f t="shared" si="4"/>
        <v>%</v>
      </c>
      <c r="Y50" s="52">
        <v>5031818</v>
      </c>
      <c r="Z50" s="54">
        <f t="shared" si="5"/>
        <v>100</v>
      </c>
      <c r="AA50" s="51" t="str">
        <f t="shared" si="6"/>
        <v>%</v>
      </c>
      <c r="AB50" s="54">
        <f t="shared" si="7"/>
        <v>100</v>
      </c>
      <c r="AC50" s="55" t="s">
        <v>115</v>
      </c>
      <c r="AD50" s="56">
        <f t="shared" si="8"/>
        <v>13950436</v>
      </c>
      <c r="AE50" s="54">
        <f t="shared" si="9"/>
        <v>71.540697435897442</v>
      </c>
      <c r="AF50" s="55" t="s">
        <v>115</v>
      </c>
      <c r="AG50" s="53">
        <f t="shared" si="10"/>
        <v>200</v>
      </c>
      <c r="AH50" s="51" t="str">
        <f t="shared" si="11"/>
        <v>%</v>
      </c>
      <c r="AI50" s="56">
        <f t="shared" si="12"/>
        <v>13950436</v>
      </c>
      <c r="AJ50" s="54"/>
      <c r="AK50" s="55" t="s">
        <v>115</v>
      </c>
      <c r="AL50" s="54"/>
      <c r="AM50" s="26"/>
      <c r="AP50" s="4"/>
    </row>
    <row r="51" spans="1:42" ht="91.5" customHeight="1" x14ac:dyDescent="0.2">
      <c r="A51" s="44"/>
      <c r="B51" s="32"/>
      <c r="C51" s="57" t="s">
        <v>98</v>
      </c>
      <c r="D51" s="34" t="s">
        <v>177</v>
      </c>
      <c r="E51" s="35">
        <v>100</v>
      </c>
      <c r="F51" s="36" t="s">
        <v>115</v>
      </c>
      <c r="G51" s="99">
        <f>SUM(G52:G53)</f>
        <v>124229000</v>
      </c>
      <c r="H51" s="35">
        <v>100</v>
      </c>
      <c r="I51" s="36" t="s">
        <v>115</v>
      </c>
      <c r="J51" s="111"/>
      <c r="K51" s="35">
        <f>7/7*100</f>
        <v>100</v>
      </c>
      <c r="L51" s="36" t="s">
        <v>115</v>
      </c>
      <c r="M51" s="99">
        <f>SUM(M52:M53)</f>
        <v>37729000</v>
      </c>
      <c r="N51" s="35">
        <f>7/7*100</f>
        <v>100</v>
      </c>
      <c r="O51" s="36" t="str">
        <f t="shared" si="1"/>
        <v>%</v>
      </c>
      <c r="P51" s="99">
        <f>SUM(P52:P53)</f>
        <v>0</v>
      </c>
      <c r="Q51" s="35">
        <f>7/7*100</f>
        <v>100</v>
      </c>
      <c r="R51" s="36" t="str">
        <f t="shared" si="2"/>
        <v>%</v>
      </c>
      <c r="S51" s="99">
        <f>SUM(S52:S53)</f>
        <v>2415000</v>
      </c>
      <c r="T51" s="35">
        <f>7/7*100</f>
        <v>100</v>
      </c>
      <c r="U51" s="36" t="str">
        <f t="shared" si="3"/>
        <v>%</v>
      </c>
      <c r="V51" s="99">
        <f>SUM(V52:V53)</f>
        <v>9000000</v>
      </c>
      <c r="W51" s="35">
        <f>7/7*100</f>
        <v>100</v>
      </c>
      <c r="X51" s="36" t="str">
        <f t="shared" si="4"/>
        <v>%</v>
      </c>
      <c r="Y51" s="99">
        <f>SUM(Y52:Y53)</f>
        <v>0</v>
      </c>
      <c r="Z51" s="47">
        <f>AVERAGE(N51,Q51,T51,W51)</f>
        <v>100</v>
      </c>
      <c r="AA51" s="36" t="str">
        <f t="shared" si="6"/>
        <v>%</v>
      </c>
      <c r="AB51" s="40">
        <f t="shared" si="7"/>
        <v>100</v>
      </c>
      <c r="AC51" s="41" t="s">
        <v>115</v>
      </c>
      <c r="AD51" s="42">
        <f t="shared" si="8"/>
        <v>11415000</v>
      </c>
      <c r="AE51" s="40">
        <f t="shared" si="9"/>
        <v>30.255241326300723</v>
      </c>
      <c r="AF51" s="41" t="s">
        <v>115</v>
      </c>
      <c r="AG51" s="47">
        <f t="shared" si="10"/>
        <v>200</v>
      </c>
      <c r="AH51" s="36" t="str">
        <f t="shared" si="11"/>
        <v>%</v>
      </c>
      <c r="AI51" s="42">
        <f t="shared" si="12"/>
        <v>11415000</v>
      </c>
      <c r="AJ51" s="40"/>
      <c r="AK51" s="41" t="s">
        <v>115</v>
      </c>
      <c r="AL51" s="40"/>
      <c r="AM51" s="26"/>
      <c r="AP51" s="4"/>
    </row>
    <row r="52" spans="1:42" ht="75" x14ac:dyDescent="0.2">
      <c r="A52" s="44"/>
      <c r="B52" s="32"/>
      <c r="C52" s="59" t="s">
        <v>99</v>
      </c>
      <c r="D52" s="74" t="s">
        <v>178</v>
      </c>
      <c r="E52" s="50">
        <v>7</v>
      </c>
      <c r="F52" s="107" t="s">
        <v>146</v>
      </c>
      <c r="G52" s="97">
        <f>M52*3</f>
        <v>35250000</v>
      </c>
      <c r="H52" s="50">
        <v>7</v>
      </c>
      <c r="I52" s="107" t="s">
        <v>146</v>
      </c>
      <c r="J52" s="112"/>
      <c r="K52" s="50">
        <v>7</v>
      </c>
      <c r="L52" s="107" t="s">
        <v>146</v>
      </c>
      <c r="M52" s="101">
        <v>11750000</v>
      </c>
      <c r="N52" s="50">
        <v>7</v>
      </c>
      <c r="O52" s="107" t="str">
        <f t="shared" si="1"/>
        <v>Perda/Perkada</v>
      </c>
      <c r="P52" s="52">
        <v>0</v>
      </c>
      <c r="Q52" s="50">
        <v>0</v>
      </c>
      <c r="R52" s="107" t="str">
        <f t="shared" si="2"/>
        <v>Perda/Perkada</v>
      </c>
      <c r="S52" s="52">
        <v>2415000</v>
      </c>
      <c r="T52" s="50">
        <v>0</v>
      </c>
      <c r="U52" s="107" t="str">
        <f t="shared" si="3"/>
        <v>Perda/Perkada</v>
      </c>
      <c r="V52" s="52">
        <v>9000000</v>
      </c>
      <c r="W52" s="50">
        <v>0</v>
      </c>
      <c r="X52" s="107" t="str">
        <f t="shared" si="4"/>
        <v>Perda/Perkada</v>
      </c>
      <c r="Y52" s="52">
        <v>0</v>
      </c>
      <c r="Z52" s="53">
        <f t="shared" si="5"/>
        <v>7</v>
      </c>
      <c r="AA52" s="107" t="str">
        <f t="shared" si="6"/>
        <v>Perda/Perkada</v>
      </c>
      <c r="AB52" s="54">
        <f t="shared" si="7"/>
        <v>100</v>
      </c>
      <c r="AC52" s="55" t="s">
        <v>115</v>
      </c>
      <c r="AD52" s="56">
        <f t="shared" si="8"/>
        <v>11415000</v>
      </c>
      <c r="AE52" s="54">
        <f t="shared" si="9"/>
        <v>97.148936170212764</v>
      </c>
      <c r="AF52" s="55" t="s">
        <v>115</v>
      </c>
      <c r="AG52" s="53">
        <f t="shared" si="10"/>
        <v>14</v>
      </c>
      <c r="AH52" s="51" t="str">
        <f t="shared" si="11"/>
        <v>Perda/Perkada</v>
      </c>
      <c r="AI52" s="56">
        <f t="shared" si="12"/>
        <v>11415000</v>
      </c>
      <c r="AJ52" s="54"/>
      <c r="AK52" s="55" t="s">
        <v>115</v>
      </c>
      <c r="AL52" s="54"/>
      <c r="AM52" s="26"/>
      <c r="AP52" s="4"/>
    </row>
    <row r="53" spans="1:42" ht="75" customHeight="1" x14ac:dyDescent="0.2">
      <c r="A53" s="44"/>
      <c r="B53" s="32"/>
      <c r="C53" s="59" t="s">
        <v>100</v>
      </c>
      <c r="D53" s="74" t="s">
        <v>177</v>
      </c>
      <c r="E53" s="50">
        <v>100</v>
      </c>
      <c r="F53" s="51" t="s">
        <v>115</v>
      </c>
      <c r="G53" s="101">
        <f>25979000+31500000*2</f>
        <v>88979000</v>
      </c>
      <c r="H53" s="50">
        <v>100</v>
      </c>
      <c r="I53" s="51" t="s">
        <v>115</v>
      </c>
      <c r="J53" s="112"/>
      <c r="K53" s="50">
        <f>7/7*100</f>
        <v>100</v>
      </c>
      <c r="L53" s="51" t="s">
        <v>115</v>
      </c>
      <c r="M53" s="101">
        <v>25979000</v>
      </c>
      <c r="N53" s="50">
        <f>7/7*100</f>
        <v>100</v>
      </c>
      <c r="O53" s="51" t="str">
        <f t="shared" si="1"/>
        <v>%</v>
      </c>
      <c r="P53" s="52">
        <v>0</v>
      </c>
      <c r="Q53" s="50">
        <f>7/7*100</f>
        <v>100</v>
      </c>
      <c r="R53" s="51" t="str">
        <f t="shared" si="2"/>
        <v>%</v>
      </c>
      <c r="S53" s="52">
        <v>0</v>
      </c>
      <c r="T53" s="50">
        <f>7/7*100</f>
        <v>100</v>
      </c>
      <c r="U53" s="51" t="str">
        <f t="shared" si="3"/>
        <v>%</v>
      </c>
      <c r="V53" s="52">
        <v>0</v>
      </c>
      <c r="W53" s="50">
        <f>7/7*100</f>
        <v>100</v>
      </c>
      <c r="X53" s="51" t="str">
        <f t="shared" si="4"/>
        <v>%</v>
      </c>
      <c r="Y53" s="52">
        <v>0</v>
      </c>
      <c r="Z53" s="53">
        <f>AVERAGE(N53,Q53,T53,W53)</f>
        <v>100</v>
      </c>
      <c r="AA53" s="51" t="str">
        <f t="shared" si="6"/>
        <v>%</v>
      </c>
      <c r="AB53" s="54">
        <f t="shared" si="7"/>
        <v>100</v>
      </c>
      <c r="AC53" s="55" t="s">
        <v>115</v>
      </c>
      <c r="AD53" s="56">
        <f t="shared" si="8"/>
        <v>0</v>
      </c>
      <c r="AE53" s="54">
        <f t="shared" si="9"/>
        <v>0</v>
      </c>
      <c r="AF53" s="55" t="s">
        <v>115</v>
      </c>
      <c r="AG53" s="53">
        <f t="shared" si="10"/>
        <v>200</v>
      </c>
      <c r="AH53" s="51" t="str">
        <f t="shared" si="11"/>
        <v>%</v>
      </c>
      <c r="AI53" s="56">
        <f t="shared" si="12"/>
        <v>0</v>
      </c>
      <c r="AJ53" s="54"/>
      <c r="AK53" s="55" t="s">
        <v>115</v>
      </c>
      <c r="AL53" s="54"/>
      <c r="AM53" s="26"/>
      <c r="AP53" s="4"/>
    </row>
    <row r="54" spans="1:42" ht="78.75" x14ac:dyDescent="0.2">
      <c r="A54" s="44"/>
      <c r="B54" s="32"/>
      <c r="C54" s="57" t="s">
        <v>101</v>
      </c>
      <c r="D54" s="106" t="s">
        <v>149</v>
      </c>
      <c r="E54" s="35">
        <v>100</v>
      </c>
      <c r="F54" s="36" t="s">
        <v>115</v>
      </c>
      <c r="G54" s="99">
        <f>SUM(G55)</f>
        <v>130834257</v>
      </c>
      <c r="H54" s="35">
        <v>100</v>
      </c>
      <c r="I54" s="36" t="s">
        <v>115</v>
      </c>
      <c r="J54" s="111"/>
      <c r="K54" s="35">
        <v>100</v>
      </c>
      <c r="L54" s="36" t="s">
        <v>115</v>
      </c>
      <c r="M54" s="99">
        <f>SUM(M55)</f>
        <v>43611419</v>
      </c>
      <c r="N54" s="35">
        <v>100</v>
      </c>
      <c r="O54" s="36" t="str">
        <f t="shared" si="1"/>
        <v>%</v>
      </c>
      <c r="P54" s="99">
        <f>SUM(P55)</f>
        <v>0</v>
      </c>
      <c r="Q54" s="35">
        <v>0</v>
      </c>
      <c r="R54" s="36" t="str">
        <f t="shared" si="2"/>
        <v>%</v>
      </c>
      <c r="S54" s="99">
        <f>SUM(S55)</f>
        <v>0</v>
      </c>
      <c r="T54" s="35">
        <v>0</v>
      </c>
      <c r="U54" s="36" t="str">
        <f t="shared" si="3"/>
        <v>%</v>
      </c>
      <c r="V54" s="99">
        <f>SUM(V55)</f>
        <v>1000000</v>
      </c>
      <c r="W54" s="35">
        <v>0</v>
      </c>
      <c r="X54" s="36" t="str">
        <f t="shared" si="4"/>
        <v>%</v>
      </c>
      <c r="Y54" s="99">
        <f>SUM(Y55)</f>
        <v>0</v>
      </c>
      <c r="Z54" s="47">
        <f t="shared" si="5"/>
        <v>100</v>
      </c>
      <c r="AA54" s="36" t="str">
        <f t="shared" si="6"/>
        <v>%</v>
      </c>
      <c r="AB54" s="40">
        <f t="shared" si="7"/>
        <v>100</v>
      </c>
      <c r="AC54" s="41" t="s">
        <v>115</v>
      </c>
      <c r="AD54" s="42">
        <f t="shared" si="8"/>
        <v>1000000</v>
      </c>
      <c r="AE54" s="40">
        <f t="shared" si="9"/>
        <v>2.2929774424446037</v>
      </c>
      <c r="AF54" s="41" t="s">
        <v>115</v>
      </c>
      <c r="AG54" s="47">
        <f t="shared" si="10"/>
        <v>200</v>
      </c>
      <c r="AH54" s="36" t="str">
        <f t="shared" si="11"/>
        <v>%</v>
      </c>
      <c r="AI54" s="42">
        <f t="shared" si="12"/>
        <v>1000000</v>
      </c>
      <c r="AJ54" s="40"/>
      <c r="AK54" s="41" t="s">
        <v>115</v>
      </c>
      <c r="AL54" s="40"/>
      <c r="AM54" s="26"/>
      <c r="AP54" s="4"/>
    </row>
    <row r="55" spans="1:42" ht="60" x14ac:dyDescent="0.2">
      <c r="A55" s="44"/>
      <c r="B55" s="32"/>
      <c r="C55" s="59" t="s">
        <v>102</v>
      </c>
      <c r="D55" s="74" t="s">
        <v>149</v>
      </c>
      <c r="E55" s="50">
        <v>100</v>
      </c>
      <c r="F55" s="51" t="s">
        <v>115</v>
      </c>
      <c r="G55" s="97">
        <v>130834257</v>
      </c>
      <c r="H55" s="50">
        <v>100</v>
      </c>
      <c r="I55" s="51" t="s">
        <v>115</v>
      </c>
      <c r="J55" s="112"/>
      <c r="K55" s="50">
        <v>100</v>
      </c>
      <c r="L55" s="51" t="s">
        <v>115</v>
      </c>
      <c r="M55" s="101">
        <v>43611419</v>
      </c>
      <c r="N55" s="50">
        <v>100</v>
      </c>
      <c r="O55" s="51" t="str">
        <f t="shared" si="1"/>
        <v>%</v>
      </c>
      <c r="P55" s="52">
        <v>0</v>
      </c>
      <c r="Q55" s="50">
        <v>0</v>
      </c>
      <c r="R55" s="51" t="str">
        <f t="shared" si="2"/>
        <v>%</v>
      </c>
      <c r="S55" s="52">
        <v>0</v>
      </c>
      <c r="T55" s="50">
        <v>0</v>
      </c>
      <c r="U55" s="51" t="str">
        <f t="shared" si="3"/>
        <v>%</v>
      </c>
      <c r="V55" s="52">
        <v>1000000</v>
      </c>
      <c r="W55" s="50">
        <v>0</v>
      </c>
      <c r="X55" s="51" t="str">
        <f t="shared" si="4"/>
        <v>%</v>
      </c>
      <c r="Y55" s="52">
        <v>0</v>
      </c>
      <c r="Z55" s="53">
        <f t="shared" si="5"/>
        <v>100</v>
      </c>
      <c r="AA55" s="51" t="str">
        <f t="shared" si="6"/>
        <v>%</v>
      </c>
      <c r="AB55" s="54">
        <f t="shared" si="7"/>
        <v>100</v>
      </c>
      <c r="AC55" s="55" t="s">
        <v>115</v>
      </c>
      <c r="AD55" s="56">
        <f t="shared" si="8"/>
        <v>1000000</v>
      </c>
      <c r="AE55" s="54">
        <f t="shared" si="9"/>
        <v>2.2929774424446037</v>
      </c>
      <c r="AF55" s="55" t="s">
        <v>115</v>
      </c>
      <c r="AG55" s="53">
        <f t="shared" si="10"/>
        <v>200</v>
      </c>
      <c r="AH55" s="51" t="str">
        <f t="shared" si="11"/>
        <v>%</v>
      </c>
      <c r="AI55" s="56">
        <f t="shared" si="12"/>
        <v>1000000</v>
      </c>
      <c r="AJ55" s="54"/>
      <c r="AK55" s="55" t="s">
        <v>115</v>
      </c>
      <c r="AL55" s="54"/>
      <c r="AM55" s="26"/>
      <c r="AP55" s="4"/>
    </row>
    <row r="56" spans="1:42" ht="81.599999999999994" customHeight="1" x14ac:dyDescent="0.2">
      <c r="A56" s="44"/>
      <c r="B56" s="32"/>
      <c r="C56" s="57" t="s">
        <v>110</v>
      </c>
      <c r="D56" s="34" t="s">
        <v>179</v>
      </c>
      <c r="E56" s="35">
        <v>100</v>
      </c>
      <c r="F56" s="36" t="s">
        <v>115</v>
      </c>
      <c r="G56" s="99">
        <f>G57+G59</f>
        <v>1238249500</v>
      </c>
      <c r="H56" s="35">
        <v>100</v>
      </c>
      <c r="I56" s="36" t="s">
        <v>115</v>
      </c>
      <c r="J56" s="111"/>
      <c r="K56" s="35">
        <v>100</v>
      </c>
      <c r="L56" s="36" t="s">
        <v>115</v>
      </c>
      <c r="M56" s="99">
        <f>M57+M59</f>
        <v>723971500</v>
      </c>
      <c r="N56" s="35">
        <f>N57</f>
        <v>100</v>
      </c>
      <c r="O56" s="36" t="str">
        <f t="shared" si="1"/>
        <v>%</v>
      </c>
      <c r="P56" s="99">
        <f>P57+P59</f>
        <v>960000</v>
      </c>
      <c r="Q56" s="35">
        <f>Q57</f>
        <v>100</v>
      </c>
      <c r="R56" s="36" t="str">
        <f t="shared" si="2"/>
        <v>%</v>
      </c>
      <c r="S56" s="99">
        <f>S57+S59</f>
        <v>658489000</v>
      </c>
      <c r="T56" s="35">
        <f>T57</f>
        <v>100</v>
      </c>
      <c r="U56" s="36" t="str">
        <f t="shared" si="3"/>
        <v>%</v>
      </c>
      <c r="V56" s="99">
        <f>V57+V59</f>
        <v>2619000</v>
      </c>
      <c r="W56" s="35">
        <f>W57</f>
        <v>100</v>
      </c>
      <c r="X56" s="36" t="str">
        <f t="shared" si="4"/>
        <v>%</v>
      </c>
      <c r="Y56" s="99">
        <f>Y57+Y59</f>
        <v>39248000</v>
      </c>
      <c r="Z56" s="47">
        <f>AVERAGE(N56,Q56,T56,W56)</f>
        <v>100</v>
      </c>
      <c r="AA56" s="36" t="str">
        <f t="shared" si="6"/>
        <v>%</v>
      </c>
      <c r="AB56" s="40">
        <f t="shared" si="7"/>
        <v>100</v>
      </c>
      <c r="AC56" s="41" t="s">
        <v>115</v>
      </c>
      <c r="AD56" s="42">
        <f t="shared" si="8"/>
        <v>701316000</v>
      </c>
      <c r="AE56" s="40">
        <f t="shared" si="9"/>
        <v>96.87066410763407</v>
      </c>
      <c r="AF56" s="41" t="s">
        <v>115</v>
      </c>
      <c r="AG56" s="47">
        <f t="shared" si="10"/>
        <v>200</v>
      </c>
      <c r="AH56" s="36" t="str">
        <f t="shared" si="11"/>
        <v>%</v>
      </c>
      <c r="AI56" s="42">
        <f t="shared" si="12"/>
        <v>701316000</v>
      </c>
      <c r="AJ56" s="40"/>
      <c r="AK56" s="41" t="s">
        <v>115</v>
      </c>
      <c r="AL56" s="40"/>
      <c r="AM56" s="26"/>
      <c r="AP56" s="4"/>
    </row>
    <row r="57" spans="1:42" ht="129.6" customHeight="1" x14ac:dyDescent="0.2">
      <c r="A57" s="44"/>
      <c r="B57" s="32"/>
      <c r="C57" s="57" t="s">
        <v>103</v>
      </c>
      <c r="D57" s="34" t="s">
        <v>150</v>
      </c>
      <c r="E57" s="35">
        <v>100</v>
      </c>
      <c r="F57" s="36" t="s">
        <v>115</v>
      </c>
      <c r="G57" s="99">
        <f>SUM(G58:G58)</f>
        <v>130739500</v>
      </c>
      <c r="H57" s="35">
        <v>100</v>
      </c>
      <c r="I57" s="36" t="s">
        <v>115</v>
      </c>
      <c r="J57" s="111"/>
      <c r="K57" s="35">
        <v>100</v>
      </c>
      <c r="L57" s="36" t="s">
        <v>115</v>
      </c>
      <c r="M57" s="99">
        <f>SUM(M58:M58)</f>
        <v>70471500</v>
      </c>
      <c r="N57" s="35">
        <f>N58</f>
        <v>100</v>
      </c>
      <c r="O57" s="36" t="str">
        <f t="shared" si="1"/>
        <v>%</v>
      </c>
      <c r="P57" s="99">
        <f>SUM(P58:P58)</f>
        <v>960000</v>
      </c>
      <c r="Q57" s="35">
        <f>Q58</f>
        <v>100</v>
      </c>
      <c r="R57" s="36" t="str">
        <f t="shared" si="2"/>
        <v>%</v>
      </c>
      <c r="S57" s="99">
        <f>SUM(S58:S58)</f>
        <v>4989000</v>
      </c>
      <c r="T57" s="35">
        <f>T58</f>
        <v>100</v>
      </c>
      <c r="U57" s="36" t="str">
        <f t="shared" si="3"/>
        <v>%</v>
      </c>
      <c r="V57" s="99">
        <f>SUM(V58:V58)</f>
        <v>2619000</v>
      </c>
      <c r="W57" s="35">
        <f>W58</f>
        <v>100</v>
      </c>
      <c r="X57" s="36" t="str">
        <f t="shared" si="4"/>
        <v>%</v>
      </c>
      <c r="Y57" s="99">
        <f>SUM(Y58:Y58)</f>
        <v>39248000</v>
      </c>
      <c r="Z57" s="47">
        <f>AVERAGE(N57,Q57,T57,W57)</f>
        <v>100</v>
      </c>
      <c r="AA57" s="36" t="str">
        <f t="shared" si="6"/>
        <v>%</v>
      </c>
      <c r="AB57" s="40">
        <f t="shared" si="7"/>
        <v>100</v>
      </c>
      <c r="AC57" s="41" t="s">
        <v>115</v>
      </c>
      <c r="AD57" s="42">
        <f t="shared" si="8"/>
        <v>47816000</v>
      </c>
      <c r="AE57" s="40">
        <f t="shared" si="9"/>
        <v>67.851542822275661</v>
      </c>
      <c r="AF57" s="41" t="s">
        <v>115</v>
      </c>
      <c r="AG57" s="47">
        <f t="shared" si="10"/>
        <v>200</v>
      </c>
      <c r="AH57" s="36" t="str">
        <f t="shared" si="11"/>
        <v>%</v>
      </c>
      <c r="AI57" s="42">
        <f t="shared" si="12"/>
        <v>47816000</v>
      </c>
      <c r="AJ57" s="40"/>
      <c r="AK57" s="41" t="s">
        <v>115</v>
      </c>
      <c r="AL57" s="40"/>
      <c r="AM57" s="26"/>
      <c r="AP57" s="4"/>
    </row>
    <row r="58" spans="1:42" ht="77.45" customHeight="1" x14ac:dyDescent="0.2">
      <c r="A58" s="44"/>
      <c r="B58" s="32"/>
      <c r="C58" s="59" t="s">
        <v>104</v>
      </c>
      <c r="D58" s="83" t="s">
        <v>151</v>
      </c>
      <c r="E58" s="50">
        <v>100</v>
      </c>
      <c r="F58" s="51" t="s">
        <v>115</v>
      </c>
      <c r="G58" s="97">
        <v>130739500</v>
      </c>
      <c r="H58" s="50">
        <f>25/25*100</f>
        <v>100</v>
      </c>
      <c r="I58" s="51" t="s">
        <v>115</v>
      </c>
      <c r="J58" s="112"/>
      <c r="K58" s="50">
        <v>100</v>
      </c>
      <c r="L58" s="51" t="s">
        <v>115</v>
      </c>
      <c r="M58" s="101">
        <v>70471500</v>
      </c>
      <c r="N58" s="50">
        <f>3/3*100</f>
        <v>100</v>
      </c>
      <c r="O58" s="51" t="str">
        <f t="shared" si="1"/>
        <v>%</v>
      </c>
      <c r="P58" s="52">
        <v>960000</v>
      </c>
      <c r="Q58" s="50">
        <f>13/13*100</f>
        <v>100</v>
      </c>
      <c r="R58" s="51" t="str">
        <f t="shared" si="2"/>
        <v>%</v>
      </c>
      <c r="S58" s="52">
        <f>5949000-P58</f>
        <v>4989000</v>
      </c>
      <c r="T58" s="50">
        <f>15/15*100</f>
        <v>100</v>
      </c>
      <c r="U58" s="51" t="str">
        <f t="shared" si="3"/>
        <v>%</v>
      </c>
      <c r="V58" s="52">
        <v>2619000</v>
      </c>
      <c r="W58" s="50">
        <f>15/15*100</f>
        <v>100</v>
      </c>
      <c r="X58" s="51" t="str">
        <f t="shared" si="4"/>
        <v>%</v>
      </c>
      <c r="Y58" s="52">
        <v>39248000</v>
      </c>
      <c r="Z58" s="53">
        <f>AVERAGE(N58,Q58,T58,W58)</f>
        <v>100</v>
      </c>
      <c r="AA58" s="51" t="str">
        <f t="shared" si="6"/>
        <v>%</v>
      </c>
      <c r="AB58" s="54">
        <f t="shared" si="7"/>
        <v>100</v>
      </c>
      <c r="AC58" s="55" t="s">
        <v>115</v>
      </c>
      <c r="AD58" s="56">
        <f t="shared" si="8"/>
        <v>47816000</v>
      </c>
      <c r="AE58" s="54">
        <f t="shared" si="9"/>
        <v>67.851542822275661</v>
      </c>
      <c r="AF58" s="55" t="s">
        <v>115</v>
      </c>
      <c r="AG58" s="53">
        <f t="shared" si="10"/>
        <v>200</v>
      </c>
      <c r="AH58" s="51" t="str">
        <f t="shared" si="11"/>
        <v>%</v>
      </c>
      <c r="AI58" s="56">
        <f t="shared" si="12"/>
        <v>47816000</v>
      </c>
      <c r="AJ58" s="54"/>
      <c r="AK58" s="55" t="s">
        <v>115</v>
      </c>
      <c r="AL58" s="54"/>
      <c r="AM58" s="26"/>
      <c r="AP58" s="4"/>
    </row>
    <row r="59" spans="1:42" ht="67.5" customHeight="1" x14ac:dyDescent="0.2">
      <c r="A59" s="44"/>
      <c r="B59" s="32"/>
      <c r="C59" s="57" t="s">
        <v>105</v>
      </c>
      <c r="D59" s="34" t="s">
        <v>152</v>
      </c>
      <c r="E59" s="35">
        <f>E60</f>
        <v>13</v>
      </c>
      <c r="F59" s="36" t="s">
        <v>145</v>
      </c>
      <c r="G59" s="99">
        <f>SUM(G60)</f>
        <v>1107510000</v>
      </c>
      <c r="H59" s="37"/>
      <c r="I59" s="36"/>
      <c r="J59" s="111"/>
      <c r="K59" s="35">
        <f>K60</f>
        <v>3</v>
      </c>
      <c r="L59" s="36" t="s">
        <v>145</v>
      </c>
      <c r="M59" s="99">
        <f>SUM(M60)</f>
        <v>653500000</v>
      </c>
      <c r="N59" s="35">
        <f>N60</f>
        <v>0</v>
      </c>
      <c r="O59" s="36" t="str">
        <f t="shared" si="1"/>
        <v>Keg</v>
      </c>
      <c r="P59" s="84">
        <f>SUM(P60)</f>
        <v>0</v>
      </c>
      <c r="Q59" s="35">
        <f>Q60</f>
        <v>3</v>
      </c>
      <c r="R59" s="36" t="str">
        <f t="shared" si="2"/>
        <v>Keg</v>
      </c>
      <c r="S59" s="84">
        <f>SUM(S60)</f>
        <v>653500000</v>
      </c>
      <c r="T59" s="35">
        <f>T60</f>
        <v>0</v>
      </c>
      <c r="U59" s="36" t="str">
        <f t="shared" si="3"/>
        <v>Keg</v>
      </c>
      <c r="V59" s="84">
        <f>SUM(V60)</f>
        <v>0</v>
      </c>
      <c r="W59" s="35">
        <f>W60</f>
        <v>0</v>
      </c>
      <c r="X59" s="36" t="str">
        <f t="shared" si="4"/>
        <v>Keg</v>
      </c>
      <c r="Y59" s="84">
        <f>SUM(Y60)</f>
        <v>0</v>
      </c>
      <c r="Z59" s="47">
        <f t="shared" si="5"/>
        <v>3</v>
      </c>
      <c r="AA59" s="36" t="str">
        <f t="shared" si="6"/>
        <v>Keg</v>
      </c>
      <c r="AB59" s="40">
        <f t="shared" si="7"/>
        <v>100</v>
      </c>
      <c r="AC59" s="41" t="s">
        <v>115</v>
      </c>
      <c r="AD59" s="42">
        <f t="shared" si="8"/>
        <v>653500000</v>
      </c>
      <c r="AE59" s="47">
        <f t="shared" si="9"/>
        <v>100</v>
      </c>
      <c r="AF59" s="41" t="s">
        <v>115</v>
      </c>
      <c r="AG59" s="47">
        <f t="shared" si="10"/>
        <v>3</v>
      </c>
      <c r="AH59" s="36" t="str">
        <f t="shared" si="11"/>
        <v>Keg</v>
      </c>
      <c r="AI59" s="42">
        <f t="shared" si="12"/>
        <v>653500000</v>
      </c>
      <c r="AJ59" s="40"/>
      <c r="AK59" s="41" t="s">
        <v>115</v>
      </c>
      <c r="AL59" s="40"/>
      <c r="AM59" s="26"/>
      <c r="AP59" s="4"/>
    </row>
    <row r="60" spans="1:42" ht="120" x14ac:dyDescent="0.2">
      <c r="A60" s="44"/>
      <c r="B60" s="32"/>
      <c r="C60" s="59" t="s">
        <v>106</v>
      </c>
      <c r="D60" s="67" t="s">
        <v>153</v>
      </c>
      <c r="E60" s="50">
        <f>3+5+5</f>
        <v>13</v>
      </c>
      <c r="F60" s="51" t="s">
        <v>145</v>
      </c>
      <c r="G60" s="97">
        <v>1107510000</v>
      </c>
      <c r="H60" s="63"/>
      <c r="I60" s="51"/>
      <c r="J60" s="112"/>
      <c r="K60" s="50">
        <v>3</v>
      </c>
      <c r="L60" s="51" t="s">
        <v>145</v>
      </c>
      <c r="M60" s="101">
        <v>653500000</v>
      </c>
      <c r="N60" s="50">
        <v>0</v>
      </c>
      <c r="O60" s="51" t="str">
        <f t="shared" si="1"/>
        <v>Keg</v>
      </c>
      <c r="P60" s="52">
        <v>0</v>
      </c>
      <c r="Q60" s="50">
        <v>3</v>
      </c>
      <c r="R60" s="51" t="str">
        <f t="shared" si="2"/>
        <v>Keg</v>
      </c>
      <c r="S60" s="52">
        <v>653500000</v>
      </c>
      <c r="T60" s="50">
        <v>0</v>
      </c>
      <c r="U60" s="51" t="str">
        <f t="shared" si="3"/>
        <v>Keg</v>
      </c>
      <c r="V60" s="52">
        <v>0</v>
      </c>
      <c r="W60" s="50">
        <v>0</v>
      </c>
      <c r="X60" s="51" t="str">
        <f t="shared" si="4"/>
        <v>Keg</v>
      </c>
      <c r="Y60" s="52">
        <v>0</v>
      </c>
      <c r="Z60" s="53">
        <f t="shared" si="5"/>
        <v>3</v>
      </c>
      <c r="AA60" s="51" t="str">
        <f t="shared" si="6"/>
        <v>Keg</v>
      </c>
      <c r="AB60" s="54">
        <f t="shared" si="7"/>
        <v>100</v>
      </c>
      <c r="AC60" s="55" t="s">
        <v>115</v>
      </c>
      <c r="AD60" s="56">
        <f t="shared" si="8"/>
        <v>653500000</v>
      </c>
      <c r="AE60" s="53">
        <f t="shared" si="9"/>
        <v>100</v>
      </c>
      <c r="AF60" s="55" t="s">
        <v>115</v>
      </c>
      <c r="AG60" s="53">
        <f t="shared" si="10"/>
        <v>3</v>
      </c>
      <c r="AH60" s="51" t="str">
        <f t="shared" si="11"/>
        <v>Keg</v>
      </c>
      <c r="AI60" s="56">
        <f t="shared" si="12"/>
        <v>653500000</v>
      </c>
      <c r="AJ60" s="54"/>
      <c r="AK60" s="55" t="s">
        <v>115</v>
      </c>
      <c r="AL60" s="54"/>
      <c r="AM60" s="26"/>
      <c r="AP60" s="4"/>
    </row>
    <row r="61" spans="1:42" ht="15" x14ac:dyDescent="0.2">
      <c r="A61" s="180" t="s">
        <v>31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2"/>
      <c r="AB61" s="85">
        <f>AVERAGE(AB16:AB60)</f>
        <v>100</v>
      </c>
      <c r="AC61" s="86"/>
      <c r="AD61" s="87"/>
      <c r="AE61" s="85">
        <f>AVERAGE(AE16,AE44,AE56)</f>
        <v>91.300065945777575</v>
      </c>
      <c r="AF61" s="86"/>
      <c r="AG61" s="88"/>
      <c r="AH61" s="86"/>
      <c r="AI61" s="88"/>
      <c r="AJ61" s="88"/>
      <c r="AK61" s="86"/>
      <c r="AL61" s="89"/>
      <c r="AM61" s="26"/>
    </row>
    <row r="62" spans="1:42" ht="15" x14ac:dyDescent="0.2">
      <c r="A62" s="180" t="s">
        <v>32</v>
      </c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2"/>
      <c r="AB62" s="90" t="str">
        <f>IF(AB61&gt;=91,"Sangat Tinggi",IF(AB61&gt;=76,"Tinggi",IF(AB61&gt;=66,"Sedang",IF(AB61&gt;=51,"Rendah",IF(AB61&lt;=50,"Sangat Rendah")))))</f>
        <v>Sangat Tinggi</v>
      </c>
      <c r="AC62" s="86"/>
      <c r="AD62" s="91"/>
      <c r="AE62" s="90" t="str">
        <f>IF(AE61&gt;=91,"Sangat Tinggi",IF(AE61&gt;=76,"Tinggi",IF(AE61&gt;=66,"Sedang",IF(AE61&gt;=51,"Rendah",IF(AE61&lt;=50,"Sangat Rendah")))))</f>
        <v>Sangat Tinggi</v>
      </c>
      <c r="AF62" s="86"/>
      <c r="AG62" s="92"/>
      <c r="AH62" s="86"/>
      <c r="AI62" s="93"/>
      <c r="AJ62" s="92"/>
      <c r="AK62" s="86"/>
      <c r="AL62" s="94"/>
      <c r="AM62" s="26"/>
    </row>
    <row r="63" spans="1:42" ht="15.75" x14ac:dyDescent="0.2">
      <c r="A63" s="157" t="s">
        <v>164</v>
      </c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26"/>
    </row>
    <row r="64" spans="1:42" s="15" customFormat="1" ht="14.1" customHeight="1" x14ac:dyDescent="0.2">
      <c r="A64" s="173" t="s">
        <v>165</v>
      </c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26"/>
    </row>
    <row r="65" spans="1:39" s="15" customFormat="1" ht="15" x14ac:dyDescent="0.2">
      <c r="A65" s="173" t="s">
        <v>154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26"/>
    </row>
    <row r="66" spans="1:39" s="15" customFormat="1" ht="15" x14ac:dyDescent="0.2">
      <c r="A66" s="188" t="s">
        <v>162</v>
      </c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90"/>
      <c r="AM66" s="26"/>
    </row>
    <row r="67" spans="1:39" s="15" customFormat="1" ht="15.75" x14ac:dyDescent="0.2">
      <c r="A67" s="183" t="s">
        <v>155</v>
      </c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26"/>
    </row>
    <row r="68" spans="1:39" s="15" customFormat="1" ht="15" x14ac:dyDescent="0.2">
      <c r="A68" s="188" t="s">
        <v>156</v>
      </c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90"/>
      <c r="AM68" s="26"/>
    </row>
    <row r="69" spans="1:39" s="15" customFormat="1" ht="15" x14ac:dyDescent="0.2">
      <c r="A69" s="188" t="s">
        <v>160</v>
      </c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90"/>
      <c r="AM69" s="26"/>
    </row>
    <row r="70" spans="1:39" s="15" customFormat="1" ht="15" x14ac:dyDescent="0.2">
      <c r="A70" s="188" t="s">
        <v>157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90"/>
      <c r="AM70" s="26"/>
    </row>
    <row r="71" spans="1:39" s="15" customFormat="1" ht="15" x14ac:dyDescent="0.2">
      <c r="A71" s="188" t="s">
        <v>158</v>
      </c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90"/>
      <c r="AM71" s="26"/>
    </row>
    <row r="72" spans="1:39" s="15" customFormat="1" ht="15" x14ac:dyDescent="0.2">
      <c r="A72" s="188" t="s">
        <v>163</v>
      </c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90"/>
      <c r="AM72" s="26"/>
    </row>
    <row r="73" spans="1:39" ht="15.75" x14ac:dyDescent="0.2">
      <c r="A73" s="183" t="s">
        <v>166</v>
      </c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26"/>
    </row>
    <row r="74" spans="1:39" ht="15" x14ac:dyDescent="0.2">
      <c r="A74" s="188" t="s">
        <v>159</v>
      </c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90"/>
      <c r="AM74" s="26"/>
    </row>
    <row r="75" spans="1:39" ht="15" x14ac:dyDescent="0.2">
      <c r="A75" s="188" t="s">
        <v>167</v>
      </c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90"/>
      <c r="AM75" s="26"/>
    </row>
    <row r="76" spans="1:39" ht="15" x14ac:dyDescent="0.2">
      <c r="A76" s="173" t="s">
        <v>161</v>
      </c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95"/>
    </row>
    <row r="77" spans="1:39" s="12" customFormat="1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4"/>
    </row>
    <row r="78" spans="1:39" ht="15" x14ac:dyDescent="0.2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</row>
    <row r="79" spans="1:39" s="12" customFormat="1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4"/>
    </row>
    <row r="80" spans="1:39" ht="15" x14ac:dyDescent="0.2">
      <c r="A80" s="187"/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</row>
    <row r="81" spans="1:39" ht="1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84" t="s">
        <v>54</v>
      </c>
      <c r="AA81" s="184"/>
      <c r="AB81" s="184"/>
      <c r="AC81" s="184"/>
      <c r="AD81" s="184"/>
      <c r="AE81" s="184"/>
      <c r="AF81" s="6"/>
      <c r="AG81" s="5"/>
      <c r="AH81" s="184" t="s">
        <v>55</v>
      </c>
      <c r="AI81" s="184"/>
      <c r="AJ81" s="184"/>
      <c r="AK81" s="184"/>
      <c r="AL81" s="184"/>
      <c r="AM81" s="184"/>
    </row>
    <row r="82" spans="1:39" ht="15.75" x14ac:dyDescent="0.25">
      <c r="A82" s="10"/>
      <c r="B82" s="1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84" t="s">
        <v>181</v>
      </c>
      <c r="AA82" s="184"/>
      <c r="AB82" s="184"/>
      <c r="AC82" s="184"/>
      <c r="AD82" s="184"/>
      <c r="AE82" s="184"/>
      <c r="AF82" s="6"/>
      <c r="AG82" s="5"/>
      <c r="AH82" s="184" t="s">
        <v>181</v>
      </c>
      <c r="AI82" s="184"/>
      <c r="AJ82" s="184"/>
      <c r="AK82" s="184"/>
      <c r="AL82" s="184"/>
      <c r="AM82" s="184"/>
    </row>
    <row r="83" spans="1:39" ht="15" x14ac:dyDescent="0.2">
      <c r="Z83" s="184" t="s">
        <v>60</v>
      </c>
      <c r="AA83" s="184"/>
      <c r="AB83" s="184"/>
      <c r="AC83" s="184"/>
      <c r="AD83" s="184"/>
      <c r="AE83" s="184"/>
      <c r="AH83" s="184" t="s">
        <v>56</v>
      </c>
      <c r="AI83" s="184"/>
      <c r="AJ83" s="184"/>
      <c r="AK83" s="184"/>
      <c r="AL83" s="184"/>
      <c r="AM83" s="184"/>
    </row>
    <row r="84" spans="1:39" ht="15" x14ac:dyDescent="0.2">
      <c r="Z84" s="184" t="s">
        <v>57</v>
      </c>
      <c r="AA84" s="184"/>
      <c r="AB84" s="184"/>
      <c r="AC84" s="184"/>
      <c r="AD84" s="184"/>
      <c r="AE84" s="184"/>
      <c r="AH84" s="184" t="s">
        <v>57</v>
      </c>
      <c r="AI84" s="184"/>
      <c r="AJ84" s="184"/>
      <c r="AK84" s="184"/>
      <c r="AL84" s="184"/>
      <c r="AM84" s="184"/>
    </row>
    <row r="85" spans="1:39" ht="25.5" x14ac:dyDescent="0.2">
      <c r="A85" s="7" t="s">
        <v>33</v>
      </c>
      <c r="B85" s="7" t="s">
        <v>34</v>
      </c>
      <c r="C85" s="7" t="s">
        <v>35</v>
      </c>
      <c r="Z85" s="5"/>
      <c r="AA85" s="6"/>
      <c r="AB85" s="5"/>
      <c r="AC85" s="6"/>
      <c r="AD85" s="5"/>
      <c r="AH85" s="5"/>
      <c r="AI85" s="6"/>
      <c r="AJ85" s="5"/>
      <c r="AK85" s="6"/>
      <c r="AL85" s="5"/>
    </row>
    <row r="86" spans="1:39" ht="25.5" x14ac:dyDescent="0.25">
      <c r="A86" s="8" t="s">
        <v>36</v>
      </c>
      <c r="B86" s="8" t="s">
        <v>37</v>
      </c>
      <c r="C86" s="8" t="s">
        <v>38</v>
      </c>
      <c r="Z86" s="185" t="s">
        <v>61</v>
      </c>
      <c r="AA86" s="185"/>
      <c r="AB86" s="185"/>
      <c r="AC86" s="185"/>
      <c r="AD86" s="185"/>
      <c r="AE86" s="185"/>
      <c r="AH86" s="185" t="s">
        <v>58</v>
      </c>
      <c r="AI86" s="185"/>
      <c r="AJ86" s="185"/>
      <c r="AK86" s="185"/>
      <c r="AL86" s="185"/>
      <c r="AM86" s="185"/>
    </row>
    <row r="87" spans="1:39" ht="25.5" x14ac:dyDescent="0.2">
      <c r="A87" s="8" t="s">
        <v>39</v>
      </c>
      <c r="B87" s="8" t="s">
        <v>40</v>
      </c>
      <c r="C87" s="8" t="s">
        <v>41</v>
      </c>
      <c r="Z87" s="186" t="s">
        <v>62</v>
      </c>
      <c r="AA87" s="186"/>
      <c r="AB87" s="186"/>
      <c r="AC87" s="186"/>
      <c r="AD87" s="186"/>
      <c r="AE87" s="186"/>
      <c r="AH87" s="186" t="s">
        <v>59</v>
      </c>
      <c r="AI87" s="186"/>
      <c r="AJ87" s="186"/>
      <c r="AK87" s="186"/>
      <c r="AL87" s="186"/>
      <c r="AM87" s="186"/>
    </row>
    <row r="88" spans="1:39" ht="25.5" x14ac:dyDescent="0.2">
      <c r="A88" s="8" t="s">
        <v>42</v>
      </c>
      <c r="B88" s="8" t="s">
        <v>43</v>
      </c>
      <c r="C88" s="8" t="s">
        <v>44</v>
      </c>
    </row>
    <row r="89" spans="1:39" ht="25.5" x14ac:dyDescent="0.2">
      <c r="A89" s="8" t="s">
        <v>45</v>
      </c>
      <c r="B89" s="8" t="s">
        <v>46</v>
      </c>
      <c r="C89" s="8" t="s">
        <v>47</v>
      </c>
    </row>
    <row r="90" spans="1:39" ht="25.5" x14ac:dyDescent="0.2">
      <c r="A90" s="8" t="s">
        <v>48</v>
      </c>
      <c r="B90" s="9" t="s">
        <v>49</v>
      </c>
      <c r="C90" s="8" t="s">
        <v>50</v>
      </c>
    </row>
  </sheetData>
  <mergeCells count="105">
    <mergeCell ref="A80:AL80"/>
    <mergeCell ref="A78:AL78"/>
    <mergeCell ref="A66:AL66"/>
    <mergeCell ref="A72:AL72"/>
    <mergeCell ref="A73:AL73"/>
    <mergeCell ref="A74:AL74"/>
    <mergeCell ref="A75:AL75"/>
    <mergeCell ref="A68:AL68"/>
    <mergeCell ref="A69:AL69"/>
    <mergeCell ref="A70:AL70"/>
    <mergeCell ref="A71:AL71"/>
    <mergeCell ref="Z84:AE84"/>
    <mergeCell ref="AH84:AM84"/>
    <mergeCell ref="Z86:AE86"/>
    <mergeCell ref="AH86:AM86"/>
    <mergeCell ref="Z87:AE87"/>
    <mergeCell ref="AH87:AM87"/>
    <mergeCell ref="Z81:AE81"/>
    <mergeCell ref="AH81:AM81"/>
    <mergeCell ref="Z82:AE82"/>
    <mergeCell ref="AH82:AM82"/>
    <mergeCell ref="Z83:AE83"/>
    <mergeCell ref="AH83:AM83"/>
    <mergeCell ref="A64:AL64"/>
    <mergeCell ref="A65:AL65"/>
    <mergeCell ref="A76:AL76"/>
    <mergeCell ref="J13:J15"/>
    <mergeCell ref="K13:L15"/>
    <mergeCell ref="M13:M15"/>
    <mergeCell ref="N13:O15"/>
    <mergeCell ref="A61:AA61"/>
    <mergeCell ref="A62:AA62"/>
    <mergeCell ref="A67:AL67"/>
    <mergeCell ref="A10:A12"/>
    <mergeCell ref="B10:B12"/>
    <mergeCell ref="C10:C12"/>
    <mergeCell ref="D10:D12"/>
    <mergeCell ref="A63:AL63"/>
    <mergeCell ref="A13:A15"/>
    <mergeCell ref="B13:B15"/>
    <mergeCell ref="C13:C15"/>
    <mergeCell ref="D13:D15"/>
    <mergeCell ref="E13:F15"/>
    <mergeCell ref="G13:G15"/>
    <mergeCell ref="H13:I15"/>
    <mergeCell ref="Q11:R12"/>
    <mergeCell ref="S11:S12"/>
    <mergeCell ref="Z12:AA12"/>
    <mergeCell ref="AE11:AF11"/>
    <mergeCell ref="AE12:AF12"/>
    <mergeCell ref="T11:U12"/>
    <mergeCell ref="V11:V12"/>
    <mergeCell ref="W11:X12"/>
    <mergeCell ref="Y11:Y12"/>
    <mergeCell ref="M11:M12"/>
    <mergeCell ref="N11:O12"/>
    <mergeCell ref="P11:P12"/>
    <mergeCell ref="K10:M10"/>
    <mergeCell ref="N10:P10"/>
    <mergeCell ref="Q10:S10"/>
    <mergeCell ref="T10:V10"/>
    <mergeCell ref="AG12:AH12"/>
    <mergeCell ref="AJ12:AK12"/>
    <mergeCell ref="Z11:AA11"/>
    <mergeCell ref="AG11:AH11"/>
    <mergeCell ref="AJ11:AK11"/>
    <mergeCell ref="AB11:AC11"/>
    <mergeCell ref="AB12:AC12"/>
    <mergeCell ref="E11:F12"/>
    <mergeCell ref="G11:G12"/>
    <mergeCell ref="H11:I12"/>
    <mergeCell ref="J11:J12"/>
    <mergeCell ref="K11:L12"/>
    <mergeCell ref="W10:Y10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10:AF10"/>
    <mergeCell ref="H7:J9"/>
    <mergeCell ref="AG10:AI10"/>
    <mergeCell ref="AJ10:AL10"/>
    <mergeCell ref="A1:AL1"/>
    <mergeCell ref="A2:AL2"/>
    <mergeCell ref="A3:AL3"/>
    <mergeCell ref="A4:AL4"/>
    <mergeCell ref="A5:AL5"/>
    <mergeCell ref="A6:AL6"/>
    <mergeCell ref="Z7:AF8"/>
    <mergeCell ref="Z9:AF9"/>
    <mergeCell ref="A7:A9"/>
    <mergeCell ref="B7:B9"/>
    <mergeCell ref="C7:C9"/>
    <mergeCell ref="D7:D9"/>
    <mergeCell ref="E7:G9"/>
  </mergeCells>
  <printOptions horizontalCentered="1"/>
  <pageMargins left="0.23622047244094491" right="0.23622047244094491" top="3.937007874015748E-2" bottom="3.937007874015748E-2" header="0" footer="0"/>
  <pageSetup paperSize="256" scale="34" orientation="landscape" horizontalDpi="4294967293" r:id="rId1"/>
  <rowBreaks count="1" manualBreakCount="1">
    <brk id="52" max="3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Satpol PP dan Damkar</vt:lpstr>
      <vt:lpstr>'Satpol PP dan Damkar'!Print_Area</vt:lpstr>
      <vt:lpstr>'Satpol PP dan Damkar'!Print_Titles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2020-04-29T01:21:01Z</cp:lastPrinted>
  <dcterms:created xsi:type="dcterms:W3CDTF">2020-03-18T05:59:44Z</dcterms:created>
  <dcterms:modified xsi:type="dcterms:W3CDTF">2022-01-07T02:37:32Z</dcterms:modified>
</cp:coreProperties>
</file>