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DATA PINDAHAN\2022\Pengendalian dan Evaluasi Renja, RKPD, RPJMD\Form E.81 TW IV\PD Ori\"/>
    </mc:Choice>
  </mc:AlternateContent>
  <xr:revisionPtr revIDLastSave="0" documentId="13_ncr:1_{B54A64FF-C664-4DC2-BBE0-1D49D7BE266D}" xr6:coauthVersionLast="47" xr6:coauthVersionMax="47" xr10:uidLastSave="{00000000-0000-0000-0000-000000000000}"/>
  <bookViews>
    <workbookView xWindow="-120" yWindow="-120" windowWidth="29040" windowHeight="15840" xr2:uid="{00000000-000D-0000-FFFF-FFFF00000000}"/>
  </bookViews>
  <sheets>
    <sheet name="E. 81" sheetId="1" r:id="rId1"/>
  </sheets>
  <definedNames>
    <definedName name="_xlnm.Print_Area" localSheetId="0">'E. 81'!$A$1:$AE$137</definedName>
    <definedName name="_xlnm.Print_Titles" localSheetId="0">'E. 81'!$7:$12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0" i="1" l="1"/>
  <c r="T130" i="1"/>
  <c r="U61" i="1"/>
  <c r="S70" i="1"/>
  <c r="S68" i="1" s="1"/>
  <c r="S65" i="1"/>
  <c r="S63" i="1"/>
  <c r="S61" i="1" l="1"/>
  <c r="S49" i="1" l="1"/>
  <c r="S44" i="1"/>
  <c r="S33" i="1"/>
  <c r="S25" i="1"/>
  <c r="S21" i="1"/>
  <c r="S87" i="1"/>
  <c r="S86" i="1" s="1"/>
  <c r="S84" i="1"/>
  <c r="S83" i="1" s="1"/>
  <c r="S74" i="1"/>
  <c r="S73" i="1" s="1"/>
  <c r="S59" i="1"/>
  <c r="S56" i="1"/>
  <c r="S16" i="1" l="1"/>
  <c r="S54" i="1"/>
  <c r="S126" i="1" l="1"/>
  <c r="S125" i="1" s="1"/>
  <c r="S115" i="1"/>
  <c r="S114" i="1" s="1"/>
  <c r="Q115" i="1"/>
  <c r="O115" i="1"/>
  <c r="M115" i="1"/>
  <c r="S111" i="1"/>
  <c r="S110" i="1" s="1"/>
  <c r="S93" i="1"/>
  <c r="S105" i="1"/>
  <c r="S102" i="1" s="1"/>
  <c r="S122" i="1"/>
  <c r="S121" i="1" s="1"/>
  <c r="K93" i="1" l="1"/>
  <c r="W109" i="1" l="1"/>
  <c r="T109" i="1"/>
  <c r="Z109" i="1" s="1"/>
  <c r="U109" i="1" s="1"/>
  <c r="T108" i="1"/>
  <c r="J108" i="1"/>
  <c r="J105" i="1" s="1"/>
  <c r="H108" i="1"/>
  <c r="T107" i="1"/>
  <c r="T106" i="1"/>
  <c r="R105" i="1"/>
  <c r="Q105" i="1"/>
  <c r="Q102" i="1" s="1"/>
  <c r="P105" i="1"/>
  <c r="O105" i="1"/>
  <c r="O102" i="1" s="1"/>
  <c r="N105" i="1"/>
  <c r="M105" i="1"/>
  <c r="M102" i="1" s="1"/>
  <c r="L105" i="1"/>
  <c r="K105" i="1"/>
  <c r="K102" i="1" s="1"/>
  <c r="I105" i="1"/>
  <c r="G105" i="1"/>
  <c r="G102" i="1" s="1"/>
  <c r="T104" i="1"/>
  <c r="U104" i="1" s="1"/>
  <c r="T103" i="1"/>
  <c r="U103" i="1" s="1"/>
  <c r="T102" i="1"/>
  <c r="U102" i="1" s="1"/>
  <c r="T105" i="1" l="1"/>
  <c r="Z105" i="1" s="1"/>
  <c r="U105" i="1" s="1"/>
  <c r="I102" i="1"/>
  <c r="W105" i="1"/>
  <c r="AA105" i="1" s="1"/>
  <c r="W102" i="1"/>
  <c r="X102" i="1" s="1"/>
  <c r="Z108" i="1"/>
  <c r="U108" i="1" s="1"/>
  <c r="Z102" i="1"/>
  <c r="Z106" i="1"/>
  <c r="U106" i="1"/>
  <c r="Z107" i="1"/>
  <c r="U107" i="1"/>
  <c r="AA109" i="1"/>
  <c r="X109" i="1"/>
  <c r="X105" i="1" l="1"/>
  <c r="AA102" i="1"/>
  <c r="S100" i="1"/>
  <c r="S90" i="1" s="1"/>
  <c r="Z118" i="1"/>
  <c r="S119" i="1"/>
  <c r="S118" i="1" s="1"/>
  <c r="AH120" i="1"/>
  <c r="AI120" i="1" s="1"/>
  <c r="Z120" i="1"/>
  <c r="U120" i="1" s="1"/>
  <c r="Z114" i="1"/>
  <c r="W117" i="1"/>
  <c r="AH117" i="1" s="1"/>
  <c r="W116" i="1"/>
  <c r="AH118" i="1" l="1"/>
  <c r="X117" i="1"/>
  <c r="T117" i="1" l="1"/>
  <c r="AA116" i="1"/>
  <c r="AI116" i="1" l="1"/>
  <c r="T115" i="1"/>
  <c r="Z115" i="1" s="1"/>
  <c r="U115" i="1" s="1"/>
  <c r="X116" i="1" l="1"/>
  <c r="Q111" i="1" l="1"/>
  <c r="Q110" i="1" s="1"/>
  <c r="Q59" i="1"/>
  <c r="Q56" i="1"/>
  <c r="T72" i="1"/>
  <c r="Z72" i="1" s="1"/>
  <c r="T67" i="1"/>
  <c r="U67" i="1" s="1"/>
  <c r="Q54" i="1" l="1"/>
  <c r="U72" i="1"/>
  <c r="T126" i="1"/>
  <c r="Z126" i="1" s="1"/>
  <c r="T122" i="1"/>
  <c r="Z122" i="1" s="1"/>
  <c r="T94" i="1"/>
  <c r="U94" i="1" s="1"/>
  <c r="T95" i="1"/>
  <c r="U95" i="1" s="1"/>
  <c r="T96" i="1"/>
  <c r="U96" i="1" s="1"/>
  <c r="T75" i="1"/>
  <c r="T29" i="1"/>
  <c r="U29" i="1" s="1"/>
  <c r="T88" i="1"/>
  <c r="U88" i="1" s="1"/>
  <c r="T71" i="1"/>
  <c r="T70" i="1"/>
  <c r="U70" i="1" s="1"/>
  <c r="T66" i="1"/>
  <c r="Z66" i="1" s="1"/>
  <c r="U66" i="1" s="1"/>
  <c r="T50" i="1"/>
  <c r="U50" i="1" s="1"/>
  <c r="T45" i="1"/>
  <c r="U45" i="1" s="1"/>
  <c r="T34" i="1"/>
  <c r="Z34" i="1" s="1"/>
  <c r="T35" i="1"/>
  <c r="Z35" i="1" s="1"/>
  <c r="T36" i="1"/>
  <c r="U36" i="1" s="1"/>
  <c r="T37" i="1"/>
  <c r="Z37" i="1" s="1"/>
  <c r="T26" i="1"/>
  <c r="Z26" i="1" s="1"/>
  <c r="T27" i="1"/>
  <c r="Z27" i="1" s="1"/>
  <c r="T28" i="1"/>
  <c r="Z28" i="1" s="1"/>
  <c r="T22" i="1"/>
  <c r="U22" i="1" s="1"/>
  <c r="T125" i="1"/>
  <c r="Z125" i="1" s="1"/>
  <c r="U125" i="1" s="1"/>
  <c r="Z71" i="1" l="1"/>
  <c r="U71" i="1"/>
  <c r="Z95" i="1"/>
  <c r="Z94" i="1"/>
  <c r="Z96" i="1"/>
  <c r="Z70" i="1"/>
  <c r="Z88" i="1"/>
  <c r="Z50" i="1"/>
  <c r="Z45" i="1"/>
  <c r="Z36" i="1"/>
  <c r="U35" i="1"/>
  <c r="U34" i="1"/>
  <c r="U37" i="1"/>
  <c r="U28" i="1"/>
  <c r="U26" i="1"/>
  <c r="U27" i="1"/>
  <c r="O126" i="1"/>
  <c r="O125" i="1" s="1"/>
  <c r="T111" i="1"/>
  <c r="T110" i="1"/>
  <c r="U110" i="1" s="1"/>
  <c r="T74" i="1"/>
  <c r="T90" i="1"/>
  <c r="U90" i="1" s="1"/>
  <c r="T17" i="1"/>
  <c r="T18" i="1"/>
  <c r="T19" i="1"/>
  <c r="T20" i="1"/>
  <c r="T16" i="1"/>
  <c r="Z16" i="1" s="1"/>
  <c r="U118" i="1" l="1"/>
  <c r="Z90" i="1"/>
  <c r="U17" i="1" l="1"/>
  <c r="U18" i="1"/>
  <c r="U19" i="1"/>
  <c r="U20" i="1"/>
  <c r="U16" i="1"/>
  <c r="Q126" i="1" l="1"/>
  <c r="Q125" i="1" s="1"/>
  <c r="Q122" i="1"/>
  <c r="Q121" i="1" s="1"/>
  <c r="Q119" i="1"/>
  <c r="Q118" i="1" s="1"/>
  <c r="Q114" i="1"/>
  <c r="Q100" i="1"/>
  <c r="Q93" i="1"/>
  <c r="Q87" i="1"/>
  <c r="Q86" i="1" s="1"/>
  <c r="Q74" i="1"/>
  <c r="Q73" i="1" s="1"/>
  <c r="Q70" i="1"/>
  <c r="Q68" i="1" s="1"/>
  <c r="Q65" i="1"/>
  <c r="Q63" i="1"/>
  <c r="Q49" i="1"/>
  <c r="Q44" i="1"/>
  <c r="Q33" i="1"/>
  <c r="Q25" i="1"/>
  <c r="Q21" i="1"/>
  <c r="Q90" i="1" l="1"/>
  <c r="Q61" i="1"/>
  <c r="Q16" i="1"/>
  <c r="W130" i="1" l="1"/>
  <c r="Z130" i="1"/>
  <c r="W129" i="1"/>
  <c r="X129" i="1" s="1"/>
  <c r="T129" i="1"/>
  <c r="W128" i="1"/>
  <c r="AA128" i="1" s="1"/>
  <c r="T128" i="1"/>
  <c r="U128" i="1" s="1"/>
  <c r="W127" i="1"/>
  <c r="X127" i="1" s="1"/>
  <c r="T127" i="1"/>
  <c r="U127" i="1" s="1"/>
  <c r="M126" i="1"/>
  <c r="M125" i="1" s="1"/>
  <c r="W125" i="1" s="1"/>
  <c r="K126" i="1"/>
  <c r="K125" i="1" s="1"/>
  <c r="I126" i="1"/>
  <c r="G126" i="1"/>
  <c r="G125" i="1" s="1"/>
  <c r="AA130" i="1" l="1"/>
  <c r="X130" i="1"/>
  <c r="Z129" i="1"/>
  <c r="U129" i="1"/>
  <c r="X125" i="1"/>
  <c r="U126" i="1"/>
  <c r="Z128" i="1"/>
  <c r="W126" i="1"/>
  <c r="X126" i="1" s="1"/>
  <c r="Z127" i="1"/>
  <c r="AA127" i="1"/>
  <c r="X128" i="1"/>
  <c r="AA129" i="1"/>
  <c r="I125" i="1"/>
  <c r="AA125" i="1" s="1"/>
  <c r="AA126" i="1" l="1"/>
  <c r="O122" i="1" l="1"/>
  <c r="O121" i="1" s="1"/>
  <c r="M122" i="1"/>
  <c r="M121" i="1" s="1"/>
  <c r="O119" i="1"/>
  <c r="O118" i="1" s="1"/>
  <c r="M119" i="1"/>
  <c r="M118" i="1" s="1"/>
  <c r="O114" i="1"/>
  <c r="O93" i="1"/>
  <c r="O90" i="1" s="1"/>
  <c r="M93" i="1"/>
  <c r="O87" i="1"/>
  <c r="O86" i="1" s="1"/>
  <c r="M87" i="1"/>
  <c r="M86" i="1" s="1"/>
  <c r="O74" i="1"/>
  <c r="M74" i="1"/>
  <c r="M70" i="1"/>
  <c r="O70" i="1"/>
  <c r="O68" i="1" s="1"/>
  <c r="O65" i="1"/>
  <c r="M65" i="1"/>
  <c r="O56" i="1"/>
  <c r="O54" i="1" s="1"/>
  <c r="O55" i="1" s="1"/>
  <c r="O44" i="1"/>
  <c r="O33" i="1"/>
  <c r="O25" i="1"/>
  <c r="M114" i="1" l="1"/>
  <c r="W115" i="1"/>
  <c r="W86" i="1"/>
  <c r="J111" i="1"/>
  <c r="W124" i="1" l="1"/>
  <c r="X124" i="1" s="1"/>
  <c r="T124" i="1"/>
  <c r="Z124" i="1" s="1"/>
  <c r="W123" i="1"/>
  <c r="AA123" i="1" s="1"/>
  <c r="T123" i="1"/>
  <c r="E123" i="1"/>
  <c r="W121" i="1"/>
  <c r="K122" i="1"/>
  <c r="K121" i="1" s="1"/>
  <c r="I122" i="1"/>
  <c r="I121" i="1" s="1"/>
  <c r="G122" i="1"/>
  <c r="G121" i="1" s="1"/>
  <c r="T121" i="1"/>
  <c r="W120" i="1"/>
  <c r="X120" i="1" s="1"/>
  <c r="W119" i="1"/>
  <c r="Z119" i="1"/>
  <c r="U119" i="1" s="1"/>
  <c r="K119" i="1"/>
  <c r="K118" i="1" s="1"/>
  <c r="I119" i="1"/>
  <c r="I118" i="1" s="1"/>
  <c r="G119" i="1"/>
  <c r="G118" i="1" s="1"/>
  <c r="W118" i="1"/>
  <c r="Z117" i="1"/>
  <c r="AA117" i="1"/>
  <c r="T116" i="1"/>
  <c r="Z116" i="1" s="1"/>
  <c r="K115" i="1"/>
  <c r="X115" i="1" s="1"/>
  <c r="I115" i="1"/>
  <c r="I114" i="1" s="1"/>
  <c r="G115" i="1"/>
  <c r="G114" i="1" s="1"/>
  <c r="W113" i="1"/>
  <c r="X113" i="1" s="1"/>
  <c r="T113" i="1"/>
  <c r="U113" i="1" s="1"/>
  <c r="W112" i="1"/>
  <c r="T112" i="1"/>
  <c r="U112" i="1" s="1"/>
  <c r="Z111" i="1"/>
  <c r="U111" i="1" s="1"/>
  <c r="M111" i="1"/>
  <c r="W111" i="1" s="1"/>
  <c r="K111" i="1"/>
  <c r="K110" i="1" s="1"/>
  <c r="I111" i="1"/>
  <c r="G111" i="1"/>
  <c r="G110" i="1" s="1"/>
  <c r="W101" i="1"/>
  <c r="T101" i="1"/>
  <c r="U101" i="1" s="1"/>
  <c r="E101" i="1"/>
  <c r="T100" i="1"/>
  <c r="U100" i="1" s="1"/>
  <c r="M100" i="1"/>
  <c r="K100" i="1"/>
  <c r="I100" i="1"/>
  <c r="G100" i="1"/>
  <c r="E100" i="1"/>
  <c r="W99" i="1"/>
  <c r="X99" i="1" s="1"/>
  <c r="T99" i="1"/>
  <c r="W98" i="1"/>
  <c r="AA98" i="1" s="1"/>
  <c r="T98" i="1"/>
  <c r="U98" i="1" s="1"/>
  <c r="W97" i="1"/>
  <c r="X97" i="1" s="1"/>
  <c r="T97" i="1"/>
  <c r="Z97" i="1" s="1"/>
  <c r="W93" i="1"/>
  <c r="T93" i="1"/>
  <c r="K90" i="1"/>
  <c r="I93" i="1"/>
  <c r="G93" i="1"/>
  <c r="T92" i="1"/>
  <c r="Z92" i="1" s="1"/>
  <c r="J92" i="1"/>
  <c r="T91" i="1"/>
  <c r="W89" i="1"/>
  <c r="X89" i="1" s="1"/>
  <c r="T89" i="1"/>
  <c r="L87" i="1"/>
  <c r="T87" i="1" s="1"/>
  <c r="K87" i="1"/>
  <c r="K86" i="1" s="1"/>
  <c r="X86" i="1" s="1"/>
  <c r="I87" i="1"/>
  <c r="I86" i="1" s="1"/>
  <c r="G87" i="1"/>
  <c r="G86" i="1" s="1"/>
  <c r="J86" i="1"/>
  <c r="H86" i="1"/>
  <c r="E86" i="1"/>
  <c r="W85" i="1"/>
  <c r="AA85" i="1" s="1"/>
  <c r="T85" i="1"/>
  <c r="Z85" i="1" s="1"/>
  <c r="U85" i="1" s="1"/>
  <c r="G85" i="1"/>
  <c r="G84" i="1" s="1"/>
  <c r="G83" i="1" s="1"/>
  <c r="M84" i="1"/>
  <c r="M83" i="1" s="1"/>
  <c r="W83" i="1" s="1"/>
  <c r="X83" i="1" s="1"/>
  <c r="L84" i="1"/>
  <c r="K84" i="1"/>
  <c r="K83" i="1" s="1"/>
  <c r="I84" i="1"/>
  <c r="I83" i="1" s="1"/>
  <c r="W82" i="1"/>
  <c r="X82" i="1" s="1"/>
  <c r="T82" i="1"/>
  <c r="Z82" i="1" s="1"/>
  <c r="U82" i="1" s="1"/>
  <c r="W81" i="1"/>
  <c r="AA81" i="1" s="1"/>
  <c r="T81" i="1"/>
  <c r="Z81" i="1" s="1"/>
  <c r="U81" i="1" s="1"/>
  <c r="M80" i="1"/>
  <c r="M79" i="1" s="1"/>
  <c r="W79" i="1" s="1"/>
  <c r="L80" i="1"/>
  <c r="T80" i="1" s="1"/>
  <c r="Z80" i="1" s="1"/>
  <c r="U80" i="1" s="1"/>
  <c r="K80" i="1"/>
  <c r="K79" i="1" s="1"/>
  <c r="I80" i="1"/>
  <c r="G80" i="1"/>
  <c r="G82" i="1" s="1"/>
  <c r="W78" i="1"/>
  <c r="T78" i="1"/>
  <c r="Z78" i="1" s="1"/>
  <c r="U78" i="1" s="1"/>
  <c r="G78" i="1"/>
  <c r="G77" i="1" s="1"/>
  <c r="G76" i="1" s="1"/>
  <c r="M77" i="1"/>
  <c r="W77" i="1" s="1"/>
  <c r="L77" i="1"/>
  <c r="T77" i="1" s="1"/>
  <c r="Z77" i="1" s="1"/>
  <c r="U77" i="1" s="1"/>
  <c r="K77" i="1"/>
  <c r="K76" i="1" s="1"/>
  <c r="I77" i="1"/>
  <c r="Z75" i="1"/>
  <c r="U75" i="1" s="1"/>
  <c r="W75" i="1"/>
  <c r="M73" i="1"/>
  <c r="K74" i="1"/>
  <c r="K73" i="1" s="1"/>
  <c r="I74" i="1"/>
  <c r="I73" i="1" s="1"/>
  <c r="G74" i="1"/>
  <c r="G73" i="1" s="1"/>
  <c r="L73" i="1"/>
  <c r="T73" i="1" s="1"/>
  <c r="U73" i="1" s="1"/>
  <c r="W71" i="1"/>
  <c r="W70" i="1"/>
  <c r="K70" i="1"/>
  <c r="K68" i="1" s="1"/>
  <c r="I70" i="1"/>
  <c r="M68" i="1"/>
  <c r="W68" i="1" s="1"/>
  <c r="L68" i="1"/>
  <c r="T68" i="1" s="1"/>
  <c r="Z67" i="1"/>
  <c r="W67" i="1"/>
  <c r="X67" i="1" s="1"/>
  <c r="T65" i="1"/>
  <c r="U65" i="1" s="1"/>
  <c r="K65" i="1"/>
  <c r="I65" i="1"/>
  <c r="G65" i="1"/>
  <c r="G61" i="1" s="1"/>
  <c r="T64" i="1"/>
  <c r="U64" i="1" s="1"/>
  <c r="W64" i="1"/>
  <c r="T63" i="1"/>
  <c r="Z63" i="1" s="1"/>
  <c r="U63" i="1" s="1"/>
  <c r="M63" i="1"/>
  <c r="M61" i="1" s="1"/>
  <c r="K63" i="1"/>
  <c r="I63" i="1"/>
  <c r="L61" i="1"/>
  <c r="Z61" i="1" s="1"/>
  <c r="W60" i="1"/>
  <c r="X60" i="1" s="1"/>
  <c r="T60" i="1"/>
  <c r="Z60" i="1" s="1"/>
  <c r="E60" i="1"/>
  <c r="T59" i="1"/>
  <c r="Z59" i="1" s="1"/>
  <c r="M59" i="1"/>
  <c r="W59" i="1" s="1"/>
  <c r="K59" i="1"/>
  <c r="J59" i="1"/>
  <c r="I59" i="1"/>
  <c r="G59" i="1"/>
  <c r="G60" i="1" s="1"/>
  <c r="W58" i="1"/>
  <c r="X58" i="1" s="1"/>
  <c r="T58" i="1"/>
  <c r="U58" i="1" s="1"/>
  <c r="G58" i="1"/>
  <c r="G56" i="1" s="1"/>
  <c r="E58" i="1"/>
  <c r="W57" i="1"/>
  <c r="X57" i="1" s="1"/>
  <c r="T57" i="1"/>
  <c r="Z57" i="1" s="1"/>
  <c r="E57" i="1"/>
  <c r="E56" i="1" s="1"/>
  <c r="T56" i="1"/>
  <c r="M56" i="1"/>
  <c r="W56" i="1" s="1"/>
  <c r="K56" i="1"/>
  <c r="J56" i="1"/>
  <c r="I56" i="1"/>
  <c r="T55" i="1"/>
  <c r="T54" i="1"/>
  <c r="Z54" i="1" s="1"/>
  <c r="T53" i="1"/>
  <c r="U53" i="1" s="1"/>
  <c r="W53" i="1"/>
  <c r="E53" i="1"/>
  <c r="T52" i="1"/>
  <c r="U52" i="1" s="1"/>
  <c r="W52" i="1"/>
  <c r="E52" i="1"/>
  <c r="T51" i="1"/>
  <c r="U51" i="1" s="1"/>
  <c r="W51" i="1"/>
  <c r="E51" i="1"/>
  <c r="T49" i="1"/>
  <c r="M49" i="1"/>
  <c r="K49" i="1"/>
  <c r="I49" i="1"/>
  <c r="G49" i="1"/>
  <c r="T48" i="1"/>
  <c r="U48" i="1" s="1"/>
  <c r="W48" i="1"/>
  <c r="E48" i="1"/>
  <c r="T47" i="1"/>
  <c r="U47" i="1" s="1"/>
  <c r="W47" i="1"/>
  <c r="E47" i="1"/>
  <c r="W46" i="1"/>
  <c r="X46" i="1" s="1"/>
  <c r="T46" i="1"/>
  <c r="U46" i="1" s="1"/>
  <c r="E46" i="1"/>
  <c r="T44" i="1"/>
  <c r="M44" i="1"/>
  <c r="K44" i="1"/>
  <c r="I44" i="1"/>
  <c r="G44" i="1"/>
  <c r="W43" i="1"/>
  <c r="AA43" i="1" s="1"/>
  <c r="T43" i="1"/>
  <c r="E43" i="1"/>
  <c r="W42" i="1"/>
  <c r="AA42" i="1" s="1"/>
  <c r="T42" i="1"/>
  <c r="U42" i="1" s="1"/>
  <c r="E42" i="1"/>
  <c r="W41" i="1"/>
  <c r="AA41" i="1" s="1"/>
  <c r="T41" i="1"/>
  <c r="U41" i="1" s="1"/>
  <c r="E41" i="1"/>
  <c r="W40" i="1"/>
  <c r="AA40" i="1" s="1"/>
  <c r="T40" i="1"/>
  <c r="U40" i="1" s="1"/>
  <c r="E40" i="1"/>
  <c r="W39" i="1"/>
  <c r="X39" i="1" s="1"/>
  <c r="T39" i="1"/>
  <c r="Z39" i="1" s="1"/>
  <c r="E39" i="1"/>
  <c r="W38" i="1"/>
  <c r="X38" i="1" s="1"/>
  <c r="T38" i="1"/>
  <c r="U38" i="1" s="1"/>
  <c r="E38" i="1"/>
  <c r="T33" i="1"/>
  <c r="M33" i="1"/>
  <c r="K33" i="1"/>
  <c r="I33" i="1"/>
  <c r="G33" i="1"/>
  <c r="AH32" i="1"/>
  <c r="W32" i="1"/>
  <c r="X32" i="1" s="1"/>
  <c r="T32" i="1"/>
  <c r="Z32" i="1" s="1"/>
  <c r="E32" i="1"/>
  <c r="AH31" i="1"/>
  <c r="W31" i="1"/>
  <c r="X31" i="1" s="1"/>
  <c r="T31" i="1"/>
  <c r="Z31" i="1" s="1"/>
  <c r="E31" i="1"/>
  <c r="AH30" i="1"/>
  <c r="W30" i="1"/>
  <c r="X30" i="1" s="1"/>
  <c r="T30" i="1"/>
  <c r="U30" i="1" s="1"/>
  <c r="E30" i="1"/>
  <c r="AH29" i="1"/>
  <c r="W29" i="1"/>
  <c r="X29" i="1" s="1"/>
  <c r="E29" i="1"/>
  <c r="M25" i="1"/>
  <c r="L25" i="1"/>
  <c r="T25" i="1" s="1"/>
  <c r="Z25" i="1" s="1"/>
  <c r="K25" i="1"/>
  <c r="I25" i="1"/>
  <c r="G25" i="1"/>
  <c r="W24" i="1"/>
  <c r="AA24" i="1" s="1"/>
  <c r="T24" i="1"/>
  <c r="U24" i="1" s="1"/>
  <c r="W23" i="1"/>
  <c r="X23" i="1" s="1"/>
  <c r="T23" i="1"/>
  <c r="Z23" i="1" s="1"/>
  <c r="M21" i="1"/>
  <c r="W21" i="1" s="1"/>
  <c r="T21" i="1"/>
  <c r="U21" i="1" s="1"/>
  <c r="K21" i="1"/>
  <c r="I21" i="1"/>
  <c r="G21" i="1"/>
  <c r="Z68" i="1" l="1"/>
  <c r="U68" i="1"/>
  <c r="I16" i="1"/>
  <c r="I90" i="1"/>
  <c r="L86" i="1"/>
  <c r="T86" i="1" s="1"/>
  <c r="K114" i="1"/>
  <c r="U116" i="1"/>
  <c r="X118" i="1"/>
  <c r="X119" i="1"/>
  <c r="U123" i="1"/>
  <c r="Z123" i="1"/>
  <c r="X70" i="1"/>
  <c r="U117" i="1"/>
  <c r="U93" i="1"/>
  <c r="Z93" i="1"/>
  <c r="Z100" i="1"/>
  <c r="U87" i="1"/>
  <c r="Z87" i="1"/>
  <c r="Z89" i="1"/>
  <c r="U89" i="1"/>
  <c r="U49" i="1"/>
  <c r="Z49" i="1"/>
  <c r="U44" i="1"/>
  <c r="Z44" i="1"/>
  <c r="U43" i="1"/>
  <c r="Z43" i="1"/>
  <c r="Z33" i="1"/>
  <c r="U33" i="1"/>
  <c r="X21" i="1"/>
  <c r="X121" i="1"/>
  <c r="Z21" i="1"/>
  <c r="U121" i="1"/>
  <c r="Z121" i="1"/>
  <c r="U91" i="1"/>
  <c r="Z91" i="1"/>
  <c r="X68" i="1"/>
  <c r="K54" i="1"/>
  <c r="K55" i="1" s="1"/>
  <c r="M76" i="1"/>
  <c r="W76" i="1" s="1"/>
  <c r="X76" i="1" s="1"/>
  <c r="K16" i="1"/>
  <c r="X56" i="1"/>
  <c r="X98" i="1"/>
  <c r="U39" i="1"/>
  <c r="AA21" i="1"/>
  <c r="AA38" i="1"/>
  <c r="U56" i="1"/>
  <c r="Z56" i="1" s="1"/>
  <c r="X59" i="1"/>
  <c r="I61" i="1"/>
  <c r="M110" i="1"/>
  <c r="W110" i="1" s="1"/>
  <c r="X110" i="1" s="1"/>
  <c r="G54" i="1"/>
  <c r="G55" i="1" s="1"/>
  <c r="W100" i="1"/>
  <c r="X100" i="1" s="1"/>
  <c r="M90" i="1"/>
  <c r="W90" i="1" s="1"/>
  <c r="AA32" i="1"/>
  <c r="K61" i="1"/>
  <c r="X111" i="1"/>
  <c r="M16" i="1"/>
  <c r="U59" i="1"/>
  <c r="Z74" i="1"/>
  <c r="U74" i="1" s="1"/>
  <c r="U122" i="1"/>
  <c r="AA118" i="1"/>
  <c r="AA93" i="1"/>
  <c r="AA46" i="1"/>
  <c r="U54" i="1"/>
  <c r="AA56" i="1"/>
  <c r="AA57" i="1"/>
  <c r="Z65" i="1"/>
  <c r="U60" i="1"/>
  <c r="AA82" i="1"/>
  <c r="AA113" i="1"/>
  <c r="AA77" i="1"/>
  <c r="U114" i="1"/>
  <c r="G16" i="1"/>
  <c r="AA39" i="1"/>
  <c r="I54" i="1"/>
  <c r="I55" i="1" s="1"/>
  <c r="AA58" i="1"/>
  <c r="AA59" i="1"/>
  <c r="AA68" i="1"/>
  <c r="W80" i="1"/>
  <c r="AA80" i="1" s="1"/>
  <c r="X81" i="1"/>
  <c r="AA89" i="1"/>
  <c r="AA97" i="1"/>
  <c r="Z99" i="1"/>
  <c r="U99" i="1"/>
  <c r="Z110" i="1"/>
  <c r="AA120" i="1"/>
  <c r="W122" i="1"/>
  <c r="X122" i="1" s="1"/>
  <c r="X123" i="1"/>
  <c r="AA124" i="1"/>
  <c r="AH25" i="1"/>
  <c r="W33" i="1"/>
  <c r="X33" i="1" s="1"/>
  <c r="AA60" i="1"/>
  <c r="G79" i="1"/>
  <c r="W84" i="1"/>
  <c r="X84" i="1" s="1"/>
  <c r="X85" i="1"/>
  <c r="U97" i="1"/>
  <c r="AA99" i="1"/>
  <c r="AA119" i="1"/>
  <c r="U124" i="1"/>
  <c r="AA52" i="1"/>
  <c r="X52" i="1"/>
  <c r="U25" i="1"/>
  <c r="AA47" i="1"/>
  <c r="X47" i="1"/>
  <c r="AA51" i="1"/>
  <c r="X51" i="1"/>
  <c r="AA64" i="1"/>
  <c r="X64" i="1"/>
  <c r="X48" i="1"/>
  <c r="AA48" i="1"/>
  <c r="AA53" i="1"/>
  <c r="X53" i="1"/>
  <c r="Z29" i="1"/>
  <c r="Z30" i="1"/>
  <c r="Z38" i="1"/>
  <c r="O49" i="1"/>
  <c r="Z58" i="1"/>
  <c r="AA101" i="1"/>
  <c r="X101" i="1"/>
  <c r="U23" i="1"/>
  <c r="AA23" i="1"/>
  <c r="X24" i="1"/>
  <c r="W25" i="1"/>
  <c r="X25" i="1" s="1"/>
  <c r="AA29" i="1"/>
  <c r="AA30" i="1"/>
  <c r="U31" i="1"/>
  <c r="AA31" i="1"/>
  <c r="U32" i="1"/>
  <c r="X40" i="1"/>
  <c r="X41" i="1"/>
  <c r="X42" i="1"/>
  <c r="X43" i="1"/>
  <c r="W44" i="1"/>
  <c r="X44" i="1" s="1"/>
  <c r="Z46" i="1"/>
  <c r="Z47" i="1"/>
  <c r="Z48" i="1"/>
  <c r="Z51" i="1"/>
  <c r="Z52" i="1"/>
  <c r="Z53" i="1"/>
  <c r="U55" i="1"/>
  <c r="Z55" i="1" s="1"/>
  <c r="U57" i="1"/>
  <c r="O63" i="1"/>
  <c r="X77" i="1"/>
  <c r="AA78" i="1"/>
  <c r="X78" i="1"/>
  <c r="U92" i="1"/>
  <c r="AA83" i="1"/>
  <c r="I110" i="1"/>
  <c r="AA111" i="1"/>
  <c r="Z24" i="1"/>
  <c r="Z40" i="1"/>
  <c r="Z41" i="1"/>
  <c r="Z42" i="1"/>
  <c r="M54" i="1"/>
  <c r="W54" i="1" s="1"/>
  <c r="AA121" i="1"/>
  <c r="AA112" i="1"/>
  <c r="X112" i="1"/>
  <c r="AA67" i="1"/>
  <c r="AA71" i="1"/>
  <c r="X71" i="1"/>
  <c r="AA75" i="1"/>
  <c r="X75" i="1"/>
  <c r="X79" i="1"/>
  <c r="AA79" i="1"/>
  <c r="T84" i="1"/>
  <c r="Z84" i="1" s="1"/>
  <c r="U84" i="1" s="1"/>
  <c r="L83" i="1"/>
  <c r="T83" i="1" s="1"/>
  <c r="Z83" i="1" s="1"/>
  <c r="U83" i="1" s="1"/>
  <c r="X93" i="1"/>
  <c r="Z113" i="1"/>
  <c r="W114" i="1"/>
  <c r="AA70" i="1"/>
  <c r="Z98" i="1"/>
  <c r="Z64" i="1"/>
  <c r="W65" i="1"/>
  <c r="H73" i="1"/>
  <c r="Z73" i="1" s="1"/>
  <c r="L76" i="1"/>
  <c r="T76" i="1" s="1"/>
  <c r="Z76" i="1" s="1"/>
  <c r="U76" i="1" s="1"/>
  <c r="L79" i="1"/>
  <c r="T79" i="1" s="1"/>
  <c r="Z79" i="1" s="1"/>
  <c r="U79" i="1" s="1"/>
  <c r="W87" i="1"/>
  <c r="X87" i="1" s="1"/>
  <c r="Z101" i="1"/>
  <c r="Z112" i="1"/>
  <c r="Z86" i="1" l="1"/>
  <c r="U86" i="1"/>
  <c r="U131" i="1"/>
  <c r="X54" i="1"/>
  <c r="M55" i="1"/>
  <c r="X114" i="1"/>
  <c r="AA33" i="1"/>
  <c r="AA90" i="1"/>
  <c r="X90" i="1"/>
  <c r="AA76" i="1"/>
  <c r="AA110" i="1"/>
  <c r="AA100" i="1"/>
  <c r="O61" i="1"/>
  <c r="X80" i="1"/>
  <c r="W49" i="1"/>
  <c r="O16" i="1"/>
  <c r="AH16" i="1" s="1"/>
  <c r="W74" i="1"/>
  <c r="AA74" i="1" s="1"/>
  <c r="O73" i="1"/>
  <c r="AA84" i="1"/>
  <c r="AA122" i="1"/>
  <c r="AA44" i="1"/>
  <c r="AA115" i="1"/>
  <c r="AA87" i="1"/>
  <c r="AA25" i="1"/>
  <c r="X65" i="1"/>
  <c r="AA65" i="1"/>
  <c r="AA114" i="1"/>
  <c r="W16" i="1" l="1"/>
  <c r="AA16" i="1" s="1"/>
  <c r="AA49" i="1"/>
  <c r="X49" i="1"/>
  <c r="AA54" i="1"/>
  <c r="W73" i="1"/>
  <c r="X73" i="1" s="1"/>
  <c r="W61" i="1"/>
  <c r="W63" i="1"/>
  <c r="X74" i="1"/>
  <c r="AA86" i="1"/>
  <c r="X16" i="1" l="1"/>
  <c r="X131" i="1" s="1"/>
  <c r="X61" i="1"/>
  <c r="AA61" i="1"/>
  <c r="X19" i="1"/>
  <c r="X18" i="1"/>
  <c r="X17" i="1"/>
  <c r="X20" i="1"/>
  <c r="AA73" i="1"/>
  <c r="AA63" i="1"/>
  <c r="X63" i="1"/>
  <c r="X132" i="1" l="1"/>
  <c r="U1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23" authorId="0" shapeId="0" xr:uid="{00000000-0006-0000-0000-000001000000}">
      <text>
        <r>
          <rPr>
            <sz val="11"/>
            <color theme="1"/>
            <rFont val="Calibri"/>
            <family val="2"/>
            <scheme val="minor"/>
          </rPr>
          <t>======
ID#AAAAXuVvDEI
    (2022-04-21 00:39:07)
Renja Murni, Renja Perubahan, RKA Murni, RKA Perubahan</t>
        </r>
      </text>
    </comment>
    <comment ref="J24" authorId="0" shapeId="0" xr:uid="{00000000-0006-0000-0000-000002000000}">
      <text>
        <r>
          <rPr>
            <sz val="11"/>
            <color theme="1"/>
            <rFont val="Calibri"/>
            <family val="2"/>
            <scheme val="minor"/>
          </rPr>
          <t>======
ID#AAAAXuVvDEM
    (2022-04-21 00:39:07)
Lap TW 1,2,3, LKJ</t>
        </r>
      </text>
    </comment>
  </commentList>
</comments>
</file>

<file path=xl/sharedStrings.xml><?xml version="1.0" encoding="utf-8"?>
<sst xmlns="http://schemas.openxmlformats.org/spreadsheetml/2006/main" count="704" uniqueCount="296">
  <si>
    <t>EVALUASI TERHADAP HASIL RENCANA KERJA PERANGKAT DAERAH LINGKUP KABUPATEN</t>
  </si>
  <si>
    <t>RENCANA KERJA PERANGKAT DAERAH</t>
  </si>
  <si>
    <t>DINAS PERUMAHAN RAKYAT, KAWASAN PERMUKIMAN DAN LINGKUNGAN HIDUP</t>
  </si>
  <si>
    <t>Indikator dan Target Kinerja Perangkat Daerah Kabupaten yang Mengacu Pada Sasaran RKPD Kabupaten</t>
  </si>
  <si>
    <t>No</t>
  </si>
  <si>
    <t>Sasaran</t>
  </si>
  <si>
    <t>Program/Kegiatan</t>
  </si>
  <si>
    <r>
      <t>Indikator Kinerja Program (</t>
    </r>
    <r>
      <rPr>
        <b/>
        <i/>
        <sz val="12"/>
        <color theme="1"/>
        <rFont val="Arial"/>
        <family val="2"/>
      </rPr>
      <t>Outcome</t>
    </r>
    <r>
      <rPr>
        <b/>
        <sz val="12"/>
        <color theme="1"/>
        <rFont val="Arial"/>
        <family val="2"/>
      </rPr>
      <t>)/Kegiatan (</t>
    </r>
    <r>
      <rPr>
        <b/>
        <i/>
        <sz val="12"/>
        <color theme="1"/>
        <rFont val="Arial"/>
        <family val="2"/>
      </rPr>
      <t>Output</t>
    </r>
    <r>
      <rPr>
        <b/>
        <sz val="12"/>
        <color theme="1"/>
        <rFont val="Arial"/>
        <family val="2"/>
      </rPr>
      <t>)</t>
    </r>
  </si>
  <si>
    <t>Target Renstra Perangkat Daerah Pada Tahun 2023</t>
  </si>
  <si>
    <t>Realisasi Capaian Kinerja Renstra Perangkat Daerah sampai dengan Renja Perangkat Daerah Tahun Lalu (2021)</t>
  </si>
  <si>
    <t>Target Kinerja dan Anggaran Renja Perangkat Daerah Tahun Berjalan (Tahun 2022) yang Dievaluasi</t>
  </si>
  <si>
    <t>Realisasi Kinerja Pada Triwulan</t>
  </si>
  <si>
    <t>Realisasi dan Tingkat Capaian Kinerja dan Anggaran Renja Perangkat Daerah yang Dievaluasi</t>
  </si>
  <si>
    <t>Realisasi Kinerja dan Anggaran Renstra Perangkat Daerah s/d Tahun 2022</t>
  </si>
  <si>
    <t>Tingkat Capaian Kinerja dan Realisasi Anggaran Renstra Perangkat Daerah s/d Tahun 2022 (%)</t>
  </si>
  <si>
    <t>SKPD Penanggung Jawab</t>
  </si>
  <si>
    <t>I</t>
  </si>
  <si>
    <t>II</t>
  </si>
  <si>
    <t>III</t>
  </si>
  <si>
    <t>IV</t>
  </si>
  <si>
    <t>K</t>
  </si>
  <si>
    <t>Rp</t>
  </si>
  <si>
    <t>[kolom (8-11)(K)]</t>
  </si>
  <si>
    <t>[kolom (12)(K) : kolom (7)(K)] x 100%</t>
  </si>
  <si>
    <t>[kolom (8-11)(Rp)]</t>
  </si>
  <si>
    <t>[kolom (12)(Rp) : kolom (7)(Rp)] x 100%</t>
  </si>
  <si>
    <t>[kolom (6)(K) + kolom (12)(K)]</t>
  </si>
  <si>
    <t>[kolom (6)(Rp) + kolom (12)(Rp)]</t>
  </si>
  <si>
    <t>[kolom (13)(K) : kolom (5)(K)] x 100%</t>
  </si>
  <si>
    <t>[Kolom (13)(Rp) : Kolom (5)(Rp)] x 100%</t>
  </si>
  <si>
    <t>tabel 5.2 rpjmd, misi 5, hal 207</t>
  </si>
  <si>
    <t>tabel  6,1 renstra kolom 5</t>
  </si>
  <si>
    <t>tabel  6,1 renstra kolom 6</t>
  </si>
  <si>
    <t>tabel  6,1 renstra kolom 9</t>
  </si>
  <si>
    <t>tabel  6,1 renstra kolom 18</t>
  </si>
  <si>
    <t>tabel  6,1 Renstra kolom 19</t>
  </si>
  <si>
    <t>tabel  6,1 Renstra kolom 10</t>
  </si>
  <si>
    <t>tabel  6,1 renstra kolom 11</t>
  </si>
  <si>
    <t>sistem emonev triwulan II</t>
  </si>
  <si>
    <t>Meningkatnya akuntabilitas Instansi Pemerintah dan Kualitas Pelayanan Publik</t>
  </si>
  <si>
    <t>Program Penunjang Urusan Pemerintahan Daerah Kabupaten/Kota</t>
  </si>
  <si>
    <t>%</t>
  </si>
  <si>
    <t>Dinas Perumahan Rakyat, Kawasan Permukiman dan Lingkungan Hidup</t>
  </si>
  <si>
    <t>Meningkatnya Kinerja Keuangan dan Kinerja Birokrasi</t>
  </si>
  <si>
    <t>Perencanaan, Pengangnggaran dan Evaluasi Kinerja Perangkat Daerah</t>
  </si>
  <si>
    <t>Jumlah dokumen Perencanaan dan Evaluasi Kinerja Disperakplh yang berkualitas</t>
  </si>
  <si>
    <t>Dok</t>
  </si>
  <si>
    <t>Penyusunan Dokumen Perencanaan Perangkat Daerah</t>
  </si>
  <si>
    <t>Dokumen Perencanaan yang Memenuhi Aspek Kualitas</t>
  </si>
  <si>
    <t>Evaluasi Kinerja Perangkat Daerah</t>
  </si>
  <si>
    <t>Dokumen Evaluasi yang Memenuhi Aspek Kualitas</t>
  </si>
  <si>
    <t>Administrasi Keuangan Perangkat Daerah</t>
  </si>
  <si>
    <t>Penyedian Gaji dan Tunjangan ASN</t>
  </si>
  <si>
    <t>Jumlah Orang yang Menerima Gaji dan Tunjangan ASN</t>
  </si>
  <si>
    <t>Orang / Bulan</t>
  </si>
  <si>
    <t>Koordinasi dan Penyusunan Laporan Keuangan Akhir Tahun SKPD</t>
  </si>
  <si>
    <t>Jumlah Laporan Keuangan Akhir  Tahun SKPD dan Laporan  Hasil Koordinasi Penyusunan Laporan Keuangan Akhir  Tahun SKPD</t>
  </si>
  <si>
    <t>Koordinasi dan Penyusunan laporan Keuangan Bulanan/Triwulanan/Semesteran SKPD</t>
  </si>
  <si>
    <t>Laporan Keuangan yang Memenuhi Aspek Kualitas</t>
  </si>
  <si>
    <t>Lap</t>
  </si>
  <si>
    <t>Penyusunan Pelaporan dan Analisis Prognosis Realisasi Anggaran</t>
  </si>
  <si>
    <t>Administrasi Umum Perangkat Daerah</t>
  </si>
  <si>
    <t>Penyedian Komponen Instalasi Listrik/Penerangan Bangunan kantor</t>
  </si>
  <si>
    <t>Jumlah Paket  Komponen  Instalasi Listrik/Penerangan Bangunan  Kantor yang Disediakan</t>
  </si>
  <si>
    <t>Paket</t>
  </si>
  <si>
    <t>Penyedian Peralatan dan Perlengkapan Kantor</t>
  </si>
  <si>
    <t>Jumlah Paket Peralatan dan Perlengkapan Kantor yang  Disediakan</t>
  </si>
  <si>
    <t>Penyedian Bahan Logistik Kantor</t>
  </si>
  <si>
    <t>Jumlah penyediaan bahan logistik kantor sesuai kebutuhan</t>
  </si>
  <si>
    <t>Penyedian Barang Cetakan dan Penggandaan</t>
  </si>
  <si>
    <t>Jumlah Paket Barang Cetakan dan Penggandaan
yang  Disediakan</t>
  </si>
  <si>
    <t>Penyediaan Bahan Bacaan dan Peraturan Perundang-undangan</t>
  </si>
  <si>
    <t>Jumlah  Dokumen  Bahan  Bacaan  dan  Peraturan Perundang-Undangan yang  Disediakan</t>
  </si>
  <si>
    <t>Dokumen</t>
  </si>
  <si>
    <t>Penyelenggaraan Rapat Koordinasi dan Konsultasi SKPD</t>
  </si>
  <si>
    <t>Jumlah Laporan Penyelenggaraan Rapat Koordinasi dan Konsultasi SKPD</t>
  </si>
  <si>
    <t>Laporan</t>
  </si>
  <si>
    <t>Penyediaan Jasa Penunjang Urusan Pemerintahan Daerah</t>
  </si>
  <si>
    <t>Penyediaan Jasa Surat Menyurat</t>
  </si>
  <si>
    <t>Jumlah Laporan Penyediaan Jasa Surat Menyurat</t>
  </si>
  <si>
    <t>Penyediaan Jasa Komunikasi, Sumber Daya Air dan Listrik</t>
  </si>
  <si>
    <t>Jumlah Laporan Penyediaan Jasa Komunikasi, Sumber Daya Air dan Listrik yang  Disediakan</t>
  </si>
  <si>
    <t>Penyediaan Jasa Pelayanan Umum Kantor</t>
  </si>
  <si>
    <t>Jumlah Laporan Penyediaan Jasa  Pelayanan Umum Kantor yang  Disediakan</t>
  </si>
  <si>
    <t>Pemeliharaan Barang Milik daerah Penunjang Urusan Pemerintahan Daerah</t>
  </si>
  <si>
    <t>Penyediaan Jasa Pemeliharaan, Biaya Pemeliharaan, Pajak dan Perizinan Kendaraan Dinas Operasional atau Lapangan</t>
  </si>
  <si>
    <t>Jumlah Kendaraan Dinas Operasional atau Lapangan yang Dipelihara dan dibayarkan Pajak dan Perizinannya</t>
  </si>
  <si>
    <t>Unit</t>
  </si>
  <si>
    <t>Pemeliharaan/Rehabilitasi Gedung Kantor dan Bangunan Lainnya</t>
  </si>
  <si>
    <t>Jumlah Sarana dan   Prasarana   Gedung   Kantor atau Bangunan Lainnya yang Dipelihara/Direhabilitasi</t>
  </si>
  <si>
    <t>Pemeliharaan/Rehabilitasi Sarana dan Prasarana Gedung Kantor atau Bangunan Lainnya</t>
  </si>
  <si>
    <t>Jumlah      Sarana      dan      Prasarana     Pendukung Gedung    Kantor   atau   Bangunan   Lainnya   yang
Dipelihara/Direhabilitasi</t>
  </si>
  <si>
    <t>Meningkatnya Infrastruktur Ekonomi dan Sosial Yang Berkualitas</t>
  </si>
  <si>
    <t>Program Pengembangan Perumahan</t>
  </si>
  <si>
    <t>Persentase penyediaan dan rehabilitasi rumah layak huni bagi korban bencana kabupaten</t>
  </si>
  <si>
    <t>Persentase fasilitasi penyediaan rumah layak huni bagi masyarakat terdampak relokasi program pemerintah kabupaten</t>
  </si>
  <si>
    <t>Pendataan Penyediaan dan Rehabilitasi Rumah Korban Bencana atau Relokasi Program Kabupaten/Kota</t>
  </si>
  <si>
    <t>Persentase Pendataan Penyediaan dan Rehabilitasi Rumah Korban Bencana atau Relokasi Program</t>
  </si>
  <si>
    <t>Identifikasi Perumahan di Lokasi Rawan Bencana atau Terkena Relokasi Program Kabupaten/Kota</t>
  </si>
  <si>
    <t>Jumlah Dokumen Data Rumah di Lokasi Rawan Bencana dan Lokasi yang Berpotensi Terkena Relokasi Program Kabupaten/Kota</t>
  </si>
  <si>
    <t>Pendataan Rumah Sewa Milik Masyarakat, Rumah Susun dan Rumah Khusus</t>
  </si>
  <si>
    <t>Jumlah Dokumen Data Rumah Sewa Milik Masyarakat, Rumah Susun, dan Rumah Khusus</t>
  </si>
  <si>
    <t>Penerbitan Sertifikat Kepemilikan Bangunan Gedung (SKGB)</t>
  </si>
  <si>
    <t>Koordinasi dan Sinkronisasi Penerbitan Sertifikat Kepemilikan Bangunan Gedung (SKGB)</t>
  </si>
  <si>
    <t>Jumlah Laporan Hasil Koordinasi dan Sinkronisasi Penerbitan Sertifikat Kepemilikan Bangunan Gedung (SKGB)</t>
  </si>
  <si>
    <t>Program Kawasan Permukiman</t>
  </si>
  <si>
    <t>Penataan dan Peningkatan Kualitas Kawasan Permukiman Kumuh dengan Luas di Bawah 10 (sepuluh) Ha</t>
  </si>
  <si>
    <t>Persentase Penyusunan Rencana Pencegahan dan Peningkatan Kualitas Perumahan Kumuh dan Permukiman Kumuh</t>
  </si>
  <si>
    <t>-</t>
  </si>
  <si>
    <t>Penyusunan Rencana Pencegahan dan Peningkatan Kualitas Perumahan Kumuh dan Permukiman Kumuh</t>
  </si>
  <si>
    <t>Peningkatan Kualitas Kawasan Permukiman Kumuh dengan Luas di Bawah 10 (sepuluh) Ha</t>
  </si>
  <si>
    <t>Perbaikan  Rumah Tidak Layak Huni</t>
  </si>
  <si>
    <t>Program Perumahan Dan Kawasan Permukiman Kumuh</t>
  </si>
  <si>
    <t>Pencegahan Perumahan dan Kawasan Permukiman Kumuh pada Daerah Kabupaten/Kota</t>
  </si>
  <si>
    <t>Kerja Sama Perbaikan Rumah Tidak Layak Huni Beserta PSU diluar Kawasan Permukiman Kumuh dengan Luas di Bawah 10 (sepuluh) Ha</t>
  </si>
  <si>
    <t>Program Peningkatan Prasarana, Sarana dan Utilitas Umum (PSU)</t>
  </si>
  <si>
    <t>Urusan Penyelenggaraan PSU Perumahan</t>
  </si>
  <si>
    <t>Penyediaan Prasarana, Sarana, dan Utilitas Umum di Perumahan untuk Menunjang Fungsi Hunian</t>
  </si>
  <si>
    <t>Jumlah Lokasi Perumahan yang Disediakan Prasarana, Sarana, dan Utilitas Umum yang Menunjang Fungsi Hunian</t>
  </si>
  <si>
    <t>Lokasi</t>
  </si>
  <si>
    <t>Program Pengelolaan Izin Lokasi</t>
  </si>
  <si>
    <t>Pemberian Izin Lokasi Dalam 1 (satu) Daerah Kabupaten/Kota</t>
  </si>
  <si>
    <t>Koordinasi dan Sinkronisasi Pemberian Izin Lokasi Penanaman Modal dan Kemudahan Berusaha</t>
  </si>
  <si>
    <t>Jumlah Kegiatan pelayanan pemberian izin lokasi</t>
  </si>
  <si>
    <t>Kegiatan</t>
  </si>
  <si>
    <t>Program Penyelesaian Sengketa Tanah Garapan</t>
  </si>
  <si>
    <t>Penyelesaian Sengketa Tanah Garapan dalam Daerah Kabupaten/Kota</t>
  </si>
  <si>
    <t>Persentase sengketa pertanahan perumahan yang termediasi</t>
  </si>
  <si>
    <t>Inventarisasi Sengketa, Konflik, dan Perkara Pertanahan dalam 1 (satu) Daerah Kabupaten/Kota</t>
  </si>
  <si>
    <t>Mediasi Penyelesaian Sengketa Tanah Garapan dalam 1 (satu) Daerah Kabupaten/Kota</t>
  </si>
  <si>
    <t>Berita Acara</t>
  </si>
  <si>
    <t>Program Redistribusi Tanah, Serta Ganti Kerugian Program Tanah Kelebihan Maksimum Dan Tanah Absentee</t>
  </si>
  <si>
    <t>Penetapan Subjek dan Objek Redistribusi Tanah serta Ganti Kerugian Tanah Kelebihan Maksimum dan Tanah Absentee dalam 1 (satu) Daerah Kabupaten/Kota</t>
  </si>
  <si>
    <t>Persentase tersedianya tanah objek landreform (TOL) yang siap diredistribusikan yang berasal dari tanah kelebihan maksimum dan tanah absentee</t>
  </si>
  <si>
    <t>Inventarisasi Subjek dan Objek Redistribusi Tanah</t>
  </si>
  <si>
    <t>Jumlah Data Inventarisasi Subyek Penerima Redistribusi Tanah dalam 1 (Satu) Kabupaten/Kota</t>
  </si>
  <si>
    <t>Program Pengelolaan Tanah Kosong</t>
  </si>
  <si>
    <t>Inventarisasi dan Pemanfaatan Tanah Kosong</t>
  </si>
  <si>
    <t>Perumahan</t>
  </si>
  <si>
    <t>Pelaksanaan Inventarisasi Tanah Kosong</t>
  </si>
  <si>
    <t>Jumlah Laporan Tanah Kosong dalam 1 (Satu) Kabupaten/Kota yang Diinventarisasi</t>
  </si>
  <si>
    <t>Meningkatnya Kualitas Lingkungan Hidup</t>
  </si>
  <si>
    <t>Program Pengendalian Pencemaran dan/atau Kerusakan Lingkungan Hidup</t>
  </si>
  <si>
    <t>Nilai</t>
  </si>
  <si>
    <t>Pencegahan Pencemaran dan/atau Kerusakan Lingkungan Hidup Kabupaten/Kota</t>
  </si>
  <si>
    <t>Koordinasi, Sinkronisasi, dan Pelaksanaan Pencegahan Pencemaran Lingkungan Hidup Dilaksanakan terhadap Media Tanah, Air, Udara, dan Laut</t>
  </si>
  <si>
    <t>Jumlah Dokumen Uji Kualitas Lingkungan Hidup Dilaksanakan Terhadap Media Tanah, Air, Udara, dan Laut</t>
  </si>
  <si>
    <t>Koordinasi, Sinkronisasi dan Pelaksanaan Pengendalian Emisi Gas Rumah Kaca, Mitigasi dan Adaptasi Perubahan Iklim</t>
  </si>
  <si>
    <t>Jumlah Dokumen Hasil Koordinasi dan Sinkronisasi Inventarisasi Gas Rumah Kaca dari Sektor Lingkungan Hidup yang  Dilaksanakan</t>
  </si>
  <si>
    <t>Pengelolaan Laboratorium ingkungan Hidup Kabupaten/Kota</t>
  </si>
  <si>
    <t>Jumlah Pengambilan Contoh Uji, Pengujian Parameter Kualitas Lingkungan dan Dokumen Mutu yang  Dilaksanakan</t>
  </si>
  <si>
    <t>Penanggulangan Pencemaran dan/atau Kerusakan Lingkungan Hidup Kabupaten/Kota</t>
  </si>
  <si>
    <t>Persentase penanggulangan pencemaran dan kerusakan lingkungan yang berhasil diselesaikan</t>
  </si>
  <si>
    <t>Pemberian Informasi Peringatan Pencemaran dan/atau Kerusakan Lingkungan Hidup pada Masyarakat</t>
  </si>
  <si>
    <t>Program Pengelolaan Keanekaragaman Hayati (Kehati)</t>
  </si>
  <si>
    <t>Pengelolaan Keanekaragaman Hayati Kabupaten/Kota</t>
  </si>
  <si>
    <t>Pengelolaan Ruang Terbuka Hijau (RTH)</t>
  </si>
  <si>
    <t>Jumlah Luas RTH yang dikelola dengan baik</t>
  </si>
  <si>
    <t>Ha</t>
  </si>
  <si>
    <t>Program Pembinaan Dan Pengawasan Terhadap Izin Lingkungan Dan Izin Perlindungan Dan Pengelolaan Lingkungan Hidup (PPLH)</t>
  </si>
  <si>
    <t>Pembinaan dan Pengawasan Terhadap Usaha dan/atau Kegiatan yang Izin Lingkungan dan Izin PPLH diterbitkan oleh Pemerintah Daerah Kabupaten/Kota</t>
  </si>
  <si>
    <t>Pengawasan Usaha dan/atau Kegiatan yang Izin Lingkungan Hidup, Izin PPLH yang Diterbitkan oleh Pemerintah Daerah Kabupaten/Kota</t>
  </si>
  <si>
    <t>Jumlah Laporan Dari Usaha dan/atau Kegiatan yang Diawasi Izin Lingkungan, Persetujuan Lingkungan, Surat Kelayakan Operasi oleh Pemerintah Daerah Kabupaten/Kota</t>
  </si>
  <si>
    <t>Koordinasi dan Sinkronisasi Pengawasan dan Penerapan Sanksi Upaya dan Rencana PPLH</t>
  </si>
  <si>
    <t>Jumlah Dokumen Hasil Koordinasi dan Sinkronisasi Pengawasan dan Penerapan Sanksi Upaya dan Rencana PPLHD</t>
  </si>
  <si>
    <t>Program Peningkatan Pendidikan, Pelatihan dan Penyuluhan Lingkungan Hidup untuk Masyarakat</t>
  </si>
  <si>
    <t>Penyelenggaraan Pendidikan, Pelatihan, dan Penyuluhan Lingkungan Hidup untuk Lembaga Kemasyarakatan Tingkat Daerah Kabupaten/Kota</t>
  </si>
  <si>
    <t>Peningkatan Kapasitas dan Kompetensi Sumber Daya Manusia Bidang Lingkungan Hidup untuk Lembaga Kemayarakatan</t>
  </si>
  <si>
    <t>Jumlah Lembaga/kelompok Masyarakat/Institusi yang Terdaftar yang Meningkat Kapasitas dan Kompetensinya Terkait PPLH</t>
  </si>
  <si>
    <t>Lembaga</t>
  </si>
  <si>
    <t>Pendampingan Gerakan Peduli Lingkungan Hidup</t>
  </si>
  <si>
    <t>Jumlah Pendampingan Pembinaan Gerakan Peduli dan Berbudaya Lingkungan Hidup yang Dilaksanakan</t>
  </si>
  <si>
    <t>Program Penghargaan Lingkungan Hidup untuk Masyarakat</t>
  </si>
  <si>
    <t>Pemberian Penghargaan Lingkungan Hidup Tingkat Daerah Kabupaten/Kota</t>
  </si>
  <si>
    <t>Penilaian Kinerja Masyarakat/Lembaga Masyarakat/Dunia Usaha/Dunia Pendidikan/Filantropi dalam Perlindungan dan Pengelolaan Lingkungan Hidup</t>
  </si>
  <si>
    <t>Jumlah Masyarakat/Lembaga Masyarakat/Dunia Usaha/Dunia Pendidikan/Filantrophi yang Dinilai Kinerjanya dalam  rangka PPLH</t>
  </si>
  <si>
    <t>Entitas</t>
  </si>
  <si>
    <t>Program Penanganan Pengaduan Lingkungan Hidup</t>
  </si>
  <si>
    <t>Penyelesian Pengaduan Masyarakat di Bidang Perlindungan dan Pengelolaan Lingkungan Hidup (PPLH) Kabupaten/Kota</t>
  </si>
  <si>
    <t>Pengelolaan Pengaduan Masyarakat terhadap PPLH Kabupaten/Kota</t>
  </si>
  <si>
    <t>Jumlah Pengaduan Masyarakat Terhadap PPLH Kabupaten/Kota yang Ditindaklanjuti/Ditangani</t>
  </si>
  <si>
    <t>Koordinasi dan Sinkronisasi Penerapan Sanksi Administrasi, Penyelesaian Sengketa, dan/atau Penyidikan Lingkungan Hidup di Luar Pengadilan atau Melalui Pengadilan</t>
  </si>
  <si>
    <t>Jumlah Dokumen Hasil Koordinasi dan Sinkronisasi Penerapan Sanksi Administrasi, Penyelesaian Sengketa, dan/atau Penyidikan Lingkungan Hidup di Luar Pengadilan atau Melalui Pengadilan</t>
  </si>
  <si>
    <t>Program Pengelolaan Persampahan</t>
  </si>
  <si>
    <t>Pengelolaan Sampah</t>
  </si>
  <si>
    <t>Pengurangan Sampah dengan Melakukan Pembatasan, Pendauran Ulang dan Pemanfaatan Kembali</t>
  </si>
  <si>
    <t>Jumlah Laporan Hasil Pengurangan Sampah dengan Melakukan Pembatasan, Pendauran Ulang dan Pemanfaatan Kembali</t>
  </si>
  <si>
    <t>Penanganan Sampah dengan Melakukan Pemilahan, Pengumpulan, Pengangkutan, Pengolahan, Pemrosesan Akhir Sampah di TPA/TPST/SPA Kabupaten/Kota</t>
  </si>
  <si>
    <t>Jumlah Sampah yang Dipilah, Dikumpulkan, Diangkut, Diolah,Diproses Akhir di TPA/TPST/SPA Kabupaten/Kota</t>
  </si>
  <si>
    <t>Ton</t>
  </si>
  <si>
    <t>Peningkatan Peran Serta Masyarakat dalam Pengelolaan Persampahan</t>
  </si>
  <si>
    <t>Jumlah Masyarakat, Kelompok Masyarakat atau Para Pihak Lainnya yang Terlibat Aktif dalam Kegiatan Pengelolaan Sampah Berbasis Masyarakat</t>
  </si>
  <si>
    <t>Kelompok</t>
  </si>
  <si>
    <t>Koordinasi dan Sinkronisasi Penyediaan Sarana dan Prasarana Pengelolaan Persampahan</t>
  </si>
  <si>
    <t>Rata-rata Capaian Kinerja (%)</t>
  </si>
  <si>
    <t>Predikat Kinerja</t>
  </si>
  <si>
    <t>Disusun</t>
  </si>
  <si>
    <t>Kepala Dinas Perumahan Rakyat, KPLH</t>
  </si>
  <si>
    <t>Kabupaten Hulu Sungai Selatan</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</si>
  <si>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</si>
  <si>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</si>
  <si>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</si>
  <si>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</si>
  <si>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</si>
  <si>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</si>
  <si>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t>RONALDY PRANA PUTRA, S.STP, M.Si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</si>
  <si>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</si>
  <si>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</si>
  <si>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</si>
  <si>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t>NIP. 19850416 200312 1 001</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</si>
  <si>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</si>
  <si>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</si>
  <si>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</si>
  <si>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</si>
  <si>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</si>
  <si>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</si>
  <si>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</si>
  <si>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</si>
  <si>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</si>
  <si>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Skor perencanaan Kinerja</t>
  </si>
  <si>
    <t>Skor pengukuran Kinerja</t>
  </si>
  <si>
    <t>Skor pelaporan Kinerja</t>
  </si>
  <si>
    <t>Skor evaluasi akuntabilitas Internal</t>
  </si>
  <si>
    <t>Skor Capaian Kinerja</t>
  </si>
  <si>
    <t>Presentase Rumah layak Huni</t>
  </si>
  <si>
    <t xml:space="preserve">Presentase PSU Permukiman yang berkualitas
</t>
  </si>
  <si>
    <t xml:space="preserve">Presentase PSU Perumahan yang berkualitas
</t>
  </si>
  <si>
    <t>Nilai kekeruhan(TSS) air sungai minting dan sungai rarahin di bawah batas ambang</t>
  </si>
  <si>
    <t>Nilai Batas Ambang Air Limbah perkebunan Kelapa Sawit, minyak lemak memenuhi nilai baku mutu</t>
  </si>
  <si>
    <t>Persentase industri yang lulus uji proper</t>
  </si>
  <si>
    <t>mg/L</t>
  </si>
  <si>
    <t>Persen</t>
  </si>
  <si>
    <t>Persentase Jumlah Kecamatan yang memiliki Rasio Kecukupan luasan RTH kecamatan ≥ 0,3</t>
  </si>
  <si>
    <t xml:space="preserve">Persentase kesepakatan kerjasama yang ditindaklanjuti
</t>
  </si>
  <si>
    <t>Persentase Luasan RTH di wilayah perkotaan</t>
  </si>
  <si>
    <t>Persentase Rekomendasi yang ditindaklanjuti</t>
  </si>
  <si>
    <t xml:space="preserve">Persentase Luasan RTH di wilayah perkotaan
</t>
  </si>
  <si>
    <t>Nilai kekeruhan(TSS) air sungai amandit sekitar tambang di bawah batas ambang</t>
  </si>
  <si>
    <t>Persentase sampah yang terkurangi melalui program 3R
disekitar DAS(Daerah Aliran Sungai) Amandit</t>
  </si>
  <si>
    <t>Jumlah Dokumen laporan AKIP yang berkualitas</t>
  </si>
  <si>
    <t>Jumlah laporan gaji dan tunjangan ASN</t>
  </si>
  <si>
    <t>Jumlah laporan keuangan akhir tahun</t>
  </si>
  <si>
    <t>Jumlah laporan keuangan bulanan/semesteran/triwulanan</t>
  </si>
  <si>
    <t>Jumlah laporan prognosis realisasi anggaran</t>
  </si>
  <si>
    <t>Persentase komponen instalasi listrik berfungsi dengan baik</t>
  </si>
  <si>
    <t>Persentase peralatan dan perlengkapan kantor sesuai kebutuhan kerja</t>
  </si>
  <si>
    <t>Persentase pemanfaatan bahan logistik kantor sesuai kebutuhan kerja</t>
  </si>
  <si>
    <t>Persentase barang cetakan dan penggandaan sesaui kebutuhan kerja</t>
  </si>
  <si>
    <t>Persentase pelayanan koordinasi dan konsultasi yang sesuai anggaran</t>
  </si>
  <si>
    <t>Persentase fasilitas komunikasi, sumber daya air dan listrik tersedia dengan baik</t>
  </si>
  <si>
    <t>Persentase tenaga jasa umum kantor bekerja dengan baik</t>
  </si>
  <si>
    <t>Persentase kendaraan operasional yang layak jalan dan berfungsi baik</t>
  </si>
  <si>
    <t>Persentase gedung kantor dalam kondisi baik</t>
  </si>
  <si>
    <t>persentase penerbitan Sertipikat Hak Milik (SHM)/Sertipikat Hak Guna Bangunan (SHGB)/Sertipikat Hak Satuan Rumah Susun (SHRS)</t>
  </si>
  <si>
    <t>Jumlah Perbaikan Rumah Tidak Layak Huni bagi keluarga pra sejahtera</t>
  </si>
  <si>
    <t>jumlah kawasan permukiman kumuh yang diremajakan</t>
  </si>
  <si>
    <t>Unit Rumah</t>
  </si>
  <si>
    <t>Kawasan</t>
  </si>
  <si>
    <t xml:space="preserve">Jumlah Perbaikan Rumah Tidak Layak Huni bagi keluarga pra sejahtera
</t>
  </si>
  <si>
    <t xml:space="preserve">Jumlah perumahan terfasilitasi kecukupan PSU dalam kondisi berfungsi baik
</t>
  </si>
  <si>
    <t xml:space="preserve">Jumlah Perumahan yang memiliki site plan yang telah di sahkan
</t>
  </si>
  <si>
    <t>Jumlah perumahan yang telah menyerahkan lahan PSU kepada pemerintah kabupaten</t>
  </si>
  <si>
    <t>Jumlah Titik Lokasi Pembuangan Air Limbah Tambang Batu Bara yang memenuhi standar baku mutu</t>
  </si>
  <si>
    <t>Jumlah Titik Lokasi Pembuangan Air Limbah Industri Kelapa Sawit yang memenuhi standar baku mutu</t>
  </si>
  <si>
    <t xml:space="preserve">Jumlah cerobong asap pabrik dengan emisi gas memenuhi standar baku mutu </t>
  </si>
  <si>
    <t>Jumlah titik lokasi aktifitas usaha dengan nilai debu PM2,5 memenuhi baku mutu udara ambien</t>
  </si>
  <si>
    <t>Titik Lokasi</t>
  </si>
  <si>
    <t>Cerobong Asap Pabrik</t>
  </si>
  <si>
    <t>Persentase Pelanggaran LH yang ditindaklanjuti</t>
  </si>
  <si>
    <t xml:space="preserve">Jumlah Kampung Iklim yang dibina
</t>
  </si>
  <si>
    <t>Desa</t>
  </si>
  <si>
    <t>Jumlah Sekolah Adiwiyata Kabupaten</t>
  </si>
  <si>
    <t>Sekolah</t>
  </si>
  <si>
    <t>Persentase koordiniasi penertiban tambang ilegal yang ditindaklanjuti</t>
  </si>
  <si>
    <t xml:space="preserve">Jumlah TPS 3R yang dikelola disekitar DAS Amandit
</t>
  </si>
  <si>
    <t>Buah</t>
  </si>
  <si>
    <t>Jumlah Dokumen RP2KPKPK</t>
  </si>
  <si>
    <t>Jumlah Rumah Tidak Layak Huni yang Diperbaiki</t>
  </si>
  <si>
    <t>Perbaikan Rumah Tidak Layak Huni untuk Pencegahan terhadap Tumbuh dan Berkembangnya Permukiman Kumuh diluar Kawasan Permukiman Kumuh dengan Luas di Bawah 10 (sepuluh) Ha</t>
  </si>
  <si>
    <t>Jumlah Dokumen Kesepakatan Kerja Sama dalam Perbaikan   Rumah Tidak Layak Huni Beserta PSU di Luar Kawasan Permukiman Kumuh dengan Luas di Bawah 10 (Sepuluh) Ha</t>
  </si>
  <si>
    <t>Jumlah jenis pelayanan inventarisasi sengketa pertanahan</t>
  </si>
  <si>
    <t>Jumlah jenis pelayanan Mediasi Penyelesaian sengketa tanah garapan</t>
  </si>
  <si>
    <t>Jumlah  Laporan  Sosialisasi  Informasi  Peringatan Pencemaran    dan/atau    Kerusakan    Lingkungan Hidup  pada  Masyarakat  di  Kabupaten/Kota  yang Dilaksanakan</t>
  </si>
  <si>
    <t>Jumlah Sarana dan Prasarana Penanganan Sampah untuk Kegiatan Pemilahan, Pengumpulan, Pengangkutan, Pengolahan, dan Pemrosesan Akhir</t>
  </si>
  <si>
    <t xml:space="preserve">Jumlah luasan RTH yang dibangun
</t>
  </si>
  <si>
    <t xml:space="preserve">Jumlah perjanjian kesepakatan kerja sama lingkungan hidup
</t>
  </si>
  <si>
    <t xml:space="preserve">Jumlah kegiatan event penanaman pohon
</t>
  </si>
  <si>
    <t xml:space="preserve">Jumlah penambahan tutupan vegetasi RTH Kecamatan
</t>
  </si>
  <si>
    <t>Kali</t>
  </si>
  <si>
    <t>kali</t>
  </si>
  <si>
    <t>PERIODE PELAKSANAAN TRIWULAN IV TAHUN 2022</t>
  </si>
  <si>
    <t>Kandangan,         Desember 2022</t>
  </si>
  <si>
    <t>Faktor pendorong keberhasilan pencapaian: Adanya komitmen dan kepedulian yang tinggi dari pihak-pihak terkait untuk membantu terealisasinya kegiatan dan Terlaksananya koordinasi yang baik antara OPD dan stake holder terkait</t>
  </si>
  <si>
    <t>Faktor penghambat pencapaian kinerja: Tidak terdapat kewenangan pemberian izin lokasi di lingkup pemerintah daerah dan berganti menjadi persetujuan penataan ruang. Selama tahun 2022 kegiatan bersifat kepada monitoring kesesuaian pemberian izin lokasi secara mandiri. Sehingga tidak ada serapan anggaran</t>
  </si>
  <si>
    <t>Tindak lanjut yang diperlukan dalam triwulan berikutnya*): enyiapkan Data dukung yang diperlukan untuk menyerap anggaran yang
lebih besar dari APBD sehubungan dengan kegiatan di Kabupaten Hulu Sungai Selatan</t>
  </si>
  <si>
    <t>Tindak lanjut yang diperlukan dalam Renja Perangkat Daerah Kabupaten berikutnya*):  Melakukan Optimalisasi Data Kegiatan untuk menunjang proses perencanaan dan pengambilan kebijakan.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</si>
</sst>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_(* \(#,##0\);_(* &quot;-&quot;??_);_(@_)"/>
    <numFmt numFmtId="167" formatCode="0.000"/>
    <numFmt numFmtId="168" formatCode="_(* #,##0.000_);_(* \(#,##0.000\);_(* &quot;-&quot;_);_(@_)"/>
    <numFmt numFmtId="169" formatCode="0.0"/>
  </numFmts>
  <fonts count="19"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sz val="11"/>
      <color theme="1"/>
      <name val="Arial"/>
      <family val="2"/>
    </font>
    <font>
      <b/>
      <sz val="14"/>
      <color theme="1"/>
      <name val="Arial"/>
      <family val="2"/>
    </font>
    <font>
      <b/>
      <sz val="12"/>
      <color theme="1"/>
      <name val="Arial"/>
      <family val="2"/>
    </font>
    <font>
      <b/>
      <i/>
      <sz val="12"/>
      <color theme="1"/>
      <name val="Arial"/>
      <family val="2"/>
    </font>
    <font>
      <sz val="12"/>
      <color theme="1"/>
      <name val="Arial"/>
      <family val="2"/>
    </font>
    <font>
      <b/>
      <sz val="11"/>
      <color theme="1"/>
      <name val="Arial"/>
      <family val="2"/>
    </font>
    <font>
      <b/>
      <sz val="12"/>
      <name val="Arial"/>
      <family val="2"/>
    </font>
    <font>
      <sz val="12"/>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b/>
      <u/>
      <sz val="12"/>
      <color theme="1"/>
      <name val="Arial"/>
      <family val="2"/>
    </font>
    <font>
      <sz val="11"/>
      <color theme="0"/>
      <name val="Arial"/>
      <family val="2"/>
    </font>
    <font>
      <sz val="12"/>
      <color theme="0"/>
      <name val="Arial"/>
      <family val="2"/>
    </font>
  </fonts>
  <fills count="9">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
      <patternFill patternType="solid">
        <fgColor theme="4" tint="0.79998168889431442"/>
        <bgColor indexed="64"/>
      </patternFill>
    </fill>
    <fill>
      <patternFill patternType="solid">
        <fgColor rgb="FFFF0000"/>
        <bgColor indexed="64"/>
      </patternFill>
    </fill>
    <fill>
      <patternFill patternType="solid">
        <fgColor rgb="FF00B0F0"/>
        <bgColor indexed="64"/>
      </patternFill>
    </fill>
  </fills>
  <borders count="1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2" fillId="0" borderId="0"/>
  </cellStyleXfs>
  <cellXfs count="269">
    <xf numFmtId="0" fontId="0" fillId="0" borderId="0" xfId="0"/>
    <xf numFmtId="0" fontId="3" fillId="0" borderId="0" xfId="0" applyFont="1"/>
    <xf numFmtId="0" fontId="4" fillId="0" borderId="0" xfId="0" applyFont="1"/>
    <xf numFmtId="0" fontId="2" fillId="0" borderId="0" xfId="0" applyFont="1"/>
    <xf numFmtId="0" fontId="4" fillId="0" borderId="0" xfId="0" applyFont="1" applyAlignment="1">
      <alignment horizontal="center"/>
    </xf>
    <xf numFmtId="0" fontId="6" fillId="2" borderId="15" xfId="0" applyFont="1" applyFill="1" applyBorder="1" applyAlignment="1">
      <alignment vertical="top" wrapText="1"/>
    </xf>
    <xf numFmtId="0" fontId="6" fillId="3" borderId="2" xfId="0" applyFont="1" applyFill="1" applyBorder="1" applyAlignment="1">
      <alignment horizontal="center"/>
    </xf>
    <xf numFmtId="0" fontId="4" fillId="3" borderId="0" xfId="0" applyFont="1" applyFill="1"/>
    <xf numFmtId="0" fontId="6" fillId="3" borderId="12" xfId="0" applyFont="1" applyFill="1" applyBorder="1" applyAlignment="1">
      <alignment horizontal="center" vertical="top" wrapText="1"/>
    </xf>
    <xf numFmtId="0" fontId="6" fillId="3" borderId="2" xfId="0" applyFont="1" applyFill="1" applyBorder="1" applyAlignment="1">
      <alignment horizontal="center" vertical="top" wrapText="1"/>
    </xf>
    <xf numFmtId="0" fontId="4" fillId="3" borderId="11" xfId="0" applyFont="1" applyFill="1" applyBorder="1"/>
    <xf numFmtId="0" fontId="6" fillId="3" borderId="9" xfId="0" applyFont="1" applyFill="1" applyBorder="1" applyAlignment="1">
      <alignment horizontal="center" vertical="center"/>
    </xf>
    <xf numFmtId="0" fontId="6" fillId="3" borderId="2" xfId="0" applyFont="1" applyFill="1" applyBorder="1" applyAlignment="1">
      <alignment horizontal="center" vertical="center"/>
    </xf>
    <xf numFmtId="0" fontId="4" fillId="3" borderId="15" xfId="0" applyFont="1" applyFill="1" applyBorder="1"/>
    <xf numFmtId="0" fontId="8" fillId="0" borderId="6" xfId="0" applyFont="1" applyBorder="1"/>
    <xf numFmtId="0" fontId="8" fillId="0" borderId="6" xfId="0" applyFont="1" applyBorder="1" applyAlignment="1">
      <alignment horizontal="center"/>
    </xf>
    <xf numFmtId="0" fontId="4" fillId="0" borderId="11" xfId="0" applyFont="1" applyBorder="1"/>
    <xf numFmtId="0" fontId="8" fillId="0" borderId="11" xfId="0" applyFont="1" applyBorder="1"/>
    <xf numFmtId="0" fontId="8" fillId="0" borderId="11" xfId="0" applyFont="1" applyBorder="1" applyAlignment="1">
      <alignment horizontal="center"/>
    </xf>
    <xf numFmtId="0" fontId="8" fillId="0" borderId="15" xfId="0" applyFont="1" applyBorder="1"/>
    <xf numFmtId="0" fontId="8" fillId="0" borderId="15" xfId="0" applyFont="1" applyBorder="1" applyAlignment="1">
      <alignment horizontal="center"/>
    </xf>
    <xf numFmtId="0" fontId="6" fillId="0" borderId="6" xfId="0" applyFont="1" applyBorder="1" applyAlignment="1">
      <alignment horizontal="center" vertical="top"/>
    </xf>
    <xf numFmtId="0" fontId="6" fillId="0" borderId="11" xfId="0" applyFont="1" applyBorder="1" applyAlignment="1">
      <alignment horizontal="left" vertical="top" wrapText="1"/>
    </xf>
    <xf numFmtId="0" fontId="6" fillId="0" borderId="2" xfId="0" applyFont="1" applyBorder="1" applyAlignment="1">
      <alignment horizontal="left" vertical="top" wrapText="1"/>
    </xf>
    <xf numFmtId="0" fontId="6" fillId="0" borderId="2" xfId="0" applyFont="1" applyBorder="1" applyAlignment="1">
      <alignment horizontal="center" vertical="top" wrapText="1"/>
    </xf>
    <xf numFmtId="9" fontId="6" fillId="0" borderId="2" xfId="0" applyNumberFormat="1" applyFont="1" applyBorder="1" applyAlignment="1">
      <alignment horizontal="center" vertical="top"/>
    </xf>
    <xf numFmtId="166" fontId="6" fillId="0" borderId="6" xfId="1" quotePrefix="1" applyNumberFormat="1" applyFont="1" applyFill="1" applyBorder="1" applyAlignment="1">
      <alignment vertical="top"/>
    </xf>
    <xf numFmtId="1" fontId="6" fillId="0" borderId="2" xfId="0" applyNumberFormat="1" applyFont="1" applyBorder="1" applyAlignment="1">
      <alignment horizontal="center" vertical="top" wrapText="1"/>
    </xf>
    <xf numFmtId="1" fontId="6" fillId="0" borderId="2" xfId="0" applyNumberFormat="1" applyFont="1" applyBorder="1" applyAlignment="1">
      <alignment horizontal="center" vertical="top"/>
    </xf>
    <xf numFmtId="0" fontId="6" fillId="0" borderId="2" xfId="0" applyFont="1" applyBorder="1" applyAlignment="1">
      <alignment horizontal="center" vertical="top"/>
    </xf>
    <xf numFmtId="164" fontId="6" fillId="0" borderId="6" xfId="0" applyNumberFormat="1" applyFont="1" applyBorder="1" applyAlignment="1">
      <alignment vertical="top"/>
    </xf>
    <xf numFmtId="2" fontId="6" fillId="0" borderId="6" xfId="0" applyNumberFormat="1" applyFont="1" applyBorder="1" applyAlignment="1">
      <alignment horizontal="center" vertical="top"/>
    </xf>
    <xf numFmtId="2" fontId="6" fillId="0" borderId="2" xfId="0" applyNumberFormat="1" applyFont="1" applyBorder="1" applyAlignment="1">
      <alignment horizontal="center" vertical="top"/>
    </xf>
    <xf numFmtId="0" fontId="6" fillId="0" borderId="11" xfId="0" applyFont="1" applyBorder="1" applyAlignment="1">
      <alignment horizontal="center" vertical="top" wrapText="1"/>
    </xf>
    <xf numFmtId="166" fontId="8" fillId="0" borderId="0" xfId="1" quotePrefix="1" applyNumberFormat="1" applyFont="1" applyFill="1" applyBorder="1" applyAlignment="1">
      <alignment vertical="top"/>
    </xf>
    <xf numFmtId="0" fontId="6" fillId="0" borderId="6" xfId="0" applyFont="1" applyBorder="1" applyAlignment="1">
      <alignment horizontal="left" vertical="top" wrapText="1"/>
    </xf>
    <xf numFmtId="0" fontId="6" fillId="0" borderId="15" xfId="0" applyFont="1" applyBorder="1" applyAlignment="1">
      <alignment horizontal="left" vertical="top" wrapText="1"/>
    </xf>
    <xf numFmtId="166" fontId="6" fillId="0" borderId="2" xfId="1" quotePrefix="1" applyNumberFormat="1" applyFont="1" applyFill="1" applyBorder="1" applyAlignment="1">
      <alignment vertical="top"/>
    </xf>
    <xf numFmtId="164" fontId="6" fillId="0" borderId="2" xfId="0" applyNumberFormat="1" applyFont="1" applyBorder="1" applyAlignment="1">
      <alignment vertical="top"/>
    </xf>
    <xf numFmtId="0" fontId="6" fillId="0" borderId="11" xfId="0" applyFont="1" applyBorder="1" applyAlignment="1">
      <alignment horizontal="center" vertical="top"/>
    </xf>
    <xf numFmtId="0" fontId="8" fillId="0" borderId="15" xfId="0"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9" fontId="8" fillId="0" borderId="2" xfId="0" applyNumberFormat="1" applyFont="1" applyBorder="1" applyAlignment="1">
      <alignment horizontal="center" vertical="top"/>
    </xf>
    <xf numFmtId="166" fontId="8" fillId="0" borderId="2" xfId="1" quotePrefix="1" applyNumberFormat="1" applyFont="1" applyFill="1" applyBorder="1" applyAlignment="1">
      <alignment vertical="top"/>
    </xf>
    <xf numFmtId="1" fontId="8" fillId="0" borderId="2" xfId="0" applyNumberFormat="1" applyFont="1" applyBorder="1" applyAlignment="1">
      <alignment horizontal="center" vertical="top"/>
    </xf>
    <xf numFmtId="0" fontId="8" fillId="0" borderId="2" xfId="0" applyFont="1" applyBorder="1" applyAlignment="1">
      <alignment horizontal="center" vertical="top"/>
    </xf>
    <xf numFmtId="164" fontId="8" fillId="0" borderId="2" xfId="0" applyNumberFormat="1" applyFont="1" applyBorder="1" applyAlignment="1">
      <alignment vertical="top"/>
    </xf>
    <xf numFmtId="2" fontId="8" fillId="0" borderId="2" xfId="0" applyNumberFormat="1" applyFont="1" applyBorder="1" applyAlignment="1">
      <alignment horizontal="center" vertical="top"/>
    </xf>
    <xf numFmtId="166" fontId="8" fillId="0" borderId="15" xfId="1" quotePrefix="1" applyNumberFormat="1" applyFont="1" applyFill="1" applyBorder="1" applyAlignment="1">
      <alignment vertical="top"/>
    </xf>
    <xf numFmtId="9" fontId="6" fillId="0" borderId="15" xfId="0" applyNumberFormat="1" applyFont="1" applyBorder="1" applyAlignment="1">
      <alignment horizontal="center" vertical="top"/>
    </xf>
    <xf numFmtId="1" fontId="6" fillId="0" borderId="15" xfId="0" applyNumberFormat="1" applyFont="1" applyBorder="1" applyAlignment="1">
      <alignment horizontal="center" vertical="top" wrapText="1"/>
    </xf>
    <xf numFmtId="0" fontId="9" fillId="0" borderId="0" xfId="0" applyFont="1"/>
    <xf numFmtId="166" fontId="6" fillId="0" borderId="0" xfId="1" quotePrefix="1" applyNumberFormat="1" applyFont="1" applyFill="1" applyBorder="1" applyAlignment="1">
      <alignment vertical="top"/>
    </xf>
    <xf numFmtId="9" fontId="8" fillId="0" borderId="15" xfId="0" applyNumberFormat="1" applyFont="1" applyBorder="1" applyAlignment="1">
      <alignment horizontal="center" vertical="top" wrapText="1"/>
    </xf>
    <xf numFmtId="1" fontId="8" fillId="0" borderId="15" xfId="0" applyNumberFormat="1" applyFont="1" applyBorder="1" applyAlignment="1">
      <alignment horizontal="center" vertical="top" wrapText="1"/>
    </xf>
    <xf numFmtId="1" fontId="8" fillId="0" borderId="2" xfId="0" applyNumberFormat="1" applyFont="1" applyBorder="1" applyAlignment="1">
      <alignment horizontal="center" vertical="top" wrapText="1"/>
    </xf>
    <xf numFmtId="9" fontId="8" fillId="0" borderId="15" xfId="0" applyNumberFormat="1" applyFont="1" applyBorder="1" applyAlignment="1">
      <alignment horizontal="center" vertical="top"/>
    </xf>
    <xf numFmtId="0" fontId="9" fillId="0" borderId="11" xfId="0" applyFont="1" applyBorder="1"/>
    <xf numFmtId="166" fontId="6" fillId="0" borderId="11" xfId="1" quotePrefix="1" applyNumberFormat="1" applyFont="1" applyFill="1" applyBorder="1" applyAlignment="1">
      <alignment vertical="top"/>
    </xf>
    <xf numFmtId="164" fontId="8" fillId="0" borderId="15" xfId="0" applyNumberFormat="1" applyFont="1" applyBorder="1" applyAlignment="1">
      <alignment vertical="top"/>
    </xf>
    <xf numFmtId="2" fontId="8" fillId="0" borderId="15" xfId="0" applyNumberFormat="1" applyFont="1" applyBorder="1" applyAlignment="1">
      <alignment horizontal="center" vertical="top"/>
    </xf>
    <xf numFmtId="0" fontId="8" fillId="0" borderId="15" xfId="0" applyFont="1" applyBorder="1" applyAlignment="1">
      <alignment horizontal="center" vertical="top"/>
    </xf>
    <xf numFmtId="0" fontId="8" fillId="0" borderId="2" xfId="2" applyNumberFormat="1" applyFont="1" applyFill="1" applyBorder="1" applyAlignment="1">
      <alignment horizontal="center" vertical="top"/>
    </xf>
    <xf numFmtId="164" fontId="8" fillId="0" borderId="2" xfId="2" applyFont="1" applyFill="1" applyBorder="1" applyAlignment="1">
      <alignment horizontal="center" vertical="top"/>
    </xf>
    <xf numFmtId="1" fontId="6" fillId="0" borderId="15" xfId="0" applyNumberFormat="1" applyFont="1" applyBorder="1" applyAlignment="1">
      <alignment horizontal="center" vertical="top"/>
    </xf>
    <xf numFmtId="0" fontId="6" fillId="0" borderId="15" xfId="0" applyFont="1" applyBorder="1" applyAlignment="1">
      <alignment horizontal="center" vertical="top"/>
    </xf>
    <xf numFmtId="164" fontId="6" fillId="0" borderId="11" xfId="0" applyNumberFormat="1" applyFont="1" applyBorder="1" applyAlignment="1">
      <alignment vertical="top"/>
    </xf>
    <xf numFmtId="2" fontId="6" fillId="0" borderId="11" xfId="0" applyNumberFormat="1" applyFont="1" applyBorder="1" applyAlignment="1">
      <alignment horizontal="center" vertical="top"/>
    </xf>
    <xf numFmtId="2" fontId="6" fillId="0" borderId="15" xfId="0" applyNumberFormat="1" applyFont="1" applyBorder="1" applyAlignment="1">
      <alignment horizontal="center" vertical="top"/>
    </xf>
    <xf numFmtId="166" fontId="6" fillId="0" borderId="15" xfId="1" quotePrefix="1" applyNumberFormat="1" applyFont="1" applyFill="1" applyBorder="1" applyAlignment="1">
      <alignment vertical="top"/>
    </xf>
    <xf numFmtId="164" fontId="6" fillId="0" borderId="15" xfId="0" applyNumberFormat="1" applyFont="1" applyBorder="1" applyAlignment="1">
      <alignment vertical="top"/>
    </xf>
    <xf numFmtId="3" fontId="8" fillId="0" borderId="2" xfId="0" applyNumberFormat="1" applyFont="1" applyBorder="1" applyAlignment="1">
      <alignment horizontal="center" vertical="top" wrapText="1"/>
    </xf>
    <xf numFmtId="2" fontId="6" fillId="0" borderId="2" xfId="0" applyNumberFormat="1" applyFont="1" applyBorder="1" applyAlignment="1">
      <alignment horizontal="center" vertical="top" wrapText="1"/>
    </xf>
    <xf numFmtId="9" fontId="6" fillId="0" borderId="2" xfId="3" applyFont="1" applyFill="1" applyBorder="1" applyAlignment="1">
      <alignment horizontal="center" vertical="top" wrapText="1"/>
    </xf>
    <xf numFmtId="9" fontId="6" fillId="0" borderId="2" xfId="3" applyFont="1" applyFill="1" applyBorder="1" applyAlignment="1">
      <alignment horizontal="center" vertical="top"/>
    </xf>
    <xf numFmtId="1" fontId="6" fillId="0" borderId="2" xfId="2" applyNumberFormat="1" applyFont="1" applyFill="1" applyBorder="1" applyAlignment="1">
      <alignment horizontal="center" vertical="top"/>
    </xf>
    <xf numFmtId="9" fontId="8" fillId="0" borderId="2" xfId="0" applyNumberFormat="1" applyFont="1" applyBorder="1" applyAlignment="1">
      <alignment horizontal="center" vertical="top" wrapText="1"/>
    </xf>
    <xf numFmtId="1" fontId="8" fillId="0" borderId="2" xfId="2" applyNumberFormat="1" applyFont="1" applyFill="1" applyBorder="1" applyAlignment="1">
      <alignment horizontal="center" vertical="top"/>
    </xf>
    <xf numFmtId="0" fontId="8" fillId="0" borderId="6" xfId="0" applyFont="1" applyBorder="1" applyAlignment="1">
      <alignment horizontal="left" vertical="top" wrapText="1"/>
    </xf>
    <xf numFmtId="166" fontId="8" fillId="0" borderId="6" xfId="1" quotePrefix="1" applyNumberFormat="1" applyFont="1" applyFill="1" applyBorder="1" applyAlignment="1">
      <alignment vertical="top"/>
    </xf>
    <xf numFmtId="164" fontId="8" fillId="0" borderId="6" xfId="0" applyNumberFormat="1" applyFont="1" applyBorder="1" applyAlignment="1">
      <alignment vertical="top"/>
    </xf>
    <xf numFmtId="2" fontId="8" fillId="0" borderId="6" xfId="0" applyNumberFormat="1" applyFont="1" applyBorder="1" applyAlignment="1">
      <alignment horizontal="center" vertical="top"/>
    </xf>
    <xf numFmtId="9" fontId="8" fillId="0" borderId="6" xfId="0" applyNumberFormat="1" applyFont="1" applyBorder="1" applyAlignment="1">
      <alignment horizontal="center" vertical="top"/>
    </xf>
    <xf numFmtId="0" fontId="6" fillId="0" borderId="2" xfId="2" applyNumberFormat="1" applyFont="1" applyFill="1" applyBorder="1" applyAlignment="1">
      <alignment horizontal="center" vertical="top"/>
    </xf>
    <xf numFmtId="2" fontId="6" fillId="0" borderId="2" xfId="2" applyNumberFormat="1" applyFont="1" applyFill="1" applyBorder="1" applyAlignment="1">
      <alignment horizontal="center" vertical="top"/>
    </xf>
    <xf numFmtId="2" fontId="6" fillId="0" borderId="15" xfId="0" applyNumberFormat="1" applyFont="1" applyBorder="1" applyAlignment="1">
      <alignment horizontal="center" vertical="top" wrapText="1"/>
    </xf>
    <xf numFmtId="9" fontId="6" fillId="0" borderId="2" xfId="0" applyNumberFormat="1" applyFont="1" applyBorder="1" applyAlignment="1">
      <alignment horizontal="center" vertical="top" wrapText="1"/>
    </xf>
    <xf numFmtId="166" fontId="9" fillId="0" borderId="2" xfId="0" applyNumberFormat="1" applyFont="1" applyBorder="1" applyAlignment="1">
      <alignment vertical="top"/>
    </xf>
    <xf numFmtId="0" fontId="8" fillId="0" borderId="11" xfId="0" applyFont="1" applyBorder="1" applyAlignment="1">
      <alignment horizontal="left" vertical="top" wrapText="1"/>
    </xf>
    <xf numFmtId="166" fontId="8" fillId="0" borderId="11" xfId="1" quotePrefix="1" applyNumberFormat="1" applyFont="1" applyFill="1" applyBorder="1" applyAlignment="1">
      <alignment vertical="top"/>
    </xf>
    <xf numFmtId="0" fontId="8" fillId="0" borderId="6" xfId="0" applyFont="1" applyBorder="1" applyAlignment="1">
      <alignment horizontal="center" vertical="top"/>
    </xf>
    <xf numFmtId="164" fontId="8" fillId="0" borderId="11" xfId="0" applyNumberFormat="1" applyFont="1" applyBorder="1" applyAlignment="1">
      <alignment vertical="top"/>
    </xf>
    <xf numFmtId="2" fontId="8" fillId="0" borderId="11" xfId="0" applyNumberFormat="1" applyFont="1" applyBorder="1" applyAlignment="1">
      <alignment horizontal="center" vertical="top"/>
    </xf>
    <xf numFmtId="0" fontId="8" fillId="0" borderId="11" xfId="0" applyFont="1" applyBorder="1" applyAlignment="1">
      <alignment horizontal="center" vertical="top"/>
    </xf>
    <xf numFmtId="1" fontId="8" fillId="0" borderId="11" xfId="0" applyNumberFormat="1" applyFont="1" applyBorder="1" applyAlignment="1">
      <alignment horizontal="center" vertical="top"/>
    </xf>
    <xf numFmtId="0" fontId="6" fillId="0" borderId="2" xfId="3" applyNumberFormat="1" applyFont="1" applyFill="1" applyBorder="1" applyAlignment="1">
      <alignment horizontal="center" vertical="top"/>
    </xf>
    <xf numFmtId="2" fontId="6" fillId="0" borderId="2" xfId="2" applyNumberFormat="1" applyFont="1" applyFill="1" applyBorder="1" applyAlignment="1">
      <alignment horizontal="center" vertical="top" wrapText="1"/>
    </xf>
    <xf numFmtId="2" fontId="6" fillId="0" borderId="2" xfId="3" applyNumberFormat="1" applyFont="1" applyFill="1" applyBorder="1" applyAlignment="1">
      <alignment horizontal="center" vertical="top"/>
    </xf>
    <xf numFmtId="2" fontId="6" fillId="0" borderId="3" xfId="3" applyNumberFormat="1" applyFont="1" applyFill="1" applyBorder="1" applyAlignment="1">
      <alignment horizontal="center" vertical="top" wrapText="1"/>
    </xf>
    <xf numFmtId="2" fontId="6" fillId="0" borderId="2" xfId="3" applyNumberFormat="1" applyFont="1" applyFill="1" applyBorder="1" applyAlignment="1">
      <alignment horizontal="center" vertical="top" wrapText="1"/>
    </xf>
    <xf numFmtId="0" fontId="6" fillId="0" borderId="2" xfId="3" applyNumberFormat="1" applyFont="1" applyFill="1" applyBorder="1" applyAlignment="1">
      <alignment horizontal="center" vertical="top" wrapText="1"/>
    </xf>
    <xf numFmtId="4" fontId="8" fillId="0" borderId="2" xfId="0" applyNumberFormat="1" applyFont="1" applyBorder="1" applyAlignment="1">
      <alignment horizontal="center" vertical="top" wrapText="1"/>
    </xf>
    <xf numFmtId="168" fontId="8" fillId="0" borderId="2" xfId="2" applyNumberFormat="1" applyFont="1" applyFill="1" applyBorder="1" applyAlignment="1">
      <alignment horizontal="center" vertical="top"/>
    </xf>
    <xf numFmtId="166" fontId="10" fillId="0" borderId="6" xfId="1" quotePrefix="1" applyNumberFormat="1" applyFont="1" applyFill="1" applyBorder="1" applyAlignment="1">
      <alignment vertical="top"/>
    </xf>
    <xf numFmtId="4" fontId="6" fillId="0" borderId="2" xfId="0" applyNumberFormat="1" applyFont="1" applyBorder="1" applyAlignment="1">
      <alignment horizontal="center" vertical="top"/>
    </xf>
    <xf numFmtId="4" fontId="6" fillId="0" borderId="2" xfId="0" applyNumberFormat="1" applyFont="1" applyBorder="1" applyAlignment="1">
      <alignment horizontal="center" vertical="top" wrapText="1"/>
    </xf>
    <xf numFmtId="4" fontId="10" fillId="0" borderId="2" xfId="0" applyNumberFormat="1" applyFont="1" applyBorder="1" applyAlignment="1">
      <alignment horizontal="center" vertical="top" wrapText="1"/>
    </xf>
    <xf numFmtId="3" fontId="11" fillId="0" borderId="2" xfId="0" applyNumberFormat="1" applyFont="1" applyBorder="1" applyAlignment="1">
      <alignment horizontal="center" vertical="top" wrapText="1"/>
    </xf>
    <xf numFmtId="166" fontId="11" fillId="0" borderId="6" xfId="1" quotePrefix="1" applyNumberFormat="1" applyFont="1" applyFill="1" applyBorder="1" applyAlignment="1">
      <alignment vertical="top"/>
    </xf>
    <xf numFmtId="4" fontId="8" fillId="0" borderId="2" xfId="0" applyNumberFormat="1" applyFont="1" applyBorder="1" applyAlignment="1">
      <alignment horizontal="center" vertical="top"/>
    </xf>
    <xf numFmtId="4" fontId="11" fillId="0" borderId="2" xfId="0" applyNumberFormat="1" applyFont="1" applyBorder="1" applyAlignment="1">
      <alignment horizontal="center" vertical="top" wrapText="1"/>
    </xf>
    <xf numFmtId="166" fontId="11" fillId="0" borderId="2" xfId="1" quotePrefix="1" applyNumberFormat="1" applyFont="1" applyFill="1" applyBorder="1" applyAlignment="1">
      <alignment vertical="top"/>
    </xf>
    <xf numFmtId="1" fontId="11" fillId="0" borderId="2" xfId="0" applyNumberFormat="1" applyFont="1" applyBorder="1" applyAlignment="1">
      <alignment horizontal="center" vertical="top" wrapText="1"/>
    </xf>
    <xf numFmtId="0" fontId="11" fillId="0" borderId="2" xfId="0" applyFont="1" applyBorder="1" applyAlignment="1">
      <alignment horizontal="center" vertical="top"/>
    </xf>
    <xf numFmtId="0" fontId="11" fillId="0" borderId="2" xfId="0" applyFont="1" applyBorder="1" applyAlignment="1">
      <alignment horizontal="center" vertical="top" wrapText="1"/>
    </xf>
    <xf numFmtId="3" fontId="8" fillId="0" borderId="2" xfId="2" applyNumberFormat="1" applyFont="1" applyFill="1" applyBorder="1" applyAlignment="1">
      <alignment horizontal="center" vertical="top"/>
    </xf>
    <xf numFmtId="2" fontId="8" fillId="4" borderId="2" xfId="0" applyNumberFormat="1" applyFont="1" applyFill="1" applyBorder="1" applyAlignment="1">
      <alignment horizontal="center" vertical="center"/>
    </xf>
    <xf numFmtId="0" fontId="8" fillId="4" borderId="14" xfId="0" applyFont="1" applyFill="1" applyBorder="1" applyAlignment="1">
      <alignment horizontal="center"/>
    </xf>
    <xf numFmtId="2" fontId="8" fillId="4" borderId="12" xfId="0" applyNumberFormat="1" applyFont="1" applyFill="1" applyBorder="1" applyAlignment="1">
      <alignment horizontal="right"/>
    </xf>
    <xf numFmtId="2" fontId="8" fillId="4" borderId="14" xfId="0" applyNumberFormat="1" applyFont="1" applyFill="1" applyBorder="1" applyAlignment="1">
      <alignment horizontal="right"/>
    </xf>
    <xf numFmtId="2" fontId="8" fillId="4" borderId="13" xfId="0" applyNumberFormat="1" applyFont="1" applyFill="1" applyBorder="1" applyAlignment="1">
      <alignment horizontal="right"/>
    </xf>
    <xf numFmtId="0" fontId="8" fillId="4" borderId="2" xfId="0" applyFont="1" applyFill="1" applyBorder="1" applyAlignment="1">
      <alignment horizontal="left"/>
    </xf>
    <xf numFmtId="0" fontId="8" fillId="4" borderId="12" xfId="0" applyFont="1" applyFill="1" applyBorder="1"/>
    <xf numFmtId="0" fontId="8" fillId="4" borderId="14" xfId="0" applyFont="1" applyFill="1" applyBorder="1" applyAlignment="1">
      <alignment horizontal="left"/>
    </xf>
    <xf numFmtId="0" fontId="8" fillId="4" borderId="14" xfId="0" applyFont="1" applyFill="1" applyBorder="1"/>
    <xf numFmtId="0" fontId="8" fillId="4" borderId="13" xfId="0" applyFont="1" applyFill="1" applyBorder="1"/>
    <xf numFmtId="0" fontId="4" fillId="0" borderId="15" xfId="0" applyFont="1" applyBorder="1"/>
    <xf numFmtId="0" fontId="8" fillId="4" borderId="0" xfId="0" applyFont="1" applyFill="1" applyAlignment="1">
      <alignment horizontal="left" vertical="top"/>
    </xf>
    <xf numFmtId="0" fontId="8" fillId="0" borderId="0" xfId="0" applyFont="1"/>
    <xf numFmtId="0" fontId="8" fillId="0" borderId="0" xfId="0" applyFont="1" applyAlignment="1">
      <alignment horizontal="center"/>
    </xf>
    <xf numFmtId="0" fontId="6" fillId="0" borderId="0" xfId="0" applyFont="1"/>
    <xf numFmtId="0" fontId="13" fillId="5" borderId="16" xfId="4" applyFont="1" applyFill="1" applyBorder="1" applyAlignment="1">
      <alignment horizontal="center" vertical="center" wrapText="1"/>
    </xf>
    <xf numFmtId="0" fontId="13" fillId="0" borderId="16" xfId="4" applyFont="1" applyBorder="1" applyAlignment="1">
      <alignment horizontal="center" vertical="center" wrapText="1"/>
    </xf>
    <xf numFmtId="0" fontId="15" fillId="0" borderId="16" xfId="4" applyFont="1" applyBorder="1" applyAlignment="1">
      <alignment horizontal="center" vertical="center" wrapText="1"/>
    </xf>
    <xf numFmtId="1" fontId="6" fillId="0" borderId="2" xfId="3" applyNumberFormat="1" applyFont="1" applyFill="1" applyBorder="1" applyAlignment="1">
      <alignment horizontal="center" vertical="top"/>
    </xf>
    <xf numFmtId="166" fontId="8" fillId="0" borderId="2" xfId="1" quotePrefix="1" applyNumberFormat="1" applyFont="1" applyFill="1" applyBorder="1" applyAlignment="1">
      <alignment horizontal="right" vertical="top"/>
    </xf>
    <xf numFmtId="166" fontId="8" fillId="0" borderId="15" xfId="1" quotePrefix="1" applyNumberFormat="1" applyFont="1" applyFill="1" applyBorder="1" applyAlignment="1">
      <alignment horizontal="right" vertical="top"/>
    </xf>
    <xf numFmtId="169" fontId="6" fillId="0" borderId="2" xfId="0" applyNumberFormat="1" applyFont="1" applyBorder="1" applyAlignment="1">
      <alignment horizontal="center" vertical="top" wrapText="1"/>
    </xf>
    <xf numFmtId="2" fontId="6" fillId="0" borderId="2" xfId="3" applyNumberFormat="1" applyFont="1" applyBorder="1" applyAlignment="1">
      <alignment horizontal="center" vertical="top" wrapText="1"/>
    </xf>
    <xf numFmtId="0" fontId="6" fillId="0" borderId="2" xfId="3" applyNumberFormat="1" applyFont="1" applyBorder="1" applyAlignment="1">
      <alignment horizontal="center" vertical="top"/>
    </xf>
    <xf numFmtId="2" fontId="6" fillId="0" borderId="2" xfId="3" applyNumberFormat="1" applyFont="1" applyBorder="1" applyAlignment="1">
      <alignment horizontal="center" vertical="top"/>
    </xf>
    <xf numFmtId="0" fontId="6" fillId="0" borderId="2" xfId="3" applyNumberFormat="1" applyFont="1" applyBorder="1" applyAlignment="1">
      <alignment horizontal="center" vertical="top" wrapText="1"/>
    </xf>
    <xf numFmtId="165" fontId="6" fillId="0" borderId="15" xfId="1" quotePrefix="1" applyFont="1" applyFill="1" applyBorder="1" applyAlignment="1">
      <alignment vertical="top"/>
    </xf>
    <xf numFmtId="165" fontId="6" fillId="0" borderId="2" xfId="1" applyFont="1" applyFill="1" applyBorder="1" applyAlignment="1">
      <alignment horizontal="center" vertical="top" wrapText="1"/>
    </xf>
    <xf numFmtId="165" fontId="6" fillId="0" borderId="11" xfId="1" quotePrefix="1" applyFont="1" applyFill="1" applyBorder="1" applyAlignment="1">
      <alignment vertical="top"/>
    </xf>
    <xf numFmtId="165" fontId="6" fillId="0" borderId="6" xfId="1" quotePrefix="1" applyFont="1" applyFill="1" applyBorder="1" applyAlignment="1">
      <alignment vertical="top"/>
    </xf>
    <xf numFmtId="2" fontId="10" fillId="0" borderId="2" xfId="0" applyNumberFormat="1" applyFont="1" applyBorder="1" applyAlignment="1">
      <alignment horizontal="center" vertical="top" wrapText="1"/>
    </xf>
    <xf numFmtId="1" fontId="8" fillId="0" borderId="15" xfId="0" applyNumberFormat="1" applyFont="1" applyBorder="1" applyAlignment="1">
      <alignment horizontal="center" vertical="top"/>
    </xf>
    <xf numFmtId="4" fontId="8" fillId="0" borderId="2" xfId="2" applyNumberFormat="1" applyFont="1" applyFill="1" applyBorder="1" applyAlignment="1">
      <alignment horizontal="center" vertical="top"/>
    </xf>
    <xf numFmtId="3" fontId="8" fillId="0" borderId="15" xfId="0" applyNumberFormat="1" applyFont="1" applyBorder="1" applyAlignment="1">
      <alignment horizontal="center" vertical="top" wrapText="1"/>
    </xf>
    <xf numFmtId="165" fontId="6" fillId="0" borderId="2" xfId="1" quotePrefix="1" applyFont="1" applyFill="1" applyBorder="1" applyAlignment="1">
      <alignment vertical="top"/>
    </xf>
    <xf numFmtId="1" fontId="6" fillId="0" borderId="3" xfId="3" applyNumberFormat="1" applyFont="1" applyFill="1" applyBorder="1" applyAlignment="1">
      <alignment horizontal="center" vertical="top" wrapText="1"/>
    </xf>
    <xf numFmtId="1" fontId="6" fillId="0" borderId="2" xfId="3" applyNumberFormat="1" applyFont="1" applyFill="1" applyBorder="1" applyAlignment="1">
      <alignment horizontal="center" vertical="top" wrapText="1"/>
    </xf>
    <xf numFmtId="0" fontId="6" fillId="6" borderId="11" xfId="0" applyFont="1" applyFill="1" applyBorder="1" applyAlignment="1">
      <alignment horizontal="center" vertical="top"/>
    </xf>
    <xf numFmtId="0" fontId="4" fillId="6" borderId="0" xfId="0" applyFont="1" applyFill="1"/>
    <xf numFmtId="166" fontId="8" fillId="6" borderId="0" xfId="1" quotePrefix="1" applyNumberFormat="1" applyFont="1" applyFill="1" applyBorder="1" applyAlignment="1">
      <alignment vertical="top"/>
    </xf>
    <xf numFmtId="166" fontId="4" fillId="6" borderId="0" xfId="0" applyNumberFormat="1" applyFont="1" applyFill="1"/>
    <xf numFmtId="0" fontId="17" fillId="6" borderId="0" xfId="0" applyFont="1" applyFill="1"/>
    <xf numFmtId="166" fontId="18" fillId="6" borderId="0" xfId="1" quotePrefix="1" applyNumberFormat="1" applyFont="1" applyFill="1" applyBorder="1" applyAlignment="1">
      <alignment vertical="top"/>
    </xf>
    <xf numFmtId="2" fontId="6" fillId="0" borderId="3" xfId="0" applyNumberFormat="1" applyFont="1" applyBorder="1" applyAlignment="1">
      <alignment horizontal="center" vertical="top" wrapText="1"/>
    </xf>
    <xf numFmtId="4" fontId="6" fillId="0" borderId="2" xfId="2" applyNumberFormat="1" applyFont="1" applyFill="1" applyBorder="1" applyAlignment="1">
      <alignment horizontal="center" vertical="top"/>
    </xf>
    <xf numFmtId="165" fontId="8" fillId="0" borderId="2" xfId="1" applyFont="1" applyFill="1" applyBorder="1" applyAlignment="1">
      <alignment horizontal="center" vertical="top" wrapText="1"/>
    </xf>
    <xf numFmtId="167" fontId="8" fillId="0" borderId="2" xfId="0" applyNumberFormat="1" applyFont="1" applyBorder="1" applyAlignment="1">
      <alignment horizontal="center" vertical="top" wrapText="1"/>
    </xf>
    <xf numFmtId="167" fontId="8" fillId="0" borderId="2" xfId="0" applyNumberFormat="1" applyFont="1" applyBorder="1" applyAlignment="1">
      <alignment horizontal="center" vertical="top"/>
    </xf>
    <xf numFmtId="164" fontId="6" fillId="4" borderId="6" xfId="0" applyNumberFormat="1" applyFont="1" applyFill="1" applyBorder="1" applyAlignment="1">
      <alignment vertical="top"/>
    </xf>
    <xf numFmtId="164" fontId="6" fillId="4" borderId="11" xfId="0" applyNumberFormat="1" applyFont="1" applyFill="1" applyBorder="1" applyAlignment="1">
      <alignment vertical="top"/>
    </xf>
    <xf numFmtId="164" fontId="6" fillId="4" borderId="15" xfId="0" applyNumberFormat="1" applyFont="1" applyFill="1" applyBorder="1" applyAlignment="1">
      <alignment vertical="top"/>
    </xf>
    <xf numFmtId="164" fontId="6" fillId="4" borderId="2" xfId="0" applyNumberFormat="1" applyFont="1" applyFill="1" applyBorder="1" applyAlignment="1">
      <alignment vertical="top"/>
    </xf>
    <xf numFmtId="166" fontId="6" fillId="4" borderId="6" xfId="1" quotePrefix="1" applyNumberFormat="1" applyFont="1" applyFill="1" applyBorder="1" applyAlignment="1">
      <alignment vertical="top"/>
    </xf>
    <xf numFmtId="166" fontId="6" fillId="4" borderId="2" xfId="1" quotePrefix="1" applyNumberFormat="1" applyFont="1" applyFill="1" applyBorder="1" applyAlignment="1">
      <alignment vertical="top"/>
    </xf>
    <xf numFmtId="166" fontId="6" fillId="4" borderId="15" xfId="1" quotePrefix="1" applyNumberFormat="1" applyFont="1" applyFill="1" applyBorder="1" applyAlignment="1">
      <alignment vertical="top"/>
    </xf>
    <xf numFmtId="166" fontId="10" fillId="4" borderId="6" xfId="1" quotePrefix="1" applyNumberFormat="1" applyFont="1" applyFill="1" applyBorder="1" applyAlignment="1">
      <alignment vertical="top"/>
    </xf>
    <xf numFmtId="2" fontId="10" fillId="0" borderId="15" xfId="0" applyNumberFormat="1" applyFont="1" applyBorder="1" applyAlignment="1">
      <alignment horizontal="center" vertical="top" wrapText="1"/>
    </xf>
    <xf numFmtId="2" fontId="6" fillId="2" borderId="6" xfId="0" applyNumberFormat="1" applyFont="1" applyFill="1" applyBorder="1" applyAlignment="1">
      <alignment horizontal="center" vertical="top"/>
    </xf>
    <xf numFmtId="0" fontId="10" fillId="0" borderId="2" xfId="3" applyNumberFormat="1" applyFont="1" applyFill="1" applyBorder="1" applyAlignment="1">
      <alignment horizontal="center" vertical="top" wrapText="1"/>
    </xf>
    <xf numFmtId="3" fontId="6" fillId="0" borderId="2" xfId="0" applyNumberFormat="1" applyFont="1" applyBorder="1" applyAlignment="1">
      <alignment horizontal="center" vertical="top" wrapText="1"/>
    </xf>
    <xf numFmtId="0" fontId="11" fillId="0" borderId="2" xfId="0" quotePrefix="1" applyFont="1" applyBorder="1" applyAlignment="1">
      <alignment horizontal="center" vertical="top" wrapText="1"/>
    </xf>
    <xf numFmtId="2" fontId="8" fillId="0" borderId="2" xfId="2" applyNumberFormat="1" applyFont="1" applyFill="1" applyBorder="1" applyAlignment="1">
      <alignment horizontal="center" vertical="top"/>
    </xf>
    <xf numFmtId="2" fontId="6" fillId="2" borderId="2" xfId="0" applyNumberFormat="1" applyFont="1" applyFill="1" applyBorder="1" applyAlignment="1">
      <alignment horizontal="center" vertical="top"/>
    </xf>
    <xf numFmtId="2" fontId="6" fillId="2" borderId="15" xfId="0" applyNumberFormat="1" applyFont="1" applyFill="1" applyBorder="1" applyAlignment="1">
      <alignment horizontal="center" vertical="top"/>
    </xf>
    <xf numFmtId="2" fontId="6" fillId="2" borderId="11" xfId="0" applyNumberFormat="1" applyFont="1" applyFill="1" applyBorder="1" applyAlignment="1">
      <alignment horizontal="center" vertical="top"/>
    </xf>
    <xf numFmtId="1" fontId="6" fillId="2" borderId="2" xfId="0" applyNumberFormat="1" applyFont="1" applyFill="1" applyBorder="1" applyAlignment="1">
      <alignment horizontal="center" vertical="top"/>
    </xf>
    <xf numFmtId="1" fontId="6" fillId="2" borderId="15" xfId="0" applyNumberFormat="1" applyFont="1" applyFill="1" applyBorder="1" applyAlignment="1">
      <alignment horizontal="center" vertical="top"/>
    </xf>
    <xf numFmtId="2" fontId="6" fillId="2" borderId="2" xfId="3" applyNumberFormat="1" applyFont="1" applyFill="1" applyBorder="1" applyAlignment="1">
      <alignment horizontal="center" vertical="top"/>
    </xf>
    <xf numFmtId="2" fontId="6" fillId="7" borderId="2" xfId="0" applyNumberFormat="1" applyFont="1" applyFill="1" applyBorder="1" applyAlignment="1">
      <alignment horizontal="center" vertical="top"/>
    </xf>
    <xf numFmtId="2" fontId="6" fillId="7" borderId="6" xfId="0" applyNumberFormat="1" applyFont="1" applyFill="1" applyBorder="1" applyAlignment="1">
      <alignment horizontal="center" vertical="top"/>
    </xf>
    <xf numFmtId="2" fontId="6" fillId="7" borderId="15" xfId="0" applyNumberFormat="1" applyFont="1" applyFill="1" applyBorder="1" applyAlignment="1">
      <alignment horizontal="center" vertical="top"/>
    </xf>
    <xf numFmtId="1" fontId="6" fillId="7" borderId="15" xfId="0" applyNumberFormat="1" applyFont="1" applyFill="1" applyBorder="1" applyAlignment="1">
      <alignment horizontal="center" vertical="top"/>
    </xf>
    <xf numFmtId="2" fontId="6" fillId="8" borderId="2" xfId="0" applyNumberFormat="1" applyFont="1" applyFill="1" applyBorder="1" applyAlignment="1">
      <alignment horizontal="center" vertical="top"/>
    </xf>
    <xf numFmtId="0" fontId="6" fillId="0" borderId="11" xfId="0" applyFont="1" applyBorder="1" applyAlignment="1">
      <alignment horizontal="center" vertical="top" wrapText="1"/>
    </xf>
    <xf numFmtId="0" fontId="6" fillId="0" borderId="11" xfId="0" applyFont="1" applyBorder="1" applyAlignment="1">
      <alignment horizontal="center" vertical="top"/>
    </xf>
    <xf numFmtId="0" fontId="8" fillId="0" borderId="3" xfId="0" applyFont="1" applyBorder="1" applyAlignment="1">
      <alignment horizontal="center" wrapText="1"/>
    </xf>
    <xf numFmtId="0" fontId="8" fillId="0" borderId="7" xfId="0" applyFont="1" applyBorder="1" applyAlignment="1">
      <alignment horizontal="center" wrapText="1"/>
    </xf>
    <xf numFmtId="0" fontId="8" fillId="0" borderId="9" xfId="0" applyFont="1" applyBorder="1" applyAlignment="1">
      <alignment horizontal="center" wrapText="1"/>
    </xf>
    <xf numFmtId="0" fontId="6" fillId="0" borderId="6" xfId="0" applyFont="1" applyBorder="1" applyAlignment="1">
      <alignment horizontal="left" vertical="top" wrapText="1"/>
    </xf>
    <xf numFmtId="0" fontId="6" fillId="0" borderId="11"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center" vertical="top"/>
    </xf>
    <xf numFmtId="0" fontId="6" fillId="0" borderId="15" xfId="0" applyFont="1" applyBorder="1" applyAlignment="1">
      <alignment horizontal="center" vertical="top"/>
    </xf>
    <xf numFmtId="0" fontId="8" fillId="0" borderId="6" xfId="0" applyFont="1" applyBorder="1" applyAlignment="1">
      <alignment horizontal="center" wrapText="1"/>
    </xf>
    <xf numFmtId="0" fontId="8" fillId="0" borderId="11" xfId="0" applyFont="1" applyBorder="1" applyAlignment="1">
      <alignment horizontal="center" wrapText="1"/>
    </xf>
    <xf numFmtId="0" fontId="8" fillId="0" borderId="15" xfId="0" applyFont="1" applyBorder="1" applyAlignment="1">
      <alignment horizontal="center" wrapText="1"/>
    </xf>
    <xf numFmtId="0" fontId="8" fillId="0" borderId="6" xfId="0" applyFont="1" applyBorder="1" applyAlignment="1">
      <alignment horizontal="center" vertical="top" wrapText="1"/>
    </xf>
    <xf numFmtId="0" fontId="8" fillId="0" borderId="11" xfId="0" applyFont="1" applyBorder="1" applyAlignment="1">
      <alignment horizontal="center" vertical="top" wrapText="1"/>
    </xf>
    <xf numFmtId="0" fontId="8" fillId="0" borderId="15"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6" xfId="0" applyFont="1" applyBorder="1" applyAlignment="1">
      <alignment horizontal="center"/>
    </xf>
    <xf numFmtId="0" fontId="8" fillId="0" borderId="11" xfId="0" applyFont="1" applyBorder="1" applyAlignment="1">
      <alignment horizontal="center"/>
    </xf>
    <xf numFmtId="0" fontId="8" fillId="0" borderId="15" xfId="0" applyFont="1" applyBorder="1" applyAlignment="1">
      <alignment horizontal="center"/>
    </xf>
    <xf numFmtId="0" fontId="8" fillId="0" borderId="0" xfId="0" applyFont="1" applyAlignment="1">
      <alignment horizontal="center" vertical="top"/>
    </xf>
    <xf numFmtId="0" fontId="8" fillId="0" borderId="0" xfId="0" applyFont="1" applyAlignment="1">
      <alignment horizontal="center"/>
    </xf>
    <xf numFmtId="0" fontId="8" fillId="4" borderId="2" xfId="0" applyFont="1" applyFill="1" applyBorder="1" applyAlignment="1">
      <alignment horizontal="left" vertical="top"/>
    </xf>
    <xf numFmtId="0" fontId="8" fillId="4" borderId="2" xfId="0" applyFont="1" applyFill="1" applyBorder="1" applyAlignment="1">
      <alignment horizontal="left" vertical="top" wrapText="1"/>
    </xf>
    <xf numFmtId="0" fontId="16" fillId="0" borderId="0" xfId="0" applyFont="1" applyAlignment="1">
      <alignment horizontal="center"/>
    </xf>
    <xf numFmtId="0" fontId="8" fillId="4" borderId="12" xfId="0" applyFont="1" applyFill="1" applyBorder="1" applyAlignment="1">
      <alignment horizontal="right"/>
    </xf>
    <xf numFmtId="0" fontId="8" fillId="4" borderId="14" xfId="0" applyFont="1" applyFill="1" applyBorder="1" applyAlignment="1">
      <alignment horizontal="right"/>
    </xf>
    <xf numFmtId="0" fontId="6" fillId="3" borderId="3"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top" wrapText="1"/>
    </xf>
    <xf numFmtId="0" fontId="6" fillId="3" borderId="13" xfId="0" applyFont="1" applyFill="1" applyBorder="1" applyAlignment="1">
      <alignment horizontal="center" vertical="top" wrapText="1"/>
    </xf>
    <xf numFmtId="0" fontId="6" fillId="3" borderId="1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2" xfId="0" applyFont="1" applyFill="1" applyBorder="1" applyAlignment="1">
      <alignment horizontal="center"/>
    </xf>
    <xf numFmtId="0" fontId="6" fillId="3" borderId="14" xfId="0" applyFont="1" applyFill="1" applyBorder="1" applyAlignment="1">
      <alignment horizontal="center"/>
    </xf>
    <xf numFmtId="0" fontId="6" fillId="3" borderId="13" xfId="0" applyFont="1" applyFill="1" applyBorder="1" applyAlignment="1">
      <alignment horizont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4" xfId="0" applyFont="1" applyFill="1" applyBorder="1" applyAlignment="1">
      <alignment horizontal="center" vertical="top" wrapText="1"/>
    </xf>
    <xf numFmtId="0" fontId="6" fillId="3" borderId="12" xfId="0" applyFont="1" applyFill="1" applyBorder="1" applyAlignment="1">
      <alignment horizontal="center" vertical="top"/>
    </xf>
    <xf numFmtId="0" fontId="6" fillId="3" borderId="13" xfId="0" applyFont="1" applyFill="1" applyBorder="1" applyAlignment="1">
      <alignment horizontal="center" vertical="top"/>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6" xfId="0" applyFont="1" applyBorder="1" applyAlignment="1">
      <alignment vertical="top" wrapText="1"/>
    </xf>
    <xf numFmtId="0" fontId="6" fillId="0" borderId="15" xfId="0" applyFont="1" applyBorder="1" applyAlignment="1">
      <alignment vertical="top" wrapText="1"/>
    </xf>
    <xf numFmtId="0" fontId="5" fillId="0" borderId="1" xfId="0" applyFont="1" applyBorder="1" applyAlignment="1">
      <alignment horizontal="left"/>
    </xf>
    <xf numFmtId="0" fontId="2" fillId="0" borderId="0" xfId="0" applyFont="1" applyAlignment="1">
      <alignment horizontal="center"/>
    </xf>
    <xf numFmtId="0" fontId="2" fillId="0" borderId="0" xfId="0" applyFont="1" applyAlignment="1">
      <alignment horizontal="center" vertical="top"/>
    </xf>
    <xf numFmtId="0" fontId="5" fillId="0" borderId="0" xfId="0" applyFont="1" applyAlignment="1">
      <alignment horizontal="left" vertical="top"/>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2"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xf>
    <xf numFmtId="1" fontId="6" fillId="0" borderId="2" xfId="0" applyNumberFormat="1" applyFont="1" applyFill="1" applyBorder="1" applyAlignment="1">
      <alignment horizontal="center" vertical="top"/>
    </xf>
    <xf numFmtId="0" fontId="6" fillId="0" borderId="2" xfId="0" applyFont="1" applyFill="1" applyBorder="1" applyAlignment="1">
      <alignment horizontal="center" vertical="top"/>
    </xf>
    <xf numFmtId="164" fontId="6" fillId="0" borderId="6" xfId="0" applyNumberFormat="1" applyFont="1" applyFill="1" applyBorder="1" applyAlignment="1">
      <alignment vertical="top"/>
    </xf>
    <xf numFmtId="2" fontId="6" fillId="0" borderId="6" xfId="0" applyNumberFormat="1" applyFont="1" applyFill="1" applyBorder="1" applyAlignment="1">
      <alignment horizontal="center" vertical="top"/>
    </xf>
  </cellXfs>
  <cellStyles count="5">
    <cellStyle name="Comma" xfId="1" builtinId="3"/>
    <cellStyle name="Comma [0]" xfId="2" builtinId="6"/>
    <cellStyle name="Normal" xfId="0" builtinId="0"/>
    <cellStyle name="Normal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590550</xdr:colOff>
      <xdr:row>23</xdr:row>
      <xdr:rowOff>581025</xdr:rowOff>
    </xdr:to>
    <xdr:sp macro="" textlink="">
      <xdr:nvSpPr>
        <xdr:cNvPr id="2" name="AutoShape 3">
          <a:extLst>
            <a:ext uri="{FF2B5EF4-FFF2-40B4-BE49-F238E27FC236}">
              <a16:creationId xmlns:a16="http://schemas.microsoft.com/office/drawing/2014/main" id="{43DF540C-9808-4978-99B9-3647D1A068EC}"/>
            </a:ext>
          </a:extLst>
        </xdr:cNvPr>
        <xdr:cNvSpPr>
          <a:spLocks noChangeArrowheads="1"/>
        </xdr:cNvSpPr>
      </xdr:nvSpPr>
      <xdr:spPr bwMode="auto">
        <a:xfrm>
          <a:off x="0" y="0"/>
          <a:ext cx="9972675"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590550</xdr:colOff>
      <xdr:row>23</xdr:row>
      <xdr:rowOff>581025</xdr:rowOff>
    </xdr:to>
    <xdr:sp macro="" textlink="">
      <xdr:nvSpPr>
        <xdr:cNvPr id="3" name="AutoShape 3">
          <a:extLst>
            <a:ext uri="{FF2B5EF4-FFF2-40B4-BE49-F238E27FC236}">
              <a16:creationId xmlns:a16="http://schemas.microsoft.com/office/drawing/2014/main" id="{2A824E86-0CF7-4782-AC93-7D0C24DB8BDD}"/>
            </a:ext>
          </a:extLst>
        </xdr:cNvPr>
        <xdr:cNvSpPr>
          <a:spLocks noChangeArrowheads="1"/>
        </xdr:cNvSpPr>
      </xdr:nvSpPr>
      <xdr:spPr bwMode="auto">
        <a:xfrm>
          <a:off x="0" y="0"/>
          <a:ext cx="9972675"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590550</xdr:colOff>
      <xdr:row>23</xdr:row>
      <xdr:rowOff>581025</xdr:rowOff>
    </xdr:to>
    <xdr:sp macro="" textlink="">
      <xdr:nvSpPr>
        <xdr:cNvPr id="4" name="AutoShape 3">
          <a:extLst>
            <a:ext uri="{FF2B5EF4-FFF2-40B4-BE49-F238E27FC236}">
              <a16:creationId xmlns:a16="http://schemas.microsoft.com/office/drawing/2014/main" id="{5F71B738-0DCA-4C72-AB1E-379334CD69C8}"/>
            </a:ext>
          </a:extLst>
        </xdr:cNvPr>
        <xdr:cNvSpPr>
          <a:spLocks noChangeArrowheads="1"/>
        </xdr:cNvSpPr>
      </xdr:nvSpPr>
      <xdr:spPr bwMode="auto">
        <a:xfrm>
          <a:off x="0" y="0"/>
          <a:ext cx="9972675"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590550</xdr:colOff>
      <xdr:row>23</xdr:row>
      <xdr:rowOff>581025</xdr:rowOff>
    </xdr:to>
    <xdr:sp macro="" textlink="">
      <xdr:nvSpPr>
        <xdr:cNvPr id="5" name="AutoShape 3">
          <a:extLst>
            <a:ext uri="{FF2B5EF4-FFF2-40B4-BE49-F238E27FC236}">
              <a16:creationId xmlns:a16="http://schemas.microsoft.com/office/drawing/2014/main" id="{D3E65DA0-BE9D-41CC-AA8F-1A98D70B91F5}"/>
            </a:ext>
          </a:extLst>
        </xdr:cNvPr>
        <xdr:cNvSpPr>
          <a:spLocks noChangeArrowheads="1"/>
        </xdr:cNvSpPr>
      </xdr:nvSpPr>
      <xdr:spPr bwMode="auto">
        <a:xfrm>
          <a:off x="0" y="0"/>
          <a:ext cx="9972675"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590550</xdr:colOff>
      <xdr:row>23</xdr:row>
      <xdr:rowOff>581025</xdr:rowOff>
    </xdr:to>
    <xdr:sp macro="" textlink="">
      <xdr:nvSpPr>
        <xdr:cNvPr id="6" name="AutoShape 3">
          <a:extLst>
            <a:ext uri="{FF2B5EF4-FFF2-40B4-BE49-F238E27FC236}">
              <a16:creationId xmlns:a16="http://schemas.microsoft.com/office/drawing/2014/main" id="{A73A5BCF-ABE7-4566-B5CF-3EB62FD133A6}"/>
            </a:ext>
          </a:extLst>
        </xdr:cNvPr>
        <xdr:cNvSpPr>
          <a:spLocks noChangeArrowheads="1"/>
        </xdr:cNvSpPr>
      </xdr:nvSpPr>
      <xdr:spPr bwMode="auto">
        <a:xfrm>
          <a:off x="0" y="0"/>
          <a:ext cx="9972675"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590550</xdr:colOff>
      <xdr:row>23</xdr:row>
      <xdr:rowOff>581025</xdr:rowOff>
    </xdr:to>
    <xdr:sp macro="" textlink="">
      <xdr:nvSpPr>
        <xdr:cNvPr id="7" name="AutoShape 3">
          <a:extLst>
            <a:ext uri="{FF2B5EF4-FFF2-40B4-BE49-F238E27FC236}">
              <a16:creationId xmlns:a16="http://schemas.microsoft.com/office/drawing/2014/main" id="{D4B1C547-F21E-4779-9361-A4F9384A214F}"/>
            </a:ext>
          </a:extLst>
        </xdr:cNvPr>
        <xdr:cNvSpPr>
          <a:spLocks noChangeArrowheads="1"/>
        </xdr:cNvSpPr>
      </xdr:nvSpPr>
      <xdr:spPr bwMode="auto">
        <a:xfrm>
          <a:off x="0" y="0"/>
          <a:ext cx="9972675"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590550</xdr:colOff>
      <xdr:row>23</xdr:row>
      <xdr:rowOff>581025</xdr:rowOff>
    </xdr:to>
    <xdr:sp macro="" textlink="">
      <xdr:nvSpPr>
        <xdr:cNvPr id="8" name="AutoShape 3">
          <a:extLst>
            <a:ext uri="{FF2B5EF4-FFF2-40B4-BE49-F238E27FC236}">
              <a16:creationId xmlns:a16="http://schemas.microsoft.com/office/drawing/2014/main" id="{FAB8B525-A847-4591-B54C-64FBCF6F7C63}"/>
            </a:ext>
          </a:extLst>
        </xdr:cNvPr>
        <xdr:cNvSpPr>
          <a:spLocks noChangeArrowheads="1"/>
        </xdr:cNvSpPr>
      </xdr:nvSpPr>
      <xdr:spPr bwMode="auto">
        <a:xfrm>
          <a:off x="0" y="0"/>
          <a:ext cx="9972675" cy="942022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AK147"/>
  <sheetViews>
    <sheetView tabSelected="1" showRuler="0" view="pageBreakPreview" zoomScale="55" zoomScaleNormal="40" zoomScaleSheetLayoutView="55" zoomScalePageLayoutView="55" workbookViewId="0">
      <selection activeCell="K16" sqref="K16"/>
    </sheetView>
  </sheetViews>
  <sheetFormatPr defaultColWidth="9.140625" defaultRowHeight="14.25" x14ac:dyDescent="0.2"/>
  <cols>
    <col min="1" max="1" width="6.42578125" style="2" customWidth="1"/>
    <col min="2" max="2" width="18" style="2" customWidth="1"/>
    <col min="3" max="3" width="19.140625" style="2" customWidth="1"/>
    <col min="4" max="4" width="16" style="2" customWidth="1"/>
    <col min="5" max="5" width="14.42578125" style="2" customWidth="1"/>
    <col min="6" max="6" width="11.7109375" style="2" customWidth="1"/>
    <col min="7" max="7" width="21.140625" style="2" customWidth="1"/>
    <col min="8" max="8" width="14" style="2" customWidth="1"/>
    <col min="9" max="9" width="22.42578125" style="2" customWidth="1"/>
    <col min="10" max="10" width="13" style="2" customWidth="1"/>
    <col min="11" max="11" width="29" style="2" bestFit="1" customWidth="1"/>
    <col min="12" max="12" width="13" style="2" customWidth="1"/>
    <col min="13" max="13" width="21.42578125" style="2" customWidth="1"/>
    <col min="14" max="14" width="12" style="2" customWidth="1"/>
    <col min="15" max="15" width="21.85546875" style="2" customWidth="1"/>
    <col min="16" max="16" width="11.7109375" style="2" bestFit="1" customWidth="1"/>
    <col min="17" max="17" width="18.28515625" style="2" customWidth="1"/>
    <col min="18" max="18" width="12.28515625" style="2" customWidth="1"/>
    <col min="19" max="19" width="17.85546875" style="2" customWidth="1"/>
    <col min="20" max="20" width="11.42578125" style="2" customWidth="1"/>
    <col min="21" max="21" width="10.7109375" style="2" customWidth="1"/>
    <col min="22" max="22" width="5.42578125" style="4" customWidth="1"/>
    <col min="23" max="23" width="19.7109375" style="2" customWidth="1"/>
    <col min="24" max="24" width="9.85546875" style="2" customWidth="1"/>
    <col min="25" max="25" width="5.42578125" style="4" customWidth="1"/>
    <col min="26" max="26" width="11.42578125" style="2" customWidth="1"/>
    <col min="27" max="27" width="18.42578125" style="2" customWidth="1"/>
    <col min="28" max="28" width="8" style="2" customWidth="1"/>
    <col min="29" max="29" width="5.42578125" style="4" customWidth="1"/>
    <col min="30" max="30" width="10.28515625" style="2" customWidth="1"/>
    <col min="31" max="31" width="15" style="2" customWidth="1"/>
    <col min="32" max="32" width="9.140625" style="2"/>
    <col min="33" max="37" width="19.42578125" style="2" customWidth="1"/>
    <col min="38" max="16384" width="9.140625" style="2"/>
  </cols>
  <sheetData>
    <row r="1" spans="1:37" ht="23.25" x14ac:dyDescent="0.35">
      <c r="A1" s="246" t="s">
        <v>0</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1"/>
    </row>
    <row r="2" spans="1:37" ht="23.25" x14ac:dyDescent="0.35">
      <c r="A2" s="246" t="s">
        <v>1</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3"/>
    </row>
    <row r="3" spans="1:37" ht="23.25" x14ac:dyDescent="0.35">
      <c r="A3" s="246" t="s">
        <v>2</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3"/>
    </row>
    <row r="4" spans="1:37" ht="23.25" x14ac:dyDescent="0.35">
      <c r="A4" s="247" t="s">
        <v>290</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1"/>
    </row>
    <row r="5" spans="1:37" ht="18" x14ac:dyDescent="0.2">
      <c r="A5" s="248" t="s">
        <v>3</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row>
    <row r="6" spans="1:37" ht="18" x14ac:dyDescent="0.25">
      <c r="A6" s="245" t="s">
        <v>2</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row>
    <row r="7" spans="1:37" ht="81" customHeight="1" x14ac:dyDescent="0.2">
      <c r="A7" s="255" t="s">
        <v>4</v>
      </c>
      <c r="B7" s="255" t="s">
        <v>5</v>
      </c>
      <c r="C7" s="256" t="s">
        <v>6</v>
      </c>
      <c r="D7" s="256" t="s">
        <v>7</v>
      </c>
      <c r="E7" s="249" t="s">
        <v>8</v>
      </c>
      <c r="F7" s="250"/>
      <c r="G7" s="257"/>
      <c r="H7" s="249" t="s">
        <v>9</v>
      </c>
      <c r="I7" s="257"/>
      <c r="J7" s="249" t="s">
        <v>10</v>
      </c>
      <c r="K7" s="250"/>
      <c r="L7" s="249" t="s">
        <v>11</v>
      </c>
      <c r="M7" s="250"/>
      <c r="N7" s="250"/>
      <c r="O7" s="250"/>
      <c r="P7" s="250"/>
      <c r="Q7" s="250"/>
      <c r="R7" s="250"/>
      <c r="S7" s="257"/>
      <c r="T7" s="249" t="s">
        <v>12</v>
      </c>
      <c r="U7" s="250"/>
      <c r="V7" s="250"/>
      <c r="W7" s="250"/>
      <c r="X7" s="250"/>
      <c r="Y7" s="257"/>
      <c r="Z7" s="249" t="s">
        <v>13</v>
      </c>
      <c r="AA7" s="257"/>
      <c r="AB7" s="249" t="s">
        <v>14</v>
      </c>
      <c r="AC7" s="250"/>
      <c r="AD7" s="250"/>
      <c r="AE7" s="253" t="s">
        <v>15</v>
      </c>
      <c r="AG7" s="4"/>
      <c r="AH7" s="4"/>
      <c r="AI7" s="4"/>
      <c r="AJ7" s="4"/>
      <c r="AK7" s="4"/>
    </row>
    <row r="8" spans="1:37" ht="18" customHeight="1" x14ac:dyDescent="0.2">
      <c r="A8" s="255"/>
      <c r="B8" s="255"/>
      <c r="C8" s="256"/>
      <c r="D8" s="256"/>
      <c r="E8" s="258"/>
      <c r="F8" s="259"/>
      <c r="G8" s="260"/>
      <c r="H8" s="258"/>
      <c r="I8" s="260"/>
      <c r="J8" s="251"/>
      <c r="K8" s="252"/>
      <c r="L8" s="251"/>
      <c r="M8" s="252"/>
      <c r="N8" s="252"/>
      <c r="O8" s="252"/>
      <c r="P8" s="252"/>
      <c r="Q8" s="252"/>
      <c r="R8" s="252"/>
      <c r="S8" s="261"/>
      <c r="T8" s="251"/>
      <c r="U8" s="252"/>
      <c r="V8" s="252"/>
      <c r="W8" s="252"/>
      <c r="X8" s="252"/>
      <c r="Y8" s="261"/>
      <c r="Z8" s="251"/>
      <c r="AA8" s="261"/>
      <c r="AB8" s="251"/>
      <c r="AC8" s="252"/>
      <c r="AD8" s="252"/>
      <c r="AE8" s="254"/>
    </row>
    <row r="9" spans="1:37" ht="15.75" customHeight="1" x14ac:dyDescent="0.2">
      <c r="A9" s="255"/>
      <c r="B9" s="255"/>
      <c r="C9" s="256"/>
      <c r="D9" s="256"/>
      <c r="E9" s="251"/>
      <c r="F9" s="252"/>
      <c r="G9" s="261"/>
      <c r="H9" s="251"/>
      <c r="I9" s="261"/>
      <c r="J9" s="241">
        <v>2022</v>
      </c>
      <c r="K9" s="242"/>
      <c r="L9" s="234" t="s">
        <v>16</v>
      </c>
      <c r="M9" s="235"/>
      <c r="N9" s="234" t="s">
        <v>17</v>
      </c>
      <c r="O9" s="235"/>
      <c r="P9" s="234" t="s">
        <v>18</v>
      </c>
      <c r="Q9" s="235"/>
      <c r="R9" s="234" t="s">
        <v>19</v>
      </c>
      <c r="S9" s="235"/>
      <c r="T9" s="234">
        <v>2022</v>
      </c>
      <c r="U9" s="236"/>
      <c r="V9" s="236"/>
      <c r="W9" s="236"/>
      <c r="X9" s="236"/>
      <c r="Y9" s="235"/>
      <c r="Z9" s="234">
        <v>2022</v>
      </c>
      <c r="AA9" s="235"/>
      <c r="AB9" s="234">
        <v>2022</v>
      </c>
      <c r="AC9" s="236"/>
      <c r="AD9" s="235"/>
      <c r="AE9" s="5"/>
    </row>
    <row r="10" spans="1:37" s="7" customFormat="1" ht="9.9499999999999993" customHeight="1" x14ac:dyDescent="0.25">
      <c r="A10" s="224">
        <v>1</v>
      </c>
      <c r="B10" s="224">
        <v>2</v>
      </c>
      <c r="C10" s="224">
        <v>3</v>
      </c>
      <c r="D10" s="224">
        <v>4</v>
      </c>
      <c r="E10" s="226">
        <v>5</v>
      </c>
      <c r="F10" s="238"/>
      <c r="G10" s="227"/>
      <c r="H10" s="226">
        <v>6</v>
      </c>
      <c r="I10" s="227"/>
      <c r="J10" s="239">
        <v>7</v>
      </c>
      <c r="K10" s="240"/>
      <c r="L10" s="239">
        <v>8</v>
      </c>
      <c r="M10" s="240"/>
      <c r="N10" s="239">
        <v>9</v>
      </c>
      <c r="O10" s="240"/>
      <c r="P10" s="239">
        <v>10</v>
      </c>
      <c r="Q10" s="240"/>
      <c r="R10" s="239">
        <v>11</v>
      </c>
      <c r="S10" s="240"/>
      <c r="T10" s="231">
        <v>12</v>
      </c>
      <c r="U10" s="232"/>
      <c r="V10" s="232"/>
      <c r="W10" s="232"/>
      <c r="X10" s="232"/>
      <c r="Y10" s="233"/>
      <c r="Z10" s="231">
        <v>13</v>
      </c>
      <c r="AA10" s="233"/>
      <c r="AB10" s="231">
        <v>14</v>
      </c>
      <c r="AC10" s="232"/>
      <c r="AD10" s="233"/>
      <c r="AE10" s="6">
        <v>15</v>
      </c>
    </row>
    <row r="11" spans="1:37" s="7" customFormat="1" ht="78.75" x14ac:dyDescent="0.2">
      <c r="A11" s="237"/>
      <c r="B11" s="237"/>
      <c r="C11" s="237"/>
      <c r="D11" s="237"/>
      <c r="E11" s="222" t="s">
        <v>20</v>
      </c>
      <c r="F11" s="229"/>
      <c r="G11" s="225" t="s">
        <v>21</v>
      </c>
      <c r="H11" s="222" t="s">
        <v>20</v>
      </c>
      <c r="I11" s="225" t="s">
        <v>21</v>
      </c>
      <c r="J11" s="222" t="s">
        <v>20</v>
      </c>
      <c r="K11" s="224" t="s">
        <v>21</v>
      </c>
      <c r="L11" s="222" t="s">
        <v>20</v>
      </c>
      <c r="M11" s="224" t="s">
        <v>21</v>
      </c>
      <c r="N11" s="222" t="s">
        <v>20</v>
      </c>
      <c r="O11" s="224" t="s">
        <v>21</v>
      </c>
      <c r="P11" s="222" t="s">
        <v>20</v>
      </c>
      <c r="Q11" s="224" t="s">
        <v>21</v>
      </c>
      <c r="R11" s="222" t="s">
        <v>20</v>
      </c>
      <c r="S11" s="224" t="s">
        <v>21</v>
      </c>
      <c r="T11" s="8" t="s">
        <v>22</v>
      </c>
      <c r="U11" s="226" t="s">
        <v>23</v>
      </c>
      <c r="V11" s="227"/>
      <c r="W11" s="9" t="s">
        <v>24</v>
      </c>
      <c r="X11" s="226" t="s">
        <v>25</v>
      </c>
      <c r="Y11" s="227"/>
      <c r="Z11" s="8" t="s">
        <v>26</v>
      </c>
      <c r="AA11" s="9" t="s">
        <v>27</v>
      </c>
      <c r="AB11" s="226" t="s">
        <v>28</v>
      </c>
      <c r="AC11" s="227"/>
      <c r="AD11" s="9" t="s">
        <v>29</v>
      </c>
      <c r="AE11" s="10"/>
    </row>
    <row r="12" spans="1:37" s="7" customFormat="1" ht="15.75" x14ac:dyDescent="0.2">
      <c r="A12" s="225"/>
      <c r="B12" s="225"/>
      <c r="C12" s="225"/>
      <c r="D12" s="225"/>
      <c r="E12" s="223"/>
      <c r="F12" s="228"/>
      <c r="G12" s="230"/>
      <c r="H12" s="223"/>
      <c r="I12" s="230"/>
      <c r="J12" s="223"/>
      <c r="K12" s="225"/>
      <c r="L12" s="223"/>
      <c r="M12" s="225"/>
      <c r="N12" s="223"/>
      <c r="O12" s="225"/>
      <c r="P12" s="223"/>
      <c r="Q12" s="225"/>
      <c r="R12" s="223"/>
      <c r="S12" s="225"/>
      <c r="T12" s="11" t="s">
        <v>20</v>
      </c>
      <c r="U12" s="223" t="s">
        <v>20</v>
      </c>
      <c r="V12" s="228"/>
      <c r="W12" s="12" t="s">
        <v>21</v>
      </c>
      <c r="X12" s="223" t="s">
        <v>21</v>
      </c>
      <c r="Y12" s="228"/>
      <c r="Z12" s="11" t="s">
        <v>20</v>
      </c>
      <c r="AA12" s="12" t="s">
        <v>21</v>
      </c>
      <c r="AB12" s="223" t="s">
        <v>20</v>
      </c>
      <c r="AC12" s="228"/>
      <c r="AD12" s="12" t="s">
        <v>21</v>
      </c>
      <c r="AE12" s="13"/>
    </row>
    <row r="13" spans="1:37" ht="15" hidden="1" customHeight="1" x14ac:dyDescent="0.2">
      <c r="A13" s="212"/>
      <c r="B13" s="203" t="s">
        <v>30</v>
      </c>
      <c r="C13" s="200" t="s">
        <v>31</v>
      </c>
      <c r="D13" s="203" t="s">
        <v>32</v>
      </c>
      <c r="E13" s="206" t="s">
        <v>33</v>
      </c>
      <c r="F13" s="207"/>
      <c r="G13" s="212"/>
      <c r="H13" s="206" t="s">
        <v>34</v>
      </c>
      <c r="I13" s="200" t="s">
        <v>35</v>
      </c>
      <c r="J13" s="192" t="s">
        <v>36</v>
      </c>
      <c r="K13" s="200" t="s">
        <v>37</v>
      </c>
      <c r="L13" s="192" t="s">
        <v>38</v>
      </c>
      <c r="M13" s="14"/>
      <c r="N13" s="14"/>
      <c r="O13" s="14"/>
      <c r="P13" s="14"/>
      <c r="Q13" s="14"/>
      <c r="R13" s="14"/>
      <c r="S13" s="14"/>
      <c r="T13" s="14"/>
      <c r="U13" s="14"/>
      <c r="V13" s="15"/>
      <c r="W13" s="14"/>
      <c r="X13" s="14"/>
      <c r="Y13" s="15"/>
      <c r="Z13" s="14"/>
      <c r="AA13" s="14"/>
      <c r="AB13" s="14"/>
      <c r="AC13" s="15"/>
      <c r="AD13" s="14"/>
      <c r="AE13" s="16"/>
    </row>
    <row r="14" spans="1:37" ht="15" hidden="1" customHeight="1" x14ac:dyDescent="0.2">
      <c r="A14" s="213"/>
      <c r="B14" s="204"/>
      <c r="C14" s="201"/>
      <c r="D14" s="204"/>
      <c r="E14" s="208"/>
      <c r="F14" s="209"/>
      <c r="G14" s="213"/>
      <c r="H14" s="208"/>
      <c r="I14" s="201"/>
      <c r="J14" s="193"/>
      <c r="K14" s="201"/>
      <c r="L14" s="193"/>
      <c r="M14" s="17"/>
      <c r="N14" s="17"/>
      <c r="O14" s="17"/>
      <c r="P14" s="17"/>
      <c r="Q14" s="17"/>
      <c r="R14" s="17"/>
      <c r="S14" s="17"/>
      <c r="T14" s="17"/>
      <c r="U14" s="17"/>
      <c r="V14" s="18"/>
      <c r="W14" s="17"/>
      <c r="X14" s="17"/>
      <c r="Y14" s="18"/>
      <c r="Z14" s="17"/>
      <c r="AA14" s="17"/>
      <c r="AB14" s="17"/>
      <c r="AC14" s="18"/>
      <c r="AD14" s="17"/>
      <c r="AE14" s="16"/>
    </row>
    <row r="15" spans="1:37" ht="15" hidden="1" customHeight="1" x14ac:dyDescent="0.2">
      <c r="A15" s="214"/>
      <c r="B15" s="205"/>
      <c r="C15" s="202"/>
      <c r="D15" s="205"/>
      <c r="E15" s="210"/>
      <c r="F15" s="211"/>
      <c r="G15" s="214"/>
      <c r="H15" s="210"/>
      <c r="I15" s="202"/>
      <c r="J15" s="194"/>
      <c r="K15" s="202"/>
      <c r="L15" s="194"/>
      <c r="M15" s="19"/>
      <c r="N15" s="19"/>
      <c r="O15" s="19"/>
      <c r="P15" s="19"/>
      <c r="Q15" s="19"/>
      <c r="R15" s="19"/>
      <c r="S15" s="19"/>
      <c r="T15" s="19"/>
      <c r="U15" s="19"/>
      <c r="V15" s="20"/>
      <c r="W15" s="19"/>
      <c r="X15" s="19"/>
      <c r="Y15" s="20"/>
      <c r="Z15" s="19"/>
      <c r="AA15" s="19"/>
      <c r="AB15" s="19"/>
      <c r="AC15" s="20"/>
      <c r="AD15" s="19"/>
      <c r="AE15" s="16"/>
    </row>
    <row r="16" spans="1:37" ht="126" x14ac:dyDescent="0.2">
      <c r="A16" s="198">
        <v>1</v>
      </c>
      <c r="B16" s="195" t="s">
        <v>39</v>
      </c>
      <c r="C16" s="195" t="s">
        <v>40</v>
      </c>
      <c r="D16" s="23" t="s">
        <v>219</v>
      </c>
      <c r="E16" s="24">
        <v>26</v>
      </c>
      <c r="F16" s="25" t="s">
        <v>143</v>
      </c>
      <c r="G16" s="26">
        <f>G21+G25+G33+G44+G49</f>
        <v>42833585299</v>
      </c>
      <c r="H16" s="24">
        <v>25.88</v>
      </c>
      <c r="I16" s="26">
        <f>I21+I25+I33+I44+I49</f>
        <v>13317659576</v>
      </c>
      <c r="J16" s="24">
        <v>26</v>
      </c>
      <c r="K16" s="26">
        <f>K21+K25+K33+K44+K49</f>
        <v>14771524236</v>
      </c>
      <c r="L16" s="262">
        <v>25.88</v>
      </c>
      <c r="M16" s="26">
        <f>M21+M25+M33+M44+M49</f>
        <v>2828420728</v>
      </c>
      <c r="N16" s="263">
        <v>25.88</v>
      </c>
      <c r="O16" s="26">
        <f>O21+O25+O33+O44+O49</f>
        <v>1634804505</v>
      </c>
      <c r="P16" s="263">
        <v>25.88</v>
      </c>
      <c r="Q16" s="26">
        <f>Q21+Q25+Q33+Q44+Q49</f>
        <v>5982471005</v>
      </c>
      <c r="R16" s="263">
        <v>25.88</v>
      </c>
      <c r="S16" s="26">
        <f>S21+S25+S33+S44+S49</f>
        <v>3776925051</v>
      </c>
      <c r="T16" s="264">
        <f>AVERAGE(L16,N16,P16,R16)</f>
        <v>25.88</v>
      </c>
      <c r="U16" s="265">
        <f>T16/J16*100</f>
        <v>99.538461538461533</v>
      </c>
      <c r="V16" s="266" t="s">
        <v>41</v>
      </c>
      <c r="W16" s="267">
        <f>SUM(M16,O16,Q16,S16)</f>
        <v>14222621289</v>
      </c>
      <c r="X16" s="268">
        <f>W16/K16*100</f>
        <v>96.284046668235789</v>
      </c>
      <c r="Y16" s="21" t="s">
        <v>41</v>
      </c>
      <c r="Z16" s="32">
        <f>SUM(H16,T16)</f>
        <v>51.76</v>
      </c>
      <c r="AA16" s="30">
        <f>SUM(I16,W16)</f>
        <v>27540280865</v>
      </c>
      <c r="AB16" s="32"/>
      <c r="AC16" s="29" t="s">
        <v>41</v>
      </c>
      <c r="AD16" s="31"/>
      <c r="AE16" s="33" t="s">
        <v>42</v>
      </c>
      <c r="AH16" s="34">
        <f>M16+O16+Q16+S16</f>
        <v>14222621289</v>
      </c>
    </row>
    <row r="17" spans="1:34" ht="47.25" x14ac:dyDescent="0.2">
      <c r="A17" s="191"/>
      <c r="B17" s="196"/>
      <c r="C17" s="196"/>
      <c r="D17" s="23" t="s">
        <v>220</v>
      </c>
      <c r="E17" s="24">
        <v>22</v>
      </c>
      <c r="F17" s="25" t="s">
        <v>143</v>
      </c>
      <c r="G17" s="26"/>
      <c r="H17" s="24">
        <v>21.09</v>
      </c>
      <c r="I17" s="26"/>
      <c r="J17" s="24">
        <v>22</v>
      </c>
      <c r="K17" s="26"/>
      <c r="L17" s="24">
        <v>21.09</v>
      </c>
      <c r="M17" s="26"/>
      <c r="N17" s="24">
        <v>21.09</v>
      </c>
      <c r="O17" s="26"/>
      <c r="P17" s="24">
        <v>21.09</v>
      </c>
      <c r="Q17" s="26"/>
      <c r="R17" s="24">
        <v>21.09</v>
      </c>
      <c r="S17" s="26"/>
      <c r="T17" s="32">
        <f t="shared" ref="T17:T20" si="0">AVERAGE(L17,N17,P17,R17)</f>
        <v>21.09</v>
      </c>
      <c r="U17" s="28">
        <f t="shared" ref="U17:U20" si="1">T17/J17*100</f>
        <v>95.86363636363636</v>
      </c>
      <c r="V17" s="29" t="s">
        <v>41</v>
      </c>
      <c r="W17" s="30"/>
      <c r="X17" s="31">
        <f>W16/K16*100</f>
        <v>96.284046668235789</v>
      </c>
      <c r="Y17" s="21" t="s">
        <v>41</v>
      </c>
      <c r="Z17" s="32"/>
      <c r="AA17" s="30"/>
      <c r="AB17" s="32"/>
      <c r="AC17" s="29"/>
      <c r="AD17" s="31"/>
      <c r="AE17" s="33"/>
      <c r="AH17" s="34"/>
    </row>
    <row r="18" spans="1:34" ht="47.25" x14ac:dyDescent="0.2">
      <c r="A18" s="191"/>
      <c r="B18" s="196"/>
      <c r="C18" s="196"/>
      <c r="D18" s="23" t="s">
        <v>221</v>
      </c>
      <c r="E18" s="24">
        <v>12</v>
      </c>
      <c r="F18" s="25" t="s">
        <v>143</v>
      </c>
      <c r="G18" s="26"/>
      <c r="H18" s="24">
        <v>11.99</v>
      </c>
      <c r="I18" s="26"/>
      <c r="J18" s="24">
        <v>12</v>
      </c>
      <c r="K18" s="26"/>
      <c r="L18" s="24">
        <v>11.99</v>
      </c>
      <c r="M18" s="26"/>
      <c r="N18" s="24">
        <v>11.99</v>
      </c>
      <c r="O18" s="26"/>
      <c r="P18" s="24">
        <v>11.99</v>
      </c>
      <c r="Q18" s="26"/>
      <c r="R18" s="24">
        <v>11.99</v>
      </c>
      <c r="S18" s="26"/>
      <c r="T18" s="32">
        <f t="shared" si="0"/>
        <v>11.99</v>
      </c>
      <c r="U18" s="28">
        <f t="shared" si="1"/>
        <v>99.916666666666671</v>
      </c>
      <c r="V18" s="29" t="s">
        <v>41</v>
      </c>
      <c r="W18" s="30"/>
      <c r="X18" s="31">
        <f>W16/K16*100</f>
        <v>96.284046668235789</v>
      </c>
      <c r="Y18" s="21" t="s">
        <v>41</v>
      </c>
      <c r="Z18" s="32"/>
      <c r="AA18" s="30"/>
      <c r="AB18" s="32"/>
      <c r="AC18" s="29"/>
      <c r="AD18" s="31"/>
      <c r="AE18" s="33"/>
      <c r="AH18" s="34"/>
    </row>
    <row r="19" spans="1:34" ht="63" x14ac:dyDescent="0.2">
      <c r="A19" s="191"/>
      <c r="B19" s="196"/>
      <c r="C19" s="196"/>
      <c r="D19" s="23" t="s">
        <v>222</v>
      </c>
      <c r="E19" s="24">
        <v>8.5</v>
      </c>
      <c r="F19" s="25" t="s">
        <v>143</v>
      </c>
      <c r="G19" s="26"/>
      <c r="H19" s="24">
        <v>8.2100000000000009</v>
      </c>
      <c r="I19" s="26"/>
      <c r="J19" s="24">
        <v>8.5</v>
      </c>
      <c r="K19" s="26"/>
      <c r="L19" s="24">
        <v>8.2100000000000009</v>
      </c>
      <c r="M19" s="26"/>
      <c r="N19" s="24">
        <v>8.2100000000000009</v>
      </c>
      <c r="O19" s="26"/>
      <c r="P19" s="24">
        <v>8.2100000000000009</v>
      </c>
      <c r="Q19" s="26"/>
      <c r="R19" s="24">
        <v>8.2100000000000009</v>
      </c>
      <c r="S19" s="26"/>
      <c r="T19" s="32">
        <f t="shared" si="0"/>
        <v>8.2100000000000009</v>
      </c>
      <c r="U19" s="28">
        <f t="shared" si="1"/>
        <v>96.588235294117652</v>
      </c>
      <c r="V19" s="29" t="s">
        <v>41</v>
      </c>
      <c r="W19" s="30"/>
      <c r="X19" s="31">
        <f>W16/K16*100</f>
        <v>96.284046668235789</v>
      </c>
      <c r="Y19" s="21" t="s">
        <v>41</v>
      </c>
      <c r="Z19" s="32"/>
      <c r="AA19" s="30"/>
      <c r="AB19" s="32"/>
      <c r="AC19" s="29"/>
      <c r="AD19" s="31"/>
      <c r="AE19" s="33"/>
      <c r="AH19" s="34"/>
    </row>
    <row r="20" spans="1:34" ht="47.25" x14ac:dyDescent="0.2">
      <c r="A20" s="199"/>
      <c r="B20" s="197"/>
      <c r="C20" s="197"/>
      <c r="D20" s="23" t="s">
        <v>223</v>
      </c>
      <c r="E20" s="24">
        <v>13</v>
      </c>
      <c r="F20" s="25" t="s">
        <v>143</v>
      </c>
      <c r="G20" s="26"/>
      <c r="H20" s="24">
        <v>12.85</v>
      </c>
      <c r="I20" s="26"/>
      <c r="J20" s="24">
        <v>13</v>
      </c>
      <c r="K20" s="26"/>
      <c r="L20" s="24">
        <v>12.85</v>
      </c>
      <c r="M20" s="26"/>
      <c r="N20" s="24">
        <v>12.85</v>
      </c>
      <c r="O20" s="26"/>
      <c r="P20" s="24">
        <v>12.85</v>
      </c>
      <c r="Q20" s="26"/>
      <c r="R20" s="24">
        <v>12.85</v>
      </c>
      <c r="S20" s="26"/>
      <c r="T20" s="32">
        <f t="shared" si="0"/>
        <v>12.85</v>
      </c>
      <c r="U20" s="28">
        <f t="shared" si="1"/>
        <v>98.84615384615384</v>
      </c>
      <c r="V20" s="29" t="s">
        <v>41</v>
      </c>
      <c r="W20" s="30"/>
      <c r="X20" s="31">
        <f>W16/K16*100</f>
        <v>96.284046668235789</v>
      </c>
      <c r="Y20" s="21" t="s">
        <v>41</v>
      </c>
      <c r="Z20" s="32"/>
      <c r="AA20" s="30"/>
      <c r="AB20" s="32"/>
      <c r="AC20" s="29"/>
      <c r="AD20" s="31"/>
      <c r="AE20" s="33"/>
      <c r="AH20" s="34"/>
    </row>
    <row r="21" spans="1:34" ht="126" x14ac:dyDescent="0.2">
      <c r="A21" s="21">
        <v>2</v>
      </c>
      <c r="B21" s="35" t="s">
        <v>43</v>
      </c>
      <c r="C21" s="195" t="s">
        <v>44</v>
      </c>
      <c r="D21" s="23" t="s">
        <v>45</v>
      </c>
      <c r="E21" s="24">
        <v>6</v>
      </c>
      <c r="F21" s="25" t="s">
        <v>46</v>
      </c>
      <c r="G21" s="37">
        <f>SUM(G23:G24)</f>
        <v>29014200</v>
      </c>
      <c r="H21" s="24">
        <v>6</v>
      </c>
      <c r="I21" s="37">
        <f>SUM(I23:I24)</f>
        <v>9500000</v>
      </c>
      <c r="J21" s="24">
        <v>6</v>
      </c>
      <c r="K21" s="37">
        <f>SUM(K23:K24)</f>
        <v>9757100</v>
      </c>
      <c r="L21" s="24">
        <v>1</v>
      </c>
      <c r="M21" s="37">
        <f>SUM(M23:M24)</f>
        <v>0</v>
      </c>
      <c r="N21" s="24">
        <v>2</v>
      </c>
      <c r="O21" s="37">
        <v>0</v>
      </c>
      <c r="P21" s="24">
        <v>1</v>
      </c>
      <c r="Q21" s="37">
        <f>Q23+Q24</f>
        <v>3619000</v>
      </c>
      <c r="R21" s="24">
        <v>1</v>
      </c>
      <c r="S21" s="37">
        <f>S23+S24</f>
        <v>5346000</v>
      </c>
      <c r="T21" s="28">
        <f t="shared" ref="T21:T65" si="2">SUM(L21,N21,P21,R21)</f>
        <v>5</v>
      </c>
      <c r="U21" s="28">
        <f>T21/J21*100</f>
        <v>83.333333333333343</v>
      </c>
      <c r="V21" s="29" t="s">
        <v>41</v>
      </c>
      <c r="W21" s="38">
        <f t="shared" ref="W21:W53" si="3">SUM(M21,O21,Q21,S21)</f>
        <v>8965000</v>
      </c>
      <c r="X21" s="32">
        <f>W21/K21*100</f>
        <v>91.881809144110434</v>
      </c>
      <c r="Y21" s="29" t="s">
        <v>41</v>
      </c>
      <c r="Z21" s="28">
        <f>AVERAGE(H21,T21)</f>
        <v>5.5</v>
      </c>
      <c r="AA21" s="38">
        <f t="shared" ref="AA21:AA53" si="4">SUM(I21,W21)</f>
        <v>18465000</v>
      </c>
      <c r="AB21" s="32"/>
      <c r="AC21" s="29" t="s">
        <v>41</v>
      </c>
      <c r="AD21" s="32"/>
      <c r="AE21" s="16"/>
      <c r="AH21" s="34"/>
    </row>
    <row r="22" spans="1:34" ht="78.75" x14ac:dyDescent="0.2">
      <c r="A22" s="39"/>
      <c r="B22" s="22"/>
      <c r="C22" s="197"/>
      <c r="D22" s="23" t="s">
        <v>239</v>
      </c>
      <c r="E22" s="24">
        <v>4</v>
      </c>
      <c r="F22" s="25"/>
      <c r="G22" s="37"/>
      <c r="H22" s="24">
        <v>4</v>
      </c>
      <c r="I22" s="37"/>
      <c r="J22" s="24">
        <v>4</v>
      </c>
      <c r="K22" s="37"/>
      <c r="L22" s="24">
        <v>1</v>
      </c>
      <c r="M22" s="37"/>
      <c r="N22" s="24">
        <v>1</v>
      </c>
      <c r="O22" s="37"/>
      <c r="P22" s="24">
        <v>1</v>
      </c>
      <c r="Q22" s="37"/>
      <c r="R22" s="24">
        <v>1</v>
      </c>
      <c r="S22" s="37"/>
      <c r="T22" s="28">
        <f t="shared" si="2"/>
        <v>4</v>
      </c>
      <c r="U22" s="28">
        <f>T22/J22*100</f>
        <v>100</v>
      </c>
      <c r="V22" s="29"/>
      <c r="W22" s="38"/>
      <c r="X22" s="32"/>
      <c r="Y22" s="29"/>
      <c r="Z22" s="28"/>
      <c r="AA22" s="38"/>
      <c r="AB22" s="32"/>
      <c r="AC22" s="29"/>
      <c r="AD22" s="32"/>
      <c r="AE22" s="16"/>
      <c r="AH22" s="34"/>
    </row>
    <row r="23" spans="1:34" ht="90" x14ac:dyDescent="0.2">
      <c r="A23" s="39"/>
      <c r="B23" s="22"/>
      <c r="C23" s="40" t="s">
        <v>47</v>
      </c>
      <c r="D23" s="41" t="s">
        <v>48</v>
      </c>
      <c r="E23" s="42">
        <v>5</v>
      </c>
      <c r="F23" s="43" t="s">
        <v>46</v>
      </c>
      <c r="G23" s="44">
        <v>24375000</v>
      </c>
      <c r="H23" s="42">
        <v>10</v>
      </c>
      <c r="I23" s="44">
        <v>8000000</v>
      </c>
      <c r="J23" s="42">
        <v>5</v>
      </c>
      <c r="K23" s="44">
        <v>8187500</v>
      </c>
      <c r="L23" s="42">
        <v>1</v>
      </c>
      <c r="M23" s="44">
        <v>0</v>
      </c>
      <c r="N23" s="42">
        <v>1</v>
      </c>
      <c r="O23" s="44">
        <v>0</v>
      </c>
      <c r="P23" s="42">
        <v>1</v>
      </c>
      <c r="Q23" s="136">
        <v>3095000</v>
      </c>
      <c r="R23" s="42">
        <v>1</v>
      </c>
      <c r="S23" s="44">
        <v>4449000</v>
      </c>
      <c r="T23" s="45">
        <f t="shared" si="2"/>
        <v>4</v>
      </c>
      <c r="U23" s="45">
        <f t="shared" ref="U23:U60" si="5">T23/J23*100</f>
        <v>80</v>
      </c>
      <c r="V23" s="46" t="s">
        <v>41</v>
      </c>
      <c r="W23" s="47">
        <f t="shared" si="3"/>
        <v>7544000</v>
      </c>
      <c r="X23" s="48">
        <f t="shared" ref="X23:X53" si="6">W23/K23*100</f>
        <v>92.140458015267185</v>
      </c>
      <c r="Y23" s="46" t="s">
        <v>41</v>
      </c>
      <c r="Z23" s="45">
        <f t="shared" ref="Z23:Z99" si="7">SUM(H23,T23)</f>
        <v>14</v>
      </c>
      <c r="AA23" s="47">
        <f t="shared" si="4"/>
        <v>15544000</v>
      </c>
      <c r="AB23" s="48"/>
      <c r="AC23" s="46" t="s">
        <v>41</v>
      </c>
      <c r="AD23" s="48"/>
      <c r="AE23" s="16"/>
      <c r="AH23" s="34"/>
    </row>
    <row r="24" spans="1:34" ht="75" x14ac:dyDescent="0.2">
      <c r="A24" s="39"/>
      <c r="B24" s="22"/>
      <c r="C24" s="40" t="s">
        <v>49</v>
      </c>
      <c r="D24" s="41" t="s">
        <v>50</v>
      </c>
      <c r="E24" s="42">
        <v>10</v>
      </c>
      <c r="F24" s="43" t="s">
        <v>46</v>
      </c>
      <c r="G24" s="49">
        <v>4639200</v>
      </c>
      <c r="H24" s="42">
        <v>10</v>
      </c>
      <c r="I24" s="49">
        <v>1500000</v>
      </c>
      <c r="J24" s="42">
        <v>10</v>
      </c>
      <c r="K24" s="49">
        <v>1569600</v>
      </c>
      <c r="L24" s="42">
        <v>1</v>
      </c>
      <c r="M24" s="44">
        <v>0</v>
      </c>
      <c r="N24" s="42">
        <v>3</v>
      </c>
      <c r="O24" s="49">
        <v>0</v>
      </c>
      <c r="P24" s="42">
        <v>3</v>
      </c>
      <c r="Q24" s="137">
        <v>524000</v>
      </c>
      <c r="R24" s="42">
        <v>3</v>
      </c>
      <c r="S24" s="49">
        <v>897000</v>
      </c>
      <c r="T24" s="45">
        <f t="shared" si="2"/>
        <v>10</v>
      </c>
      <c r="U24" s="45">
        <f t="shared" si="5"/>
        <v>100</v>
      </c>
      <c r="V24" s="46" t="s">
        <v>41</v>
      </c>
      <c r="W24" s="47">
        <f t="shared" si="3"/>
        <v>1421000</v>
      </c>
      <c r="X24" s="48">
        <f t="shared" si="6"/>
        <v>90.532619775739036</v>
      </c>
      <c r="Y24" s="46" t="s">
        <v>41</v>
      </c>
      <c r="Z24" s="45">
        <f t="shared" si="7"/>
        <v>20</v>
      </c>
      <c r="AA24" s="47">
        <f t="shared" si="4"/>
        <v>2921000</v>
      </c>
      <c r="AB24" s="48"/>
      <c r="AC24" s="46" t="s">
        <v>41</v>
      </c>
      <c r="AD24" s="48"/>
      <c r="AE24" s="16"/>
      <c r="AH24" s="34"/>
    </row>
    <row r="25" spans="1:34" s="52" customFormat="1" ht="105" customHeight="1" x14ac:dyDescent="0.25">
      <c r="A25" s="39"/>
      <c r="B25" s="22"/>
      <c r="C25" s="195" t="s">
        <v>51</v>
      </c>
      <c r="D25" s="23" t="s">
        <v>240</v>
      </c>
      <c r="E25" s="24">
        <v>12</v>
      </c>
      <c r="F25" s="50" t="s">
        <v>46</v>
      </c>
      <c r="G25" s="37">
        <f>SUM(G29:G32)</f>
        <v>24649793102</v>
      </c>
      <c r="H25" s="24">
        <v>12</v>
      </c>
      <c r="I25" s="37">
        <f>SUM(I29:I32)</f>
        <v>7577820477</v>
      </c>
      <c r="J25" s="24">
        <v>12</v>
      </c>
      <c r="K25" s="37">
        <f>SUM(K29:K32)</f>
        <v>8209399983</v>
      </c>
      <c r="L25" s="51">
        <f>SUM(L30:L32)</f>
        <v>3</v>
      </c>
      <c r="M25" s="37">
        <f>SUM(M29:M32)</f>
        <v>1507695056</v>
      </c>
      <c r="N25" s="51">
        <v>3</v>
      </c>
      <c r="O25" s="37">
        <f>SUM(O29:O32)</f>
        <v>1537708029</v>
      </c>
      <c r="P25" s="51">
        <v>3</v>
      </c>
      <c r="Q25" s="37">
        <f>SUM(Q29:Q32)</f>
        <v>3019151106</v>
      </c>
      <c r="R25" s="51">
        <v>3</v>
      </c>
      <c r="S25" s="37">
        <f>SUM(S29:S32)</f>
        <v>1907931258</v>
      </c>
      <c r="T25" s="28">
        <f>SUM(L25,N25,P25,R25)</f>
        <v>12</v>
      </c>
      <c r="U25" s="28">
        <f t="shared" si="5"/>
        <v>100</v>
      </c>
      <c r="V25" s="29" t="s">
        <v>41</v>
      </c>
      <c r="W25" s="38">
        <f t="shared" si="3"/>
        <v>7972485449</v>
      </c>
      <c r="X25" s="32">
        <f>W25/K25*100</f>
        <v>97.114106579158005</v>
      </c>
      <c r="Y25" s="29" t="s">
        <v>41</v>
      </c>
      <c r="Z25" s="28">
        <f>AVERAGE(T25,H25)</f>
        <v>12</v>
      </c>
      <c r="AA25" s="38">
        <f t="shared" si="4"/>
        <v>15550305926</v>
      </c>
      <c r="AB25" s="32"/>
      <c r="AC25" s="29" t="s">
        <v>41</v>
      </c>
      <c r="AD25" s="32"/>
      <c r="AE25" s="33"/>
      <c r="AH25" s="53">
        <f>M25+O25+Q25+S25</f>
        <v>7972485449</v>
      </c>
    </row>
    <row r="26" spans="1:34" s="52" customFormat="1" ht="105" customHeight="1" x14ac:dyDescent="0.25">
      <c r="A26" s="39"/>
      <c r="B26" s="22"/>
      <c r="C26" s="196"/>
      <c r="D26" s="36" t="s">
        <v>241</v>
      </c>
      <c r="E26" s="24">
        <v>1</v>
      </c>
      <c r="F26" s="50" t="s">
        <v>46</v>
      </c>
      <c r="G26" s="37"/>
      <c r="H26" s="24">
        <v>1</v>
      </c>
      <c r="I26" s="37"/>
      <c r="J26" s="24">
        <v>1</v>
      </c>
      <c r="K26" s="37"/>
      <c r="L26" s="51">
        <v>0</v>
      </c>
      <c r="M26" s="37"/>
      <c r="N26" s="51">
        <v>0</v>
      </c>
      <c r="O26" s="37"/>
      <c r="P26" s="51">
        <v>0</v>
      </c>
      <c r="Q26" s="37"/>
      <c r="R26" s="51">
        <v>0</v>
      </c>
      <c r="S26" s="37"/>
      <c r="T26" s="28">
        <f t="shared" ref="T26:T28" si="8">SUM(L26,N26,P26,R26)</f>
        <v>0</v>
      </c>
      <c r="U26" s="28">
        <f t="shared" si="5"/>
        <v>0</v>
      </c>
      <c r="V26" s="29" t="s">
        <v>41</v>
      </c>
      <c r="W26" s="38"/>
      <c r="X26" s="32"/>
      <c r="Y26" s="29"/>
      <c r="Z26" s="28">
        <f t="shared" ref="Z26:Z28" si="9">AVERAGE(T26,H26)</f>
        <v>0.5</v>
      </c>
      <c r="AA26" s="38"/>
      <c r="AB26" s="32"/>
      <c r="AC26" s="29"/>
      <c r="AD26" s="32"/>
      <c r="AE26" s="33"/>
      <c r="AH26" s="53"/>
    </row>
    <row r="27" spans="1:34" s="52" customFormat="1" ht="105" customHeight="1" x14ac:dyDescent="0.25">
      <c r="A27" s="39"/>
      <c r="B27" s="22"/>
      <c r="C27" s="196"/>
      <c r="D27" s="36" t="s">
        <v>242</v>
      </c>
      <c r="E27" s="24">
        <v>16</v>
      </c>
      <c r="F27" s="50" t="s">
        <v>46</v>
      </c>
      <c r="G27" s="37"/>
      <c r="H27" s="24">
        <v>16</v>
      </c>
      <c r="I27" s="37"/>
      <c r="J27" s="24">
        <v>16</v>
      </c>
      <c r="K27" s="37"/>
      <c r="L27" s="51">
        <v>4</v>
      </c>
      <c r="M27" s="37"/>
      <c r="N27" s="51">
        <v>4</v>
      </c>
      <c r="O27" s="37"/>
      <c r="P27" s="51">
        <v>4</v>
      </c>
      <c r="Q27" s="37"/>
      <c r="R27" s="51">
        <v>4</v>
      </c>
      <c r="S27" s="37"/>
      <c r="T27" s="28">
        <f t="shared" si="8"/>
        <v>16</v>
      </c>
      <c r="U27" s="28">
        <f t="shared" si="5"/>
        <v>100</v>
      </c>
      <c r="V27" s="29" t="s">
        <v>41</v>
      </c>
      <c r="W27" s="38"/>
      <c r="X27" s="32"/>
      <c r="Y27" s="29"/>
      <c r="Z27" s="28">
        <f t="shared" si="9"/>
        <v>16</v>
      </c>
      <c r="AA27" s="38"/>
      <c r="AB27" s="32"/>
      <c r="AC27" s="29"/>
      <c r="AD27" s="32"/>
      <c r="AE27" s="33"/>
      <c r="AH27" s="53"/>
    </row>
    <row r="28" spans="1:34" s="52" customFormat="1" ht="105" customHeight="1" x14ac:dyDescent="0.25">
      <c r="A28" s="39"/>
      <c r="B28" s="22"/>
      <c r="C28" s="197"/>
      <c r="D28" s="36" t="s">
        <v>243</v>
      </c>
      <c r="E28" s="24">
        <v>1</v>
      </c>
      <c r="F28" s="50" t="s">
        <v>46</v>
      </c>
      <c r="G28" s="37"/>
      <c r="H28" s="24">
        <v>1</v>
      </c>
      <c r="I28" s="37"/>
      <c r="J28" s="24">
        <v>1</v>
      </c>
      <c r="K28" s="37"/>
      <c r="L28" s="51">
        <v>0</v>
      </c>
      <c r="M28" s="37"/>
      <c r="N28" s="51">
        <v>1</v>
      </c>
      <c r="O28" s="37"/>
      <c r="P28" s="51">
        <v>0</v>
      </c>
      <c r="Q28" s="37"/>
      <c r="R28" s="51">
        <v>0</v>
      </c>
      <c r="S28" s="37"/>
      <c r="T28" s="28">
        <f t="shared" si="8"/>
        <v>1</v>
      </c>
      <c r="U28" s="28">
        <f t="shared" si="5"/>
        <v>100</v>
      </c>
      <c r="V28" s="29" t="s">
        <v>41</v>
      </c>
      <c r="W28" s="38"/>
      <c r="X28" s="32"/>
      <c r="Y28" s="29"/>
      <c r="Z28" s="28">
        <f t="shared" si="9"/>
        <v>1</v>
      </c>
      <c r="AA28" s="38"/>
      <c r="AB28" s="32"/>
      <c r="AC28" s="29"/>
      <c r="AD28" s="32"/>
      <c r="AE28" s="33"/>
      <c r="AH28" s="53"/>
    </row>
    <row r="29" spans="1:34" ht="92.25" customHeight="1" x14ac:dyDescent="0.2">
      <c r="A29" s="39"/>
      <c r="B29" s="22"/>
      <c r="C29" s="40" t="s">
        <v>52</v>
      </c>
      <c r="D29" s="40" t="s">
        <v>53</v>
      </c>
      <c r="E29" s="42">
        <f>12*3</f>
        <v>36</v>
      </c>
      <c r="F29" s="54" t="s">
        <v>54</v>
      </c>
      <c r="G29" s="44">
        <v>24634793102</v>
      </c>
      <c r="H29" s="55">
        <v>87</v>
      </c>
      <c r="I29" s="44">
        <v>7572900477</v>
      </c>
      <c r="J29" s="55">
        <v>94</v>
      </c>
      <c r="K29" s="44">
        <v>8205020983</v>
      </c>
      <c r="L29" s="55">
        <v>94</v>
      </c>
      <c r="M29" s="44">
        <v>1507695056</v>
      </c>
      <c r="N29" s="56">
        <v>94</v>
      </c>
      <c r="O29" s="44">
        <v>1537708029</v>
      </c>
      <c r="P29" s="56">
        <v>94</v>
      </c>
      <c r="Q29" s="44">
        <v>3018434106</v>
      </c>
      <c r="R29" s="56">
        <v>94</v>
      </c>
      <c r="S29" s="44">
        <v>1905161258</v>
      </c>
      <c r="T29" s="45">
        <f>AVERAGE(L29,N29,P29)</f>
        <v>94</v>
      </c>
      <c r="U29" s="45">
        <f>T29/J29*100</f>
        <v>100</v>
      </c>
      <c r="V29" s="46" t="s">
        <v>41</v>
      </c>
      <c r="W29" s="47">
        <f t="shared" si="3"/>
        <v>7968998449</v>
      </c>
      <c r="X29" s="48">
        <f t="shared" si="6"/>
        <v>97.123437776831821</v>
      </c>
      <c r="Y29" s="46" t="s">
        <v>41</v>
      </c>
      <c r="Z29" s="45">
        <f t="shared" si="7"/>
        <v>181</v>
      </c>
      <c r="AA29" s="47">
        <f t="shared" si="4"/>
        <v>15541898926</v>
      </c>
      <c r="AB29" s="48"/>
      <c r="AC29" s="46" t="s">
        <v>41</v>
      </c>
      <c r="AD29" s="48"/>
      <c r="AE29" s="16"/>
      <c r="AH29" s="34">
        <f>M29+O29+Q29+S29</f>
        <v>7968998449</v>
      </c>
    </row>
    <row r="30" spans="1:34" ht="180" x14ac:dyDescent="0.2">
      <c r="A30" s="39"/>
      <c r="B30" s="22"/>
      <c r="C30" s="40" t="s">
        <v>55</v>
      </c>
      <c r="D30" s="41" t="s">
        <v>56</v>
      </c>
      <c r="E30" s="55">
        <f>1*3</f>
        <v>3</v>
      </c>
      <c r="F30" s="57" t="s">
        <v>46</v>
      </c>
      <c r="G30" s="44">
        <v>6000000</v>
      </c>
      <c r="H30" s="55">
        <v>2</v>
      </c>
      <c r="I30" s="44">
        <v>1920000</v>
      </c>
      <c r="J30" s="55">
        <v>1</v>
      </c>
      <c r="K30" s="44">
        <v>1555000</v>
      </c>
      <c r="L30" s="55">
        <v>0</v>
      </c>
      <c r="M30" s="44">
        <v>0</v>
      </c>
      <c r="N30" s="55">
        <v>0</v>
      </c>
      <c r="O30" s="44">
        <v>0</v>
      </c>
      <c r="P30" s="55">
        <v>0</v>
      </c>
      <c r="Q30" s="44">
        <v>0</v>
      </c>
      <c r="R30" s="55">
        <v>0</v>
      </c>
      <c r="S30" s="44">
        <v>1420000</v>
      </c>
      <c r="T30" s="45">
        <f t="shared" si="2"/>
        <v>0</v>
      </c>
      <c r="U30" s="45">
        <f t="shared" si="5"/>
        <v>0</v>
      </c>
      <c r="V30" s="46" t="s">
        <v>41</v>
      </c>
      <c r="W30" s="47">
        <f t="shared" si="3"/>
        <v>1420000</v>
      </c>
      <c r="X30" s="48">
        <f t="shared" si="6"/>
        <v>91.318327974276528</v>
      </c>
      <c r="Y30" s="46" t="s">
        <v>41</v>
      </c>
      <c r="Z30" s="45">
        <f t="shared" si="7"/>
        <v>2</v>
      </c>
      <c r="AA30" s="47">
        <f t="shared" si="4"/>
        <v>3340000</v>
      </c>
      <c r="AB30" s="48"/>
      <c r="AC30" s="46" t="s">
        <v>41</v>
      </c>
      <c r="AD30" s="48"/>
      <c r="AE30" s="16"/>
      <c r="AH30" s="34">
        <f>M30+O30+Q30+S30</f>
        <v>1420000</v>
      </c>
    </row>
    <row r="31" spans="1:34" ht="105" x14ac:dyDescent="0.2">
      <c r="A31" s="39"/>
      <c r="B31" s="22"/>
      <c r="C31" s="40" t="s">
        <v>57</v>
      </c>
      <c r="D31" s="41" t="s">
        <v>58</v>
      </c>
      <c r="E31" s="42">
        <f>12*3</f>
        <v>36</v>
      </c>
      <c r="F31" s="57" t="s">
        <v>59</v>
      </c>
      <c r="G31" s="44">
        <v>4500000</v>
      </c>
      <c r="H31" s="42">
        <v>12</v>
      </c>
      <c r="I31" s="44">
        <v>1500000</v>
      </c>
      <c r="J31" s="55">
        <v>12</v>
      </c>
      <c r="K31" s="44">
        <v>1440000</v>
      </c>
      <c r="L31" s="55">
        <v>3</v>
      </c>
      <c r="M31" s="44">
        <v>0</v>
      </c>
      <c r="N31" s="56">
        <v>3</v>
      </c>
      <c r="O31" s="44">
        <v>0</v>
      </c>
      <c r="P31" s="56">
        <v>3</v>
      </c>
      <c r="Q31" s="44">
        <v>717000</v>
      </c>
      <c r="R31" s="56">
        <v>3</v>
      </c>
      <c r="S31" s="44">
        <v>720000</v>
      </c>
      <c r="T31" s="45">
        <f t="shared" si="2"/>
        <v>12</v>
      </c>
      <c r="U31" s="45">
        <f t="shared" si="5"/>
        <v>100</v>
      </c>
      <c r="V31" s="46" t="s">
        <v>41</v>
      </c>
      <c r="W31" s="47">
        <f t="shared" si="3"/>
        <v>1437000</v>
      </c>
      <c r="X31" s="48">
        <f t="shared" si="6"/>
        <v>99.791666666666671</v>
      </c>
      <c r="Y31" s="46" t="s">
        <v>41</v>
      </c>
      <c r="Z31" s="45">
        <f t="shared" si="7"/>
        <v>24</v>
      </c>
      <c r="AA31" s="47">
        <f t="shared" si="4"/>
        <v>2937000</v>
      </c>
      <c r="AB31" s="48"/>
      <c r="AC31" s="46" t="s">
        <v>41</v>
      </c>
      <c r="AD31" s="48"/>
      <c r="AE31" s="16"/>
      <c r="AH31" s="34">
        <f>M31+O31+Q31+S31</f>
        <v>1437000</v>
      </c>
    </row>
    <row r="32" spans="1:34" ht="110.25" customHeight="1" x14ac:dyDescent="0.2">
      <c r="A32" s="39"/>
      <c r="B32" s="22"/>
      <c r="C32" s="40" t="s">
        <v>60</v>
      </c>
      <c r="D32" s="41" t="s">
        <v>58</v>
      </c>
      <c r="E32" s="55">
        <f>1*3</f>
        <v>3</v>
      </c>
      <c r="F32" s="57" t="s">
        <v>59</v>
      </c>
      <c r="G32" s="44">
        <v>4500000</v>
      </c>
      <c r="H32" s="42">
        <v>2</v>
      </c>
      <c r="I32" s="44">
        <v>1500000</v>
      </c>
      <c r="J32" s="55">
        <v>1</v>
      </c>
      <c r="K32" s="44">
        <v>1384000</v>
      </c>
      <c r="L32" s="55">
        <v>0</v>
      </c>
      <c r="M32" s="44">
        <v>0</v>
      </c>
      <c r="N32" s="55">
        <v>1</v>
      </c>
      <c r="O32" s="44">
        <v>0</v>
      </c>
      <c r="P32" s="55">
        <v>0</v>
      </c>
      <c r="Q32" s="44">
        <v>0</v>
      </c>
      <c r="R32" s="55">
        <v>0</v>
      </c>
      <c r="S32" s="44">
        <v>630000</v>
      </c>
      <c r="T32" s="45">
        <f t="shared" si="2"/>
        <v>1</v>
      </c>
      <c r="U32" s="45">
        <f t="shared" si="5"/>
        <v>100</v>
      </c>
      <c r="V32" s="46" t="s">
        <v>41</v>
      </c>
      <c r="W32" s="47">
        <f t="shared" si="3"/>
        <v>630000</v>
      </c>
      <c r="X32" s="48">
        <f t="shared" si="6"/>
        <v>45.520231213872833</v>
      </c>
      <c r="Y32" s="46" t="s">
        <v>41</v>
      </c>
      <c r="Z32" s="45">
        <f t="shared" si="7"/>
        <v>3</v>
      </c>
      <c r="AA32" s="47">
        <f t="shared" si="4"/>
        <v>2130000</v>
      </c>
      <c r="AB32" s="48"/>
      <c r="AC32" s="46" t="s">
        <v>41</v>
      </c>
      <c r="AD32" s="48"/>
      <c r="AE32" s="16"/>
      <c r="AH32" s="34">
        <f>M32+O32+Q32+S32</f>
        <v>630000</v>
      </c>
    </row>
    <row r="33" spans="1:34" s="52" customFormat="1" ht="94.5" x14ac:dyDescent="0.25">
      <c r="A33" s="39"/>
      <c r="B33" s="22"/>
      <c r="C33" s="195" t="s">
        <v>61</v>
      </c>
      <c r="D33" s="23" t="s">
        <v>244</v>
      </c>
      <c r="E33" s="24">
        <v>100</v>
      </c>
      <c r="F33" s="50" t="s">
        <v>41</v>
      </c>
      <c r="G33" s="37">
        <f>SUM(G38:G43)</f>
        <v>1486076975</v>
      </c>
      <c r="H33" s="24">
        <v>100</v>
      </c>
      <c r="I33" s="37">
        <f>SUM(I38:I43)</f>
        <v>378975066</v>
      </c>
      <c r="J33" s="24">
        <v>100</v>
      </c>
      <c r="K33" s="37">
        <f>SUM(K38:K43)</f>
        <v>592392550</v>
      </c>
      <c r="L33" s="51">
        <v>25</v>
      </c>
      <c r="M33" s="37">
        <f>SUM(M38:M43)</f>
        <v>78338470</v>
      </c>
      <c r="N33" s="27">
        <v>25</v>
      </c>
      <c r="O33" s="37">
        <f>SUM(O38:O43)</f>
        <v>54046400</v>
      </c>
      <c r="P33" s="27">
        <v>25</v>
      </c>
      <c r="Q33" s="37">
        <f>SUM(Q38:Q43)</f>
        <v>198469282</v>
      </c>
      <c r="R33" s="27">
        <v>25</v>
      </c>
      <c r="S33" s="37">
        <f>SUM(S38:S43)</f>
        <v>213040148</v>
      </c>
      <c r="T33" s="28">
        <f t="shared" si="2"/>
        <v>100</v>
      </c>
      <c r="U33" s="28">
        <f>T33/J33*100</f>
        <v>100</v>
      </c>
      <c r="V33" s="29" t="s">
        <v>41</v>
      </c>
      <c r="W33" s="38">
        <f t="shared" si="3"/>
        <v>543894300</v>
      </c>
      <c r="X33" s="32">
        <f t="shared" si="6"/>
        <v>91.81315666444489</v>
      </c>
      <c r="Y33" s="29" t="s">
        <v>41</v>
      </c>
      <c r="Z33" s="28">
        <f>AVERAGE(T33,J33)</f>
        <v>100</v>
      </c>
      <c r="AA33" s="38">
        <f>SUM(I33,W33)</f>
        <v>922869366</v>
      </c>
      <c r="AB33" s="32"/>
      <c r="AC33" s="29" t="s">
        <v>41</v>
      </c>
      <c r="AD33" s="32"/>
      <c r="AE33" s="58"/>
      <c r="AH33" s="53"/>
    </row>
    <row r="34" spans="1:34" s="52" customFormat="1" ht="126" x14ac:dyDescent="0.25">
      <c r="A34" s="39"/>
      <c r="B34" s="22"/>
      <c r="C34" s="196"/>
      <c r="D34" s="23" t="s">
        <v>245</v>
      </c>
      <c r="E34" s="24">
        <v>100</v>
      </c>
      <c r="F34" s="50" t="s">
        <v>41</v>
      </c>
      <c r="G34" s="70"/>
      <c r="H34" s="24">
        <v>100</v>
      </c>
      <c r="I34" s="37"/>
      <c r="J34" s="24">
        <v>100</v>
      </c>
      <c r="K34" s="37"/>
      <c r="L34" s="51">
        <v>25</v>
      </c>
      <c r="M34" s="37"/>
      <c r="N34" s="27">
        <v>25</v>
      </c>
      <c r="O34" s="37"/>
      <c r="P34" s="27">
        <v>25</v>
      </c>
      <c r="Q34" s="37"/>
      <c r="R34" s="27">
        <v>25</v>
      </c>
      <c r="S34" s="37"/>
      <c r="T34" s="28">
        <f t="shared" si="2"/>
        <v>100</v>
      </c>
      <c r="U34" s="28">
        <f t="shared" ref="U34:U37" si="10">T34/J34*100</f>
        <v>100</v>
      </c>
      <c r="V34" s="29" t="s">
        <v>41</v>
      </c>
      <c r="W34" s="38"/>
      <c r="X34" s="32"/>
      <c r="Y34" s="29"/>
      <c r="Z34" s="28">
        <f t="shared" ref="Z34:Z37" si="11">AVERAGE(T34,J34)</f>
        <v>100</v>
      </c>
      <c r="AA34" s="38"/>
      <c r="AB34" s="32"/>
      <c r="AC34" s="29"/>
      <c r="AD34" s="32"/>
      <c r="AE34" s="58"/>
      <c r="AH34" s="53"/>
    </row>
    <row r="35" spans="1:34" s="52" customFormat="1" ht="126" x14ac:dyDescent="0.25">
      <c r="A35" s="39"/>
      <c r="B35" s="22"/>
      <c r="C35" s="196"/>
      <c r="D35" s="23" t="s">
        <v>246</v>
      </c>
      <c r="E35" s="24">
        <v>100</v>
      </c>
      <c r="F35" s="50" t="s">
        <v>41</v>
      </c>
      <c r="G35" s="70"/>
      <c r="H35" s="24">
        <v>100</v>
      </c>
      <c r="I35" s="37"/>
      <c r="J35" s="24">
        <v>100</v>
      </c>
      <c r="K35" s="37"/>
      <c r="L35" s="51">
        <v>25</v>
      </c>
      <c r="M35" s="37"/>
      <c r="N35" s="27">
        <v>25</v>
      </c>
      <c r="O35" s="37"/>
      <c r="P35" s="27">
        <v>25</v>
      </c>
      <c r="Q35" s="37"/>
      <c r="R35" s="27">
        <v>25</v>
      </c>
      <c r="S35" s="37"/>
      <c r="T35" s="28">
        <f t="shared" si="2"/>
        <v>100</v>
      </c>
      <c r="U35" s="28">
        <f t="shared" si="10"/>
        <v>100</v>
      </c>
      <c r="V35" s="29" t="s">
        <v>41</v>
      </c>
      <c r="W35" s="38"/>
      <c r="X35" s="32"/>
      <c r="Y35" s="29"/>
      <c r="Z35" s="28">
        <f t="shared" si="11"/>
        <v>100</v>
      </c>
      <c r="AA35" s="38"/>
      <c r="AB35" s="32"/>
      <c r="AC35" s="29"/>
      <c r="AD35" s="32"/>
      <c r="AE35" s="58"/>
      <c r="AH35" s="53"/>
    </row>
    <row r="36" spans="1:34" s="52" customFormat="1" ht="110.25" x14ac:dyDescent="0.25">
      <c r="A36" s="39"/>
      <c r="B36" s="22"/>
      <c r="C36" s="196"/>
      <c r="D36" s="23" t="s">
        <v>247</v>
      </c>
      <c r="E36" s="24">
        <v>100</v>
      </c>
      <c r="F36" s="50" t="s">
        <v>41</v>
      </c>
      <c r="G36" s="70"/>
      <c r="H36" s="24">
        <v>100</v>
      </c>
      <c r="I36" s="37"/>
      <c r="J36" s="24">
        <v>100</v>
      </c>
      <c r="K36" s="37"/>
      <c r="L36" s="51">
        <v>25</v>
      </c>
      <c r="M36" s="37"/>
      <c r="N36" s="27">
        <v>25</v>
      </c>
      <c r="O36" s="37"/>
      <c r="P36" s="27">
        <v>25</v>
      </c>
      <c r="Q36" s="37"/>
      <c r="R36" s="27">
        <v>25</v>
      </c>
      <c r="S36" s="37"/>
      <c r="T36" s="28">
        <f t="shared" si="2"/>
        <v>100</v>
      </c>
      <c r="U36" s="28">
        <f t="shared" si="10"/>
        <v>100</v>
      </c>
      <c r="V36" s="29" t="s">
        <v>41</v>
      </c>
      <c r="W36" s="38"/>
      <c r="X36" s="32"/>
      <c r="Y36" s="29"/>
      <c r="Z36" s="28">
        <f t="shared" si="11"/>
        <v>100</v>
      </c>
      <c r="AA36" s="38"/>
      <c r="AB36" s="32"/>
      <c r="AC36" s="29"/>
      <c r="AD36" s="32"/>
      <c r="AE36" s="58"/>
      <c r="AH36" s="53"/>
    </row>
    <row r="37" spans="1:34" s="52" customFormat="1" ht="110.25" x14ac:dyDescent="0.25">
      <c r="A37" s="39"/>
      <c r="B37" s="22"/>
      <c r="C37" s="197"/>
      <c r="D37" s="23" t="s">
        <v>248</v>
      </c>
      <c r="E37" s="24">
        <v>100</v>
      </c>
      <c r="F37" s="50" t="s">
        <v>41</v>
      </c>
      <c r="G37" s="70"/>
      <c r="H37" s="24">
        <v>100</v>
      </c>
      <c r="I37" s="37"/>
      <c r="J37" s="24">
        <v>100</v>
      </c>
      <c r="K37" s="37"/>
      <c r="L37" s="51">
        <v>25</v>
      </c>
      <c r="M37" s="37"/>
      <c r="N37" s="27">
        <v>25</v>
      </c>
      <c r="O37" s="37"/>
      <c r="P37" s="27">
        <v>25</v>
      </c>
      <c r="Q37" s="37"/>
      <c r="R37" s="27">
        <v>25</v>
      </c>
      <c r="S37" s="37"/>
      <c r="T37" s="28">
        <f t="shared" si="2"/>
        <v>100</v>
      </c>
      <c r="U37" s="28">
        <f t="shared" si="10"/>
        <v>100</v>
      </c>
      <c r="V37" s="29" t="s">
        <v>41</v>
      </c>
      <c r="W37" s="38"/>
      <c r="X37" s="32"/>
      <c r="Y37" s="29"/>
      <c r="Z37" s="28">
        <f t="shared" si="11"/>
        <v>100</v>
      </c>
      <c r="AA37" s="38"/>
      <c r="AB37" s="32"/>
      <c r="AC37" s="29"/>
      <c r="AD37" s="32"/>
      <c r="AE37" s="58"/>
      <c r="AH37" s="53"/>
    </row>
    <row r="38" spans="1:34" ht="120" x14ac:dyDescent="0.2">
      <c r="A38" s="39"/>
      <c r="B38" s="22"/>
      <c r="C38" s="41" t="s">
        <v>62</v>
      </c>
      <c r="D38" s="41" t="s">
        <v>63</v>
      </c>
      <c r="E38" s="42">
        <f t="shared" ref="E38:E53" si="12">12*3</f>
        <v>36</v>
      </c>
      <c r="F38" s="57" t="s">
        <v>64</v>
      </c>
      <c r="G38" s="49">
        <v>10107900</v>
      </c>
      <c r="H38" s="42">
        <v>12</v>
      </c>
      <c r="I38" s="44">
        <v>1830000</v>
      </c>
      <c r="J38" s="55">
        <v>12</v>
      </c>
      <c r="K38" s="44">
        <v>3685700</v>
      </c>
      <c r="L38" s="55">
        <v>3</v>
      </c>
      <c r="M38" s="44">
        <v>1187000</v>
      </c>
      <c r="N38" s="55">
        <v>3</v>
      </c>
      <c r="O38" s="44">
        <v>0</v>
      </c>
      <c r="P38" s="55">
        <v>3</v>
      </c>
      <c r="Q38" s="44">
        <v>1883000</v>
      </c>
      <c r="R38" s="55">
        <v>3</v>
      </c>
      <c r="S38" s="44">
        <v>0</v>
      </c>
      <c r="T38" s="45">
        <f t="shared" si="2"/>
        <v>12</v>
      </c>
      <c r="U38" s="45">
        <f t="shared" si="5"/>
        <v>100</v>
      </c>
      <c r="V38" s="46" t="s">
        <v>41</v>
      </c>
      <c r="W38" s="47">
        <f t="shared" si="3"/>
        <v>3070000</v>
      </c>
      <c r="X38" s="48">
        <f t="shared" si="6"/>
        <v>83.29489649184687</v>
      </c>
      <c r="Y38" s="46" t="s">
        <v>41</v>
      </c>
      <c r="Z38" s="45">
        <f t="shared" si="7"/>
        <v>24</v>
      </c>
      <c r="AA38" s="47">
        <f t="shared" si="4"/>
        <v>4900000</v>
      </c>
      <c r="AB38" s="48"/>
      <c r="AC38" s="46" t="s">
        <v>41</v>
      </c>
      <c r="AD38" s="48"/>
      <c r="AE38" s="16"/>
      <c r="AH38" s="34"/>
    </row>
    <row r="39" spans="1:34" ht="75" x14ac:dyDescent="0.2">
      <c r="A39" s="39"/>
      <c r="B39" s="22"/>
      <c r="C39" s="41" t="s">
        <v>65</v>
      </c>
      <c r="D39" s="41" t="s">
        <v>66</v>
      </c>
      <c r="E39" s="42">
        <f t="shared" si="12"/>
        <v>36</v>
      </c>
      <c r="F39" s="57" t="s">
        <v>64</v>
      </c>
      <c r="G39" s="49">
        <v>330252850</v>
      </c>
      <c r="H39" s="42">
        <v>12</v>
      </c>
      <c r="I39" s="44">
        <v>96704450</v>
      </c>
      <c r="J39" s="55">
        <v>12</v>
      </c>
      <c r="K39" s="44">
        <v>131879650</v>
      </c>
      <c r="L39" s="55">
        <v>3</v>
      </c>
      <c r="M39" s="44">
        <v>16538500</v>
      </c>
      <c r="N39" s="55">
        <v>3</v>
      </c>
      <c r="O39" s="44">
        <v>0</v>
      </c>
      <c r="P39" s="55">
        <v>3</v>
      </c>
      <c r="Q39" s="44">
        <v>42846700</v>
      </c>
      <c r="R39" s="55">
        <v>3</v>
      </c>
      <c r="S39" s="44">
        <v>54265600</v>
      </c>
      <c r="T39" s="45">
        <f t="shared" si="2"/>
        <v>12</v>
      </c>
      <c r="U39" s="45">
        <f t="shared" si="5"/>
        <v>100</v>
      </c>
      <c r="V39" s="46" t="s">
        <v>41</v>
      </c>
      <c r="W39" s="47">
        <f t="shared" si="3"/>
        <v>113650800</v>
      </c>
      <c r="X39" s="48">
        <f t="shared" si="6"/>
        <v>86.177662740233245</v>
      </c>
      <c r="Y39" s="46" t="s">
        <v>41</v>
      </c>
      <c r="Z39" s="45">
        <f t="shared" si="7"/>
        <v>24</v>
      </c>
      <c r="AA39" s="47">
        <f t="shared" si="4"/>
        <v>210355250</v>
      </c>
      <c r="AB39" s="48"/>
      <c r="AC39" s="46" t="s">
        <v>41</v>
      </c>
      <c r="AD39" s="48"/>
      <c r="AE39" s="16"/>
      <c r="AH39" s="34"/>
    </row>
    <row r="40" spans="1:34" ht="62.25" customHeight="1" x14ac:dyDescent="0.2">
      <c r="A40" s="39"/>
      <c r="B40" s="22"/>
      <c r="C40" s="41" t="s">
        <v>67</v>
      </c>
      <c r="D40" s="40" t="s">
        <v>68</v>
      </c>
      <c r="E40" s="42">
        <f t="shared" si="12"/>
        <v>36</v>
      </c>
      <c r="F40" s="57" t="s">
        <v>64</v>
      </c>
      <c r="G40" s="49">
        <v>169005000</v>
      </c>
      <c r="H40" s="42">
        <v>12</v>
      </c>
      <c r="I40" s="44">
        <v>17261500</v>
      </c>
      <c r="J40" s="55">
        <v>12</v>
      </c>
      <c r="K40" s="44">
        <v>61352500</v>
      </c>
      <c r="L40" s="55">
        <v>3</v>
      </c>
      <c r="M40" s="44">
        <v>0</v>
      </c>
      <c r="N40" s="55">
        <v>3</v>
      </c>
      <c r="O40" s="44">
        <v>0</v>
      </c>
      <c r="P40" s="55">
        <v>3</v>
      </c>
      <c r="Q40" s="44">
        <v>11375000</v>
      </c>
      <c r="R40" s="55">
        <v>3</v>
      </c>
      <c r="S40" s="44">
        <v>45490000</v>
      </c>
      <c r="T40" s="45">
        <f t="shared" si="2"/>
        <v>12</v>
      </c>
      <c r="U40" s="45">
        <f t="shared" si="5"/>
        <v>100</v>
      </c>
      <c r="V40" s="46" t="s">
        <v>41</v>
      </c>
      <c r="W40" s="47">
        <f t="shared" si="3"/>
        <v>56865000</v>
      </c>
      <c r="X40" s="48">
        <f t="shared" si="6"/>
        <v>92.68570962878448</v>
      </c>
      <c r="Y40" s="46" t="s">
        <v>41</v>
      </c>
      <c r="Z40" s="45">
        <f t="shared" si="7"/>
        <v>24</v>
      </c>
      <c r="AA40" s="47">
        <f t="shared" si="4"/>
        <v>74126500</v>
      </c>
      <c r="AB40" s="48"/>
      <c r="AC40" s="46" t="s">
        <v>41</v>
      </c>
      <c r="AD40" s="48"/>
      <c r="AE40" s="16"/>
      <c r="AH40" s="34"/>
    </row>
    <row r="41" spans="1:34" ht="76.5" customHeight="1" x14ac:dyDescent="0.2">
      <c r="A41" s="39"/>
      <c r="B41" s="22"/>
      <c r="C41" s="41" t="s">
        <v>69</v>
      </c>
      <c r="D41" s="40" t="s">
        <v>70</v>
      </c>
      <c r="E41" s="42">
        <f t="shared" si="12"/>
        <v>36</v>
      </c>
      <c r="F41" s="57" t="s">
        <v>64</v>
      </c>
      <c r="G41" s="49">
        <v>166670000</v>
      </c>
      <c r="H41" s="42">
        <v>12</v>
      </c>
      <c r="I41" s="44">
        <v>36059200</v>
      </c>
      <c r="J41" s="55">
        <v>12</v>
      </c>
      <c r="K41" s="44">
        <v>59541900</v>
      </c>
      <c r="L41" s="55">
        <v>3</v>
      </c>
      <c r="M41" s="44">
        <v>2156000</v>
      </c>
      <c r="N41" s="55">
        <v>3</v>
      </c>
      <c r="O41" s="44">
        <v>160000</v>
      </c>
      <c r="P41" s="55">
        <v>3</v>
      </c>
      <c r="Q41" s="44">
        <v>14530000</v>
      </c>
      <c r="R41" s="55">
        <v>3</v>
      </c>
      <c r="S41" s="44">
        <v>18277500</v>
      </c>
      <c r="T41" s="45">
        <f t="shared" si="2"/>
        <v>12</v>
      </c>
      <c r="U41" s="45">
        <f t="shared" si="5"/>
        <v>100</v>
      </c>
      <c r="V41" s="46" t="s">
        <v>41</v>
      </c>
      <c r="W41" s="47">
        <f t="shared" si="3"/>
        <v>35123500</v>
      </c>
      <c r="X41" s="48">
        <f t="shared" si="6"/>
        <v>58.989551895387947</v>
      </c>
      <c r="Y41" s="46" t="s">
        <v>41</v>
      </c>
      <c r="Z41" s="45">
        <f t="shared" si="7"/>
        <v>24</v>
      </c>
      <c r="AA41" s="47">
        <f t="shared" si="4"/>
        <v>71182700</v>
      </c>
      <c r="AB41" s="48"/>
      <c r="AC41" s="46" t="s">
        <v>41</v>
      </c>
      <c r="AD41" s="48"/>
      <c r="AE41" s="16"/>
      <c r="AH41" s="34"/>
    </row>
    <row r="42" spans="1:34" ht="135" x14ac:dyDescent="0.2">
      <c r="A42" s="39"/>
      <c r="B42" s="22"/>
      <c r="C42" s="41" t="s">
        <v>71</v>
      </c>
      <c r="D42" s="40" t="s">
        <v>72</v>
      </c>
      <c r="E42" s="42">
        <f t="shared" si="12"/>
        <v>36</v>
      </c>
      <c r="F42" s="57" t="s">
        <v>73</v>
      </c>
      <c r="G42" s="49">
        <v>17145600</v>
      </c>
      <c r="H42" s="42">
        <v>12</v>
      </c>
      <c r="I42" s="44">
        <v>4920000</v>
      </c>
      <c r="J42" s="55">
        <v>12</v>
      </c>
      <c r="K42" s="44">
        <v>5932800</v>
      </c>
      <c r="L42" s="55">
        <v>3</v>
      </c>
      <c r="M42" s="44">
        <v>820000</v>
      </c>
      <c r="N42" s="55">
        <v>3</v>
      </c>
      <c r="O42" s="44">
        <v>860000</v>
      </c>
      <c r="P42" s="55">
        <v>3</v>
      </c>
      <c r="Q42" s="44">
        <v>1700000</v>
      </c>
      <c r="R42" s="55">
        <v>3</v>
      </c>
      <c r="S42" s="44">
        <v>1840000</v>
      </c>
      <c r="T42" s="45">
        <f t="shared" si="2"/>
        <v>12</v>
      </c>
      <c r="U42" s="45">
        <f t="shared" si="5"/>
        <v>100</v>
      </c>
      <c r="V42" s="46" t="s">
        <v>41</v>
      </c>
      <c r="W42" s="47">
        <f t="shared" si="3"/>
        <v>5220000</v>
      </c>
      <c r="X42" s="48">
        <f t="shared" si="6"/>
        <v>87.985436893203882</v>
      </c>
      <c r="Y42" s="46" t="s">
        <v>41</v>
      </c>
      <c r="Z42" s="45">
        <f t="shared" si="7"/>
        <v>24</v>
      </c>
      <c r="AA42" s="47">
        <f t="shared" si="4"/>
        <v>10140000</v>
      </c>
      <c r="AB42" s="48"/>
      <c r="AC42" s="46" t="s">
        <v>41</v>
      </c>
      <c r="AD42" s="48"/>
      <c r="AE42" s="16"/>
      <c r="AH42" s="34"/>
    </row>
    <row r="43" spans="1:34" ht="102" customHeight="1" x14ac:dyDescent="0.2">
      <c r="A43" s="39"/>
      <c r="B43" s="22"/>
      <c r="C43" s="41" t="s">
        <v>74</v>
      </c>
      <c r="D43" s="40" t="s">
        <v>75</v>
      </c>
      <c r="E43" s="42">
        <f t="shared" si="12"/>
        <v>36</v>
      </c>
      <c r="F43" s="57" t="s">
        <v>76</v>
      </c>
      <c r="G43" s="49">
        <v>792895625</v>
      </c>
      <c r="H43" s="42">
        <v>12</v>
      </c>
      <c r="I43" s="44">
        <v>222199916</v>
      </c>
      <c r="J43" s="55">
        <v>12</v>
      </c>
      <c r="K43" s="44">
        <v>330000000</v>
      </c>
      <c r="L43" s="55">
        <v>3</v>
      </c>
      <c r="M43" s="44">
        <v>57636970</v>
      </c>
      <c r="N43" s="55">
        <v>3</v>
      </c>
      <c r="O43" s="44">
        <v>53026400</v>
      </c>
      <c r="P43" s="55">
        <v>3</v>
      </c>
      <c r="Q43" s="44">
        <v>126134582</v>
      </c>
      <c r="R43" s="55">
        <v>3</v>
      </c>
      <c r="S43" s="44">
        <v>93167048</v>
      </c>
      <c r="T43" s="45">
        <f t="shared" si="2"/>
        <v>12</v>
      </c>
      <c r="U43" s="45">
        <f t="shared" si="5"/>
        <v>100</v>
      </c>
      <c r="V43" s="46" t="s">
        <v>41</v>
      </c>
      <c r="W43" s="47">
        <f t="shared" si="3"/>
        <v>329965000</v>
      </c>
      <c r="X43" s="48">
        <f t="shared" si="6"/>
        <v>99.989393939393949</v>
      </c>
      <c r="Y43" s="46" t="s">
        <v>41</v>
      </c>
      <c r="Z43" s="45">
        <f>SUM(H43,T43)</f>
        <v>24</v>
      </c>
      <c r="AA43" s="47">
        <f t="shared" si="4"/>
        <v>552164916</v>
      </c>
      <c r="AB43" s="48"/>
      <c r="AC43" s="46" t="s">
        <v>41</v>
      </c>
      <c r="AD43" s="48"/>
      <c r="AE43" s="16"/>
      <c r="AH43" s="34"/>
    </row>
    <row r="44" spans="1:34" s="52" customFormat="1" ht="114.75" customHeight="1" x14ac:dyDescent="0.25">
      <c r="A44" s="39"/>
      <c r="B44" s="22"/>
      <c r="C44" s="195" t="s">
        <v>77</v>
      </c>
      <c r="D44" s="23" t="s">
        <v>249</v>
      </c>
      <c r="E44" s="24">
        <v>100</v>
      </c>
      <c r="F44" s="50" t="s">
        <v>41</v>
      </c>
      <c r="G44" s="37">
        <f>SUM(G46:G48)</f>
        <v>15085360222</v>
      </c>
      <c r="H44" s="24">
        <v>100</v>
      </c>
      <c r="I44" s="37">
        <f>SUM(I46:I48)</f>
        <v>4684857463</v>
      </c>
      <c r="J44" s="51">
        <v>100</v>
      </c>
      <c r="K44" s="37">
        <f>SUM(K46:K48)</f>
        <v>5684968003</v>
      </c>
      <c r="L44" s="51">
        <v>25</v>
      </c>
      <c r="M44" s="37">
        <f>SUM(M46:M48)</f>
        <v>1217742202</v>
      </c>
      <c r="N44" s="51">
        <v>25</v>
      </c>
      <c r="O44" s="37">
        <f>SUM(O46:O48)</f>
        <v>16409836</v>
      </c>
      <c r="P44" s="51">
        <v>25</v>
      </c>
      <c r="Q44" s="37">
        <f>SUM(Q46:Q48)</f>
        <v>2700932917</v>
      </c>
      <c r="R44" s="51">
        <v>25</v>
      </c>
      <c r="S44" s="37">
        <f>SUM(S46:S48)</f>
        <v>1564020031</v>
      </c>
      <c r="T44" s="28">
        <f t="shared" si="2"/>
        <v>100</v>
      </c>
      <c r="U44" s="28">
        <f t="shared" si="5"/>
        <v>100</v>
      </c>
      <c r="V44" s="29" t="s">
        <v>41</v>
      </c>
      <c r="W44" s="38">
        <f t="shared" si="3"/>
        <v>5499104986</v>
      </c>
      <c r="X44" s="32">
        <f>W44/K44*100</f>
        <v>96.730623340326304</v>
      </c>
      <c r="Y44" s="29" t="s">
        <v>41</v>
      </c>
      <c r="Z44" s="32">
        <f>AVERAGE(T44,J44)</f>
        <v>100</v>
      </c>
      <c r="AA44" s="38">
        <f t="shared" si="4"/>
        <v>10183962449</v>
      </c>
      <c r="AB44" s="32"/>
      <c r="AC44" s="29" t="s">
        <v>41</v>
      </c>
      <c r="AD44" s="31"/>
      <c r="AE44" s="58"/>
      <c r="AH44" s="53"/>
    </row>
    <row r="45" spans="1:34" s="52" customFormat="1" ht="114.75" customHeight="1" x14ac:dyDescent="0.25">
      <c r="A45" s="39"/>
      <c r="B45" s="22"/>
      <c r="C45" s="197"/>
      <c r="D45" s="23" t="s">
        <v>250</v>
      </c>
      <c r="E45" s="24">
        <v>100</v>
      </c>
      <c r="F45" s="50" t="s">
        <v>41</v>
      </c>
      <c r="G45" s="70"/>
      <c r="H45" s="24">
        <v>100</v>
      </c>
      <c r="I45" s="37"/>
      <c r="J45" s="51">
        <v>100</v>
      </c>
      <c r="K45" s="37"/>
      <c r="L45" s="51">
        <v>25</v>
      </c>
      <c r="M45" s="37"/>
      <c r="N45" s="27">
        <v>25</v>
      </c>
      <c r="O45" s="37"/>
      <c r="P45" s="27">
        <v>25</v>
      </c>
      <c r="Q45" s="37"/>
      <c r="R45" s="27">
        <v>25</v>
      </c>
      <c r="S45" s="37"/>
      <c r="T45" s="28">
        <f t="shared" si="2"/>
        <v>100</v>
      </c>
      <c r="U45" s="28">
        <f t="shared" si="5"/>
        <v>100</v>
      </c>
      <c r="V45" s="29" t="s">
        <v>41</v>
      </c>
      <c r="W45" s="71"/>
      <c r="X45" s="69"/>
      <c r="Y45" s="66"/>
      <c r="Z45" s="32">
        <f>AVERAGE(T45,J45)</f>
        <v>100</v>
      </c>
      <c r="AA45" s="71"/>
      <c r="AB45" s="32"/>
      <c r="AC45" s="29"/>
      <c r="AD45" s="68"/>
      <c r="AE45" s="58"/>
      <c r="AH45" s="53"/>
    </row>
    <row r="46" spans="1:34" ht="75" x14ac:dyDescent="0.2">
      <c r="A46" s="39"/>
      <c r="B46" s="22"/>
      <c r="C46" s="41" t="s">
        <v>78</v>
      </c>
      <c r="D46" s="41" t="s">
        <v>79</v>
      </c>
      <c r="E46" s="42">
        <f t="shared" si="12"/>
        <v>36</v>
      </c>
      <c r="F46" s="57" t="s">
        <v>76</v>
      </c>
      <c r="G46" s="49">
        <v>1200000</v>
      </c>
      <c r="H46" s="42">
        <v>12</v>
      </c>
      <c r="I46" s="44">
        <v>0</v>
      </c>
      <c r="J46" s="56">
        <v>12</v>
      </c>
      <c r="K46" s="44">
        <v>400000</v>
      </c>
      <c r="L46" s="56">
        <v>3</v>
      </c>
      <c r="M46" s="44">
        <v>0</v>
      </c>
      <c r="N46" s="55">
        <v>3</v>
      </c>
      <c r="O46" s="59">
        <v>0</v>
      </c>
      <c r="P46" s="55">
        <v>3</v>
      </c>
      <c r="Q46" s="59">
        <v>0</v>
      </c>
      <c r="R46" s="55">
        <v>3</v>
      </c>
      <c r="S46" s="59">
        <v>0</v>
      </c>
      <c r="T46" s="45">
        <f t="shared" si="2"/>
        <v>12</v>
      </c>
      <c r="U46" s="45">
        <f t="shared" si="5"/>
        <v>100</v>
      </c>
      <c r="V46" s="46" t="s">
        <v>41</v>
      </c>
      <c r="W46" s="60">
        <f t="shared" si="3"/>
        <v>0</v>
      </c>
      <c r="X46" s="61">
        <f t="shared" si="6"/>
        <v>0</v>
      </c>
      <c r="Y46" s="62" t="s">
        <v>41</v>
      </c>
      <c r="Z46" s="61">
        <f t="shared" si="7"/>
        <v>24</v>
      </c>
      <c r="AA46" s="60">
        <f t="shared" si="4"/>
        <v>0</v>
      </c>
      <c r="AB46" s="48"/>
      <c r="AC46" s="46" t="s">
        <v>41</v>
      </c>
      <c r="AD46" s="61"/>
      <c r="AE46" s="16"/>
      <c r="AH46" s="34"/>
    </row>
    <row r="47" spans="1:34" ht="135" x14ac:dyDescent="0.2">
      <c r="A47" s="39"/>
      <c r="B47" s="22"/>
      <c r="C47" s="41" t="s">
        <v>80</v>
      </c>
      <c r="D47" s="41" t="s">
        <v>81</v>
      </c>
      <c r="E47" s="42">
        <f t="shared" si="12"/>
        <v>36</v>
      </c>
      <c r="F47" s="57" t="s">
        <v>76</v>
      </c>
      <c r="G47" s="49">
        <v>14994880222</v>
      </c>
      <c r="H47" s="42">
        <v>12</v>
      </c>
      <c r="I47" s="44">
        <v>4666526463</v>
      </c>
      <c r="J47" s="56">
        <v>12</v>
      </c>
      <c r="K47" s="44">
        <v>5652725003</v>
      </c>
      <c r="L47" s="56">
        <v>3</v>
      </c>
      <c r="M47" s="44">
        <v>1212657202</v>
      </c>
      <c r="N47" s="56">
        <v>3</v>
      </c>
      <c r="O47" s="44">
        <v>12575536</v>
      </c>
      <c r="P47" s="56">
        <v>3</v>
      </c>
      <c r="Q47" s="44">
        <v>2692894317</v>
      </c>
      <c r="R47" s="56">
        <v>3</v>
      </c>
      <c r="S47" s="44">
        <v>1556890731</v>
      </c>
      <c r="T47" s="45">
        <f t="shared" si="2"/>
        <v>12</v>
      </c>
      <c r="U47" s="45">
        <f t="shared" si="5"/>
        <v>100</v>
      </c>
      <c r="V47" s="46" t="s">
        <v>41</v>
      </c>
      <c r="W47" s="60">
        <f t="shared" si="3"/>
        <v>5475017786</v>
      </c>
      <c r="X47" s="61">
        <f t="shared" si="6"/>
        <v>96.856255754424865</v>
      </c>
      <c r="Y47" s="62" t="s">
        <v>41</v>
      </c>
      <c r="Z47" s="61">
        <f t="shared" si="7"/>
        <v>24</v>
      </c>
      <c r="AA47" s="60">
        <f t="shared" si="4"/>
        <v>10141544249</v>
      </c>
      <c r="AB47" s="61"/>
      <c r="AC47" s="62" t="s">
        <v>41</v>
      </c>
      <c r="AD47" s="61"/>
      <c r="AE47" s="16"/>
      <c r="AH47" s="34"/>
    </row>
    <row r="48" spans="1:34" ht="120" x14ac:dyDescent="0.2">
      <c r="A48" s="39"/>
      <c r="B48" s="22"/>
      <c r="C48" s="41" t="s">
        <v>82</v>
      </c>
      <c r="D48" s="41" t="s">
        <v>83</v>
      </c>
      <c r="E48" s="42">
        <f t="shared" si="12"/>
        <v>36</v>
      </c>
      <c r="F48" s="57" t="s">
        <v>76</v>
      </c>
      <c r="G48" s="49">
        <v>89280000</v>
      </c>
      <c r="H48" s="42">
        <v>12</v>
      </c>
      <c r="I48" s="44">
        <v>18331000</v>
      </c>
      <c r="J48" s="56">
        <v>12</v>
      </c>
      <c r="K48" s="44">
        <v>31843000</v>
      </c>
      <c r="L48" s="56">
        <v>3</v>
      </c>
      <c r="M48" s="44">
        <v>5085000</v>
      </c>
      <c r="N48" s="56">
        <v>3</v>
      </c>
      <c r="O48" s="44">
        <v>3834300</v>
      </c>
      <c r="P48" s="56">
        <v>3</v>
      </c>
      <c r="Q48" s="44">
        <v>8038600</v>
      </c>
      <c r="R48" s="56">
        <v>3</v>
      </c>
      <c r="S48" s="44">
        <v>7129300</v>
      </c>
      <c r="T48" s="45">
        <f t="shared" si="2"/>
        <v>12</v>
      </c>
      <c r="U48" s="45">
        <f t="shared" si="5"/>
        <v>100</v>
      </c>
      <c r="V48" s="46" t="s">
        <v>41</v>
      </c>
      <c r="W48" s="47">
        <f t="shared" si="3"/>
        <v>24087200</v>
      </c>
      <c r="X48" s="48">
        <f t="shared" si="6"/>
        <v>75.643626542725258</v>
      </c>
      <c r="Y48" s="46" t="s">
        <v>41</v>
      </c>
      <c r="Z48" s="45">
        <f t="shared" si="7"/>
        <v>24</v>
      </c>
      <c r="AA48" s="47">
        <f t="shared" si="4"/>
        <v>42418200</v>
      </c>
      <c r="AB48" s="48"/>
      <c r="AC48" s="46" t="s">
        <v>41</v>
      </c>
      <c r="AD48" s="48"/>
      <c r="AE48" s="16"/>
      <c r="AH48" s="34"/>
    </row>
    <row r="49" spans="1:34" s="52" customFormat="1" ht="110.25" x14ac:dyDescent="0.25">
      <c r="A49" s="39"/>
      <c r="B49" s="22"/>
      <c r="C49" s="195" t="s">
        <v>84</v>
      </c>
      <c r="D49" s="23" t="s">
        <v>251</v>
      </c>
      <c r="E49" s="24">
        <v>100</v>
      </c>
      <c r="F49" s="50" t="s">
        <v>41</v>
      </c>
      <c r="G49" s="37">
        <f>SUM(G51:G53)</f>
        <v>1583340800</v>
      </c>
      <c r="H49" s="24">
        <v>100</v>
      </c>
      <c r="I49" s="37">
        <f>SUM(I51:I53)</f>
        <v>666506570</v>
      </c>
      <c r="J49" s="51">
        <v>100</v>
      </c>
      <c r="K49" s="37">
        <f>SUM(K51:K53)</f>
        <v>275006600</v>
      </c>
      <c r="L49" s="51">
        <v>25</v>
      </c>
      <c r="M49" s="37">
        <f>SUM(M51:M53)</f>
        <v>24645000</v>
      </c>
      <c r="N49" s="51">
        <v>25</v>
      </c>
      <c r="O49" s="37">
        <f>SUM(O51:O53)</f>
        <v>26640240</v>
      </c>
      <c r="P49" s="51">
        <v>25</v>
      </c>
      <c r="Q49" s="37">
        <f>SUM(Q51:Q53)</f>
        <v>60298700</v>
      </c>
      <c r="R49" s="51">
        <v>25</v>
      </c>
      <c r="S49" s="37">
        <f>S51+S52+S53</f>
        <v>86587614</v>
      </c>
      <c r="T49" s="28">
        <f t="shared" si="2"/>
        <v>100</v>
      </c>
      <c r="U49" s="28">
        <f t="shared" si="5"/>
        <v>100</v>
      </c>
      <c r="V49" s="29" t="s">
        <v>41</v>
      </c>
      <c r="W49" s="38">
        <f t="shared" si="3"/>
        <v>198171554</v>
      </c>
      <c r="X49" s="32">
        <f>W49/K49*100</f>
        <v>72.060653817035671</v>
      </c>
      <c r="Y49" s="29" t="s">
        <v>41</v>
      </c>
      <c r="Z49" s="32">
        <f>AVERAGE(T49,J49)</f>
        <v>100</v>
      </c>
      <c r="AA49" s="38">
        <f t="shared" si="4"/>
        <v>864678124</v>
      </c>
      <c r="AB49" s="32"/>
      <c r="AC49" s="29" t="s">
        <v>41</v>
      </c>
      <c r="AD49" s="32"/>
      <c r="AE49" s="58"/>
      <c r="AH49" s="53"/>
    </row>
    <row r="50" spans="1:34" s="52" customFormat="1" ht="63" x14ac:dyDescent="0.25">
      <c r="A50" s="39"/>
      <c r="B50" s="22"/>
      <c r="C50" s="197"/>
      <c r="D50" s="23" t="s">
        <v>252</v>
      </c>
      <c r="E50" s="24">
        <v>100</v>
      </c>
      <c r="F50" s="50" t="s">
        <v>41</v>
      </c>
      <c r="G50" s="70"/>
      <c r="H50" s="24">
        <v>100</v>
      </c>
      <c r="I50" s="37"/>
      <c r="J50" s="51">
        <v>100</v>
      </c>
      <c r="K50" s="37"/>
      <c r="L50" s="51">
        <v>25</v>
      </c>
      <c r="M50" s="37"/>
      <c r="N50" s="51">
        <v>25</v>
      </c>
      <c r="O50" s="37"/>
      <c r="P50" s="51">
        <v>25</v>
      </c>
      <c r="Q50" s="37"/>
      <c r="R50" s="51">
        <v>25</v>
      </c>
      <c r="S50" s="37"/>
      <c r="T50" s="28">
        <f t="shared" si="2"/>
        <v>100</v>
      </c>
      <c r="U50" s="28">
        <f t="shared" si="5"/>
        <v>100</v>
      </c>
      <c r="V50" s="29" t="s">
        <v>41</v>
      </c>
      <c r="W50" s="38"/>
      <c r="X50" s="32"/>
      <c r="Y50" s="29"/>
      <c r="Z50" s="32">
        <f>AVERAGE(T50,J50)</f>
        <v>100</v>
      </c>
      <c r="AA50" s="38"/>
      <c r="AB50" s="32"/>
      <c r="AC50" s="29"/>
      <c r="AD50" s="32"/>
      <c r="AE50" s="58"/>
      <c r="AH50" s="53"/>
    </row>
    <row r="51" spans="1:34" ht="165" x14ac:dyDescent="0.2">
      <c r="A51" s="39"/>
      <c r="B51" s="22"/>
      <c r="C51" s="41" t="s">
        <v>85</v>
      </c>
      <c r="D51" s="41" t="s">
        <v>86</v>
      </c>
      <c r="E51" s="42">
        <f t="shared" si="12"/>
        <v>36</v>
      </c>
      <c r="F51" s="57" t="s">
        <v>87</v>
      </c>
      <c r="G51" s="49">
        <v>465933800</v>
      </c>
      <c r="H51" s="42">
        <v>12</v>
      </c>
      <c r="I51" s="44">
        <v>61521570</v>
      </c>
      <c r="J51" s="56">
        <v>12</v>
      </c>
      <c r="K51" s="44">
        <v>164141900</v>
      </c>
      <c r="L51" s="56">
        <v>3</v>
      </c>
      <c r="M51" s="44">
        <v>8735000</v>
      </c>
      <c r="N51" s="56">
        <v>3</v>
      </c>
      <c r="O51" s="44">
        <v>15647340</v>
      </c>
      <c r="P51" s="56">
        <v>3</v>
      </c>
      <c r="Q51" s="44">
        <v>33133900</v>
      </c>
      <c r="R51" s="56">
        <v>3</v>
      </c>
      <c r="S51" s="44">
        <v>41476714</v>
      </c>
      <c r="T51" s="63">
        <f t="shared" si="2"/>
        <v>12</v>
      </c>
      <c r="U51" s="45">
        <f t="shared" si="5"/>
        <v>100</v>
      </c>
      <c r="V51" s="46" t="s">
        <v>41</v>
      </c>
      <c r="W51" s="47">
        <f t="shared" si="3"/>
        <v>98992954</v>
      </c>
      <c r="X51" s="48">
        <f t="shared" si="6"/>
        <v>60.309374998096153</v>
      </c>
      <c r="Y51" s="46" t="s">
        <v>41</v>
      </c>
      <c r="Z51" s="64">
        <f t="shared" si="7"/>
        <v>24</v>
      </c>
      <c r="AA51" s="47">
        <f t="shared" si="4"/>
        <v>160514524</v>
      </c>
      <c r="AB51" s="48"/>
      <c r="AC51" s="46" t="s">
        <v>41</v>
      </c>
      <c r="AD51" s="48"/>
      <c r="AE51" s="16"/>
      <c r="AH51" s="34"/>
    </row>
    <row r="52" spans="1:34" ht="135" x14ac:dyDescent="0.2">
      <c r="A52" s="39"/>
      <c r="B52" s="22"/>
      <c r="C52" s="40" t="s">
        <v>88</v>
      </c>
      <c r="D52" s="41" t="s">
        <v>89</v>
      </c>
      <c r="E52" s="42">
        <f t="shared" si="12"/>
        <v>36</v>
      </c>
      <c r="F52" s="57" t="s">
        <v>87</v>
      </c>
      <c r="G52" s="49">
        <v>734680000</v>
      </c>
      <c r="H52" s="42">
        <v>12</v>
      </c>
      <c r="I52" s="44">
        <v>552231000</v>
      </c>
      <c r="J52" s="56">
        <v>12</v>
      </c>
      <c r="K52" s="44">
        <v>25143000</v>
      </c>
      <c r="L52" s="56">
        <v>3</v>
      </c>
      <c r="M52" s="44">
        <v>8385000</v>
      </c>
      <c r="N52" s="56">
        <v>3</v>
      </c>
      <c r="O52" s="44">
        <v>3939300</v>
      </c>
      <c r="P52" s="56">
        <v>3</v>
      </c>
      <c r="Q52" s="44">
        <v>4818600</v>
      </c>
      <c r="R52" s="56">
        <v>3</v>
      </c>
      <c r="S52" s="44">
        <v>6354300</v>
      </c>
      <c r="T52" s="45">
        <f t="shared" si="2"/>
        <v>12</v>
      </c>
      <c r="U52" s="45">
        <f t="shared" si="5"/>
        <v>100</v>
      </c>
      <c r="V52" s="46" t="s">
        <v>41</v>
      </c>
      <c r="W52" s="47">
        <f t="shared" si="3"/>
        <v>23497200</v>
      </c>
      <c r="X52" s="48">
        <f t="shared" si="6"/>
        <v>93.454241737262862</v>
      </c>
      <c r="Y52" s="46" t="s">
        <v>41</v>
      </c>
      <c r="Z52" s="64">
        <f t="shared" si="7"/>
        <v>24</v>
      </c>
      <c r="AA52" s="47">
        <f t="shared" si="4"/>
        <v>575728200</v>
      </c>
      <c r="AB52" s="48"/>
      <c r="AC52" s="46" t="s">
        <v>41</v>
      </c>
      <c r="AD52" s="48"/>
      <c r="AE52" s="16"/>
      <c r="AH52" s="34"/>
    </row>
    <row r="53" spans="1:34" ht="124.5" customHeight="1" x14ac:dyDescent="0.2">
      <c r="A53" s="39"/>
      <c r="B53" s="22"/>
      <c r="C53" s="40" t="s">
        <v>90</v>
      </c>
      <c r="D53" s="41" t="s">
        <v>91</v>
      </c>
      <c r="E53" s="42">
        <f t="shared" si="12"/>
        <v>36</v>
      </c>
      <c r="F53" s="57" t="s">
        <v>87</v>
      </c>
      <c r="G53" s="49">
        <v>382727000</v>
      </c>
      <c r="H53" s="42">
        <v>12</v>
      </c>
      <c r="I53" s="44">
        <v>52754000</v>
      </c>
      <c r="J53" s="56">
        <v>12</v>
      </c>
      <c r="K53" s="44">
        <v>85721700</v>
      </c>
      <c r="L53" s="56">
        <v>3</v>
      </c>
      <c r="M53" s="44">
        <v>7525000</v>
      </c>
      <c r="N53" s="56">
        <v>3</v>
      </c>
      <c r="O53" s="44">
        <v>7053600</v>
      </c>
      <c r="P53" s="56">
        <v>3</v>
      </c>
      <c r="Q53" s="44">
        <v>22346200</v>
      </c>
      <c r="R53" s="56">
        <v>3</v>
      </c>
      <c r="S53" s="44">
        <v>38756600</v>
      </c>
      <c r="T53" s="45">
        <f t="shared" si="2"/>
        <v>12</v>
      </c>
      <c r="U53" s="45">
        <f t="shared" si="5"/>
        <v>100</v>
      </c>
      <c r="V53" s="46" t="s">
        <v>41</v>
      </c>
      <c r="W53" s="47">
        <f t="shared" si="3"/>
        <v>75681400</v>
      </c>
      <c r="X53" s="48">
        <f t="shared" si="6"/>
        <v>88.287329812637864</v>
      </c>
      <c r="Y53" s="46" t="s">
        <v>41</v>
      </c>
      <c r="Z53" s="48">
        <f t="shared" si="7"/>
        <v>24</v>
      </c>
      <c r="AA53" s="47">
        <f t="shared" si="4"/>
        <v>128435400</v>
      </c>
      <c r="AB53" s="48"/>
      <c r="AC53" s="46" t="s">
        <v>41</v>
      </c>
      <c r="AD53" s="48"/>
      <c r="AE53" s="16"/>
      <c r="AH53" s="34"/>
    </row>
    <row r="54" spans="1:34" ht="154.5" customHeight="1" x14ac:dyDescent="0.2">
      <c r="A54" s="21">
        <v>7</v>
      </c>
      <c r="B54" s="35" t="s">
        <v>92</v>
      </c>
      <c r="C54" s="35" t="s">
        <v>93</v>
      </c>
      <c r="D54" s="23" t="s">
        <v>94</v>
      </c>
      <c r="E54" s="27">
        <v>100</v>
      </c>
      <c r="F54" s="25" t="s">
        <v>41</v>
      </c>
      <c r="G54" s="37">
        <f>SUM(G56,G59)</f>
        <v>422149700</v>
      </c>
      <c r="H54" s="27">
        <v>100</v>
      </c>
      <c r="I54" s="37">
        <f>SUM(I56,I59)</f>
        <v>72183000</v>
      </c>
      <c r="J54" s="27">
        <v>100</v>
      </c>
      <c r="K54" s="170">
        <f>SUM(K56,K59)</f>
        <v>136219550</v>
      </c>
      <c r="L54" s="27">
        <v>0</v>
      </c>
      <c r="M54" s="37">
        <f>M56</f>
        <v>0</v>
      </c>
      <c r="N54" s="27">
        <v>0</v>
      </c>
      <c r="O54" s="37">
        <f>O56</f>
        <v>300000</v>
      </c>
      <c r="P54" s="27">
        <v>0</v>
      </c>
      <c r="Q54" s="37">
        <f>Q56+Q59</f>
        <v>4177500</v>
      </c>
      <c r="R54" s="27">
        <v>100</v>
      </c>
      <c r="S54" s="37">
        <f>S56+S59</f>
        <v>111090250</v>
      </c>
      <c r="T54" s="65">
        <f t="shared" si="2"/>
        <v>100</v>
      </c>
      <c r="U54" s="183">
        <f t="shared" si="5"/>
        <v>100</v>
      </c>
      <c r="V54" s="66" t="s">
        <v>41</v>
      </c>
      <c r="W54" s="166">
        <f>SUM(M54,O54,Q54,S54)</f>
        <v>115567750</v>
      </c>
      <c r="X54" s="181">
        <f>W54/K54*100</f>
        <v>84.839327394636086</v>
      </c>
      <c r="Y54" s="39" t="s">
        <v>41</v>
      </c>
      <c r="Z54" s="69">
        <f t="shared" si="7"/>
        <v>200</v>
      </c>
      <c r="AA54" s="67">
        <f>SUM(I54,W54)</f>
        <v>187750750</v>
      </c>
      <c r="AB54" s="69"/>
      <c r="AC54" s="66" t="s">
        <v>41</v>
      </c>
      <c r="AD54" s="68"/>
      <c r="AE54" s="16"/>
      <c r="AH54" s="34"/>
    </row>
    <row r="55" spans="1:34" ht="184.5" customHeight="1" x14ac:dyDescent="0.2">
      <c r="A55" s="39"/>
      <c r="B55" s="22"/>
      <c r="C55" s="36"/>
      <c r="D55" s="23" t="s">
        <v>95</v>
      </c>
      <c r="E55" s="27">
        <v>100</v>
      </c>
      <c r="F55" s="50" t="s">
        <v>41</v>
      </c>
      <c r="G55" s="70">
        <f>G54</f>
        <v>422149700</v>
      </c>
      <c r="H55" s="51">
        <v>100</v>
      </c>
      <c r="I55" s="70">
        <f>I54</f>
        <v>72183000</v>
      </c>
      <c r="J55" s="51">
        <v>100</v>
      </c>
      <c r="K55" s="70">
        <f>K54</f>
        <v>136219550</v>
      </c>
      <c r="L55" s="51">
        <v>0</v>
      </c>
      <c r="M55" s="70">
        <f>M54</f>
        <v>0</v>
      </c>
      <c r="N55" s="51">
        <v>0</v>
      </c>
      <c r="O55" s="70">
        <f>O54</f>
        <v>300000</v>
      </c>
      <c r="P55" s="51">
        <v>0</v>
      </c>
      <c r="Q55" s="70"/>
      <c r="R55" s="51">
        <v>100</v>
      </c>
      <c r="S55" s="70"/>
      <c r="T55" s="65">
        <f t="shared" si="2"/>
        <v>100</v>
      </c>
      <c r="U55" s="65">
        <f t="shared" si="5"/>
        <v>100</v>
      </c>
      <c r="V55" s="66" t="s">
        <v>41</v>
      </c>
      <c r="W55" s="71"/>
      <c r="X55" s="69"/>
      <c r="Y55" s="66"/>
      <c r="Z55" s="69">
        <f>AVERAGE(U55,J55)</f>
        <v>100</v>
      </c>
      <c r="AA55" s="71"/>
      <c r="AB55" s="69"/>
      <c r="AC55" s="66" t="s">
        <v>41</v>
      </c>
      <c r="AD55" s="69"/>
      <c r="AE55" s="16"/>
      <c r="AH55" s="34"/>
    </row>
    <row r="56" spans="1:34" ht="197.25" customHeight="1" x14ac:dyDescent="0.2">
      <c r="A56" s="39"/>
      <c r="B56" s="22"/>
      <c r="C56" s="36" t="s">
        <v>96</v>
      </c>
      <c r="D56" s="23" t="s">
        <v>97</v>
      </c>
      <c r="E56" s="28">
        <f>E57/E57*100</f>
        <v>100</v>
      </c>
      <c r="F56" s="25" t="s">
        <v>41</v>
      </c>
      <c r="G56" s="37">
        <f>SUM(G57:G58)</f>
        <v>382429700</v>
      </c>
      <c r="H56" s="27">
        <v>100</v>
      </c>
      <c r="I56" s="37">
        <f>SUM(I57:I58)</f>
        <v>72183000</v>
      </c>
      <c r="J56" s="27">
        <f>J57/J57*100</f>
        <v>100</v>
      </c>
      <c r="K56" s="37">
        <f>SUM(K57:K58)</f>
        <v>123139800</v>
      </c>
      <c r="L56" s="27">
        <v>0</v>
      </c>
      <c r="M56" s="37">
        <f>SUM(M57)</f>
        <v>0</v>
      </c>
      <c r="N56" s="27">
        <v>0</v>
      </c>
      <c r="O56" s="37">
        <f>SUM(O57:O58)</f>
        <v>300000</v>
      </c>
      <c r="P56" s="27">
        <v>0</v>
      </c>
      <c r="Q56" s="37">
        <f>SUM(Q57:Q58)</f>
        <v>0</v>
      </c>
      <c r="R56" s="27">
        <v>100</v>
      </c>
      <c r="S56" s="37">
        <f>S57+S58</f>
        <v>106125000</v>
      </c>
      <c r="T56" s="28">
        <f t="shared" si="2"/>
        <v>100</v>
      </c>
      <c r="U56" s="28">
        <f t="shared" si="5"/>
        <v>100</v>
      </c>
      <c r="V56" s="29" t="s">
        <v>41</v>
      </c>
      <c r="W56" s="38">
        <f>SUM(M56,O56,Q56,S56)</f>
        <v>106425000</v>
      </c>
      <c r="X56" s="32">
        <f t="shared" ref="X56:X67" si="13">W56/K56*100</f>
        <v>86.426159535747175</v>
      </c>
      <c r="Y56" s="29" t="s">
        <v>41</v>
      </c>
      <c r="Z56" s="69">
        <f>AVERAGE(U56,J56)</f>
        <v>100</v>
      </c>
      <c r="AA56" s="38">
        <f t="shared" ref="AA56:AA89" si="14">SUM(I56,W56)</f>
        <v>178608000</v>
      </c>
      <c r="AB56" s="32"/>
      <c r="AC56" s="29" t="s">
        <v>41</v>
      </c>
      <c r="AD56" s="32"/>
      <c r="AE56" s="16"/>
      <c r="AH56" s="34"/>
    </row>
    <row r="57" spans="1:34" ht="195" x14ac:dyDescent="0.2">
      <c r="A57" s="39"/>
      <c r="B57" s="22"/>
      <c r="C57" s="40" t="s">
        <v>98</v>
      </c>
      <c r="D57" s="41" t="s">
        <v>99</v>
      </c>
      <c r="E57" s="72">
        <f>J57*3</f>
        <v>3</v>
      </c>
      <c r="F57" s="43" t="s">
        <v>46</v>
      </c>
      <c r="G57" s="44">
        <v>278750000</v>
      </c>
      <c r="H57" s="72">
        <v>1</v>
      </c>
      <c r="I57" s="44">
        <v>72183000</v>
      </c>
      <c r="J57" s="72">
        <v>1</v>
      </c>
      <c r="K57" s="44">
        <v>71299950</v>
      </c>
      <c r="L57" s="72">
        <v>0</v>
      </c>
      <c r="M57" s="44">
        <v>0</v>
      </c>
      <c r="N57" s="42">
        <v>0</v>
      </c>
      <c r="O57" s="44">
        <v>300000</v>
      </c>
      <c r="P57" s="42">
        <v>1</v>
      </c>
      <c r="Q57" s="44">
        <v>0</v>
      </c>
      <c r="R57" s="42">
        <v>1</v>
      </c>
      <c r="S57" s="44">
        <v>63395000</v>
      </c>
      <c r="T57" s="45">
        <f t="shared" si="2"/>
        <v>2</v>
      </c>
      <c r="U57" s="45">
        <f t="shared" si="5"/>
        <v>200</v>
      </c>
      <c r="V57" s="46" t="s">
        <v>41</v>
      </c>
      <c r="W57" s="47">
        <f t="shared" ref="W57:W67" si="15">SUM(M57,O57,Q57,S57)</f>
        <v>63695000</v>
      </c>
      <c r="X57" s="48">
        <f t="shared" si="13"/>
        <v>89.333863487982811</v>
      </c>
      <c r="Y57" s="46" t="s">
        <v>41</v>
      </c>
      <c r="Z57" s="45">
        <f t="shared" si="7"/>
        <v>3</v>
      </c>
      <c r="AA57" s="47">
        <f t="shared" si="14"/>
        <v>135878000</v>
      </c>
      <c r="AB57" s="48"/>
      <c r="AC57" s="46" t="s">
        <v>41</v>
      </c>
      <c r="AD57" s="48"/>
      <c r="AE57" s="16"/>
      <c r="AH57" s="34"/>
    </row>
    <row r="58" spans="1:34" ht="120" x14ac:dyDescent="0.2">
      <c r="A58" s="39"/>
      <c r="B58" s="22"/>
      <c r="C58" s="40" t="s">
        <v>100</v>
      </c>
      <c r="D58" s="41" t="s">
        <v>101</v>
      </c>
      <c r="E58" s="72">
        <f>J58*2</f>
        <v>2</v>
      </c>
      <c r="F58" s="43" t="s">
        <v>46</v>
      </c>
      <c r="G58" s="44">
        <f>K58*2</f>
        <v>103679700</v>
      </c>
      <c r="H58" s="72">
        <v>0</v>
      </c>
      <c r="I58" s="44">
        <v>0</v>
      </c>
      <c r="J58" s="72">
        <v>1</v>
      </c>
      <c r="K58" s="44">
        <v>51839850</v>
      </c>
      <c r="L58" s="72">
        <v>0</v>
      </c>
      <c r="M58" s="44">
        <v>0</v>
      </c>
      <c r="N58" s="42">
        <v>0</v>
      </c>
      <c r="O58" s="44">
        <v>0</v>
      </c>
      <c r="P58" s="42">
        <v>0</v>
      </c>
      <c r="Q58" s="44">
        <v>0</v>
      </c>
      <c r="R58" s="42">
        <v>1</v>
      </c>
      <c r="S58" s="44">
        <v>42730000</v>
      </c>
      <c r="T58" s="45">
        <f t="shared" si="2"/>
        <v>1</v>
      </c>
      <c r="U58" s="45">
        <f t="shared" si="5"/>
        <v>100</v>
      </c>
      <c r="V58" s="46" t="s">
        <v>41</v>
      </c>
      <c r="W58" s="47">
        <f t="shared" si="15"/>
        <v>42730000</v>
      </c>
      <c r="X58" s="48">
        <f t="shared" si="13"/>
        <v>82.426936034730033</v>
      </c>
      <c r="Y58" s="46" t="s">
        <v>41</v>
      </c>
      <c r="Z58" s="45">
        <f t="shared" si="7"/>
        <v>1</v>
      </c>
      <c r="AA58" s="47">
        <f t="shared" si="14"/>
        <v>42730000</v>
      </c>
      <c r="AB58" s="48"/>
      <c r="AC58" s="46" t="s">
        <v>41</v>
      </c>
      <c r="AD58" s="48"/>
      <c r="AE58" s="16"/>
      <c r="AH58" s="34"/>
    </row>
    <row r="59" spans="1:34" ht="204.75" x14ac:dyDescent="0.2">
      <c r="A59" s="39"/>
      <c r="B59" s="22"/>
      <c r="C59" s="36" t="s">
        <v>102</v>
      </c>
      <c r="D59" s="23" t="s">
        <v>253</v>
      </c>
      <c r="E59" s="28">
        <v>100</v>
      </c>
      <c r="F59" s="25" t="s">
        <v>41</v>
      </c>
      <c r="G59" s="37">
        <f>19860000*2</f>
        <v>39720000</v>
      </c>
      <c r="H59" s="27">
        <v>0</v>
      </c>
      <c r="I59" s="37">
        <f>SUM(I60)</f>
        <v>0</v>
      </c>
      <c r="J59" s="27">
        <f>J60/J60*100</f>
        <v>100</v>
      </c>
      <c r="K59" s="37">
        <f>SUM(K60)</f>
        <v>13079750</v>
      </c>
      <c r="L59" s="27">
        <v>0</v>
      </c>
      <c r="M59" s="37">
        <f>SUM(M60)</f>
        <v>0</v>
      </c>
      <c r="N59" s="27">
        <v>0</v>
      </c>
      <c r="O59" s="37">
        <v>0</v>
      </c>
      <c r="P59" s="27">
        <v>0</v>
      </c>
      <c r="Q59" s="37">
        <f>Q60</f>
        <v>4177500</v>
      </c>
      <c r="R59" s="27">
        <v>1</v>
      </c>
      <c r="S59" s="37">
        <f>S60</f>
        <v>4965250</v>
      </c>
      <c r="T59" s="28">
        <f t="shared" si="2"/>
        <v>1</v>
      </c>
      <c r="U59" s="28">
        <f t="shared" si="5"/>
        <v>1</v>
      </c>
      <c r="V59" s="29" t="s">
        <v>41</v>
      </c>
      <c r="W59" s="38">
        <f t="shared" si="15"/>
        <v>9142750</v>
      </c>
      <c r="X59" s="32">
        <f t="shared" si="13"/>
        <v>69.900036315678818</v>
      </c>
      <c r="Y59" s="29" t="s">
        <v>41</v>
      </c>
      <c r="Z59" s="28">
        <f t="shared" si="7"/>
        <v>1</v>
      </c>
      <c r="AA59" s="38">
        <f t="shared" si="14"/>
        <v>9142750</v>
      </c>
      <c r="AB59" s="32"/>
      <c r="AC59" s="29" t="s">
        <v>41</v>
      </c>
      <c r="AD59" s="32"/>
      <c r="AE59" s="16"/>
      <c r="AH59" s="34"/>
    </row>
    <row r="60" spans="1:34" ht="165" x14ac:dyDescent="0.2">
      <c r="A60" s="39"/>
      <c r="B60" s="22"/>
      <c r="C60" s="40" t="s">
        <v>103</v>
      </c>
      <c r="D60" s="41" t="s">
        <v>104</v>
      </c>
      <c r="E60" s="72">
        <f>J60*2</f>
        <v>2</v>
      </c>
      <c r="F60" s="43" t="s">
        <v>59</v>
      </c>
      <c r="G60" s="44">
        <f>G59</f>
        <v>39720000</v>
      </c>
      <c r="H60" s="72">
        <v>0</v>
      </c>
      <c r="I60" s="44">
        <v>0</v>
      </c>
      <c r="J60" s="72">
        <v>1</v>
      </c>
      <c r="K60" s="44">
        <v>13079750</v>
      </c>
      <c r="L60" s="72">
        <v>0</v>
      </c>
      <c r="M60" s="44">
        <v>0</v>
      </c>
      <c r="N60" s="42">
        <v>0</v>
      </c>
      <c r="O60" s="44">
        <v>0</v>
      </c>
      <c r="P60" s="42">
        <v>0</v>
      </c>
      <c r="Q60" s="44">
        <v>4177500</v>
      </c>
      <c r="R60" s="42">
        <v>1</v>
      </c>
      <c r="S60" s="44">
        <v>4965250</v>
      </c>
      <c r="T60" s="45">
        <f t="shared" si="2"/>
        <v>1</v>
      </c>
      <c r="U60" s="45">
        <f t="shared" si="5"/>
        <v>100</v>
      </c>
      <c r="V60" s="46" t="s">
        <v>41</v>
      </c>
      <c r="W60" s="47">
        <f t="shared" si="15"/>
        <v>9142750</v>
      </c>
      <c r="X60" s="48">
        <f t="shared" si="13"/>
        <v>69.900036315678818</v>
      </c>
      <c r="Y60" s="46" t="s">
        <v>41</v>
      </c>
      <c r="Z60" s="45">
        <f t="shared" si="7"/>
        <v>1</v>
      </c>
      <c r="AA60" s="47">
        <f t="shared" si="14"/>
        <v>9142750</v>
      </c>
      <c r="AB60" s="48"/>
      <c r="AC60" s="46" t="s">
        <v>41</v>
      </c>
      <c r="AD60" s="48"/>
      <c r="AE60" s="16"/>
      <c r="AH60" s="34"/>
    </row>
    <row r="61" spans="1:34" ht="78.75" customHeight="1" x14ac:dyDescent="0.2">
      <c r="A61" s="39"/>
      <c r="B61" s="22"/>
      <c r="C61" s="195" t="s">
        <v>105</v>
      </c>
      <c r="D61" s="23" t="s">
        <v>224</v>
      </c>
      <c r="E61" s="142">
        <v>49.25</v>
      </c>
      <c r="F61" s="25" t="s">
        <v>41</v>
      </c>
      <c r="G61" s="70">
        <f>SUM(G63,G65)</f>
        <v>7522081000</v>
      </c>
      <c r="H61" s="139">
        <v>48.47</v>
      </c>
      <c r="I61" s="70">
        <f>SUM(I63,I65)</f>
        <v>3756133900</v>
      </c>
      <c r="J61" s="139">
        <v>48.78</v>
      </c>
      <c r="K61" s="171">
        <f>SUM(K63,K65)</f>
        <v>2069352000</v>
      </c>
      <c r="L61" s="27">
        <f>L65/5*100</f>
        <v>0</v>
      </c>
      <c r="M61" s="70">
        <f>SUM(M63,M65)</f>
        <v>15264300</v>
      </c>
      <c r="N61" s="27">
        <v>0</v>
      </c>
      <c r="O61" s="70">
        <f>SUM(O63,O65)</f>
        <v>300004500</v>
      </c>
      <c r="P61" s="139">
        <v>0</v>
      </c>
      <c r="Q61" s="70">
        <f>SUM(Q63,Q65)</f>
        <v>301490800</v>
      </c>
      <c r="R61" s="73">
        <v>10326</v>
      </c>
      <c r="S61" s="70">
        <f>S63+S65</f>
        <v>1388889400</v>
      </c>
      <c r="T61" s="140">
        <v>48.78</v>
      </c>
      <c r="U61" s="184">
        <f>T61/J61*100</f>
        <v>100</v>
      </c>
      <c r="V61" s="29" t="s">
        <v>41</v>
      </c>
      <c r="W61" s="167">
        <f t="shared" si="15"/>
        <v>2005649000</v>
      </c>
      <c r="X61" s="180">
        <f>W61/K61*100</f>
        <v>96.921596712400799</v>
      </c>
      <c r="Y61" s="66" t="s">
        <v>41</v>
      </c>
      <c r="Z61" s="141">
        <f>SUM(H61,T61)</f>
        <v>97.25</v>
      </c>
      <c r="AA61" s="71">
        <f>SUM(I61,W61)</f>
        <v>5761782900</v>
      </c>
      <c r="AB61" s="32"/>
      <c r="AC61" s="29" t="s">
        <v>41</v>
      </c>
      <c r="AD61" s="69"/>
      <c r="AE61" s="16"/>
      <c r="AH61" s="34"/>
    </row>
    <row r="62" spans="1:34" ht="94.5" x14ac:dyDescent="0.2">
      <c r="A62" s="39"/>
      <c r="B62" s="22"/>
      <c r="C62" s="197"/>
      <c r="D62" s="23" t="s">
        <v>225</v>
      </c>
      <c r="E62" s="142">
        <v>59.49</v>
      </c>
      <c r="F62" s="25" t="s">
        <v>41</v>
      </c>
      <c r="G62" s="70"/>
      <c r="H62" s="139">
        <v>43.03</v>
      </c>
      <c r="I62" s="143"/>
      <c r="J62" s="142">
        <v>49.37</v>
      </c>
      <c r="K62" s="70"/>
      <c r="L62" s="27">
        <v>0</v>
      </c>
      <c r="M62" s="70"/>
      <c r="N62" s="27">
        <v>0</v>
      </c>
      <c r="O62" s="70"/>
      <c r="P62" s="73">
        <v>0</v>
      </c>
      <c r="Q62" s="70"/>
      <c r="R62" s="73"/>
      <c r="S62" s="70"/>
      <c r="T62" s="140"/>
      <c r="U62" s="141"/>
      <c r="V62" s="29"/>
      <c r="W62" s="71"/>
      <c r="X62" s="69"/>
      <c r="Y62" s="66"/>
      <c r="Z62" s="32"/>
      <c r="AA62" s="71"/>
      <c r="AB62" s="32"/>
      <c r="AC62" s="29"/>
      <c r="AD62" s="69"/>
      <c r="AE62" s="16"/>
      <c r="AH62" s="34"/>
    </row>
    <row r="63" spans="1:34" ht="193.5" customHeight="1" x14ac:dyDescent="0.2">
      <c r="A63" s="39"/>
      <c r="B63" s="22"/>
      <c r="C63" s="36" t="s">
        <v>106</v>
      </c>
      <c r="D63" s="23" t="s">
        <v>107</v>
      </c>
      <c r="E63" s="74">
        <v>1</v>
      </c>
      <c r="F63" s="75" t="s">
        <v>41</v>
      </c>
      <c r="G63" s="37">
        <v>519065000</v>
      </c>
      <c r="H63" s="73" t="s">
        <v>108</v>
      </c>
      <c r="I63" s="37">
        <f>SUM(I64:I64)</f>
        <v>0</v>
      </c>
      <c r="J63" s="74">
        <v>1</v>
      </c>
      <c r="K63" s="37">
        <f>SUM(K64:K64)</f>
        <v>519065000</v>
      </c>
      <c r="L63" s="76">
        <v>0</v>
      </c>
      <c r="M63" s="37">
        <f>M64</f>
        <v>0</v>
      </c>
      <c r="N63" s="24">
        <v>0</v>
      </c>
      <c r="O63" s="37">
        <f>147585900-M63</f>
        <v>147585900</v>
      </c>
      <c r="P63" s="24">
        <v>0</v>
      </c>
      <c r="Q63" s="37">
        <f>Q64</f>
        <v>2575000</v>
      </c>
      <c r="R63" s="73">
        <v>1</v>
      </c>
      <c r="S63" s="37">
        <f>S64</f>
        <v>350857100</v>
      </c>
      <c r="T63" s="32">
        <f t="shared" si="2"/>
        <v>1</v>
      </c>
      <c r="U63" s="28">
        <f>Z63/J63*100</f>
        <v>100</v>
      </c>
      <c r="V63" s="29" t="s">
        <v>41</v>
      </c>
      <c r="W63" s="38">
        <f t="shared" si="15"/>
        <v>501018000</v>
      </c>
      <c r="X63" s="32">
        <f t="shared" si="13"/>
        <v>96.523171471780984</v>
      </c>
      <c r="Y63" s="29" t="s">
        <v>41</v>
      </c>
      <c r="Z63" s="32">
        <f t="shared" si="7"/>
        <v>1</v>
      </c>
      <c r="AA63" s="38">
        <f t="shared" si="14"/>
        <v>501018000</v>
      </c>
      <c r="AB63" s="32"/>
      <c r="AC63" s="29" t="s">
        <v>41</v>
      </c>
      <c r="AD63" s="32"/>
      <c r="AE63" s="16"/>
      <c r="AH63" s="34"/>
    </row>
    <row r="64" spans="1:34" ht="135" x14ac:dyDescent="0.2">
      <c r="A64" s="39"/>
      <c r="B64" s="22"/>
      <c r="C64" s="40" t="s">
        <v>109</v>
      </c>
      <c r="D64" s="41" t="s">
        <v>276</v>
      </c>
      <c r="E64" s="72">
        <v>1</v>
      </c>
      <c r="F64" s="77" t="s">
        <v>46</v>
      </c>
      <c r="G64" s="44">
        <v>519065000</v>
      </c>
      <c r="H64" s="72" t="s">
        <v>108</v>
      </c>
      <c r="I64" s="44" t="s">
        <v>108</v>
      </c>
      <c r="J64" s="78">
        <v>1</v>
      </c>
      <c r="K64" s="44">
        <v>519065000</v>
      </c>
      <c r="L64" s="72">
        <v>0</v>
      </c>
      <c r="M64" s="44">
        <v>0</v>
      </c>
      <c r="N64" s="56">
        <v>0</v>
      </c>
      <c r="O64" s="44">
        <v>147585900</v>
      </c>
      <c r="P64" s="56">
        <v>1</v>
      </c>
      <c r="Q64" s="44">
        <v>2575000</v>
      </c>
      <c r="R64" s="56">
        <v>1</v>
      </c>
      <c r="S64" s="44">
        <v>350857100</v>
      </c>
      <c r="T64" s="45">
        <f t="shared" si="2"/>
        <v>2</v>
      </c>
      <c r="U64" s="45">
        <f>T64/J64*100</f>
        <v>200</v>
      </c>
      <c r="V64" s="46" t="s">
        <v>41</v>
      </c>
      <c r="W64" s="47">
        <f t="shared" si="15"/>
        <v>501018000</v>
      </c>
      <c r="X64" s="48">
        <f t="shared" si="13"/>
        <v>96.523171471780984</v>
      </c>
      <c r="Y64" s="43" t="s">
        <v>41</v>
      </c>
      <c r="Z64" s="45">
        <f t="shared" si="7"/>
        <v>2</v>
      </c>
      <c r="AA64" s="47">
        <f t="shared" si="14"/>
        <v>501018000</v>
      </c>
      <c r="AB64" s="48"/>
      <c r="AC64" s="46" t="s">
        <v>41</v>
      </c>
      <c r="AD64" s="48"/>
      <c r="AE64" s="16"/>
      <c r="AH64" s="34"/>
    </row>
    <row r="65" spans="1:34" ht="131.25" customHeight="1" x14ac:dyDescent="0.2">
      <c r="A65" s="39"/>
      <c r="B65" s="22"/>
      <c r="C65" s="36" t="s">
        <v>110</v>
      </c>
      <c r="D65" s="23" t="s">
        <v>254</v>
      </c>
      <c r="E65" s="27">
        <v>10466</v>
      </c>
      <c r="F65" s="87" t="s">
        <v>256</v>
      </c>
      <c r="G65" s="37">
        <f>SUM(G67:G67)</f>
        <v>7003016000</v>
      </c>
      <c r="H65" s="27">
        <v>10300</v>
      </c>
      <c r="I65" s="37">
        <f>SUM(I67:I67)</f>
        <v>3756133900</v>
      </c>
      <c r="J65" s="27">
        <v>10366</v>
      </c>
      <c r="K65" s="37">
        <f>SUM(K67:K67)</f>
        <v>1550287000</v>
      </c>
      <c r="L65" s="76">
        <v>0</v>
      </c>
      <c r="M65" s="37">
        <f>SUM(M67:M67)</f>
        <v>15264300</v>
      </c>
      <c r="N65" s="24">
        <v>0</v>
      </c>
      <c r="O65" s="37">
        <f>SUM(O67:O67)</f>
        <v>152418600</v>
      </c>
      <c r="P65" s="24">
        <v>0</v>
      </c>
      <c r="Q65" s="37">
        <f>SUM(Q67:Q67)</f>
        <v>298915800</v>
      </c>
      <c r="R65" s="73">
        <v>10325</v>
      </c>
      <c r="S65" s="37">
        <f>S67</f>
        <v>1038032300</v>
      </c>
      <c r="T65" s="32">
        <f t="shared" si="2"/>
        <v>10325</v>
      </c>
      <c r="U65" s="28">
        <f>T65/J65*100</f>
        <v>99.604476172101101</v>
      </c>
      <c r="V65" s="29" t="s">
        <v>41</v>
      </c>
      <c r="W65" s="38">
        <f t="shared" si="15"/>
        <v>1504631000</v>
      </c>
      <c r="X65" s="32">
        <f t="shared" si="13"/>
        <v>97.054996913474739</v>
      </c>
      <c r="Y65" s="29" t="s">
        <v>41</v>
      </c>
      <c r="Z65" s="32">
        <f t="shared" si="7"/>
        <v>20625</v>
      </c>
      <c r="AA65" s="38">
        <f t="shared" si="14"/>
        <v>5260764900</v>
      </c>
      <c r="AB65" s="32"/>
      <c r="AC65" s="29" t="s">
        <v>41</v>
      </c>
      <c r="AD65" s="32"/>
      <c r="AE65" s="16"/>
      <c r="AH65" s="34"/>
    </row>
    <row r="66" spans="1:34" ht="131.25" customHeight="1" x14ac:dyDescent="0.2">
      <c r="A66" s="39"/>
      <c r="B66" s="22"/>
      <c r="C66" s="22"/>
      <c r="D66" s="23" t="s">
        <v>255</v>
      </c>
      <c r="E66" s="27">
        <v>8</v>
      </c>
      <c r="F66" s="25" t="s">
        <v>257</v>
      </c>
      <c r="G66" s="26"/>
      <c r="H66" s="27">
        <v>6</v>
      </c>
      <c r="I66" s="26"/>
      <c r="J66" s="27">
        <v>8</v>
      </c>
      <c r="K66" s="37"/>
      <c r="L66" s="76">
        <v>0</v>
      </c>
      <c r="M66" s="26"/>
      <c r="N66" s="24">
        <v>0</v>
      </c>
      <c r="O66" s="26"/>
      <c r="P66" s="24">
        <v>0</v>
      </c>
      <c r="Q66" s="26"/>
      <c r="R66" s="73"/>
      <c r="S66" s="26"/>
      <c r="T66" s="32">
        <f t="shared" ref="T66" si="16">SUM(L66,N66,P66,R66)</f>
        <v>0</v>
      </c>
      <c r="U66" s="28">
        <f>Z66/J66*100</f>
        <v>75</v>
      </c>
      <c r="V66" s="29" t="s">
        <v>41</v>
      </c>
      <c r="W66" s="30"/>
      <c r="X66" s="31"/>
      <c r="Y66" s="21"/>
      <c r="Z66" s="32">
        <f>SUM(H66,T66)</f>
        <v>6</v>
      </c>
      <c r="AA66" s="30"/>
      <c r="AB66" s="32"/>
      <c r="AC66" s="29"/>
      <c r="AD66" s="31"/>
      <c r="AE66" s="16"/>
      <c r="AH66" s="34"/>
    </row>
    <row r="67" spans="1:34" ht="60" x14ac:dyDescent="0.2">
      <c r="A67" s="39"/>
      <c r="B67" s="22"/>
      <c r="C67" s="79" t="s">
        <v>111</v>
      </c>
      <c r="D67" s="41" t="s">
        <v>277</v>
      </c>
      <c r="E67" s="72">
        <v>100</v>
      </c>
      <c r="F67" s="77" t="s">
        <v>87</v>
      </c>
      <c r="G67" s="80">
        <v>7003016000</v>
      </c>
      <c r="H67" s="72">
        <v>134</v>
      </c>
      <c r="I67" s="80">
        <v>3756133900</v>
      </c>
      <c r="J67" s="78">
        <v>100</v>
      </c>
      <c r="K67" s="44">
        <v>1550287000</v>
      </c>
      <c r="L67" s="72">
        <v>0</v>
      </c>
      <c r="M67" s="80">
        <v>15264300</v>
      </c>
      <c r="N67" s="56">
        <v>0</v>
      </c>
      <c r="O67" s="80">
        <v>152418600</v>
      </c>
      <c r="P67" s="56">
        <v>100</v>
      </c>
      <c r="Q67" s="80">
        <v>298915800</v>
      </c>
      <c r="R67" s="56"/>
      <c r="S67" s="80">
        <v>1038032300</v>
      </c>
      <c r="T67" s="45">
        <f>SUM(L67,N67,P67,R67)</f>
        <v>100</v>
      </c>
      <c r="U67" s="45">
        <f>T67/J67*100</f>
        <v>100</v>
      </c>
      <c r="V67" s="46" t="s">
        <v>41</v>
      </c>
      <c r="W67" s="81">
        <f t="shared" si="15"/>
        <v>1504631000</v>
      </c>
      <c r="X67" s="82">
        <f t="shared" si="13"/>
        <v>97.054996913474739</v>
      </c>
      <c r="Y67" s="83" t="s">
        <v>41</v>
      </c>
      <c r="Z67" s="45">
        <f t="shared" si="7"/>
        <v>234</v>
      </c>
      <c r="AA67" s="81">
        <f t="shared" si="14"/>
        <v>5260764900</v>
      </c>
      <c r="AB67" s="48"/>
      <c r="AC67" s="46" t="s">
        <v>41</v>
      </c>
      <c r="AD67" s="82"/>
      <c r="AE67" s="16"/>
      <c r="AH67" s="34"/>
    </row>
    <row r="68" spans="1:34" ht="99" customHeight="1" x14ac:dyDescent="0.2">
      <c r="A68" s="39"/>
      <c r="B68" s="22"/>
      <c r="C68" s="195" t="s">
        <v>112</v>
      </c>
      <c r="D68" s="23" t="s">
        <v>224</v>
      </c>
      <c r="E68" s="73">
        <v>49.25</v>
      </c>
      <c r="F68" s="25" t="s">
        <v>41</v>
      </c>
      <c r="G68" s="70">
        <v>21526574000</v>
      </c>
      <c r="H68" s="73">
        <v>48.47</v>
      </c>
      <c r="I68" s="70"/>
      <c r="J68" s="73">
        <v>48.78</v>
      </c>
      <c r="K68" s="171">
        <f>K70</f>
        <v>2145750000</v>
      </c>
      <c r="L68" s="73">
        <f>L70</f>
        <v>0</v>
      </c>
      <c r="M68" s="70">
        <f>M70</f>
        <v>0</v>
      </c>
      <c r="N68" s="73">
        <v>0</v>
      </c>
      <c r="O68" s="70">
        <f>O70</f>
        <v>330400000</v>
      </c>
      <c r="P68" s="73">
        <v>0</v>
      </c>
      <c r="Q68" s="70">
        <f>Q70</f>
        <v>383700000</v>
      </c>
      <c r="R68" s="73">
        <v>48.78</v>
      </c>
      <c r="S68" s="70">
        <f>S70</f>
        <v>1408466600</v>
      </c>
      <c r="T68" s="32">
        <f t="shared" ref="T68:T89" si="17">SUM(L68,N68,P68,R68)</f>
        <v>48.78</v>
      </c>
      <c r="U68" s="182">
        <f>T68/J68*100</f>
        <v>100</v>
      </c>
      <c r="V68" s="29" t="s">
        <v>41</v>
      </c>
      <c r="W68" s="168">
        <f t="shared" ref="W68:W89" si="18">SUM(M68,O68,Q68,S68)</f>
        <v>2122566600</v>
      </c>
      <c r="X68" s="179">
        <f>W68/K68*100</f>
        <v>98.91956658511009</v>
      </c>
      <c r="Y68" s="29" t="s">
        <v>41</v>
      </c>
      <c r="Z68" s="32">
        <f t="shared" si="7"/>
        <v>97.25</v>
      </c>
      <c r="AA68" s="38">
        <f t="shared" si="14"/>
        <v>2122566600</v>
      </c>
      <c r="AB68" s="32"/>
      <c r="AC68" s="29" t="s">
        <v>41</v>
      </c>
      <c r="AD68" s="32"/>
      <c r="AE68" s="16"/>
      <c r="AH68" s="34"/>
    </row>
    <row r="69" spans="1:34" ht="99" customHeight="1" x14ac:dyDescent="0.2">
      <c r="A69" s="39"/>
      <c r="B69" s="22"/>
      <c r="C69" s="197"/>
      <c r="D69" s="23" t="s">
        <v>225</v>
      </c>
      <c r="E69" s="73">
        <v>59.49</v>
      </c>
      <c r="F69" s="25" t="s">
        <v>41</v>
      </c>
      <c r="G69" s="70"/>
      <c r="H69" s="73">
        <v>43.03</v>
      </c>
      <c r="I69" s="70"/>
      <c r="J69" s="73">
        <v>49.37</v>
      </c>
      <c r="K69" s="70"/>
      <c r="L69" s="73"/>
      <c r="M69" s="70"/>
      <c r="N69" s="73"/>
      <c r="O69" s="70"/>
      <c r="P69" s="73"/>
      <c r="Q69" s="70"/>
      <c r="R69" s="73">
        <v>49.37</v>
      </c>
      <c r="S69" s="70"/>
      <c r="T69" s="32"/>
      <c r="U69" s="28"/>
      <c r="V69" s="29"/>
      <c r="W69" s="38"/>
      <c r="X69" s="32"/>
      <c r="Y69" s="29"/>
      <c r="Z69" s="32"/>
      <c r="AA69" s="38"/>
      <c r="AB69" s="32"/>
      <c r="AC69" s="29"/>
      <c r="AD69" s="32"/>
      <c r="AE69" s="16"/>
      <c r="AH69" s="34"/>
    </row>
    <row r="70" spans="1:34" ht="150.75" customHeight="1" x14ac:dyDescent="0.2">
      <c r="A70" s="39"/>
      <c r="B70" s="22"/>
      <c r="C70" s="36" t="s">
        <v>113</v>
      </c>
      <c r="D70" s="23" t="s">
        <v>258</v>
      </c>
      <c r="E70" s="27">
        <v>200</v>
      </c>
      <c r="F70" s="87" t="s">
        <v>256</v>
      </c>
      <c r="G70" s="37">
        <v>21526574000</v>
      </c>
      <c r="H70" s="73">
        <v>100</v>
      </c>
      <c r="I70" s="37">
        <f>SUM(I71)</f>
        <v>0</v>
      </c>
      <c r="J70" s="73">
        <v>50</v>
      </c>
      <c r="K70" s="37">
        <f>SUM(K71)</f>
        <v>2145750000</v>
      </c>
      <c r="L70" s="84">
        <v>0</v>
      </c>
      <c r="M70" s="37">
        <f>SUM(M71)</f>
        <v>0</v>
      </c>
      <c r="N70" s="73">
        <v>0</v>
      </c>
      <c r="O70" s="37">
        <f>SUM(O71)</f>
        <v>330400000</v>
      </c>
      <c r="P70" s="73">
        <v>0</v>
      </c>
      <c r="Q70" s="37">
        <f>SUM(Q71)</f>
        <v>383700000</v>
      </c>
      <c r="R70" s="73">
        <v>50</v>
      </c>
      <c r="S70" s="37">
        <f>S71+S72</f>
        <v>1408466600</v>
      </c>
      <c r="T70" s="32">
        <f t="shared" ref="T70:T75" si="19">SUM(L70,N70,P70,R70)</f>
        <v>50</v>
      </c>
      <c r="U70" s="28">
        <f>T70/J70*100</f>
        <v>100</v>
      </c>
      <c r="V70" s="29" t="s">
        <v>41</v>
      </c>
      <c r="W70" s="38">
        <f t="shared" si="18"/>
        <v>2122566600</v>
      </c>
      <c r="X70" s="32">
        <f>W70/K70*100</f>
        <v>98.91956658511009</v>
      </c>
      <c r="Y70" s="29" t="s">
        <v>41</v>
      </c>
      <c r="Z70" s="76">
        <f>SUM(H70,T70)</f>
        <v>150</v>
      </c>
      <c r="AA70" s="38">
        <f t="shared" si="14"/>
        <v>2122566600</v>
      </c>
      <c r="AB70" s="32"/>
      <c r="AC70" s="29" t="s">
        <v>41</v>
      </c>
      <c r="AD70" s="32"/>
      <c r="AE70" s="16"/>
      <c r="AH70" s="34"/>
    </row>
    <row r="71" spans="1:34" ht="210" x14ac:dyDescent="0.2">
      <c r="A71" s="39"/>
      <c r="B71" s="22"/>
      <c r="C71" s="41" t="s">
        <v>278</v>
      </c>
      <c r="D71" s="41" t="s">
        <v>277</v>
      </c>
      <c r="E71" s="72">
        <v>50</v>
      </c>
      <c r="F71" s="77" t="s">
        <v>256</v>
      </c>
      <c r="G71" s="44">
        <v>21526574000</v>
      </c>
      <c r="H71" s="72">
        <v>100</v>
      </c>
      <c r="I71" s="44">
        <v>0</v>
      </c>
      <c r="J71" s="72">
        <v>50</v>
      </c>
      <c r="K71" s="44">
        <v>2145750000</v>
      </c>
      <c r="L71" s="72">
        <v>0</v>
      </c>
      <c r="M71" s="44">
        <v>0</v>
      </c>
      <c r="N71" s="72">
        <v>0</v>
      </c>
      <c r="O71" s="44">
        <v>330400000</v>
      </c>
      <c r="P71" s="72">
        <v>0</v>
      </c>
      <c r="Q71" s="44">
        <v>383700000</v>
      </c>
      <c r="R71" s="72">
        <v>50</v>
      </c>
      <c r="S71" s="44">
        <v>1408466600</v>
      </c>
      <c r="T71" s="45">
        <f t="shared" si="19"/>
        <v>50</v>
      </c>
      <c r="U71" s="45">
        <f>T71/J71*100</f>
        <v>100</v>
      </c>
      <c r="V71" s="46" t="s">
        <v>41</v>
      </c>
      <c r="W71" s="47">
        <f t="shared" si="18"/>
        <v>2122566600</v>
      </c>
      <c r="X71" s="48">
        <f t="shared" ref="X71:X89" si="20">W71/K71*100</f>
        <v>98.91956658511009</v>
      </c>
      <c r="Y71" s="46" t="s">
        <v>41</v>
      </c>
      <c r="Z71" s="78">
        <f>SUM(H71,T71)</f>
        <v>150</v>
      </c>
      <c r="AA71" s="47">
        <f t="shared" si="14"/>
        <v>2122566600</v>
      </c>
      <c r="AB71" s="48"/>
      <c r="AC71" s="46" t="s">
        <v>41</v>
      </c>
      <c r="AD71" s="48"/>
      <c r="AE71" s="16"/>
      <c r="AH71" s="34"/>
    </row>
    <row r="72" spans="1:34" ht="240" x14ac:dyDescent="0.2">
      <c r="A72" s="39"/>
      <c r="B72" s="22"/>
      <c r="C72" s="40" t="s">
        <v>114</v>
      </c>
      <c r="D72" s="40" t="s">
        <v>279</v>
      </c>
      <c r="E72" s="150">
        <v>36</v>
      </c>
      <c r="F72" s="54" t="s">
        <v>46</v>
      </c>
      <c r="G72" s="49"/>
      <c r="H72" s="150">
        <v>28</v>
      </c>
      <c r="I72" s="49"/>
      <c r="J72" s="150">
        <v>31</v>
      </c>
      <c r="K72" s="49"/>
      <c r="L72" s="150">
        <v>0</v>
      </c>
      <c r="M72" s="49"/>
      <c r="N72" s="150">
        <v>0</v>
      </c>
      <c r="O72" s="49"/>
      <c r="P72" s="150">
        <v>31</v>
      </c>
      <c r="Q72" s="49"/>
      <c r="R72" s="150">
        <v>0</v>
      </c>
      <c r="S72" s="49"/>
      <c r="T72" s="45">
        <f t="shared" si="19"/>
        <v>31</v>
      </c>
      <c r="U72" s="45">
        <f>T72/J72*100</f>
        <v>100</v>
      </c>
      <c r="V72" s="46" t="s">
        <v>41</v>
      </c>
      <c r="W72" s="60"/>
      <c r="X72" s="61"/>
      <c r="Y72" s="62"/>
      <c r="Z72" s="78">
        <f>SUM(H72,T72)</f>
        <v>59</v>
      </c>
      <c r="AA72" s="60"/>
      <c r="AB72" s="61"/>
      <c r="AC72" s="62"/>
      <c r="AD72" s="61"/>
      <c r="AE72" s="16"/>
      <c r="AH72" s="34"/>
    </row>
    <row r="73" spans="1:34" ht="99" customHeight="1" x14ac:dyDescent="0.2">
      <c r="A73" s="39"/>
      <c r="B73" s="22"/>
      <c r="C73" s="36" t="s">
        <v>115</v>
      </c>
      <c r="D73" s="36" t="s">
        <v>226</v>
      </c>
      <c r="E73" s="86">
        <v>65.38</v>
      </c>
      <c r="F73" s="50" t="s">
        <v>41</v>
      </c>
      <c r="G73" s="70">
        <f t="shared" ref="G73:O73" si="21">G74</f>
        <v>36032206000</v>
      </c>
      <c r="H73" s="86">
        <f t="shared" si="21"/>
        <v>16</v>
      </c>
      <c r="I73" s="70">
        <f t="shared" si="21"/>
        <v>7966180935</v>
      </c>
      <c r="J73" s="86">
        <v>65.38</v>
      </c>
      <c r="K73" s="171">
        <f t="shared" si="21"/>
        <v>4138786000</v>
      </c>
      <c r="L73" s="86">
        <f t="shared" si="21"/>
        <v>0</v>
      </c>
      <c r="M73" s="70">
        <f t="shared" si="21"/>
        <v>1691894672</v>
      </c>
      <c r="N73" s="86">
        <v>0</v>
      </c>
      <c r="O73" s="70">
        <f t="shared" si="21"/>
        <v>775748096</v>
      </c>
      <c r="P73" s="86">
        <v>0</v>
      </c>
      <c r="Q73" s="70">
        <f t="shared" ref="Q73" si="22">Q74</f>
        <v>359152163</v>
      </c>
      <c r="R73" s="173">
        <v>61.54</v>
      </c>
      <c r="S73" s="70">
        <f>S74</f>
        <v>1210708992</v>
      </c>
      <c r="T73" s="32">
        <f t="shared" si="19"/>
        <v>61.54</v>
      </c>
      <c r="U73" s="183">
        <f>T73/J73*100</f>
        <v>94.126644233710621</v>
      </c>
      <c r="V73" s="66" t="s">
        <v>41</v>
      </c>
      <c r="W73" s="167">
        <f t="shared" si="18"/>
        <v>4037503923</v>
      </c>
      <c r="X73" s="180">
        <f>W73/K73*100</f>
        <v>97.552855426687927</v>
      </c>
      <c r="Y73" s="66" t="s">
        <v>41</v>
      </c>
      <c r="Z73" s="69">
        <f>SUM(H73,T73)</f>
        <v>77.539999999999992</v>
      </c>
      <c r="AA73" s="71">
        <f t="shared" si="14"/>
        <v>12003684858</v>
      </c>
      <c r="AB73" s="69"/>
      <c r="AC73" s="66" t="s">
        <v>41</v>
      </c>
      <c r="AD73" s="69"/>
      <c r="AE73" s="16"/>
      <c r="AH73" s="34"/>
    </row>
    <row r="74" spans="1:34" ht="141.75" x14ac:dyDescent="0.2">
      <c r="A74" s="39"/>
      <c r="B74" s="22"/>
      <c r="C74" s="36" t="s">
        <v>116</v>
      </c>
      <c r="D74" s="23" t="s">
        <v>259</v>
      </c>
      <c r="E74" s="27">
        <v>17</v>
      </c>
      <c r="F74" s="87" t="s">
        <v>138</v>
      </c>
      <c r="G74" s="37">
        <f>SUM(G75)</f>
        <v>36032206000</v>
      </c>
      <c r="H74" s="27">
        <v>16</v>
      </c>
      <c r="I74" s="37">
        <f>SUM(I75)</f>
        <v>7966180935</v>
      </c>
      <c r="J74" s="27">
        <v>17</v>
      </c>
      <c r="K74" s="37">
        <f>SUM(K75)</f>
        <v>4138786000</v>
      </c>
      <c r="L74" s="84">
        <v>0</v>
      </c>
      <c r="M74" s="37">
        <f>SUM(M75)</f>
        <v>1691894672</v>
      </c>
      <c r="N74" s="27">
        <v>0</v>
      </c>
      <c r="O74" s="37">
        <f>SUM(O75)</f>
        <v>775748096</v>
      </c>
      <c r="P74" s="73">
        <v>0</v>
      </c>
      <c r="Q74" s="37">
        <f>SUM(Q75)</f>
        <v>359152163</v>
      </c>
      <c r="R74" s="73">
        <v>17</v>
      </c>
      <c r="S74" s="37">
        <f>S75</f>
        <v>1210708992</v>
      </c>
      <c r="T74" s="32">
        <f t="shared" si="19"/>
        <v>17</v>
      </c>
      <c r="U74" s="28">
        <f t="shared" ref="U74:U85" si="23">Z74/J74*100</f>
        <v>194.11764705882354</v>
      </c>
      <c r="V74" s="29" t="s">
        <v>41</v>
      </c>
      <c r="W74" s="38">
        <f t="shared" si="18"/>
        <v>4037503923</v>
      </c>
      <c r="X74" s="32">
        <f t="shared" si="20"/>
        <v>97.552855426687927</v>
      </c>
      <c r="Y74" s="29" t="s">
        <v>41</v>
      </c>
      <c r="Z74" s="85">
        <f t="shared" si="7"/>
        <v>33</v>
      </c>
      <c r="AA74" s="38">
        <f t="shared" si="14"/>
        <v>12003684858</v>
      </c>
      <c r="AB74" s="32"/>
      <c r="AC74" s="29" t="s">
        <v>41</v>
      </c>
      <c r="AD74" s="32"/>
      <c r="AE74" s="16"/>
      <c r="AH74" s="34"/>
    </row>
    <row r="75" spans="1:34" ht="150" x14ac:dyDescent="0.2">
      <c r="A75" s="39"/>
      <c r="B75" s="22"/>
      <c r="C75" s="41" t="s">
        <v>117</v>
      </c>
      <c r="D75" s="41" t="s">
        <v>118</v>
      </c>
      <c r="E75" s="72">
        <v>17</v>
      </c>
      <c r="F75" s="43" t="s">
        <v>119</v>
      </c>
      <c r="G75" s="44">
        <v>36032206000</v>
      </c>
      <c r="H75" s="72">
        <v>16</v>
      </c>
      <c r="I75" s="44">
        <v>7966180935</v>
      </c>
      <c r="J75" s="72">
        <v>17</v>
      </c>
      <c r="K75" s="44">
        <v>4138786000</v>
      </c>
      <c r="L75" s="72">
        <v>0</v>
      </c>
      <c r="M75" s="44">
        <v>1691894672</v>
      </c>
      <c r="N75" s="72">
        <v>0</v>
      </c>
      <c r="O75" s="44">
        <v>775748096</v>
      </c>
      <c r="P75" s="72">
        <v>0</v>
      </c>
      <c r="Q75" s="44">
        <v>359152163</v>
      </c>
      <c r="R75" s="72">
        <v>17</v>
      </c>
      <c r="S75" s="44">
        <v>1210708992</v>
      </c>
      <c r="T75" s="45">
        <f t="shared" si="19"/>
        <v>17</v>
      </c>
      <c r="U75" s="45">
        <f>Z75/J75*100</f>
        <v>194.11764705882354</v>
      </c>
      <c r="V75" s="46" t="s">
        <v>41</v>
      </c>
      <c r="W75" s="47">
        <f t="shared" si="18"/>
        <v>4037503923</v>
      </c>
      <c r="X75" s="48">
        <f t="shared" si="20"/>
        <v>97.552855426687927</v>
      </c>
      <c r="Y75" s="46" t="s">
        <v>41</v>
      </c>
      <c r="Z75" s="78">
        <f t="shared" si="7"/>
        <v>33</v>
      </c>
      <c r="AA75" s="47">
        <f t="shared" si="14"/>
        <v>12003684858</v>
      </c>
      <c r="AB75" s="48"/>
      <c r="AC75" s="46" t="s">
        <v>41</v>
      </c>
      <c r="AD75" s="48"/>
      <c r="AE75" s="16"/>
      <c r="AH75" s="34"/>
    </row>
    <row r="76" spans="1:34" ht="78.75" x14ac:dyDescent="0.2">
      <c r="A76" s="39"/>
      <c r="B76" s="22"/>
      <c r="C76" s="36" t="s">
        <v>120</v>
      </c>
      <c r="D76" s="36" t="s">
        <v>123</v>
      </c>
      <c r="E76" s="51">
        <v>1</v>
      </c>
      <c r="F76" s="87" t="s">
        <v>124</v>
      </c>
      <c r="G76" s="70">
        <f>G77</f>
        <v>50140000</v>
      </c>
      <c r="H76" s="86">
        <v>0</v>
      </c>
      <c r="I76" s="70">
        <v>0</v>
      </c>
      <c r="J76" s="86">
        <v>1</v>
      </c>
      <c r="K76" s="171">
        <f>K77</f>
        <v>18140000</v>
      </c>
      <c r="L76" s="86">
        <f>L77/26*100</f>
        <v>0</v>
      </c>
      <c r="M76" s="70">
        <f>M77</f>
        <v>0</v>
      </c>
      <c r="N76" s="86">
        <v>0</v>
      </c>
      <c r="O76" s="70">
        <v>0</v>
      </c>
      <c r="P76" s="86">
        <v>0</v>
      </c>
      <c r="Q76" s="70">
        <v>0</v>
      </c>
      <c r="R76" s="86">
        <v>0</v>
      </c>
      <c r="S76" s="70"/>
      <c r="T76" s="69">
        <f t="shared" si="17"/>
        <v>0</v>
      </c>
      <c r="U76" s="188">
        <f t="shared" si="23"/>
        <v>0</v>
      </c>
      <c r="V76" s="66" t="s">
        <v>41</v>
      </c>
      <c r="W76" s="167">
        <f t="shared" si="18"/>
        <v>0</v>
      </c>
      <c r="X76" s="187">
        <f t="shared" si="20"/>
        <v>0</v>
      </c>
      <c r="Y76" s="66" t="s">
        <v>41</v>
      </c>
      <c r="Z76" s="69">
        <f t="shared" si="7"/>
        <v>0</v>
      </c>
      <c r="AA76" s="71">
        <f t="shared" si="14"/>
        <v>0</v>
      </c>
      <c r="AB76" s="69"/>
      <c r="AC76" s="66" t="s">
        <v>41</v>
      </c>
      <c r="AD76" s="69"/>
      <c r="AE76" s="16"/>
      <c r="AH76" s="34"/>
    </row>
    <row r="77" spans="1:34" ht="118.5" customHeight="1" x14ac:dyDescent="0.2">
      <c r="A77" s="39"/>
      <c r="B77" s="22"/>
      <c r="C77" s="36" t="s">
        <v>121</v>
      </c>
      <c r="D77" s="23" t="s">
        <v>123</v>
      </c>
      <c r="E77" s="28">
        <v>1</v>
      </c>
      <c r="F77" s="87" t="s">
        <v>124</v>
      </c>
      <c r="G77" s="37">
        <f>SUM(G78)</f>
        <v>50140000</v>
      </c>
      <c r="H77" s="76">
        <v>0</v>
      </c>
      <c r="I77" s="37">
        <f>SUM(I78)</f>
        <v>0</v>
      </c>
      <c r="J77" s="76">
        <v>100</v>
      </c>
      <c r="K77" s="37">
        <f>SUM(K78)</f>
        <v>18140000</v>
      </c>
      <c r="L77" s="76">
        <f>L78</f>
        <v>0</v>
      </c>
      <c r="M77" s="37">
        <f>SUM(M78)</f>
        <v>0</v>
      </c>
      <c r="N77" s="76">
        <v>0</v>
      </c>
      <c r="O77" s="37">
        <v>0</v>
      </c>
      <c r="P77" s="76">
        <v>0</v>
      </c>
      <c r="Q77" s="37">
        <v>0</v>
      </c>
      <c r="R77" s="76">
        <v>0</v>
      </c>
      <c r="S77" s="37"/>
      <c r="T77" s="28">
        <f t="shared" si="17"/>
        <v>0</v>
      </c>
      <c r="U77" s="28">
        <f t="shared" si="23"/>
        <v>0</v>
      </c>
      <c r="V77" s="29" t="s">
        <v>41</v>
      </c>
      <c r="W77" s="38">
        <f t="shared" si="18"/>
        <v>0</v>
      </c>
      <c r="X77" s="32">
        <f t="shared" si="20"/>
        <v>0</v>
      </c>
      <c r="Y77" s="29" t="s">
        <v>41</v>
      </c>
      <c r="Z77" s="28">
        <f t="shared" si="7"/>
        <v>0</v>
      </c>
      <c r="AA77" s="38">
        <f t="shared" si="14"/>
        <v>0</v>
      </c>
      <c r="AB77" s="32"/>
      <c r="AC77" s="29" t="s">
        <v>41</v>
      </c>
      <c r="AD77" s="32"/>
      <c r="AE77" s="16"/>
      <c r="AH77" s="34"/>
    </row>
    <row r="78" spans="1:34" ht="120" x14ac:dyDescent="0.2">
      <c r="A78" s="39"/>
      <c r="B78" s="22"/>
      <c r="C78" s="41" t="s">
        <v>122</v>
      </c>
      <c r="D78" s="41" t="s">
        <v>123</v>
      </c>
      <c r="E78" s="72">
        <v>2</v>
      </c>
      <c r="F78" s="77" t="s">
        <v>124</v>
      </c>
      <c r="G78" s="44">
        <f>25070000*2</f>
        <v>50140000</v>
      </c>
      <c r="H78" s="72">
        <v>0</v>
      </c>
      <c r="I78" s="44">
        <v>0</v>
      </c>
      <c r="J78" s="78">
        <v>1</v>
      </c>
      <c r="K78" s="44">
        <v>18140000</v>
      </c>
      <c r="L78" s="72">
        <v>0</v>
      </c>
      <c r="M78" s="44">
        <v>0</v>
      </c>
      <c r="N78" s="56">
        <v>0</v>
      </c>
      <c r="O78" s="44">
        <v>0</v>
      </c>
      <c r="P78" s="56">
        <v>0</v>
      </c>
      <c r="Q78" s="44">
        <v>0</v>
      </c>
      <c r="R78" s="56">
        <v>0</v>
      </c>
      <c r="S78" s="44"/>
      <c r="T78" s="45">
        <f t="shared" si="17"/>
        <v>0</v>
      </c>
      <c r="U78" s="45">
        <f t="shared" si="23"/>
        <v>0</v>
      </c>
      <c r="V78" s="46" t="s">
        <v>41</v>
      </c>
      <c r="W78" s="47">
        <f t="shared" si="18"/>
        <v>0</v>
      </c>
      <c r="X78" s="48">
        <f t="shared" si="20"/>
        <v>0</v>
      </c>
      <c r="Y78" s="46" t="s">
        <v>41</v>
      </c>
      <c r="Z78" s="45">
        <f t="shared" si="7"/>
        <v>0</v>
      </c>
      <c r="AA78" s="47">
        <f t="shared" si="14"/>
        <v>0</v>
      </c>
      <c r="AB78" s="48"/>
      <c r="AC78" s="46" t="s">
        <v>41</v>
      </c>
      <c r="AD78" s="48"/>
      <c r="AE78" s="16"/>
      <c r="AH78" s="34"/>
    </row>
    <row r="79" spans="1:34" ht="99" customHeight="1" x14ac:dyDescent="0.2">
      <c r="A79" s="39"/>
      <c r="B79" s="22"/>
      <c r="C79" s="36" t="s">
        <v>125</v>
      </c>
      <c r="D79" s="36" t="s">
        <v>127</v>
      </c>
      <c r="E79" s="86">
        <v>100</v>
      </c>
      <c r="F79" s="50" t="s">
        <v>41</v>
      </c>
      <c r="G79" s="88">
        <f>G80</f>
        <v>85850000</v>
      </c>
      <c r="H79" s="86">
        <v>0</v>
      </c>
      <c r="I79" s="70">
        <v>0</v>
      </c>
      <c r="J79" s="86">
        <v>100</v>
      </c>
      <c r="K79" s="171">
        <f>K80</f>
        <v>16089750</v>
      </c>
      <c r="L79" s="86">
        <f>L80/26*100</f>
        <v>0</v>
      </c>
      <c r="M79" s="70">
        <f>M80</f>
        <v>0</v>
      </c>
      <c r="N79" s="86">
        <v>0</v>
      </c>
      <c r="O79" s="70">
        <v>0</v>
      </c>
      <c r="P79" s="86">
        <v>0</v>
      </c>
      <c r="Q79" s="70">
        <v>0</v>
      </c>
      <c r="R79" s="86">
        <v>0</v>
      </c>
      <c r="S79" s="70"/>
      <c r="T79" s="69">
        <f t="shared" si="17"/>
        <v>0</v>
      </c>
      <c r="U79" s="188">
        <f t="shared" si="23"/>
        <v>0</v>
      </c>
      <c r="V79" s="66" t="s">
        <v>41</v>
      </c>
      <c r="W79" s="167">
        <f t="shared" si="18"/>
        <v>0</v>
      </c>
      <c r="X79" s="187">
        <f t="shared" si="20"/>
        <v>0</v>
      </c>
      <c r="Y79" s="66" t="s">
        <v>41</v>
      </c>
      <c r="Z79" s="69">
        <f t="shared" si="7"/>
        <v>0</v>
      </c>
      <c r="AA79" s="71">
        <f t="shared" si="14"/>
        <v>0</v>
      </c>
      <c r="AB79" s="69"/>
      <c r="AC79" s="66" t="s">
        <v>41</v>
      </c>
      <c r="AD79" s="69"/>
      <c r="AE79" s="16"/>
      <c r="AH79" s="34"/>
    </row>
    <row r="80" spans="1:34" ht="146.25" customHeight="1" x14ac:dyDescent="0.2">
      <c r="A80" s="39"/>
      <c r="B80" s="22"/>
      <c r="C80" s="36" t="s">
        <v>126</v>
      </c>
      <c r="D80" s="23" t="s">
        <v>127</v>
      </c>
      <c r="E80" s="28">
        <v>100</v>
      </c>
      <c r="F80" s="87" t="s">
        <v>41</v>
      </c>
      <c r="G80" s="70">
        <f>42925000*2</f>
        <v>85850000</v>
      </c>
      <c r="H80" s="76">
        <v>0</v>
      </c>
      <c r="I80" s="37">
        <f>SUM(I81:I82)</f>
        <v>0</v>
      </c>
      <c r="J80" s="76">
        <v>100</v>
      </c>
      <c r="K80" s="37">
        <f>SUM(K81:K82)</f>
        <v>16089750</v>
      </c>
      <c r="L80" s="76">
        <f>L82</f>
        <v>0</v>
      </c>
      <c r="M80" s="37">
        <f>SUM(M82)</f>
        <v>0</v>
      </c>
      <c r="N80" s="76">
        <v>0</v>
      </c>
      <c r="O80" s="37">
        <v>0</v>
      </c>
      <c r="P80" s="76">
        <v>0</v>
      </c>
      <c r="Q80" s="37">
        <v>0</v>
      </c>
      <c r="R80" s="76">
        <v>0</v>
      </c>
      <c r="S80" s="37"/>
      <c r="T80" s="28">
        <f t="shared" si="17"/>
        <v>0</v>
      </c>
      <c r="U80" s="28">
        <f t="shared" si="23"/>
        <v>0</v>
      </c>
      <c r="V80" s="29" t="s">
        <v>41</v>
      </c>
      <c r="W80" s="38">
        <f t="shared" si="18"/>
        <v>0</v>
      </c>
      <c r="X80" s="32">
        <f t="shared" si="20"/>
        <v>0</v>
      </c>
      <c r="Y80" s="29" t="s">
        <v>41</v>
      </c>
      <c r="Z80" s="28">
        <f t="shared" si="7"/>
        <v>0</v>
      </c>
      <c r="AA80" s="38">
        <f t="shared" si="14"/>
        <v>0</v>
      </c>
      <c r="AB80" s="32"/>
      <c r="AC80" s="29" t="s">
        <v>41</v>
      </c>
      <c r="AD80" s="32"/>
      <c r="AE80" s="16"/>
      <c r="AH80" s="34"/>
    </row>
    <row r="81" spans="1:34" ht="120" x14ac:dyDescent="0.2">
      <c r="A81" s="39"/>
      <c r="B81" s="22"/>
      <c r="C81" s="79" t="s">
        <v>128</v>
      </c>
      <c r="D81" s="79" t="s">
        <v>280</v>
      </c>
      <c r="E81" s="72">
        <v>2</v>
      </c>
      <c r="F81" s="77" t="s">
        <v>46</v>
      </c>
      <c r="G81" s="44">
        <v>52550000</v>
      </c>
      <c r="H81" s="72">
        <v>0</v>
      </c>
      <c r="I81" s="44">
        <v>0</v>
      </c>
      <c r="J81" s="78">
        <v>1</v>
      </c>
      <c r="K81" s="80">
        <v>10989850</v>
      </c>
      <c r="L81" s="72">
        <v>0</v>
      </c>
      <c r="M81" s="44">
        <v>0</v>
      </c>
      <c r="N81" s="56">
        <v>0</v>
      </c>
      <c r="O81" s="44">
        <v>0</v>
      </c>
      <c r="P81" s="56">
        <v>0</v>
      </c>
      <c r="Q81" s="44">
        <v>0</v>
      </c>
      <c r="R81" s="56">
        <v>0</v>
      </c>
      <c r="S81" s="44"/>
      <c r="T81" s="45">
        <f t="shared" si="17"/>
        <v>0</v>
      </c>
      <c r="U81" s="45">
        <f t="shared" si="23"/>
        <v>0</v>
      </c>
      <c r="V81" s="46" t="s">
        <v>41</v>
      </c>
      <c r="W81" s="47">
        <f t="shared" si="18"/>
        <v>0</v>
      </c>
      <c r="X81" s="48">
        <f t="shared" si="20"/>
        <v>0</v>
      </c>
      <c r="Y81" s="46" t="s">
        <v>41</v>
      </c>
      <c r="Z81" s="45">
        <f t="shared" si="7"/>
        <v>0</v>
      </c>
      <c r="AA81" s="47">
        <f t="shared" si="14"/>
        <v>0</v>
      </c>
      <c r="AB81" s="48"/>
      <c r="AC81" s="46" t="s">
        <v>41</v>
      </c>
      <c r="AD81" s="48"/>
      <c r="AE81" s="16"/>
      <c r="AH81" s="34"/>
    </row>
    <row r="82" spans="1:34" ht="233.25" customHeight="1" x14ac:dyDescent="0.2">
      <c r="A82" s="39"/>
      <c r="B82" s="22"/>
      <c r="C82" s="41" t="s">
        <v>129</v>
      </c>
      <c r="D82" s="41" t="s">
        <v>281</v>
      </c>
      <c r="E82" s="72">
        <v>2</v>
      </c>
      <c r="F82" s="77" t="s">
        <v>130</v>
      </c>
      <c r="G82" s="44">
        <f>G80-G81</f>
        <v>33300000</v>
      </c>
      <c r="H82" s="72">
        <v>0</v>
      </c>
      <c r="I82" s="44">
        <v>0</v>
      </c>
      <c r="J82" s="78">
        <v>1</v>
      </c>
      <c r="K82" s="44">
        <v>5099900</v>
      </c>
      <c r="L82" s="72">
        <v>0</v>
      </c>
      <c r="M82" s="44">
        <v>0</v>
      </c>
      <c r="N82" s="56">
        <v>0</v>
      </c>
      <c r="O82" s="44">
        <v>0</v>
      </c>
      <c r="P82" s="56">
        <v>0</v>
      </c>
      <c r="Q82" s="44">
        <v>0</v>
      </c>
      <c r="R82" s="56">
        <v>0</v>
      </c>
      <c r="S82" s="44"/>
      <c r="T82" s="45">
        <f t="shared" si="17"/>
        <v>0</v>
      </c>
      <c r="U82" s="45">
        <f t="shared" si="23"/>
        <v>0</v>
      </c>
      <c r="V82" s="46" t="s">
        <v>41</v>
      </c>
      <c r="W82" s="47">
        <f t="shared" si="18"/>
        <v>0</v>
      </c>
      <c r="X82" s="48">
        <f t="shared" si="20"/>
        <v>0</v>
      </c>
      <c r="Y82" s="46" t="s">
        <v>41</v>
      </c>
      <c r="Z82" s="45">
        <f t="shared" si="7"/>
        <v>0</v>
      </c>
      <c r="AA82" s="47">
        <f t="shared" si="14"/>
        <v>0</v>
      </c>
      <c r="AB82" s="48"/>
      <c r="AC82" s="46" t="s">
        <v>41</v>
      </c>
      <c r="AD82" s="48"/>
      <c r="AE82" s="16"/>
      <c r="AH82" s="34"/>
    </row>
    <row r="83" spans="1:34" ht="230.25" customHeight="1" x14ac:dyDescent="0.2">
      <c r="A83" s="39"/>
      <c r="B83" s="22"/>
      <c r="C83" s="36" t="s">
        <v>131</v>
      </c>
      <c r="D83" s="36" t="s">
        <v>133</v>
      </c>
      <c r="E83" s="86">
        <v>100</v>
      </c>
      <c r="F83" s="50" t="s">
        <v>41</v>
      </c>
      <c r="G83" s="70">
        <f>G84</f>
        <v>120000000</v>
      </c>
      <c r="H83" s="86">
        <v>0</v>
      </c>
      <c r="I83" s="70">
        <f>I84</f>
        <v>0</v>
      </c>
      <c r="J83" s="86">
        <v>100</v>
      </c>
      <c r="K83" s="171">
        <f>K84</f>
        <v>37529900</v>
      </c>
      <c r="L83" s="86">
        <f>L84/26*100</f>
        <v>0</v>
      </c>
      <c r="M83" s="70">
        <f>M84</f>
        <v>0</v>
      </c>
      <c r="N83" s="86">
        <v>0</v>
      </c>
      <c r="O83" s="70">
        <v>0</v>
      </c>
      <c r="P83" s="86">
        <v>0</v>
      </c>
      <c r="Q83" s="70">
        <v>0</v>
      </c>
      <c r="R83" s="86">
        <v>1</v>
      </c>
      <c r="S83" s="70">
        <f>S84</f>
        <v>770000</v>
      </c>
      <c r="T83" s="69">
        <f t="shared" si="17"/>
        <v>1</v>
      </c>
      <c r="U83" s="188">
        <f>Z83/J83*100</f>
        <v>1</v>
      </c>
      <c r="V83" s="66" t="s">
        <v>41</v>
      </c>
      <c r="W83" s="167">
        <f t="shared" si="18"/>
        <v>770000</v>
      </c>
      <c r="X83" s="187">
        <f>W83/K83*100</f>
        <v>2.0516974465692686</v>
      </c>
      <c r="Y83" s="66" t="s">
        <v>41</v>
      </c>
      <c r="Z83" s="69">
        <f t="shared" si="7"/>
        <v>1</v>
      </c>
      <c r="AA83" s="71">
        <f t="shared" si="14"/>
        <v>770000</v>
      </c>
      <c r="AB83" s="69"/>
      <c r="AC83" s="66" t="s">
        <v>41</v>
      </c>
      <c r="AD83" s="69"/>
      <c r="AE83" s="16"/>
      <c r="AH83" s="34"/>
    </row>
    <row r="84" spans="1:34" ht="315" customHeight="1" x14ac:dyDescent="0.2">
      <c r="A84" s="39"/>
      <c r="B84" s="22"/>
      <c r="C84" s="36" t="s">
        <v>132</v>
      </c>
      <c r="D84" s="23" t="s">
        <v>133</v>
      </c>
      <c r="E84" s="28">
        <v>100</v>
      </c>
      <c r="F84" s="87" t="s">
        <v>41</v>
      </c>
      <c r="G84" s="37">
        <f>SUM(G85)</f>
        <v>120000000</v>
      </c>
      <c r="H84" s="76">
        <v>0</v>
      </c>
      <c r="I84" s="37">
        <f>SUM(I85)</f>
        <v>0</v>
      </c>
      <c r="J84" s="76">
        <v>100</v>
      </c>
      <c r="K84" s="37">
        <f>SUM(K85)</f>
        <v>37529900</v>
      </c>
      <c r="L84" s="76">
        <f>L85</f>
        <v>0</v>
      </c>
      <c r="M84" s="37">
        <f>SUM(M85)</f>
        <v>0</v>
      </c>
      <c r="N84" s="76">
        <v>0</v>
      </c>
      <c r="O84" s="37">
        <v>0</v>
      </c>
      <c r="P84" s="76">
        <v>0</v>
      </c>
      <c r="Q84" s="37">
        <v>0</v>
      </c>
      <c r="R84" s="76">
        <v>1</v>
      </c>
      <c r="S84" s="37">
        <f>S85</f>
        <v>770000</v>
      </c>
      <c r="T84" s="28">
        <f t="shared" si="17"/>
        <v>1</v>
      </c>
      <c r="U84" s="28">
        <f t="shared" si="23"/>
        <v>1</v>
      </c>
      <c r="V84" s="29" t="s">
        <v>41</v>
      </c>
      <c r="W84" s="38">
        <f t="shared" si="18"/>
        <v>770000</v>
      </c>
      <c r="X84" s="32">
        <f t="shared" si="20"/>
        <v>2.0516974465692686</v>
      </c>
      <c r="Y84" s="29" t="s">
        <v>41</v>
      </c>
      <c r="Z84" s="28">
        <f t="shared" si="7"/>
        <v>1</v>
      </c>
      <c r="AA84" s="38">
        <f t="shared" si="14"/>
        <v>770000</v>
      </c>
      <c r="AB84" s="32"/>
      <c r="AC84" s="29" t="s">
        <v>41</v>
      </c>
      <c r="AD84" s="32"/>
      <c r="AE84" s="16"/>
      <c r="AH84" s="34"/>
    </row>
    <row r="85" spans="1:34" ht="135" x14ac:dyDescent="0.2">
      <c r="A85" s="39"/>
      <c r="B85" s="22"/>
      <c r="C85" s="41" t="s">
        <v>134</v>
      </c>
      <c r="D85" s="41" t="s">
        <v>135</v>
      </c>
      <c r="E85" s="72">
        <v>1</v>
      </c>
      <c r="F85" s="77" t="s">
        <v>46</v>
      </c>
      <c r="G85" s="44">
        <f>60000000*2</f>
        <v>120000000</v>
      </c>
      <c r="H85" s="72">
        <v>0</v>
      </c>
      <c r="I85" s="44">
        <v>0</v>
      </c>
      <c r="J85" s="78">
        <v>1</v>
      </c>
      <c r="K85" s="44">
        <v>37529900</v>
      </c>
      <c r="L85" s="72">
        <v>0</v>
      </c>
      <c r="M85" s="44">
        <v>0</v>
      </c>
      <c r="N85" s="56">
        <v>0</v>
      </c>
      <c r="O85" s="44">
        <v>0</v>
      </c>
      <c r="P85" s="56">
        <v>0</v>
      </c>
      <c r="Q85" s="44">
        <v>0</v>
      </c>
      <c r="R85" s="56">
        <v>1</v>
      </c>
      <c r="S85" s="44">
        <v>770000</v>
      </c>
      <c r="T85" s="45">
        <f t="shared" si="17"/>
        <v>1</v>
      </c>
      <c r="U85" s="45">
        <f t="shared" si="23"/>
        <v>100</v>
      </c>
      <c r="V85" s="46" t="s">
        <v>41</v>
      </c>
      <c r="W85" s="47">
        <f t="shared" si="18"/>
        <v>770000</v>
      </c>
      <c r="X85" s="48">
        <f t="shared" si="20"/>
        <v>2.0516974465692686</v>
      </c>
      <c r="Y85" s="46" t="s">
        <v>41</v>
      </c>
      <c r="Z85" s="45">
        <f t="shared" si="7"/>
        <v>1</v>
      </c>
      <c r="AA85" s="47">
        <f t="shared" si="14"/>
        <v>770000</v>
      </c>
      <c r="AB85" s="48"/>
      <c r="AC85" s="46" t="s">
        <v>41</v>
      </c>
      <c r="AD85" s="48"/>
      <c r="AE85" s="16"/>
      <c r="AH85" s="34"/>
    </row>
    <row r="86" spans="1:34" ht="94.5" x14ac:dyDescent="0.2">
      <c r="A86" s="39"/>
      <c r="B86" s="22"/>
      <c r="C86" s="36" t="s">
        <v>136</v>
      </c>
      <c r="D86" s="36" t="s">
        <v>226</v>
      </c>
      <c r="E86" s="86">
        <f>E87/26*100</f>
        <v>65.384615384615387</v>
      </c>
      <c r="F86" s="50" t="s">
        <v>41</v>
      </c>
      <c r="G86" s="70">
        <f>G87</f>
        <v>282432000</v>
      </c>
      <c r="H86" s="86">
        <f>16/26*100</f>
        <v>61.53846153846154</v>
      </c>
      <c r="I86" s="70">
        <f>I87</f>
        <v>90921000</v>
      </c>
      <c r="J86" s="86">
        <f>J87/26*100</f>
        <v>65.384615384615387</v>
      </c>
      <c r="K86" s="171">
        <f>K87</f>
        <v>88888750</v>
      </c>
      <c r="L86" s="86">
        <f>L87/26*100</f>
        <v>0</v>
      </c>
      <c r="M86" s="70">
        <f>M87</f>
        <v>6609300</v>
      </c>
      <c r="N86" s="86">
        <v>0</v>
      </c>
      <c r="O86" s="70">
        <f>O87</f>
        <v>4664300</v>
      </c>
      <c r="P86" s="86">
        <v>0</v>
      </c>
      <c r="Q86" s="70">
        <f>Q87</f>
        <v>5484300</v>
      </c>
      <c r="R86" s="173">
        <v>61.53846153846154</v>
      </c>
      <c r="S86" s="143">
        <f>S87</f>
        <v>56669300</v>
      </c>
      <c r="T86" s="69">
        <f>SUM(L86,N86,P86,R86)</f>
        <v>61.53846153846154</v>
      </c>
      <c r="U86" s="183">
        <f>T86/J86*100</f>
        <v>94.117647058823522</v>
      </c>
      <c r="V86" s="66" t="s">
        <v>41</v>
      </c>
      <c r="W86" s="167">
        <f>SUM(M86,O86,Q86,S86)</f>
        <v>73427200</v>
      </c>
      <c r="X86" s="179">
        <f t="shared" si="20"/>
        <v>82.605729071451677</v>
      </c>
      <c r="Y86" s="66" t="s">
        <v>41</v>
      </c>
      <c r="Z86" s="69">
        <f>SUM(H86,T86)</f>
        <v>123.07692307692308</v>
      </c>
      <c r="AA86" s="71">
        <f t="shared" si="14"/>
        <v>164348200</v>
      </c>
      <c r="AB86" s="69"/>
      <c r="AC86" s="66" t="s">
        <v>41</v>
      </c>
      <c r="AD86" s="69"/>
      <c r="AE86" s="16"/>
      <c r="AH86" s="34"/>
    </row>
    <row r="87" spans="1:34" ht="126" x14ac:dyDescent="0.2">
      <c r="A87" s="39"/>
      <c r="B87" s="22"/>
      <c r="C87" s="243" t="s">
        <v>137</v>
      </c>
      <c r="D87" s="23" t="s">
        <v>260</v>
      </c>
      <c r="E87" s="28">
        <v>17</v>
      </c>
      <c r="F87" s="87" t="s">
        <v>138</v>
      </c>
      <c r="G87" s="37">
        <f>SUM(G89)</f>
        <v>282432000</v>
      </c>
      <c r="H87" s="76">
        <v>16</v>
      </c>
      <c r="I87" s="37">
        <f>SUM(I89)</f>
        <v>90921000</v>
      </c>
      <c r="J87" s="76">
        <v>17</v>
      </c>
      <c r="K87" s="37">
        <f>SUM(K89)</f>
        <v>88888750</v>
      </c>
      <c r="L87" s="76">
        <f>L89</f>
        <v>0</v>
      </c>
      <c r="M87" s="37">
        <f>SUM(M89)</f>
        <v>6609300</v>
      </c>
      <c r="N87" s="76">
        <v>0</v>
      </c>
      <c r="O87" s="37">
        <f>SUM(O89)</f>
        <v>4664300</v>
      </c>
      <c r="P87" s="76">
        <v>17</v>
      </c>
      <c r="Q87" s="37">
        <f>SUM(Q89)</f>
        <v>5484300</v>
      </c>
      <c r="R87" s="76">
        <v>0</v>
      </c>
      <c r="S87" s="37">
        <f>S89</f>
        <v>56669300</v>
      </c>
      <c r="T87" s="28">
        <f t="shared" si="17"/>
        <v>17</v>
      </c>
      <c r="U87" s="28">
        <f>T87/J87*100</f>
        <v>100</v>
      </c>
      <c r="V87" s="29" t="s">
        <v>41</v>
      </c>
      <c r="W87" s="38">
        <f t="shared" si="18"/>
        <v>73427200</v>
      </c>
      <c r="X87" s="32">
        <f>W87/K87*100</f>
        <v>82.605729071451677</v>
      </c>
      <c r="Y87" s="29" t="s">
        <v>41</v>
      </c>
      <c r="Z87" s="28">
        <f>AVERAGE(T87,H87)</f>
        <v>16.5</v>
      </c>
      <c r="AA87" s="38">
        <f t="shared" si="14"/>
        <v>164348200</v>
      </c>
      <c r="AB87" s="32"/>
      <c r="AC87" s="29" t="s">
        <v>41</v>
      </c>
      <c r="AD87" s="32"/>
      <c r="AE87" s="16"/>
      <c r="AH87" s="34"/>
    </row>
    <row r="88" spans="1:34" ht="126" x14ac:dyDescent="0.2">
      <c r="A88" s="39"/>
      <c r="B88" s="22"/>
      <c r="C88" s="244"/>
      <c r="D88" s="23" t="s">
        <v>261</v>
      </c>
      <c r="E88" s="28">
        <v>17</v>
      </c>
      <c r="F88" s="87" t="s">
        <v>138</v>
      </c>
      <c r="G88" s="26"/>
      <c r="H88" s="76">
        <v>16</v>
      </c>
      <c r="I88" s="26"/>
      <c r="J88" s="76">
        <v>17</v>
      </c>
      <c r="K88" s="26"/>
      <c r="L88" s="76">
        <v>0</v>
      </c>
      <c r="M88" s="37"/>
      <c r="N88" s="76">
        <v>0</v>
      </c>
      <c r="O88" s="37"/>
      <c r="P88" s="76">
        <v>17</v>
      </c>
      <c r="Q88" s="37"/>
      <c r="R88" s="76">
        <v>0</v>
      </c>
      <c r="S88" s="37"/>
      <c r="T88" s="28">
        <f t="shared" ref="T88" si="24">SUM(L88,N88,P88,R88)</f>
        <v>17</v>
      </c>
      <c r="U88" s="28">
        <f>T88/J88*100</f>
        <v>100</v>
      </c>
      <c r="V88" s="29" t="s">
        <v>41</v>
      </c>
      <c r="W88" s="38"/>
      <c r="X88" s="32"/>
      <c r="Y88" s="29"/>
      <c r="Z88" s="28">
        <f>AVERAGE(T88,H88)</f>
        <v>16.5</v>
      </c>
      <c r="AA88" s="38"/>
      <c r="AB88" s="32"/>
      <c r="AC88" s="29"/>
      <c r="AD88" s="32"/>
      <c r="AE88" s="16"/>
      <c r="AH88" s="34"/>
    </row>
    <row r="89" spans="1:34" ht="120" x14ac:dyDescent="0.2">
      <c r="A89" s="39"/>
      <c r="B89" s="22"/>
      <c r="C89" s="89" t="s">
        <v>139</v>
      </c>
      <c r="D89" s="41" t="s">
        <v>140</v>
      </c>
      <c r="E89" s="72">
        <v>1</v>
      </c>
      <c r="F89" s="77" t="s">
        <v>76</v>
      </c>
      <c r="G89" s="80">
        <v>282432000</v>
      </c>
      <c r="H89" s="72">
        <v>1</v>
      </c>
      <c r="I89" s="80">
        <v>90921000</v>
      </c>
      <c r="J89" s="78">
        <v>1</v>
      </c>
      <c r="K89" s="80">
        <v>88888750</v>
      </c>
      <c r="L89" s="72">
        <v>0</v>
      </c>
      <c r="M89" s="49">
        <v>6609300</v>
      </c>
      <c r="N89" s="55">
        <v>0</v>
      </c>
      <c r="O89" s="90">
        <v>4664300</v>
      </c>
      <c r="P89" s="55">
        <v>1</v>
      </c>
      <c r="Q89" s="90">
        <v>5484300</v>
      </c>
      <c r="R89" s="55">
        <v>0</v>
      </c>
      <c r="S89" s="90">
        <v>56669300</v>
      </c>
      <c r="T89" s="95">
        <f t="shared" si="17"/>
        <v>1</v>
      </c>
      <c r="U89" s="148">
        <f>T89/J89*100</f>
        <v>100</v>
      </c>
      <c r="V89" s="94" t="s">
        <v>41</v>
      </c>
      <c r="W89" s="92">
        <f t="shared" si="18"/>
        <v>73427200</v>
      </c>
      <c r="X89" s="93">
        <f t="shared" si="20"/>
        <v>82.605729071451677</v>
      </c>
      <c r="Y89" s="94" t="s">
        <v>41</v>
      </c>
      <c r="Z89" s="95">
        <f t="shared" si="7"/>
        <v>2</v>
      </c>
      <c r="AA89" s="92">
        <f t="shared" si="14"/>
        <v>164348200</v>
      </c>
      <c r="AB89" s="93"/>
      <c r="AC89" s="94" t="s">
        <v>41</v>
      </c>
      <c r="AD89" s="93"/>
      <c r="AE89" s="16"/>
      <c r="AH89" s="34"/>
    </row>
    <row r="90" spans="1:34" ht="134.25" customHeight="1" x14ac:dyDescent="0.2">
      <c r="A90" s="21">
        <v>6</v>
      </c>
      <c r="B90" s="35" t="s">
        <v>141</v>
      </c>
      <c r="C90" s="35" t="s">
        <v>142</v>
      </c>
      <c r="D90" s="23" t="s">
        <v>227</v>
      </c>
      <c r="E90" s="27">
        <v>50</v>
      </c>
      <c r="F90" s="25" t="s">
        <v>230</v>
      </c>
      <c r="G90" s="37">
        <v>519065000</v>
      </c>
      <c r="H90" s="73">
        <v>50</v>
      </c>
      <c r="I90" s="26">
        <f>I93+I100</f>
        <v>589610700</v>
      </c>
      <c r="J90" s="27">
        <v>50</v>
      </c>
      <c r="K90" s="169">
        <f>K93+K100</f>
        <v>1042306200</v>
      </c>
      <c r="L90" s="138">
        <v>50</v>
      </c>
      <c r="M90" s="26">
        <f>M93+M100</f>
        <v>0</v>
      </c>
      <c r="N90" s="138">
        <v>50</v>
      </c>
      <c r="O90" s="26">
        <f>O93+O100</f>
        <v>47193000</v>
      </c>
      <c r="P90" s="138">
        <v>50</v>
      </c>
      <c r="Q90" s="26">
        <f>Q93+Q100</f>
        <v>198894752</v>
      </c>
      <c r="R90" s="73">
        <v>50</v>
      </c>
      <c r="S90" s="26">
        <f>S93+S100</f>
        <v>713414870</v>
      </c>
      <c r="T90" s="32">
        <f>AVERAGE(L90,N90,P90,R90)</f>
        <v>50</v>
      </c>
      <c r="U90" s="179">
        <f>T90/J90*100</f>
        <v>100</v>
      </c>
      <c r="V90" s="29" t="s">
        <v>41</v>
      </c>
      <c r="W90" s="165">
        <f>SUM(M90,O90,Q90,S90)</f>
        <v>959502622</v>
      </c>
      <c r="X90" s="174">
        <f>W90/K90*100</f>
        <v>92.055733910054443</v>
      </c>
      <c r="Y90" s="21" t="s">
        <v>41</v>
      </c>
      <c r="Z90" s="32">
        <f>AVERAGE(H90,T90)</f>
        <v>50</v>
      </c>
      <c r="AA90" s="30">
        <f>SUM(I90,W90)</f>
        <v>1549113322</v>
      </c>
      <c r="AB90" s="32"/>
      <c r="AC90" s="29" t="s">
        <v>41</v>
      </c>
      <c r="AD90" s="31"/>
      <c r="AE90" s="16"/>
      <c r="AH90" s="34"/>
    </row>
    <row r="91" spans="1:34" ht="173.25" x14ac:dyDescent="0.2">
      <c r="A91" s="39"/>
      <c r="B91" s="22"/>
      <c r="C91" s="22"/>
      <c r="D91" s="23" t="s">
        <v>228</v>
      </c>
      <c r="E91" s="27">
        <v>25</v>
      </c>
      <c r="F91" s="25" t="s">
        <v>230</v>
      </c>
      <c r="G91" s="59"/>
      <c r="H91" s="73">
        <v>25</v>
      </c>
      <c r="I91" s="59"/>
      <c r="J91" s="27">
        <v>25</v>
      </c>
      <c r="K91" s="59"/>
      <c r="L91" s="73">
        <v>25</v>
      </c>
      <c r="M91" s="59"/>
      <c r="N91" s="73">
        <v>25</v>
      </c>
      <c r="O91" s="59"/>
      <c r="P91" s="73">
        <v>25</v>
      </c>
      <c r="Q91" s="59"/>
      <c r="R91" s="73">
        <v>25</v>
      </c>
      <c r="S91" s="59"/>
      <c r="T91" s="32">
        <f>AVERAGE(L91,N91,P91,R91)</f>
        <v>25</v>
      </c>
      <c r="U91" s="28">
        <f t="shared" ref="U91:U98" si="25">T91/J91*100</f>
        <v>100</v>
      </c>
      <c r="V91" s="29" t="s">
        <v>41</v>
      </c>
      <c r="W91" s="67"/>
      <c r="X91" s="68"/>
      <c r="Y91" s="39"/>
      <c r="Z91" s="32">
        <f>AVERAGE(H91,T91)</f>
        <v>25</v>
      </c>
      <c r="AA91" s="67"/>
      <c r="AB91" s="32"/>
      <c r="AC91" s="29" t="s">
        <v>41</v>
      </c>
      <c r="AD91" s="68"/>
      <c r="AE91" s="16"/>
      <c r="AH91" s="34"/>
    </row>
    <row r="92" spans="1:34" ht="165.75" customHeight="1" x14ac:dyDescent="0.2">
      <c r="A92" s="39"/>
      <c r="B92" s="22"/>
      <c r="C92" s="22"/>
      <c r="D92" s="23" t="s">
        <v>229</v>
      </c>
      <c r="E92" s="27">
        <v>100</v>
      </c>
      <c r="F92" s="25" t="s">
        <v>231</v>
      </c>
      <c r="G92" s="59"/>
      <c r="H92" s="144">
        <v>33.33</v>
      </c>
      <c r="I92" s="59"/>
      <c r="J92" s="27">
        <f>(J93+J94)/(J93+J94)*100</f>
        <v>100</v>
      </c>
      <c r="K92" s="59"/>
      <c r="L92" s="73">
        <v>0</v>
      </c>
      <c r="M92" s="59"/>
      <c r="N92" s="73">
        <v>0</v>
      </c>
      <c r="O92" s="59"/>
      <c r="P92" s="73">
        <v>0</v>
      </c>
      <c r="Q92" s="145"/>
      <c r="R92" s="73">
        <v>100</v>
      </c>
      <c r="S92" s="59"/>
      <c r="T92" s="32">
        <f t="shared" ref="T92:T101" si="26">SUM(L92,N92,P92,R92)</f>
        <v>100</v>
      </c>
      <c r="U92" s="32">
        <f t="shared" si="25"/>
        <v>100</v>
      </c>
      <c r="V92" s="29" t="s">
        <v>41</v>
      </c>
      <c r="W92" s="67"/>
      <c r="X92" s="68"/>
      <c r="Y92" s="39"/>
      <c r="Z92" s="32">
        <f>SUM(H92,T92)</f>
        <v>133.32999999999998</v>
      </c>
      <c r="AA92" s="67"/>
      <c r="AB92" s="32"/>
      <c r="AC92" s="29" t="s">
        <v>41</v>
      </c>
      <c r="AD92" s="68"/>
      <c r="AE92" s="16"/>
      <c r="AH92" s="34"/>
    </row>
    <row r="93" spans="1:34" ht="157.5" x14ac:dyDescent="0.2">
      <c r="A93" s="39"/>
      <c r="B93" s="22"/>
      <c r="C93" s="35" t="s">
        <v>144</v>
      </c>
      <c r="D93" s="23" t="s">
        <v>262</v>
      </c>
      <c r="E93" s="96">
        <v>3</v>
      </c>
      <c r="F93" s="87" t="s">
        <v>266</v>
      </c>
      <c r="G93" s="26">
        <f>SUM(G97:G99)</f>
        <v>126045000</v>
      </c>
      <c r="H93" s="76">
        <v>3</v>
      </c>
      <c r="I93" s="26">
        <f>SUM(I97:I99)</f>
        <v>19831000</v>
      </c>
      <c r="J93" s="76">
        <v>3</v>
      </c>
      <c r="K93" s="26">
        <f>SUM(K97:K99)</f>
        <v>859886200</v>
      </c>
      <c r="L93" s="76">
        <v>0</v>
      </c>
      <c r="M93" s="26">
        <f>SUM(M97:M99)</f>
        <v>0</v>
      </c>
      <c r="N93" s="76">
        <v>1</v>
      </c>
      <c r="O93" s="26">
        <f>SUM(O97:O99)</f>
        <v>47193000</v>
      </c>
      <c r="P93" s="76">
        <v>1</v>
      </c>
      <c r="Q93" s="26">
        <f>SUM(Q97:Q99)</f>
        <v>121253000</v>
      </c>
      <c r="R93" s="76">
        <v>1</v>
      </c>
      <c r="S93" s="26">
        <f>SUM(S97:S99)</f>
        <v>622262450</v>
      </c>
      <c r="T93" s="28">
        <f t="shared" si="26"/>
        <v>3</v>
      </c>
      <c r="U93" s="28">
        <f>T93/J93*100</f>
        <v>100</v>
      </c>
      <c r="V93" s="29" t="s">
        <v>41</v>
      </c>
      <c r="W93" s="30">
        <f>SUM(M93,O93,Q93,S93)</f>
        <v>790708450</v>
      </c>
      <c r="X93" s="31">
        <f>W93/K93*100</f>
        <v>91.95501102355172</v>
      </c>
      <c r="Y93" s="21" t="s">
        <v>41</v>
      </c>
      <c r="Z93" s="28">
        <f>AVERAGE(T93,H93)</f>
        <v>3</v>
      </c>
      <c r="AA93" s="30">
        <f>SUM(I93,W93)</f>
        <v>810539450</v>
      </c>
      <c r="AB93" s="32"/>
      <c r="AC93" s="29" t="s">
        <v>41</v>
      </c>
      <c r="AD93" s="31"/>
      <c r="AE93" s="16"/>
      <c r="AH93" s="34"/>
    </row>
    <row r="94" spans="1:34" ht="211.5" customHeight="1" x14ac:dyDescent="0.2">
      <c r="A94" s="39"/>
      <c r="B94" s="22"/>
      <c r="C94" s="196"/>
      <c r="D94" s="23" t="s">
        <v>263</v>
      </c>
      <c r="E94" s="96">
        <v>1</v>
      </c>
      <c r="F94" s="87" t="s">
        <v>266</v>
      </c>
      <c r="G94" s="70"/>
      <c r="H94" s="76">
        <v>1</v>
      </c>
      <c r="I94" s="70"/>
      <c r="J94" s="76">
        <v>1</v>
      </c>
      <c r="K94" s="70"/>
      <c r="L94" s="76">
        <v>0</v>
      </c>
      <c r="M94" s="70"/>
      <c r="N94" s="76">
        <v>0</v>
      </c>
      <c r="O94" s="70"/>
      <c r="P94" s="76">
        <v>0</v>
      </c>
      <c r="Q94" s="70"/>
      <c r="R94" s="76">
        <v>1</v>
      </c>
      <c r="S94" s="70"/>
      <c r="T94" s="28">
        <f t="shared" ref="T94:T96" si="27">SUM(L94,N94,P94,R94)</f>
        <v>1</v>
      </c>
      <c r="U94" s="28">
        <f t="shared" ref="U94" si="28">T94/J94*100</f>
        <v>100</v>
      </c>
      <c r="V94" s="29" t="s">
        <v>41</v>
      </c>
      <c r="W94" s="71"/>
      <c r="X94" s="69"/>
      <c r="Y94" s="66"/>
      <c r="Z94" s="28">
        <f t="shared" ref="Z94:Z96" si="29">AVERAGE(T94,H94)</f>
        <v>1</v>
      </c>
      <c r="AA94" s="71"/>
      <c r="AB94" s="32"/>
      <c r="AC94" s="29" t="s">
        <v>41</v>
      </c>
      <c r="AD94" s="69"/>
      <c r="AE94" s="16"/>
      <c r="AH94" s="34"/>
    </row>
    <row r="95" spans="1:34" ht="211.5" customHeight="1" x14ac:dyDescent="0.2">
      <c r="A95" s="39"/>
      <c r="B95" s="22"/>
      <c r="C95" s="196"/>
      <c r="D95" s="23" t="s">
        <v>264</v>
      </c>
      <c r="E95" s="96">
        <v>7</v>
      </c>
      <c r="F95" s="87" t="s">
        <v>267</v>
      </c>
      <c r="G95" s="59"/>
      <c r="H95" s="76">
        <v>7</v>
      </c>
      <c r="I95" s="59"/>
      <c r="J95" s="76">
        <v>7</v>
      </c>
      <c r="K95" s="59"/>
      <c r="L95" s="76">
        <v>0</v>
      </c>
      <c r="M95" s="70"/>
      <c r="N95" s="76">
        <v>2</v>
      </c>
      <c r="O95" s="59"/>
      <c r="P95" s="76">
        <v>2</v>
      </c>
      <c r="Q95" s="59"/>
      <c r="R95" s="76">
        <v>3</v>
      </c>
      <c r="S95" s="59"/>
      <c r="T95" s="28">
        <f t="shared" si="27"/>
        <v>7</v>
      </c>
      <c r="U95" s="28">
        <f>T95/J95*100</f>
        <v>100</v>
      </c>
      <c r="V95" s="29" t="s">
        <v>41</v>
      </c>
      <c r="W95" s="67"/>
      <c r="X95" s="68"/>
      <c r="Y95" s="39"/>
      <c r="Z95" s="28">
        <f t="shared" si="29"/>
        <v>7</v>
      </c>
      <c r="AA95" s="67"/>
      <c r="AB95" s="32"/>
      <c r="AC95" s="29"/>
      <c r="AD95" s="68"/>
      <c r="AE95" s="16"/>
      <c r="AH95" s="34"/>
    </row>
    <row r="96" spans="1:34" ht="211.5" customHeight="1" x14ac:dyDescent="0.2">
      <c r="A96" s="39"/>
      <c r="B96" s="22"/>
      <c r="C96" s="197"/>
      <c r="D96" s="23" t="s">
        <v>265</v>
      </c>
      <c r="E96" s="96">
        <v>7</v>
      </c>
      <c r="F96" s="87" t="s">
        <v>266</v>
      </c>
      <c r="G96" s="59"/>
      <c r="H96" s="76">
        <v>7</v>
      </c>
      <c r="I96" s="59"/>
      <c r="J96" s="76">
        <v>7</v>
      </c>
      <c r="K96" s="59"/>
      <c r="L96" s="76">
        <v>0</v>
      </c>
      <c r="M96" s="70"/>
      <c r="N96" s="76">
        <v>1</v>
      </c>
      <c r="O96" s="59"/>
      <c r="P96" s="76">
        <v>4</v>
      </c>
      <c r="Q96" s="59"/>
      <c r="R96" s="76">
        <v>2</v>
      </c>
      <c r="S96" s="59"/>
      <c r="T96" s="28">
        <f t="shared" si="27"/>
        <v>7</v>
      </c>
      <c r="U96" s="28">
        <f>T96/J96*100</f>
        <v>100</v>
      </c>
      <c r="V96" s="29" t="s">
        <v>41</v>
      </c>
      <c r="W96" s="67"/>
      <c r="X96" s="68"/>
      <c r="Y96" s="39"/>
      <c r="Z96" s="28">
        <f t="shared" si="29"/>
        <v>7</v>
      </c>
      <c r="AA96" s="67"/>
      <c r="AB96" s="32"/>
      <c r="AC96" s="29"/>
      <c r="AD96" s="68"/>
      <c r="AE96" s="16"/>
      <c r="AH96" s="34"/>
    </row>
    <row r="97" spans="1:34" ht="165" x14ac:dyDescent="0.2">
      <c r="A97" s="39"/>
      <c r="B97" s="22"/>
      <c r="C97" s="41" t="s">
        <v>145</v>
      </c>
      <c r="D97" s="41" t="s">
        <v>146</v>
      </c>
      <c r="E97" s="72">
        <v>3</v>
      </c>
      <c r="F97" s="77" t="s">
        <v>46</v>
      </c>
      <c r="G97" s="80">
        <v>126045000</v>
      </c>
      <c r="H97" s="72">
        <v>2</v>
      </c>
      <c r="I97" s="80">
        <v>19831000</v>
      </c>
      <c r="J97" s="72">
        <v>2</v>
      </c>
      <c r="K97" s="80">
        <v>51540500</v>
      </c>
      <c r="L97" s="72">
        <v>0</v>
      </c>
      <c r="M97" s="44">
        <v>0</v>
      </c>
      <c r="N97" s="42">
        <v>1</v>
      </c>
      <c r="O97" s="80">
        <v>20407200</v>
      </c>
      <c r="P97" s="42">
        <v>0</v>
      </c>
      <c r="Q97" s="80">
        <v>11553600</v>
      </c>
      <c r="R97" s="42">
        <v>1</v>
      </c>
      <c r="S97" s="80">
        <v>11628600</v>
      </c>
      <c r="T97" s="45">
        <f t="shared" si="26"/>
        <v>2</v>
      </c>
      <c r="U97" s="45">
        <f t="shared" si="25"/>
        <v>100</v>
      </c>
      <c r="V97" s="46" t="s">
        <v>41</v>
      </c>
      <c r="W97" s="81">
        <f t="shared" ref="W97:W125" si="30">SUM(M97,O97,Q97,S97)</f>
        <v>43589400</v>
      </c>
      <c r="X97" s="82">
        <f t="shared" ref="X97:X124" si="31">W97/K97*100</f>
        <v>84.573102705639258</v>
      </c>
      <c r="Y97" s="91" t="s">
        <v>41</v>
      </c>
      <c r="Z97" s="45">
        <f t="shared" si="7"/>
        <v>4</v>
      </c>
      <c r="AA97" s="81">
        <f t="shared" ref="AA97:AA125" si="32">SUM(I97,W97)</f>
        <v>63420400</v>
      </c>
      <c r="AB97" s="48"/>
      <c r="AC97" s="46" t="s">
        <v>41</v>
      </c>
      <c r="AD97" s="82"/>
      <c r="AE97" s="16"/>
      <c r="AH97" s="34"/>
    </row>
    <row r="98" spans="1:34" ht="213" customHeight="1" x14ac:dyDescent="0.2">
      <c r="A98" s="39"/>
      <c r="B98" s="22"/>
      <c r="C98" s="79" t="s">
        <v>147</v>
      </c>
      <c r="D98" s="41" t="s">
        <v>148</v>
      </c>
      <c r="E98" s="72">
        <v>2</v>
      </c>
      <c r="F98" s="77" t="s">
        <v>46</v>
      </c>
      <c r="G98" s="80">
        <v>0</v>
      </c>
      <c r="H98" s="72">
        <v>0</v>
      </c>
      <c r="I98" s="80">
        <v>0</v>
      </c>
      <c r="J98" s="72">
        <v>1</v>
      </c>
      <c r="K98" s="80">
        <v>13155000</v>
      </c>
      <c r="L98" s="72">
        <v>0</v>
      </c>
      <c r="M98" s="44">
        <v>0</v>
      </c>
      <c r="N98" s="42">
        <v>0</v>
      </c>
      <c r="O98" s="80">
        <v>0</v>
      </c>
      <c r="P98" s="42">
        <v>0</v>
      </c>
      <c r="Q98" s="80">
        <v>0</v>
      </c>
      <c r="R98" s="42">
        <v>1</v>
      </c>
      <c r="S98" s="80">
        <v>13055000</v>
      </c>
      <c r="T98" s="45">
        <f t="shared" si="26"/>
        <v>1</v>
      </c>
      <c r="U98" s="45">
        <f t="shared" si="25"/>
        <v>100</v>
      </c>
      <c r="V98" s="46" t="s">
        <v>41</v>
      </c>
      <c r="W98" s="81">
        <f t="shared" si="30"/>
        <v>13055000</v>
      </c>
      <c r="X98" s="82">
        <f t="shared" si="31"/>
        <v>99.2398327632079</v>
      </c>
      <c r="Y98" s="91" t="s">
        <v>41</v>
      </c>
      <c r="Z98" s="45">
        <f t="shared" si="7"/>
        <v>1</v>
      </c>
      <c r="AA98" s="81">
        <f t="shared" si="32"/>
        <v>13055000</v>
      </c>
      <c r="AB98" s="48"/>
      <c r="AC98" s="46" t="s">
        <v>41</v>
      </c>
      <c r="AD98" s="82"/>
      <c r="AE98" s="16"/>
      <c r="AH98" s="34"/>
    </row>
    <row r="99" spans="1:34" ht="183" customHeight="1" x14ac:dyDescent="0.2">
      <c r="A99" s="39"/>
      <c r="B99" s="22"/>
      <c r="C99" s="41" t="s">
        <v>149</v>
      </c>
      <c r="D99" s="41" t="s">
        <v>150</v>
      </c>
      <c r="E99" s="72">
        <v>0</v>
      </c>
      <c r="F99" s="77" t="s">
        <v>46</v>
      </c>
      <c r="G99" s="80">
        <v>0</v>
      </c>
      <c r="H99" s="72">
        <v>0</v>
      </c>
      <c r="I99" s="80">
        <v>0</v>
      </c>
      <c r="J99" s="72">
        <v>2</v>
      </c>
      <c r="K99" s="80">
        <v>795190700</v>
      </c>
      <c r="L99" s="72">
        <v>1</v>
      </c>
      <c r="M99" s="44">
        <v>0</v>
      </c>
      <c r="N99" s="42">
        <v>1</v>
      </c>
      <c r="O99" s="80">
        <v>26785800</v>
      </c>
      <c r="P99" s="42">
        <v>0</v>
      </c>
      <c r="Q99" s="80">
        <v>109699400</v>
      </c>
      <c r="R99" s="42">
        <v>0</v>
      </c>
      <c r="S99" s="80">
        <v>597578850</v>
      </c>
      <c r="T99" s="45">
        <f t="shared" si="26"/>
        <v>2</v>
      </c>
      <c r="U99" s="45">
        <f t="shared" ref="U99:U103" si="33">T99/J99*100</f>
        <v>100</v>
      </c>
      <c r="V99" s="46" t="s">
        <v>41</v>
      </c>
      <c r="W99" s="81">
        <f t="shared" si="30"/>
        <v>734064050</v>
      </c>
      <c r="X99" s="82">
        <f t="shared" si="31"/>
        <v>92.312957130912125</v>
      </c>
      <c r="Y99" s="91" t="s">
        <v>41</v>
      </c>
      <c r="Z99" s="45">
        <f t="shared" si="7"/>
        <v>2</v>
      </c>
      <c r="AA99" s="81">
        <f t="shared" si="32"/>
        <v>734064050</v>
      </c>
      <c r="AB99" s="48"/>
      <c r="AC99" s="46" t="s">
        <v>41</v>
      </c>
      <c r="AD99" s="82"/>
      <c r="AE99" s="16"/>
      <c r="AH99" s="34"/>
    </row>
    <row r="100" spans="1:34" ht="177.75" customHeight="1" x14ac:dyDescent="0.2">
      <c r="A100" s="39"/>
      <c r="B100" s="22"/>
      <c r="C100" s="36" t="s">
        <v>151</v>
      </c>
      <c r="D100" s="23" t="s">
        <v>152</v>
      </c>
      <c r="E100" s="28">
        <f>8/8*100</f>
        <v>100</v>
      </c>
      <c r="F100" s="25" t="s">
        <v>41</v>
      </c>
      <c r="G100" s="37">
        <f>SUM(G101)</f>
        <v>1133598441</v>
      </c>
      <c r="H100" s="76">
        <v>35.29</v>
      </c>
      <c r="I100" s="37">
        <f>SUM(I101)</f>
        <v>569779700</v>
      </c>
      <c r="J100" s="85">
        <v>70.59</v>
      </c>
      <c r="K100" s="37">
        <f>SUM(K101)</f>
        <v>182420000</v>
      </c>
      <c r="L100" s="84">
        <v>0</v>
      </c>
      <c r="M100" s="37">
        <f>SUM(M101)</f>
        <v>0</v>
      </c>
      <c r="N100" s="27">
        <v>0</v>
      </c>
      <c r="O100" s="37">
        <v>0</v>
      </c>
      <c r="P100" s="27">
        <v>0</v>
      </c>
      <c r="Q100" s="37">
        <f>Q101</f>
        <v>77641752</v>
      </c>
      <c r="R100" s="73">
        <v>100</v>
      </c>
      <c r="S100" s="37">
        <f>S101</f>
        <v>91152420</v>
      </c>
      <c r="T100" s="32">
        <f t="shared" si="26"/>
        <v>100</v>
      </c>
      <c r="U100" s="28">
        <f>T100/J100*100</f>
        <v>141.66312508853943</v>
      </c>
      <c r="V100" s="29" t="s">
        <v>41</v>
      </c>
      <c r="W100" s="38">
        <f t="shared" si="30"/>
        <v>168794172</v>
      </c>
      <c r="X100" s="32">
        <f>W100/K100*100</f>
        <v>92.530518583488657</v>
      </c>
      <c r="Y100" s="29" t="s">
        <v>41</v>
      </c>
      <c r="Z100" s="32">
        <f>SUM(H100,T100)</f>
        <v>135.29</v>
      </c>
      <c r="AA100" s="38">
        <f t="shared" si="32"/>
        <v>738573872</v>
      </c>
      <c r="AB100" s="32"/>
      <c r="AC100" s="29" t="s">
        <v>41</v>
      </c>
      <c r="AD100" s="32"/>
      <c r="AE100" s="16"/>
      <c r="AH100" s="34"/>
    </row>
    <row r="101" spans="1:34" ht="146.25" customHeight="1" x14ac:dyDescent="0.2">
      <c r="A101" s="39"/>
      <c r="B101" s="22"/>
      <c r="C101" s="40" t="s">
        <v>153</v>
      </c>
      <c r="D101" s="41" t="s">
        <v>282</v>
      </c>
      <c r="E101" s="72">
        <f>2*3</f>
        <v>6</v>
      </c>
      <c r="F101" s="43" t="s">
        <v>76</v>
      </c>
      <c r="G101" s="44">
        <v>1133598441</v>
      </c>
      <c r="H101" s="72">
        <v>2</v>
      </c>
      <c r="I101" s="44">
        <v>569779700</v>
      </c>
      <c r="J101" s="72">
        <v>1</v>
      </c>
      <c r="K101" s="44">
        <v>182420000</v>
      </c>
      <c r="L101" s="72">
        <v>0</v>
      </c>
      <c r="M101" s="44">
        <v>0</v>
      </c>
      <c r="N101" s="42">
        <v>0</v>
      </c>
      <c r="O101" s="44">
        <v>0</v>
      </c>
      <c r="P101" s="42">
        <v>1</v>
      </c>
      <c r="Q101" s="44">
        <v>77641752</v>
      </c>
      <c r="R101" s="42">
        <v>0</v>
      </c>
      <c r="S101" s="44">
        <v>91152420</v>
      </c>
      <c r="T101" s="45">
        <f t="shared" si="26"/>
        <v>1</v>
      </c>
      <c r="U101" s="45">
        <f t="shared" si="33"/>
        <v>100</v>
      </c>
      <c r="V101" s="46" t="s">
        <v>41</v>
      </c>
      <c r="W101" s="47">
        <f t="shared" si="30"/>
        <v>168794172</v>
      </c>
      <c r="X101" s="48">
        <f t="shared" si="31"/>
        <v>92.530518583488657</v>
      </c>
      <c r="Y101" s="46" t="s">
        <v>41</v>
      </c>
      <c r="Z101" s="45">
        <f t="shared" ref="Z101:Z130" si="34">SUM(H101,T101)</f>
        <v>3</v>
      </c>
      <c r="AA101" s="47">
        <f t="shared" si="32"/>
        <v>738573872</v>
      </c>
      <c r="AB101" s="48"/>
      <c r="AC101" s="46" t="s">
        <v>41</v>
      </c>
      <c r="AD101" s="48"/>
      <c r="AE101" s="16"/>
      <c r="AH101" s="34"/>
    </row>
    <row r="102" spans="1:34" ht="157.5" x14ac:dyDescent="0.2">
      <c r="A102" s="39"/>
      <c r="B102" s="22"/>
      <c r="C102" s="195" t="s">
        <v>154</v>
      </c>
      <c r="D102" s="23" t="s">
        <v>232</v>
      </c>
      <c r="E102" s="73">
        <v>72.73</v>
      </c>
      <c r="F102" s="73" t="s">
        <v>231</v>
      </c>
      <c r="G102" s="70">
        <f>G105</f>
        <v>23256437500</v>
      </c>
      <c r="H102" s="73">
        <v>45.45</v>
      </c>
      <c r="I102" s="70">
        <f>I105</f>
        <v>3307644976</v>
      </c>
      <c r="J102" s="73">
        <v>72.73</v>
      </c>
      <c r="K102" s="171">
        <f>K105</f>
        <v>5303631300</v>
      </c>
      <c r="L102" s="73">
        <v>45.45</v>
      </c>
      <c r="M102" s="70">
        <f>M105</f>
        <v>0</v>
      </c>
      <c r="N102" s="73">
        <v>45.45</v>
      </c>
      <c r="O102" s="70">
        <f>O105</f>
        <v>574973382</v>
      </c>
      <c r="P102" s="73">
        <v>45.45</v>
      </c>
      <c r="Q102" s="70">
        <f>Q105</f>
        <v>1668788208</v>
      </c>
      <c r="R102" s="97">
        <v>45.45</v>
      </c>
      <c r="S102" s="70">
        <f>S105</f>
        <v>2518351160</v>
      </c>
      <c r="T102" s="98">
        <f>AVERAGE(L102,N102,P102,R102)</f>
        <v>45.45</v>
      </c>
      <c r="U102" s="179">
        <f>T102/J102*100</f>
        <v>62.491406572253538</v>
      </c>
      <c r="V102" s="29" t="s">
        <v>41</v>
      </c>
      <c r="W102" s="168">
        <f t="shared" si="30"/>
        <v>4762112750</v>
      </c>
      <c r="X102" s="179">
        <f>W102/K102*100</f>
        <v>89.789664488932331</v>
      </c>
      <c r="Y102" s="29" t="s">
        <v>41</v>
      </c>
      <c r="Z102" s="32">
        <f t="shared" si="34"/>
        <v>90.9</v>
      </c>
      <c r="AA102" s="38">
        <f t="shared" si="32"/>
        <v>8069757726</v>
      </c>
      <c r="AB102" s="32"/>
      <c r="AC102" s="29" t="s">
        <v>41</v>
      </c>
      <c r="AD102" s="32"/>
      <c r="AE102" s="16"/>
      <c r="AH102" s="34"/>
    </row>
    <row r="103" spans="1:34" ht="110.25" x14ac:dyDescent="0.2">
      <c r="A103" s="39"/>
      <c r="B103" s="22"/>
      <c r="C103" s="196"/>
      <c r="D103" s="23" t="s">
        <v>233</v>
      </c>
      <c r="E103" s="160">
        <v>100</v>
      </c>
      <c r="F103" s="160" t="s">
        <v>231</v>
      </c>
      <c r="G103" s="70"/>
      <c r="H103" s="160">
        <v>100</v>
      </c>
      <c r="I103" s="70"/>
      <c r="J103" s="73">
        <v>100</v>
      </c>
      <c r="K103" s="70"/>
      <c r="L103" s="73">
        <v>100</v>
      </c>
      <c r="M103" s="70"/>
      <c r="N103" s="73">
        <v>100</v>
      </c>
      <c r="O103" s="70"/>
      <c r="P103" s="73">
        <v>100</v>
      </c>
      <c r="Q103" s="70"/>
      <c r="R103" s="97">
        <v>100</v>
      </c>
      <c r="S103" s="70"/>
      <c r="T103" s="98">
        <f>AVERAGE(L103,N103,P103,R103)</f>
        <v>100</v>
      </c>
      <c r="U103" s="32">
        <f t="shared" si="33"/>
        <v>100</v>
      </c>
      <c r="V103" s="29" t="s">
        <v>41</v>
      </c>
      <c r="W103" s="38"/>
      <c r="X103" s="32"/>
      <c r="Y103" s="29"/>
      <c r="Z103" s="32"/>
      <c r="AA103" s="38"/>
      <c r="AB103" s="32"/>
      <c r="AC103" s="29"/>
      <c r="AD103" s="32"/>
      <c r="AE103" s="16"/>
      <c r="AH103" s="34"/>
    </row>
    <row r="104" spans="1:34" ht="63" x14ac:dyDescent="0.2">
      <c r="A104" s="39"/>
      <c r="B104" s="22"/>
      <c r="C104" s="196"/>
      <c r="D104" s="23" t="s">
        <v>234</v>
      </c>
      <c r="E104" s="160">
        <v>6.89</v>
      </c>
      <c r="F104" s="160" t="s">
        <v>231</v>
      </c>
      <c r="G104" s="70"/>
      <c r="H104" s="160">
        <v>6.3</v>
      </c>
      <c r="I104" s="70"/>
      <c r="J104" s="73">
        <v>6.48</v>
      </c>
      <c r="K104" s="70"/>
      <c r="L104" s="73">
        <v>6.3</v>
      </c>
      <c r="M104" s="70"/>
      <c r="N104" s="73">
        <v>6.3</v>
      </c>
      <c r="O104" s="70"/>
      <c r="P104" s="73">
        <v>6.3</v>
      </c>
      <c r="Q104" s="70"/>
      <c r="R104" s="97">
        <v>6.32</v>
      </c>
      <c r="S104" s="70"/>
      <c r="T104" s="98">
        <f>R104</f>
        <v>6.32</v>
      </c>
      <c r="U104" s="32">
        <f>T104/J104*100</f>
        <v>97.53086419753086</v>
      </c>
      <c r="V104" s="29" t="s">
        <v>41</v>
      </c>
      <c r="W104" s="38"/>
      <c r="X104" s="32"/>
      <c r="Y104" s="29"/>
      <c r="Z104" s="32"/>
      <c r="AA104" s="38"/>
      <c r="AB104" s="32"/>
      <c r="AC104" s="29"/>
      <c r="AD104" s="32"/>
      <c r="AE104" s="16"/>
      <c r="AH104" s="34"/>
    </row>
    <row r="105" spans="1:34" ht="78.75" x14ac:dyDescent="0.2">
      <c r="A105" s="39"/>
      <c r="B105" s="22"/>
      <c r="C105" s="196" t="s">
        <v>155</v>
      </c>
      <c r="D105" s="23" t="s">
        <v>284</v>
      </c>
      <c r="E105" s="99">
        <v>132.97300000000001</v>
      </c>
      <c r="F105" s="25" t="s">
        <v>158</v>
      </c>
      <c r="G105" s="37">
        <f>SUM(G109)</f>
        <v>23256437500</v>
      </c>
      <c r="H105" s="99">
        <v>121.64</v>
      </c>
      <c r="I105" s="37">
        <f>SUM(I109)</f>
        <v>3307644976</v>
      </c>
      <c r="J105" s="98">
        <f>J108</f>
        <v>123.22</v>
      </c>
      <c r="K105" s="37">
        <f>SUM(K109)</f>
        <v>5303631300</v>
      </c>
      <c r="L105" s="161">
        <f>L109</f>
        <v>0.25</v>
      </c>
      <c r="M105" s="37">
        <f>SUM(M109)</f>
        <v>0</v>
      </c>
      <c r="N105" s="100">
        <f>N109</f>
        <v>0.25</v>
      </c>
      <c r="O105" s="37">
        <f>SUM(O109)</f>
        <v>574973382</v>
      </c>
      <c r="P105" s="100">
        <f>P109</f>
        <v>0.25</v>
      </c>
      <c r="Q105" s="37">
        <f>SUM(Q109)</f>
        <v>1668788208</v>
      </c>
      <c r="R105" s="100">
        <f>R109</f>
        <v>0.52</v>
      </c>
      <c r="S105" s="37">
        <f>S109</f>
        <v>2518351160</v>
      </c>
      <c r="T105" s="98">
        <f>L105+N105+P105+R105</f>
        <v>1.27</v>
      </c>
      <c r="U105" s="48">
        <f>Z105/J105*100</f>
        <v>101.03067683817561</v>
      </c>
      <c r="V105" s="29" t="s">
        <v>41</v>
      </c>
      <c r="W105" s="38">
        <f t="shared" si="30"/>
        <v>4762112750</v>
      </c>
      <c r="X105" s="32">
        <f>W105/K105*100</f>
        <v>89.789664488932331</v>
      </c>
      <c r="Y105" s="29" t="s">
        <v>41</v>
      </c>
      <c r="Z105" s="32">
        <f>J105+T105</f>
        <v>124.49</v>
      </c>
      <c r="AA105" s="38">
        <f t="shared" si="32"/>
        <v>8069757726</v>
      </c>
      <c r="AB105" s="32"/>
      <c r="AC105" s="29" t="s">
        <v>41</v>
      </c>
      <c r="AD105" s="32"/>
      <c r="AE105" s="16"/>
      <c r="AH105" s="34"/>
    </row>
    <row r="106" spans="1:34" ht="110.25" x14ac:dyDescent="0.2">
      <c r="A106" s="191"/>
      <c r="B106" s="190"/>
      <c r="C106" s="196"/>
      <c r="D106" s="23" t="s">
        <v>285</v>
      </c>
      <c r="E106" s="152">
        <v>6</v>
      </c>
      <c r="F106" s="25" t="s">
        <v>289</v>
      </c>
      <c r="G106" s="37"/>
      <c r="H106" s="152">
        <v>2</v>
      </c>
      <c r="I106" s="37"/>
      <c r="J106" s="135">
        <v>2</v>
      </c>
      <c r="K106" s="37"/>
      <c r="L106" s="84">
        <v>0</v>
      </c>
      <c r="M106" s="37"/>
      <c r="N106" s="153">
        <v>1</v>
      </c>
      <c r="O106" s="37"/>
      <c r="P106" s="153">
        <v>0</v>
      </c>
      <c r="Q106" s="37"/>
      <c r="R106" s="100">
        <v>1</v>
      </c>
      <c r="S106" s="37"/>
      <c r="T106" s="98">
        <f>L106+N106+P106+R106</f>
        <v>2</v>
      </c>
      <c r="U106" s="48">
        <f>T106/J106*100</f>
        <v>100</v>
      </c>
      <c r="V106" s="29" t="s">
        <v>41</v>
      </c>
      <c r="W106" s="38"/>
      <c r="X106" s="32"/>
      <c r="Y106" s="29"/>
      <c r="Z106" s="32">
        <f>J106+T106</f>
        <v>4</v>
      </c>
      <c r="AA106" s="38"/>
      <c r="AB106" s="32"/>
      <c r="AC106" s="29"/>
      <c r="AD106" s="32"/>
      <c r="AE106" s="16"/>
      <c r="AH106" s="34"/>
    </row>
    <row r="107" spans="1:34" ht="94.5" x14ac:dyDescent="0.2">
      <c r="A107" s="191"/>
      <c r="B107" s="190"/>
      <c r="C107" s="196"/>
      <c r="D107" s="23" t="s">
        <v>286</v>
      </c>
      <c r="E107" s="152">
        <v>14</v>
      </c>
      <c r="F107" s="25" t="s">
        <v>288</v>
      </c>
      <c r="G107" s="37"/>
      <c r="H107" s="152">
        <v>4</v>
      </c>
      <c r="I107" s="37"/>
      <c r="J107" s="135">
        <v>5</v>
      </c>
      <c r="K107" s="151"/>
      <c r="L107" s="84">
        <v>1</v>
      </c>
      <c r="M107" s="37"/>
      <c r="N107" s="153">
        <v>2</v>
      </c>
      <c r="O107" s="37"/>
      <c r="P107" s="153">
        <v>1</v>
      </c>
      <c r="Q107" s="37"/>
      <c r="R107" s="100">
        <v>0</v>
      </c>
      <c r="S107" s="37"/>
      <c r="T107" s="98">
        <f>L107+N107+P107+R107</f>
        <v>4</v>
      </c>
      <c r="U107" s="48">
        <f>T107/J107*100</f>
        <v>80</v>
      </c>
      <c r="V107" s="29" t="s">
        <v>41</v>
      </c>
      <c r="W107" s="38"/>
      <c r="X107" s="32"/>
      <c r="Y107" s="29"/>
      <c r="Z107" s="32">
        <f>J107+T107</f>
        <v>9</v>
      </c>
      <c r="AA107" s="38"/>
      <c r="AB107" s="32"/>
      <c r="AC107" s="29"/>
      <c r="AD107" s="32"/>
      <c r="AE107" s="16"/>
      <c r="AH107" s="34"/>
    </row>
    <row r="108" spans="1:34" ht="94.5" x14ac:dyDescent="0.2">
      <c r="A108" s="191"/>
      <c r="B108" s="190"/>
      <c r="C108" s="197"/>
      <c r="D108" s="23" t="s">
        <v>287</v>
      </c>
      <c r="E108" s="99">
        <v>132.97300000000001</v>
      </c>
      <c r="F108" s="25" t="s">
        <v>158</v>
      </c>
      <c r="G108" s="37"/>
      <c r="H108" s="99">
        <f>H109</f>
        <v>121.64</v>
      </c>
      <c r="I108" s="37"/>
      <c r="J108" s="98">
        <f>J109</f>
        <v>123.22</v>
      </c>
      <c r="K108" s="37"/>
      <c r="L108" s="84">
        <v>2.95</v>
      </c>
      <c r="M108" s="37"/>
      <c r="N108" s="100">
        <v>0</v>
      </c>
      <c r="O108" s="37"/>
      <c r="P108" s="100">
        <v>2.58</v>
      </c>
      <c r="Q108" s="37"/>
      <c r="R108" s="100"/>
      <c r="S108" s="37"/>
      <c r="T108" s="98">
        <f>L108+N108+P108+R108</f>
        <v>5.53</v>
      </c>
      <c r="U108" s="48">
        <f>Z108/J108*100</f>
        <v>104.48790780717417</v>
      </c>
      <c r="V108" s="29" t="s">
        <v>41</v>
      </c>
      <c r="W108" s="38"/>
      <c r="X108" s="32"/>
      <c r="Y108" s="29"/>
      <c r="Z108" s="32">
        <f>J108+T108</f>
        <v>128.75</v>
      </c>
      <c r="AA108" s="38"/>
      <c r="AB108" s="32"/>
      <c r="AC108" s="29"/>
      <c r="AD108" s="32"/>
      <c r="AE108" s="16"/>
      <c r="AH108" s="34"/>
    </row>
    <row r="109" spans="1:34" ht="84.75" customHeight="1" x14ac:dyDescent="0.2">
      <c r="A109" s="39"/>
      <c r="B109" s="22"/>
      <c r="C109" s="40" t="s">
        <v>156</v>
      </c>
      <c r="D109" s="41" t="s">
        <v>157</v>
      </c>
      <c r="E109" s="102">
        <v>132.97300000000001</v>
      </c>
      <c r="F109" s="43" t="s">
        <v>158</v>
      </c>
      <c r="G109" s="44">
        <v>23256437500</v>
      </c>
      <c r="H109" s="162">
        <v>121.64</v>
      </c>
      <c r="I109" s="44">
        <v>3307644976</v>
      </c>
      <c r="J109" s="149">
        <v>123.22</v>
      </c>
      <c r="K109" s="44">
        <v>5303631300</v>
      </c>
      <c r="L109" s="102">
        <v>0.25</v>
      </c>
      <c r="M109" s="44">
        <v>0</v>
      </c>
      <c r="N109" s="163">
        <v>0.25</v>
      </c>
      <c r="O109" s="44">
        <v>574973382</v>
      </c>
      <c r="P109" s="163">
        <v>0.25</v>
      </c>
      <c r="Q109" s="44">
        <v>1668788208</v>
      </c>
      <c r="R109" s="42">
        <v>0.52</v>
      </c>
      <c r="S109" s="44">
        <v>2518351160</v>
      </c>
      <c r="T109" s="164">
        <f>SUM(L109,N109,P109,R109)</f>
        <v>1.27</v>
      </c>
      <c r="U109" s="48">
        <f>Z109/J109*100</f>
        <v>99.748417464697297</v>
      </c>
      <c r="V109" s="46" t="s">
        <v>41</v>
      </c>
      <c r="W109" s="47">
        <f t="shared" si="30"/>
        <v>4762112750</v>
      </c>
      <c r="X109" s="48">
        <f>W109/K109*100</f>
        <v>89.789664488932331</v>
      </c>
      <c r="Y109" s="46" t="s">
        <v>41</v>
      </c>
      <c r="Z109" s="164">
        <f>SUM(H109,T109)</f>
        <v>122.91</v>
      </c>
      <c r="AA109" s="47">
        <f t="shared" si="32"/>
        <v>8069757726</v>
      </c>
      <c r="AB109" s="48"/>
      <c r="AC109" s="46" t="s">
        <v>41</v>
      </c>
      <c r="AD109" s="48"/>
      <c r="AE109" s="16"/>
      <c r="AH109" s="34"/>
    </row>
    <row r="110" spans="1:34" ht="173.25" x14ac:dyDescent="0.2">
      <c r="A110" s="39"/>
      <c r="B110" s="22"/>
      <c r="C110" s="36" t="s">
        <v>159</v>
      </c>
      <c r="D110" s="23" t="s">
        <v>235</v>
      </c>
      <c r="E110" s="85">
        <v>100</v>
      </c>
      <c r="F110" s="25" t="s">
        <v>41</v>
      </c>
      <c r="G110" s="70">
        <f>G111</f>
        <v>91476000</v>
      </c>
      <c r="H110" s="73">
        <v>0</v>
      </c>
      <c r="I110" s="70">
        <f>SUM(I111)</f>
        <v>0</v>
      </c>
      <c r="J110" s="101">
        <v>100</v>
      </c>
      <c r="K110" s="171">
        <f>SUM(K111)</f>
        <v>32920000</v>
      </c>
      <c r="L110" s="73">
        <v>50</v>
      </c>
      <c r="M110" s="70">
        <f>M111</f>
        <v>0</v>
      </c>
      <c r="N110" s="73">
        <v>67.78</v>
      </c>
      <c r="O110" s="70">
        <v>0</v>
      </c>
      <c r="P110" s="73">
        <v>67.78</v>
      </c>
      <c r="Q110" s="70">
        <f>Q111</f>
        <v>1875000</v>
      </c>
      <c r="R110" s="73">
        <v>100</v>
      </c>
      <c r="S110" s="70">
        <f>S111</f>
        <v>937500</v>
      </c>
      <c r="T110" s="98">
        <f>AVERAGE(L110,N110,P110,R110)</f>
        <v>71.39</v>
      </c>
      <c r="U110" s="189">
        <f>T110/J110*100</f>
        <v>71.39</v>
      </c>
      <c r="V110" s="29" t="s">
        <v>41</v>
      </c>
      <c r="W110" s="165">
        <f t="shared" si="30"/>
        <v>2812500</v>
      </c>
      <c r="X110" s="186">
        <f>W110/K110*100</f>
        <v>8.5434386391251511</v>
      </c>
      <c r="Y110" s="21" t="s">
        <v>41</v>
      </c>
      <c r="Z110" s="28">
        <f t="shared" si="34"/>
        <v>71.39</v>
      </c>
      <c r="AA110" s="30">
        <f t="shared" si="32"/>
        <v>2812500</v>
      </c>
      <c r="AB110" s="32"/>
      <c r="AC110" s="29" t="s">
        <v>41</v>
      </c>
      <c r="AD110" s="31"/>
      <c r="AE110" s="16"/>
      <c r="AH110" s="34"/>
    </row>
    <row r="111" spans="1:34" ht="276" customHeight="1" x14ac:dyDescent="0.2">
      <c r="A111" s="39"/>
      <c r="B111" s="22"/>
      <c r="C111" s="36" t="s">
        <v>160</v>
      </c>
      <c r="D111" s="23" t="s">
        <v>268</v>
      </c>
      <c r="E111" s="76">
        <v>100</v>
      </c>
      <c r="F111" s="25" t="s">
        <v>41</v>
      </c>
      <c r="G111" s="37">
        <f>G112+G113</f>
        <v>91476000</v>
      </c>
      <c r="H111" s="98">
        <v>0</v>
      </c>
      <c r="I111" s="37">
        <f>SUM(I112:I113)</f>
        <v>0</v>
      </c>
      <c r="J111" s="135">
        <f>32/32*100</f>
        <v>100</v>
      </c>
      <c r="K111" s="37">
        <f>SUM(K112:K113)</f>
        <v>32920000</v>
      </c>
      <c r="L111" s="85">
        <v>0</v>
      </c>
      <c r="M111" s="37">
        <f>SUM(M112:M113)</f>
        <v>0</v>
      </c>
      <c r="N111" s="85">
        <v>0</v>
      </c>
      <c r="O111" s="37">
        <v>0</v>
      </c>
      <c r="P111" s="85">
        <v>0</v>
      </c>
      <c r="Q111" s="37">
        <f>Q112+Q113</f>
        <v>1875000</v>
      </c>
      <c r="R111" s="85">
        <v>100</v>
      </c>
      <c r="S111" s="37">
        <f>S112+S113</f>
        <v>937500</v>
      </c>
      <c r="T111" s="32">
        <f>SUM(L111,N111,P111,R111)</f>
        <v>100</v>
      </c>
      <c r="U111" s="32">
        <f>Z111/J111*100</f>
        <v>100</v>
      </c>
      <c r="V111" s="29" t="s">
        <v>41</v>
      </c>
      <c r="W111" s="38">
        <f t="shared" si="30"/>
        <v>2812500</v>
      </c>
      <c r="X111" s="32">
        <f t="shared" si="31"/>
        <v>8.5434386391251511</v>
      </c>
      <c r="Y111" s="29" t="s">
        <v>41</v>
      </c>
      <c r="Z111" s="32">
        <f t="shared" si="34"/>
        <v>100</v>
      </c>
      <c r="AA111" s="38">
        <f t="shared" si="32"/>
        <v>2812500</v>
      </c>
      <c r="AB111" s="32"/>
      <c r="AC111" s="29" t="s">
        <v>41</v>
      </c>
      <c r="AD111" s="69"/>
      <c r="AE111" s="16"/>
      <c r="AH111" s="34"/>
    </row>
    <row r="112" spans="1:34" ht="240" x14ac:dyDescent="0.2">
      <c r="A112" s="94"/>
      <c r="B112" s="89"/>
      <c r="C112" s="40" t="s">
        <v>161</v>
      </c>
      <c r="D112" s="41" t="s">
        <v>162</v>
      </c>
      <c r="E112" s="72">
        <v>32</v>
      </c>
      <c r="F112" s="43" t="s">
        <v>59</v>
      </c>
      <c r="G112" s="44">
        <v>45738000</v>
      </c>
      <c r="H112" s="102"/>
      <c r="I112" s="44">
        <v>0</v>
      </c>
      <c r="J112" s="72">
        <v>28</v>
      </c>
      <c r="K112" s="44">
        <v>6430000</v>
      </c>
      <c r="L112" s="72">
        <v>7</v>
      </c>
      <c r="M112" s="44">
        <v>0</v>
      </c>
      <c r="N112" s="42">
        <v>5</v>
      </c>
      <c r="O112" s="49">
        <v>0</v>
      </c>
      <c r="P112" s="42">
        <v>5</v>
      </c>
      <c r="Q112" s="49">
        <v>937500</v>
      </c>
      <c r="R112" s="42">
        <v>11</v>
      </c>
      <c r="S112" s="49">
        <v>937500</v>
      </c>
      <c r="T112" s="45">
        <f>SUM(L112,N112,P112,R112)</f>
        <v>28</v>
      </c>
      <c r="U112" s="45">
        <f>T112/J112*100</f>
        <v>100</v>
      </c>
      <c r="V112" s="46" t="s">
        <v>41</v>
      </c>
      <c r="W112" s="47">
        <f t="shared" si="30"/>
        <v>1875000</v>
      </c>
      <c r="X112" s="48">
        <f t="shared" si="31"/>
        <v>29.160186625194402</v>
      </c>
      <c r="Y112" s="46" t="s">
        <v>41</v>
      </c>
      <c r="Z112" s="48">
        <f t="shared" si="34"/>
        <v>28</v>
      </c>
      <c r="AA112" s="47">
        <f t="shared" si="32"/>
        <v>1875000</v>
      </c>
      <c r="AB112" s="61"/>
      <c r="AC112" s="62" t="s">
        <v>41</v>
      </c>
      <c r="AD112" s="61"/>
      <c r="AE112" s="16"/>
      <c r="AH112" s="34"/>
    </row>
    <row r="113" spans="1:35" ht="198" customHeight="1" x14ac:dyDescent="0.2">
      <c r="A113" s="94"/>
      <c r="B113" s="89"/>
      <c r="C113" s="40" t="s">
        <v>163</v>
      </c>
      <c r="D113" s="41" t="s">
        <v>164</v>
      </c>
      <c r="E113" s="72">
        <v>1</v>
      </c>
      <c r="F113" s="43" t="s">
        <v>46</v>
      </c>
      <c r="G113" s="44">
        <v>45738000</v>
      </c>
      <c r="H113" s="102">
        <v>1</v>
      </c>
      <c r="I113" s="44">
        <v>0</v>
      </c>
      <c r="J113" s="72">
        <v>1</v>
      </c>
      <c r="K113" s="44">
        <v>26490000</v>
      </c>
      <c r="L113" s="72">
        <v>0</v>
      </c>
      <c r="M113" s="44">
        <v>0</v>
      </c>
      <c r="N113" s="42">
        <v>0</v>
      </c>
      <c r="O113" s="49">
        <v>0</v>
      </c>
      <c r="P113" s="42">
        <v>0</v>
      </c>
      <c r="Q113" s="49">
        <v>937500</v>
      </c>
      <c r="R113" s="42">
        <v>1</v>
      </c>
      <c r="S113" s="49"/>
      <c r="T113" s="45">
        <f>SUM(L113,N113,P113,R113)</f>
        <v>1</v>
      </c>
      <c r="U113" s="45">
        <f>T113/J113*100</f>
        <v>100</v>
      </c>
      <c r="V113" s="46" t="s">
        <v>41</v>
      </c>
      <c r="W113" s="60">
        <f t="shared" si="30"/>
        <v>937500</v>
      </c>
      <c r="X113" s="93">
        <f t="shared" si="31"/>
        <v>3.5390713476783695</v>
      </c>
      <c r="Y113" s="94" t="s">
        <v>41</v>
      </c>
      <c r="Z113" s="61">
        <f t="shared" si="34"/>
        <v>2</v>
      </c>
      <c r="AA113" s="60">
        <f t="shared" si="32"/>
        <v>937500</v>
      </c>
      <c r="AB113" s="48"/>
      <c r="AC113" s="46" t="s">
        <v>41</v>
      </c>
      <c r="AD113" s="61"/>
      <c r="AE113" s="16"/>
      <c r="AH113" s="34"/>
    </row>
    <row r="114" spans="1:35" s="155" customFormat="1" ht="140.1" customHeight="1" x14ac:dyDescent="0.2">
      <c r="A114" s="39"/>
      <c r="B114" s="22"/>
      <c r="C114" s="36" t="s">
        <v>165</v>
      </c>
      <c r="D114" s="23" t="s">
        <v>236</v>
      </c>
      <c r="E114" s="73">
        <v>6.89</v>
      </c>
      <c r="F114" s="25" t="s">
        <v>41</v>
      </c>
      <c r="G114" s="70">
        <f>G115</f>
        <v>4629084900</v>
      </c>
      <c r="H114" s="73">
        <v>6.3</v>
      </c>
      <c r="I114" s="70">
        <f>I115</f>
        <v>600493250</v>
      </c>
      <c r="J114" s="73">
        <v>6.48</v>
      </c>
      <c r="K114" s="171">
        <f>K115</f>
        <v>576764800</v>
      </c>
      <c r="L114" s="73">
        <v>0</v>
      </c>
      <c r="M114" s="70">
        <f>M115</f>
        <v>28965000</v>
      </c>
      <c r="N114" s="73">
        <v>0</v>
      </c>
      <c r="O114" s="70">
        <f>O115</f>
        <v>69019300</v>
      </c>
      <c r="P114" s="73">
        <v>6.3</v>
      </c>
      <c r="Q114" s="70">
        <f>Q115</f>
        <v>43495900</v>
      </c>
      <c r="R114" s="73"/>
      <c r="S114" s="70">
        <f>S115</f>
        <v>190904300</v>
      </c>
      <c r="T114" s="98">
        <v>6.48</v>
      </c>
      <c r="U114" s="179">
        <f>T114/J114*100</f>
        <v>100</v>
      </c>
      <c r="V114" s="29" t="s">
        <v>41</v>
      </c>
      <c r="W114" s="165">
        <f t="shared" si="30"/>
        <v>332384500</v>
      </c>
      <c r="X114" s="186">
        <f t="shared" ref="X114:X119" si="35">W114/K114*100</f>
        <v>57.62912369132097</v>
      </c>
      <c r="Y114" s="21" t="s">
        <v>41</v>
      </c>
      <c r="Z114" s="32">
        <f>T114</f>
        <v>6.48</v>
      </c>
      <c r="AA114" s="30">
        <f t="shared" si="32"/>
        <v>932877750</v>
      </c>
      <c r="AB114" s="32"/>
      <c r="AC114" s="29" t="s">
        <v>41</v>
      </c>
      <c r="AD114" s="31"/>
      <c r="AE114" s="16"/>
      <c r="AH114" s="156"/>
    </row>
    <row r="115" spans="1:35" s="155" customFormat="1" ht="174" customHeight="1" x14ac:dyDescent="0.2">
      <c r="A115" s="39"/>
      <c r="B115" s="22"/>
      <c r="C115" s="36" t="s">
        <v>166</v>
      </c>
      <c r="D115" s="23" t="s">
        <v>269</v>
      </c>
      <c r="E115" s="76">
        <v>30</v>
      </c>
      <c r="F115" s="25" t="s">
        <v>270</v>
      </c>
      <c r="G115" s="37">
        <f>SUM(G116:G117)</f>
        <v>4629084900</v>
      </c>
      <c r="H115" s="96">
        <v>15</v>
      </c>
      <c r="I115" s="37">
        <f>SUM(I116:I117)</f>
        <v>600493250</v>
      </c>
      <c r="J115" s="96">
        <v>8</v>
      </c>
      <c r="K115" s="37">
        <f>SUM(K116:K117)</f>
        <v>576764800</v>
      </c>
      <c r="L115" s="76">
        <v>0</v>
      </c>
      <c r="M115" s="37">
        <f>SUM(M116:M117)</f>
        <v>28965000</v>
      </c>
      <c r="N115" s="85">
        <v>0</v>
      </c>
      <c r="O115" s="37">
        <f>SUM(O116:O117)</f>
        <v>69019300</v>
      </c>
      <c r="P115" s="85">
        <v>0</v>
      </c>
      <c r="Q115" s="37">
        <f>SUM(Q116:Q117)</f>
        <v>43495900</v>
      </c>
      <c r="R115" s="85">
        <v>8</v>
      </c>
      <c r="S115" s="37">
        <f>SUM(S116:S117)</f>
        <v>190904300</v>
      </c>
      <c r="T115" s="32">
        <f>SUM(L115,N115,P115,R115)</f>
        <v>8</v>
      </c>
      <c r="U115" s="28">
        <f>Z115/J115*100</f>
        <v>100</v>
      </c>
      <c r="V115" s="29" t="s">
        <v>41</v>
      </c>
      <c r="W115" s="38">
        <f>SUM(M115,O115,Q115,S115)</f>
        <v>332384500</v>
      </c>
      <c r="X115" s="32">
        <f t="shared" si="35"/>
        <v>57.62912369132097</v>
      </c>
      <c r="Y115" s="29" t="s">
        <v>41</v>
      </c>
      <c r="Z115" s="32">
        <f>T115</f>
        <v>8</v>
      </c>
      <c r="AA115" s="38">
        <f t="shared" si="32"/>
        <v>932877750</v>
      </c>
      <c r="AB115" s="32"/>
      <c r="AC115" s="29" t="s">
        <v>41</v>
      </c>
      <c r="AD115" s="69"/>
      <c r="AE115" s="16"/>
      <c r="AG115" s="158"/>
      <c r="AH115" s="159"/>
    </row>
    <row r="116" spans="1:35" s="155" customFormat="1" ht="206.25" customHeight="1" x14ac:dyDescent="0.2">
      <c r="A116" s="94"/>
      <c r="B116" s="89"/>
      <c r="C116" s="40" t="s">
        <v>167</v>
      </c>
      <c r="D116" s="41" t="s">
        <v>168</v>
      </c>
      <c r="E116" s="72">
        <v>20</v>
      </c>
      <c r="F116" s="43" t="s">
        <v>169</v>
      </c>
      <c r="G116" s="44">
        <v>1552089500</v>
      </c>
      <c r="H116" s="72">
        <v>12</v>
      </c>
      <c r="I116" s="44">
        <v>227483000</v>
      </c>
      <c r="J116" s="72">
        <v>16</v>
      </c>
      <c r="K116" s="44">
        <v>294059550</v>
      </c>
      <c r="L116" s="72">
        <v>0</v>
      </c>
      <c r="M116" s="44">
        <v>25680000</v>
      </c>
      <c r="N116" s="42">
        <v>0</v>
      </c>
      <c r="O116" s="49">
        <v>63759300</v>
      </c>
      <c r="P116" s="42">
        <v>0</v>
      </c>
      <c r="Q116" s="49">
        <v>35605900</v>
      </c>
      <c r="R116" s="42">
        <v>16</v>
      </c>
      <c r="S116" s="49">
        <v>115804300</v>
      </c>
      <c r="T116" s="45">
        <f>SUM(L116,N116,P116,R116)</f>
        <v>16</v>
      </c>
      <c r="U116" s="45">
        <f>T116/J116*100</f>
        <v>100</v>
      </c>
      <c r="V116" s="46" t="s">
        <v>41</v>
      </c>
      <c r="W116" s="47">
        <f>SUM(M116,O116,Q116,S116)</f>
        <v>240849500</v>
      </c>
      <c r="X116" s="48">
        <f t="shared" si="35"/>
        <v>81.905008696367801</v>
      </c>
      <c r="Y116" s="46" t="s">
        <v>41</v>
      </c>
      <c r="Z116" s="48">
        <f>SUM(H116,T116)</f>
        <v>28</v>
      </c>
      <c r="AA116" s="47">
        <f>SUM(I116,W116)</f>
        <v>468332500</v>
      </c>
      <c r="AB116" s="61"/>
      <c r="AC116" s="62" t="s">
        <v>41</v>
      </c>
      <c r="AD116" s="61"/>
      <c r="AE116" s="16"/>
      <c r="AG116" s="158"/>
      <c r="AH116" s="159">
        <v>238076500</v>
      </c>
      <c r="AI116" s="157">
        <f>AH116-W116</f>
        <v>-2773000</v>
      </c>
    </row>
    <row r="117" spans="1:35" s="155" customFormat="1" ht="206.25" customHeight="1" x14ac:dyDescent="0.2">
      <c r="A117" s="94"/>
      <c r="B117" s="89"/>
      <c r="C117" s="40" t="s">
        <v>170</v>
      </c>
      <c r="D117" s="41" t="s">
        <v>171</v>
      </c>
      <c r="E117" s="72">
        <v>12</v>
      </c>
      <c r="F117" s="43" t="s">
        <v>46</v>
      </c>
      <c r="G117" s="44">
        <v>3076995400</v>
      </c>
      <c r="H117" s="72">
        <v>4</v>
      </c>
      <c r="I117" s="44">
        <v>373010250</v>
      </c>
      <c r="J117" s="72">
        <v>4</v>
      </c>
      <c r="K117" s="44">
        <v>282705250</v>
      </c>
      <c r="L117" s="72">
        <v>1</v>
      </c>
      <c r="M117" s="44">
        <v>3285000</v>
      </c>
      <c r="N117" s="42">
        <v>1</v>
      </c>
      <c r="O117" s="49">
        <v>5260000</v>
      </c>
      <c r="P117" s="42">
        <v>1</v>
      </c>
      <c r="Q117" s="49">
        <v>7890000</v>
      </c>
      <c r="R117" s="42">
        <v>1</v>
      </c>
      <c r="S117" s="49">
        <v>75100000</v>
      </c>
      <c r="T117" s="45">
        <f>SUM(L117,N117,P117,R117)</f>
        <v>4</v>
      </c>
      <c r="U117" s="45">
        <f>T117/J117*100</f>
        <v>100</v>
      </c>
      <c r="V117" s="46" t="s">
        <v>41</v>
      </c>
      <c r="W117" s="47">
        <f>M117+O117+Q117+S117</f>
        <v>91535000</v>
      </c>
      <c r="X117" s="48">
        <f t="shared" si="35"/>
        <v>32.378245540187173</v>
      </c>
      <c r="Y117" s="46" t="s">
        <v>41</v>
      </c>
      <c r="Z117" s="48">
        <f>SUM(H117,T117)</f>
        <v>8</v>
      </c>
      <c r="AA117" s="47">
        <f t="shared" si="32"/>
        <v>464545250</v>
      </c>
      <c r="AB117" s="61"/>
      <c r="AC117" s="62" t="s">
        <v>41</v>
      </c>
      <c r="AD117" s="61"/>
      <c r="AE117" s="16"/>
      <c r="AG117" s="158"/>
      <c r="AH117" s="159">
        <f>K117-W117</f>
        <v>191170250</v>
      </c>
      <c r="AI117" s="157"/>
    </row>
    <row r="118" spans="1:35" s="155" customFormat="1" ht="78.75" x14ac:dyDescent="0.2">
      <c r="A118" s="154"/>
      <c r="B118" s="22"/>
      <c r="C118" s="36" t="s">
        <v>172</v>
      </c>
      <c r="D118" s="23" t="s">
        <v>236</v>
      </c>
      <c r="E118" s="73">
        <v>6.89</v>
      </c>
      <c r="F118" s="25" t="s">
        <v>41</v>
      </c>
      <c r="G118" s="70">
        <f>G119</f>
        <v>1006049000</v>
      </c>
      <c r="H118" s="73">
        <v>6.3</v>
      </c>
      <c r="I118" s="70">
        <f>I119</f>
        <v>84175000</v>
      </c>
      <c r="J118" s="73">
        <v>6.48</v>
      </c>
      <c r="K118" s="171">
        <f>K119</f>
        <v>196427000</v>
      </c>
      <c r="L118" s="73">
        <v>6.3</v>
      </c>
      <c r="M118" s="70">
        <f>M119</f>
        <v>0</v>
      </c>
      <c r="N118" s="73">
        <v>6.3</v>
      </c>
      <c r="O118" s="70">
        <f>O119</f>
        <v>0</v>
      </c>
      <c r="P118" s="73">
        <v>6.3</v>
      </c>
      <c r="Q118" s="70">
        <f>Q119</f>
        <v>88900000</v>
      </c>
      <c r="R118" s="73"/>
      <c r="S118" s="70">
        <f>S119</f>
        <v>1700000</v>
      </c>
      <c r="T118" s="98">
        <v>6.48</v>
      </c>
      <c r="U118" s="179">
        <f>T118/J118*100</f>
        <v>100</v>
      </c>
      <c r="V118" s="29" t="s">
        <v>41</v>
      </c>
      <c r="W118" s="168">
        <f t="shared" si="30"/>
        <v>90600000</v>
      </c>
      <c r="X118" s="185">
        <f t="shared" si="35"/>
        <v>46.124005355679209</v>
      </c>
      <c r="Y118" s="29" t="s">
        <v>41</v>
      </c>
      <c r="Z118" s="32">
        <f>AVERAGE(H118,T118)</f>
        <v>6.3900000000000006</v>
      </c>
      <c r="AA118" s="38">
        <f t="shared" si="32"/>
        <v>174775000</v>
      </c>
      <c r="AB118" s="32"/>
      <c r="AC118" s="29" t="s">
        <v>41</v>
      </c>
      <c r="AD118" s="32"/>
      <c r="AE118" s="16"/>
      <c r="AH118" s="156">
        <f>W117-Q117-O117-M117</f>
        <v>75100000</v>
      </c>
    </row>
    <row r="119" spans="1:35" s="155" customFormat="1" ht="110.25" x14ac:dyDescent="0.2">
      <c r="A119" s="39"/>
      <c r="B119" s="22"/>
      <c r="C119" s="36" t="s">
        <v>173</v>
      </c>
      <c r="D119" s="23" t="s">
        <v>271</v>
      </c>
      <c r="E119" s="175">
        <v>85</v>
      </c>
      <c r="F119" s="87" t="s">
        <v>272</v>
      </c>
      <c r="G119" s="37">
        <f>SUM(G120)</f>
        <v>1006049000</v>
      </c>
      <c r="H119" s="85">
        <v>75</v>
      </c>
      <c r="I119" s="37">
        <f>SUM(I120)</f>
        <v>84175000</v>
      </c>
      <c r="J119" s="76">
        <v>80</v>
      </c>
      <c r="K119" s="37">
        <f>SUM(K120)</f>
        <v>196427000</v>
      </c>
      <c r="L119" s="84">
        <v>0</v>
      </c>
      <c r="M119" s="37">
        <f>SUM(M120)</f>
        <v>0</v>
      </c>
      <c r="N119" s="85">
        <v>0</v>
      </c>
      <c r="O119" s="37">
        <f>SUM(O120)</f>
        <v>0</v>
      </c>
      <c r="P119" s="85">
        <v>0</v>
      </c>
      <c r="Q119" s="37">
        <f>SUM(Q120)</f>
        <v>88900000</v>
      </c>
      <c r="R119" s="176"/>
      <c r="S119" s="37">
        <f>S120</f>
        <v>1700000</v>
      </c>
      <c r="T119" s="85">
        <v>5</v>
      </c>
      <c r="U119" s="32">
        <f>Z119/J119*100</f>
        <v>100</v>
      </c>
      <c r="V119" s="29" t="s">
        <v>41</v>
      </c>
      <c r="W119" s="38">
        <f t="shared" si="30"/>
        <v>90600000</v>
      </c>
      <c r="X119" s="32">
        <f t="shared" si="35"/>
        <v>46.124005355679209</v>
      </c>
      <c r="Y119" s="29" t="s">
        <v>41</v>
      </c>
      <c r="Z119" s="85">
        <f>SUM(H119,T119)</f>
        <v>80</v>
      </c>
      <c r="AA119" s="38">
        <f t="shared" si="32"/>
        <v>174775000</v>
      </c>
      <c r="AB119" s="32"/>
      <c r="AC119" s="29" t="s">
        <v>41</v>
      </c>
      <c r="AD119" s="32"/>
      <c r="AE119" s="16"/>
      <c r="AH119" s="156"/>
    </row>
    <row r="120" spans="1:35" s="155" customFormat="1" ht="249.95" customHeight="1" x14ac:dyDescent="0.2">
      <c r="A120" s="39"/>
      <c r="B120" s="22"/>
      <c r="C120" s="40" t="s">
        <v>174</v>
      </c>
      <c r="D120" s="41" t="s">
        <v>175</v>
      </c>
      <c r="E120" s="177">
        <v>90</v>
      </c>
      <c r="F120" s="77" t="s">
        <v>176</v>
      </c>
      <c r="G120" s="44">
        <v>1006049000</v>
      </c>
      <c r="H120" s="72">
        <v>80</v>
      </c>
      <c r="I120" s="44">
        <v>84175000</v>
      </c>
      <c r="J120" s="72">
        <v>85</v>
      </c>
      <c r="K120" s="44">
        <v>196427000</v>
      </c>
      <c r="L120" s="72">
        <v>0</v>
      </c>
      <c r="M120" s="44">
        <v>0</v>
      </c>
      <c r="N120" s="72">
        <v>0</v>
      </c>
      <c r="O120" s="44">
        <v>0</v>
      </c>
      <c r="P120" s="72">
        <v>0</v>
      </c>
      <c r="Q120" s="44">
        <v>88900000</v>
      </c>
      <c r="R120" s="72"/>
      <c r="S120" s="44">
        <v>1700000</v>
      </c>
      <c r="T120" s="78">
        <v>5</v>
      </c>
      <c r="U120" s="48">
        <f>Z120/J120*100</f>
        <v>100</v>
      </c>
      <c r="V120" s="46" t="s">
        <v>41</v>
      </c>
      <c r="W120" s="47">
        <f t="shared" si="30"/>
        <v>90600000</v>
      </c>
      <c r="X120" s="48">
        <f t="shared" si="31"/>
        <v>46.124005355679209</v>
      </c>
      <c r="Y120" s="46" t="s">
        <v>41</v>
      </c>
      <c r="Z120" s="178">
        <f>SUM(H120,T120)</f>
        <v>85</v>
      </c>
      <c r="AA120" s="47">
        <f t="shared" si="32"/>
        <v>174775000</v>
      </c>
      <c r="AB120" s="48"/>
      <c r="AC120" s="46" t="s">
        <v>41</v>
      </c>
      <c r="AD120" s="48"/>
      <c r="AE120" s="16"/>
      <c r="AH120" s="156">
        <f>90600000</f>
        <v>90600000</v>
      </c>
      <c r="AI120" s="157">
        <f>AH120-Q120</f>
        <v>1700000</v>
      </c>
    </row>
    <row r="121" spans="1:35" ht="141.75" x14ac:dyDescent="0.2">
      <c r="A121" s="39"/>
      <c r="B121" s="22"/>
      <c r="C121" s="36" t="s">
        <v>177</v>
      </c>
      <c r="D121" s="23" t="s">
        <v>237</v>
      </c>
      <c r="E121" s="27">
        <v>50</v>
      </c>
      <c r="F121" s="25" t="s">
        <v>41</v>
      </c>
      <c r="G121" s="70">
        <f>G122</f>
        <v>97625000</v>
      </c>
      <c r="H121" s="73">
        <v>50</v>
      </c>
      <c r="I121" s="70">
        <f>I122</f>
        <v>2250000</v>
      </c>
      <c r="J121" s="27">
        <v>50</v>
      </c>
      <c r="K121" s="171">
        <f>K122</f>
        <v>47430000</v>
      </c>
      <c r="L121" s="27">
        <v>50</v>
      </c>
      <c r="M121" s="70">
        <f>M122</f>
        <v>0</v>
      </c>
      <c r="N121" s="27">
        <v>50</v>
      </c>
      <c r="O121" s="70">
        <f>O122</f>
        <v>2650000</v>
      </c>
      <c r="P121" s="27">
        <v>50</v>
      </c>
      <c r="Q121" s="70">
        <f>Q122</f>
        <v>4592500</v>
      </c>
      <c r="R121" s="27"/>
      <c r="S121" s="70">
        <f>S122</f>
        <v>0</v>
      </c>
      <c r="T121" s="28">
        <f>AVERAGE(L121,N121,P121,R121)</f>
        <v>50</v>
      </c>
      <c r="U121" s="182">
        <f>T121/J121*100</f>
        <v>100</v>
      </c>
      <c r="V121" s="29" t="s">
        <v>41</v>
      </c>
      <c r="W121" s="168">
        <f t="shared" si="30"/>
        <v>7242500</v>
      </c>
      <c r="X121" s="185">
        <f>W121/K121*100</f>
        <v>15.269871389415982</v>
      </c>
      <c r="Y121" s="29" t="s">
        <v>41</v>
      </c>
      <c r="Z121" s="32">
        <f>SUM(H121,T121)</f>
        <v>100</v>
      </c>
      <c r="AA121" s="38">
        <f t="shared" si="32"/>
        <v>9492500</v>
      </c>
      <c r="AB121" s="32"/>
      <c r="AC121" s="29" t="s">
        <v>41</v>
      </c>
      <c r="AD121" s="32"/>
      <c r="AE121" s="16"/>
      <c r="AH121" s="34"/>
    </row>
    <row r="122" spans="1:35" ht="196.5" customHeight="1" x14ac:dyDescent="0.2">
      <c r="A122" s="39"/>
      <c r="B122" s="22"/>
      <c r="C122" s="36" t="s">
        <v>178</v>
      </c>
      <c r="D122" s="23" t="s">
        <v>273</v>
      </c>
      <c r="E122" s="27">
        <v>100</v>
      </c>
      <c r="F122" s="25" t="s">
        <v>41</v>
      </c>
      <c r="G122" s="37">
        <f>SUM(G123:G124)</f>
        <v>97625000</v>
      </c>
      <c r="H122" s="103">
        <v>100</v>
      </c>
      <c r="I122" s="37">
        <f>SUM(I123:I124)</f>
        <v>2250000</v>
      </c>
      <c r="J122" s="27">
        <v>100</v>
      </c>
      <c r="K122" s="37">
        <f>SUM(K123:K124)</f>
        <v>47430000</v>
      </c>
      <c r="L122" s="27">
        <v>0</v>
      </c>
      <c r="M122" s="37">
        <f>SUM(M123:M124)</f>
        <v>0</v>
      </c>
      <c r="N122" s="27">
        <v>50</v>
      </c>
      <c r="O122" s="37">
        <f>SUM(O123:O124)</f>
        <v>2650000</v>
      </c>
      <c r="P122" s="27">
        <v>50</v>
      </c>
      <c r="Q122" s="37">
        <f>SUM(Q123:Q124)</f>
        <v>4592500</v>
      </c>
      <c r="R122" s="27"/>
      <c r="S122" s="37">
        <f>S123+S124</f>
        <v>0</v>
      </c>
      <c r="T122" s="28">
        <f>SUM(L122,N122,P122,R122)</f>
        <v>100</v>
      </c>
      <c r="U122" s="28">
        <f t="shared" ref="U122:U124" si="36">T122/J122*100</f>
        <v>100</v>
      </c>
      <c r="V122" s="29" t="s">
        <v>41</v>
      </c>
      <c r="W122" s="67">
        <f t="shared" si="30"/>
        <v>7242500</v>
      </c>
      <c r="X122" s="68">
        <f t="shared" si="31"/>
        <v>15.269871389415982</v>
      </c>
      <c r="Y122" s="39" t="s">
        <v>41</v>
      </c>
      <c r="Z122" s="69">
        <f>AVERAGE(T122,J122)</f>
        <v>100</v>
      </c>
      <c r="AA122" s="67">
        <f t="shared" si="32"/>
        <v>9492500</v>
      </c>
      <c r="AB122" s="69"/>
      <c r="AC122" s="66" t="s">
        <v>41</v>
      </c>
      <c r="AD122" s="68"/>
      <c r="AE122" s="16"/>
      <c r="AH122" s="34"/>
    </row>
    <row r="123" spans="1:35" ht="135" x14ac:dyDescent="0.2">
      <c r="A123" s="39"/>
      <c r="B123" s="22"/>
      <c r="C123" s="40" t="s">
        <v>179</v>
      </c>
      <c r="D123" s="41" t="s">
        <v>180</v>
      </c>
      <c r="E123" s="72">
        <f>J123*3</f>
        <v>3</v>
      </c>
      <c r="F123" s="77" t="s">
        <v>46</v>
      </c>
      <c r="G123" s="44">
        <v>65350000</v>
      </c>
      <c r="H123" s="72">
        <v>1</v>
      </c>
      <c r="I123" s="44">
        <v>150000</v>
      </c>
      <c r="J123" s="72">
        <v>1</v>
      </c>
      <c r="K123" s="44">
        <v>32427500</v>
      </c>
      <c r="L123" s="72">
        <v>0</v>
      </c>
      <c r="M123" s="44">
        <v>0</v>
      </c>
      <c r="N123" s="72">
        <v>0</v>
      </c>
      <c r="O123" s="49">
        <v>0</v>
      </c>
      <c r="P123" s="72">
        <v>0</v>
      </c>
      <c r="Q123" s="49">
        <v>1792500</v>
      </c>
      <c r="R123" s="42">
        <v>1</v>
      </c>
      <c r="S123" s="49">
        <v>0</v>
      </c>
      <c r="T123" s="45">
        <f>AVERAGE(L123,N123,P123,R123)</f>
        <v>0.25</v>
      </c>
      <c r="U123" s="45">
        <f t="shared" si="36"/>
        <v>25</v>
      </c>
      <c r="V123" s="46" t="s">
        <v>41</v>
      </c>
      <c r="W123" s="47">
        <f t="shared" si="30"/>
        <v>1792500</v>
      </c>
      <c r="X123" s="82">
        <f t="shared" si="31"/>
        <v>5.527715673425333</v>
      </c>
      <c r="Y123" s="91" t="s">
        <v>41</v>
      </c>
      <c r="Z123" s="45">
        <f>SUM(H123,T123)</f>
        <v>1.25</v>
      </c>
      <c r="AA123" s="47">
        <f t="shared" si="32"/>
        <v>1942500</v>
      </c>
      <c r="AB123" s="48"/>
      <c r="AC123" s="46" t="s">
        <v>41</v>
      </c>
      <c r="AD123" s="61"/>
      <c r="AE123" s="16"/>
      <c r="AH123" s="34"/>
    </row>
    <row r="124" spans="1:35" ht="270" x14ac:dyDescent="0.2">
      <c r="A124" s="39"/>
      <c r="B124" s="22"/>
      <c r="C124" s="40" t="s">
        <v>181</v>
      </c>
      <c r="D124" s="41" t="s">
        <v>182</v>
      </c>
      <c r="E124" s="72">
        <v>1</v>
      </c>
      <c r="F124" s="77" t="s">
        <v>46</v>
      </c>
      <c r="G124" s="44">
        <v>32275000</v>
      </c>
      <c r="H124" s="72">
        <v>1</v>
      </c>
      <c r="I124" s="44">
        <v>2100000</v>
      </c>
      <c r="J124" s="72">
        <v>1</v>
      </c>
      <c r="K124" s="44">
        <v>15002500</v>
      </c>
      <c r="L124" s="72">
        <v>0</v>
      </c>
      <c r="M124" s="44">
        <v>0</v>
      </c>
      <c r="N124" s="42">
        <v>0</v>
      </c>
      <c r="O124" s="49">
        <v>2650000</v>
      </c>
      <c r="P124" s="42">
        <v>0</v>
      </c>
      <c r="Q124" s="49">
        <v>2800000</v>
      </c>
      <c r="R124" s="42">
        <v>1</v>
      </c>
      <c r="S124" s="49">
        <v>0</v>
      </c>
      <c r="T124" s="45">
        <f>SUM(L124,N124,P124,R124)</f>
        <v>1</v>
      </c>
      <c r="U124" s="45">
        <f t="shared" si="36"/>
        <v>100</v>
      </c>
      <c r="V124" s="46" t="s">
        <v>41</v>
      </c>
      <c r="W124" s="60">
        <f t="shared" si="30"/>
        <v>5450000</v>
      </c>
      <c r="X124" s="93">
        <f t="shared" si="31"/>
        <v>36.327278786868852</v>
      </c>
      <c r="Y124" s="94" t="s">
        <v>41</v>
      </c>
      <c r="Z124" s="45">
        <f t="shared" si="34"/>
        <v>2</v>
      </c>
      <c r="AA124" s="60">
        <f t="shared" si="32"/>
        <v>7550000</v>
      </c>
      <c r="AB124" s="48"/>
      <c r="AC124" s="46" t="s">
        <v>41</v>
      </c>
      <c r="AD124" s="61"/>
      <c r="AE124" s="16"/>
      <c r="AH124" s="34"/>
    </row>
    <row r="125" spans="1:35" ht="173.25" x14ac:dyDescent="0.2">
      <c r="A125" s="39"/>
      <c r="B125" s="22"/>
      <c r="C125" s="35" t="s">
        <v>183</v>
      </c>
      <c r="D125" s="23" t="s">
        <v>238</v>
      </c>
      <c r="E125" s="73">
        <v>70</v>
      </c>
      <c r="F125" s="25" t="s">
        <v>41</v>
      </c>
      <c r="G125" s="26">
        <f>G126</f>
        <v>34338507680</v>
      </c>
      <c r="H125" s="147">
        <v>64.95</v>
      </c>
      <c r="I125" s="104">
        <f>I126</f>
        <v>8022211410</v>
      </c>
      <c r="J125" s="147">
        <v>68</v>
      </c>
      <c r="K125" s="172">
        <f>K126</f>
        <v>10000266600</v>
      </c>
      <c r="L125" s="147">
        <v>0.05</v>
      </c>
      <c r="M125" s="26">
        <f>M126</f>
        <v>1213440750</v>
      </c>
      <c r="N125" s="147">
        <v>1</v>
      </c>
      <c r="O125" s="146">
        <f>O126</f>
        <v>2237078202</v>
      </c>
      <c r="P125" s="147">
        <v>1</v>
      </c>
      <c r="Q125" s="104">
        <f>Q126</f>
        <v>1928697141</v>
      </c>
      <c r="R125" s="73"/>
      <c r="S125" s="26">
        <f>S126</f>
        <v>3499533979</v>
      </c>
      <c r="T125" s="105">
        <f>SUM(L125,N125,P125,R125)</f>
        <v>2.0499999999999998</v>
      </c>
      <c r="U125" s="179">
        <f>Z125/J125*100</f>
        <v>98.529411764705884</v>
      </c>
      <c r="V125" s="29" t="s">
        <v>41</v>
      </c>
      <c r="W125" s="165">
        <f t="shared" si="30"/>
        <v>8878750072</v>
      </c>
      <c r="X125" s="174">
        <f t="shared" ref="X125:X129" si="37">W125/K125*100</f>
        <v>88.785133708335337</v>
      </c>
      <c r="Y125" s="21" t="s">
        <v>41</v>
      </c>
      <c r="Z125" s="32">
        <f>SUM(H125,T125)</f>
        <v>67</v>
      </c>
      <c r="AA125" s="30">
        <f t="shared" si="32"/>
        <v>16900961482</v>
      </c>
      <c r="AB125" s="32"/>
      <c r="AC125" s="29" t="s">
        <v>41</v>
      </c>
      <c r="AD125" s="31"/>
      <c r="AE125" s="16"/>
      <c r="AH125" s="34"/>
    </row>
    <row r="126" spans="1:35" ht="170.25" customHeight="1" x14ac:dyDescent="0.2">
      <c r="A126" s="39"/>
      <c r="B126" s="22"/>
      <c r="C126" s="35" t="s">
        <v>184</v>
      </c>
      <c r="D126" s="23" t="s">
        <v>274</v>
      </c>
      <c r="E126" s="106">
        <v>1</v>
      </c>
      <c r="F126" s="87" t="s">
        <v>275</v>
      </c>
      <c r="G126" s="26">
        <f>SUM(G127:G130)</f>
        <v>34338507680</v>
      </c>
      <c r="H126" s="107">
        <v>1</v>
      </c>
      <c r="I126" s="104">
        <f>SUM(I127:I130)</f>
        <v>8022211410</v>
      </c>
      <c r="J126" s="107">
        <v>1</v>
      </c>
      <c r="K126" s="104">
        <f>SUM(K127:K130)</f>
        <v>10000266600</v>
      </c>
      <c r="L126" s="107">
        <v>1</v>
      </c>
      <c r="M126" s="26">
        <f>SUM(M127:M130)</f>
        <v>1213440750</v>
      </c>
      <c r="N126" s="106">
        <v>1</v>
      </c>
      <c r="O126" s="26">
        <f>O127+O128+O129+O130</f>
        <v>2237078202</v>
      </c>
      <c r="P126" s="106">
        <v>1</v>
      </c>
      <c r="Q126" s="104">
        <f>SUM(Q127:Q130)</f>
        <v>1928697141</v>
      </c>
      <c r="R126" s="106"/>
      <c r="S126" s="26">
        <f>S127+S129+S128+S130</f>
        <v>3499533979</v>
      </c>
      <c r="T126" s="105">
        <f>AVERAGE(L126,N126,P126,R126)</f>
        <v>1</v>
      </c>
      <c r="U126" s="32">
        <f t="shared" ref="U126:U127" si="38">T126/J126*100</f>
        <v>100</v>
      </c>
      <c r="V126" s="29" t="s">
        <v>41</v>
      </c>
      <c r="W126" s="30">
        <f>SUM(M126,O126,Q126,S126)</f>
        <v>8878750072</v>
      </c>
      <c r="X126" s="31">
        <f t="shared" si="37"/>
        <v>88.785133708335337</v>
      </c>
      <c r="Y126" s="21" t="s">
        <v>41</v>
      </c>
      <c r="Z126" s="105">
        <f>AVERAGE(T126,J126)</f>
        <v>1</v>
      </c>
      <c r="AA126" s="30">
        <f>SUM(I126,W126)</f>
        <v>16900961482</v>
      </c>
      <c r="AB126" s="32"/>
      <c r="AC126" s="29" t="s">
        <v>41</v>
      </c>
      <c r="AD126" s="31"/>
      <c r="AE126" s="16"/>
      <c r="AH126" s="34"/>
    </row>
    <row r="127" spans="1:35" ht="165" x14ac:dyDescent="0.2">
      <c r="A127" s="39"/>
      <c r="B127" s="22"/>
      <c r="C127" s="41" t="s">
        <v>185</v>
      </c>
      <c r="D127" s="41" t="s">
        <v>186</v>
      </c>
      <c r="E127" s="72">
        <v>1</v>
      </c>
      <c r="F127" s="77" t="s">
        <v>59</v>
      </c>
      <c r="G127" s="80">
        <v>4777927500</v>
      </c>
      <c r="H127" s="108">
        <v>1</v>
      </c>
      <c r="I127" s="109">
        <v>677779120</v>
      </c>
      <c r="J127" s="108">
        <v>1</v>
      </c>
      <c r="K127" s="109">
        <v>1307714600</v>
      </c>
      <c r="L127" s="108">
        <v>0</v>
      </c>
      <c r="M127" s="44">
        <v>180001280</v>
      </c>
      <c r="N127" s="72">
        <v>1</v>
      </c>
      <c r="O127" s="80">
        <v>202002872</v>
      </c>
      <c r="P127" s="108">
        <v>0</v>
      </c>
      <c r="Q127" s="80">
        <v>212910111</v>
      </c>
      <c r="R127" s="102">
        <v>1</v>
      </c>
      <c r="S127" s="80">
        <v>385431049</v>
      </c>
      <c r="T127" s="110">
        <f>SUM(L127,N127,P127)</f>
        <v>1</v>
      </c>
      <c r="U127" s="48">
        <f t="shared" si="38"/>
        <v>100</v>
      </c>
      <c r="V127" s="46" t="s">
        <v>41</v>
      </c>
      <c r="W127" s="81">
        <f>SUM(M127,O127,Q127,S127)</f>
        <v>980345312</v>
      </c>
      <c r="X127" s="82">
        <f t="shared" si="37"/>
        <v>74.966304727346468</v>
      </c>
      <c r="Y127" s="91" t="s">
        <v>41</v>
      </c>
      <c r="Z127" s="48">
        <f t="shared" si="34"/>
        <v>2</v>
      </c>
      <c r="AA127" s="92">
        <f>SUM(I127,W127)</f>
        <v>1658124432</v>
      </c>
      <c r="AB127" s="61"/>
      <c r="AC127" s="62" t="s">
        <v>41</v>
      </c>
      <c r="AD127" s="82"/>
      <c r="AE127" s="16"/>
      <c r="AH127" s="34"/>
    </row>
    <row r="128" spans="1:35" ht="165" x14ac:dyDescent="0.2">
      <c r="A128" s="39"/>
      <c r="B128" s="22"/>
      <c r="C128" s="40" t="s">
        <v>187</v>
      </c>
      <c r="D128" s="41" t="s">
        <v>188</v>
      </c>
      <c r="E128" s="102">
        <v>16487.05</v>
      </c>
      <c r="F128" s="77" t="s">
        <v>189</v>
      </c>
      <c r="G128" s="44">
        <v>21129341700</v>
      </c>
      <c r="H128" s="111">
        <v>16636.25</v>
      </c>
      <c r="I128" s="112">
        <v>5976778390</v>
      </c>
      <c r="J128" s="111">
        <v>16519.900000000001</v>
      </c>
      <c r="K128" s="112">
        <v>6317185500</v>
      </c>
      <c r="L128" s="111">
        <v>4150.5</v>
      </c>
      <c r="M128" s="44">
        <v>994341130</v>
      </c>
      <c r="N128" s="102">
        <v>4180</v>
      </c>
      <c r="O128" s="49">
        <v>1296274030</v>
      </c>
      <c r="P128" s="102">
        <v>4125</v>
      </c>
      <c r="Q128" s="49">
        <v>1414430730</v>
      </c>
      <c r="R128" s="102">
        <v>4070</v>
      </c>
      <c r="S128" s="49">
        <v>2048060880</v>
      </c>
      <c r="T128" s="110">
        <f>SUM(L128,N128,P128)</f>
        <v>12455.5</v>
      </c>
      <c r="U128" s="48">
        <f>T128/J128*100</f>
        <v>75.396945502091413</v>
      </c>
      <c r="V128" s="46" t="s">
        <v>41</v>
      </c>
      <c r="W128" s="60">
        <f>SUM(M128,O128,Q128,S128)</f>
        <v>5753106770</v>
      </c>
      <c r="X128" s="93">
        <f t="shared" si="37"/>
        <v>91.070727145815184</v>
      </c>
      <c r="Y128" s="94" t="s">
        <v>41</v>
      </c>
      <c r="Z128" s="61">
        <f t="shared" si="34"/>
        <v>29091.75</v>
      </c>
      <c r="AA128" s="60">
        <f>SUM(I128,W128)</f>
        <v>11729885160</v>
      </c>
      <c r="AB128" s="48"/>
      <c r="AC128" s="46" t="s">
        <v>41</v>
      </c>
      <c r="AD128" s="61"/>
      <c r="AE128" s="16"/>
      <c r="AH128" s="34"/>
    </row>
    <row r="129" spans="1:34" ht="195" x14ac:dyDescent="0.2">
      <c r="A129" s="39"/>
      <c r="B129" s="22"/>
      <c r="C129" s="79" t="s">
        <v>190</v>
      </c>
      <c r="D129" s="41" t="s">
        <v>191</v>
      </c>
      <c r="E129" s="42">
        <v>1</v>
      </c>
      <c r="F129" s="77" t="s">
        <v>192</v>
      </c>
      <c r="G129" s="80">
        <v>729575000</v>
      </c>
      <c r="H129" s="108">
        <v>1</v>
      </c>
      <c r="I129" s="109">
        <v>142156500</v>
      </c>
      <c r="J129" s="108">
        <v>1</v>
      </c>
      <c r="K129" s="109">
        <v>193700000</v>
      </c>
      <c r="L129" s="113">
        <v>0</v>
      </c>
      <c r="M129" s="80">
        <v>0</v>
      </c>
      <c r="N129" s="56">
        <v>0</v>
      </c>
      <c r="O129" s="80">
        <v>57350000</v>
      </c>
      <c r="P129" s="56">
        <v>1</v>
      </c>
      <c r="Q129" s="80">
        <v>57350000</v>
      </c>
      <c r="R129" s="56">
        <v>0</v>
      </c>
      <c r="S129" s="80">
        <v>69825000</v>
      </c>
      <c r="T129" s="45">
        <f>SUM(L129,N129,P129)</f>
        <v>1</v>
      </c>
      <c r="U129" s="45">
        <f>T129/J129*100</f>
        <v>100</v>
      </c>
      <c r="V129" s="46" t="s">
        <v>41</v>
      </c>
      <c r="W129" s="81">
        <f>SUM(M129,O129,Q129,S129)</f>
        <v>184525000</v>
      </c>
      <c r="X129" s="82">
        <f t="shared" si="37"/>
        <v>95.263293753226634</v>
      </c>
      <c r="Y129" s="91" t="s">
        <v>41</v>
      </c>
      <c r="Z129" s="45">
        <f t="shared" si="34"/>
        <v>2</v>
      </c>
      <c r="AA129" s="81">
        <f>SUM(I129,W129)</f>
        <v>326681500</v>
      </c>
      <c r="AB129" s="48"/>
      <c r="AC129" s="46" t="s">
        <v>41</v>
      </c>
      <c r="AD129" s="82"/>
      <c r="AE129" s="16"/>
      <c r="AH129" s="34"/>
    </row>
    <row r="130" spans="1:34" ht="195" x14ac:dyDescent="0.2">
      <c r="A130" s="39"/>
      <c r="B130" s="22"/>
      <c r="C130" s="79" t="s">
        <v>193</v>
      </c>
      <c r="D130" s="41" t="s">
        <v>283</v>
      </c>
      <c r="E130" s="78">
        <v>19</v>
      </c>
      <c r="F130" s="77" t="s">
        <v>87</v>
      </c>
      <c r="G130" s="80">
        <v>7701663480</v>
      </c>
      <c r="H130" s="108">
        <v>18</v>
      </c>
      <c r="I130" s="109">
        <v>1225497400</v>
      </c>
      <c r="J130" s="114">
        <v>19</v>
      </c>
      <c r="K130" s="109">
        <v>2181666500</v>
      </c>
      <c r="L130" s="115">
        <v>0</v>
      </c>
      <c r="M130" s="44">
        <v>39098340</v>
      </c>
      <c r="N130" s="42">
        <v>0</v>
      </c>
      <c r="O130" s="80">
        <v>681451300</v>
      </c>
      <c r="P130" s="42">
        <v>0</v>
      </c>
      <c r="Q130" s="80">
        <v>244006300</v>
      </c>
      <c r="R130" s="42">
        <v>19</v>
      </c>
      <c r="S130" s="80">
        <v>996217050</v>
      </c>
      <c r="T130" s="45">
        <f>SUM(L130,N130,P130,R130)</f>
        <v>19</v>
      </c>
      <c r="U130" s="45">
        <f>T130/J130*100</f>
        <v>100</v>
      </c>
      <c r="V130" s="46" t="s">
        <v>41</v>
      </c>
      <c r="W130" s="81">
        <f>SUM(M130,O130,Q130,S130)</f>
        <v>1960772990</v>
      </c>
      <c r="X130" s="82">
        <f>W130/K130*100</f>
        <v>89.875010227273506</v>
      </c>
      <c r="Y130" s="91" t="s">
        <v>41</v>
      </c>
      <c r="Z130" s="116">
        <f t="shared" si="34"/>
        <v>37</v>
      </c>
      <c r="AA130" s="81">
        <f>SUM(I130,W130)</f>
        <v>3186270390</v>
      </c>
      <c r="AB130" s="48"/>
      <c r="AC130" s="46" t="s">
        <v>41</v>
      </c>
      <c r="AD130" s="82"/>
      <c r="AE130" s="16"/>
      <c r="AH130" s="34"/>
    </row>
    <row r="131" spans="1:34" ht="15" x14ac:dyDescent="0.2">
      <c r="A131" s="220" t="s">
        <v>194</v>
      </c>
      <c r="B131" s="221"/>
      <c r="C131" s="221"/>
      <c r="D131" s="221"/>
      <c r="E131" s="221"/>
      <c r="F131" s="221"/>
      <c r="G131" s="221"/>
      <c r="H131" s="221"/>
      <c r="I131" s="221"/>
      <c r="J131" s="221"/>
      <c r="K131" s="221"/>
      <c r="L131" s="221"/>
      <c r="M131" s="221"/>
      <c r="N131" s="221"/>
      <c r="O131" s="221"/>
      <c r="P131" s="221"/>
      <c r="Q131" s="221"/>
      <c r="R131" s="221"/>
      <c r="S131" s="221"/>
      <c r="T131" s="221"/>
      <c r="U131" s="117">
        <f>AVERAGE(U16:U130)</f>
        <v>90.844595609378928</v>
      </c>
      <c r="V131" s="118"/>
      <c r="W131" s="119"/>
      <c r="X131" s="117">
        <f>AVERAGE(X16,X54,X61,X68,X73,X76,X79,X83,X90,X102,X110,X114,X118,X121,X125,X86)</f>
        <v>59.835736905497185</v>
      </c>
      <c r="Y131" s="118"/>
      <c r="Z131" s="120"/>
      <c r="AA131" s="120"/>
      <c r="AB131" s="120"/>
      <c r="AC131" s="118"/>
      <c r="AD131" s="121"/>
      <c r="AE131" s="16"/>
    </row>
    <row r="132" spans="1:34" ht="15" x14ac:dyDescent="0.2">
      <c r="A132" s="220" t="s">
        <v>195</v>
      </c>
      <c r="B132" s="221"/>
      <c r="C132" s="221"/>
      <c r="D132" s="221"/>
      <c r="E132" s="221"/>
      <c r="F132" s="221"/>
      <c r="G132" s="221"/>
      <c r="H132" s="221"/>
      <c r="I132" s="221"/>
      <c r="J132" s="221"/>
      <c r="K132" s="221"/>
      <c r="L132" s="221"/>
      <c r="M132" s="221"/>
      <c r="N132" s="221"/>
      <c r="O132" s="221"/>
      <c r="P132" s="221"/>
      <c r="Q132" s="221"/>
      <c r="R132" s="221"/>
      <c r="S132" s="221"/>
      <c r="T132" s="221"/>
      <c r="U132" s="122" t="str">
        <f>IF(U131&gt;=91,"Sangat Tinggi",IF(U131&gt;=76,"Tinggi",IF(U131&gt;=66,"Sedang",IF(U131&gt;=51,"Rendah",IF(U131&lt;=50,"Sangat Rendah")))))</f>
        <v>Tinggi</v>
      </c>
      <c r="V132" s="118"/>
      <c r="W132" s="123"/>
      <c r="X132" s="122" t="str">
        <f>IF(X131&gt;=91,"Sangat Tinggi",IF(X131&gt;=76,"Tinggi",IF(X131&gt;=66,"Sedang",IF(X131&gt;=51,"Rendah",IF(X131&lt;=50,"Sangat Rendah")))))</f>
        <v>Rendah</v>
      </c>
      <c r="Y132" s="118"/>
      <c r="Z132" s="124"/>
      <c r="AA132" s="125"/>
      <c r="AB132" s="124"/>
      <c r="AC132" s="118"/>
      <c r="AD132" s="126"/>
      <c r="AE132" s="16"/>
    </row>
    <row r="133" spans="1:34" ht="15" x14ac:dyDescent="0.2">
      <c r="A133" s="217" t="s">
        <v>292</v>
      </c>
      <c r="B133" s="21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c r="AB133" s="217"/>
      <c r="AC133" s="217"/>
      <c r="AD133" s="217"/>
      <c r="AE133" s="16"/>
    </row>
    <row r="134" spans="1:34" ht="15" x14ac:dyDescent="0.2">
      <c r="A134" s="217" t="s">
        <v>293</v>
      </c>
      <c r="B134" s="217"/>
      <c r="C134" s="217"/>
      <c r="D134" s="217"/>
      <c r="E134" s="217"/>
      <c r="F134" s="217"/>
      <c r="G134" s="217"/>
      <c r="H134" s="217"/>
      <c r="I134" s="217"/>
      <c r="J134" s="217"/>
      <c r="K134" s="217"/>
      <c r="L134" s="217"/>
      <c r="M134" s="217"/>
      <c r="N134" s="217"/>
      <c r="O134" s="217"/>
      <c r="P134" s="217"/>
      <c r="Q134" s="217"/>
      <c r="R134" s="217"/>
      <c r="S134" s="217"/>
      <c r="T134" s="217"/>
      <c r="U134" s="217"/>
      <c r="V134" s="217"/>
      <c r="W134" s="217"/>
      <c r="X134" s="217"/>
      <c r="Y134" s="217"/>
      <c r="Z134" s="217"/>
      <c r="AA134" s="217"/>
      <c r="AB134" s="217"/>
      <c r="AC134" s="217"/>
      <c r="AD134" s="217"/>
      <c r="AE134" s="16"/>
    </row>
    <row r="135" spans="1:34" ht="15" x14ac:dyDescent="0.2">
      <c r="A135" s="218" t="s">
        <v>294</v>
      </c>
      <c r="B135" s="217"/>
      <c r="C135" s="217"/>
      <c r="D135" s="217"/>
      <c r="E135" s="217"/>
      <c r="F135" s="217"/>
      <c r="G135" s="217"/>
      <c r="H135" s="217"/>
      <c r="I135" s="217"/>
      <c r="J135" s="217"/>
      <c r="K135" s="217"/>
      <c r="L135" s="217"/>
      <c r="M135" s="217"/>
      <c r="N135" s="217"/>
      <c r="O135" s="217"/>
      <c r="P135" s="217"/>
      <c r="Q135" s="217"/>
      <c r="R135" s="217"/>
      <c r="S135" s="217"/>
      <c r="T135" s="217"/>
      <c r="U135" s="217"/>
      <c r="V135" s="217"/>
      <c r="W135" s="217"/>
      <c r="X135" s="217"/>
      <c r="Y135" s="217"/>
      <c r="Z135" s="217"/>
      <c r="AA135" s="217"/>
      <c r="AB135" s="217"/>
      <c r="AC135" s="217"/>
      <c r="AD135" s="217"/>
      <c r="AE135" s="16"/>
    </row>
    <row r="136" spans="1:34" ht="23.25" customHeight="1" x14ac:dyDescent="0.2">
      <c r="A136" s="217" t="s">
        <v>295</v>
      </c>
      <c r="B136" s="217"/>
      <c r="C136" s="217"/>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7"/>
      <c r="AC136" s="217"/>
      <c r="AD136" s="217"/>
      <c r="AE136" s="127"/>
    </row>
    <row r="137" spans="1:34" ht="23.25" customHeight="1" x14ac:dyDescent="0.2">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row>
    <row r="138" spans="1:34" ht="15" x14ac:dyDescent="0.2">
      <c r="A138" s="129"/>
      <c r="B138" s="129"/>
      <c r="C138" s="129"/>
      <c r="D138" s="129"/>
      <c r="E138" s="129"/>
      <c r="F138" s="129"/>
      <c r="G138" s="129"/>
      <c r="H138" s="129"/>
      <c r="I138" s="129"/>
      <c r="J138" s="129"/>
      <c r="K138" s="129"/>
      <c r="L138" s="129"/>
      <c r="M138" s="129"/>
      <c r="N138" s="129"/>
      <c r="O138" s="129"/>
      <c r="P138" s="129"/>
      <c r="Q138" s="129"/>
      <c r="R138" s="129"/>
      <c r="S138" s="129"/>
      <c r="T138" s="216" t="s">
        <v>196</v>
      </c>
      <c r="U138" s="216"/>
      <c r="V138" s="216"/>
      <c r="W138" s="216"/>
      <c r="X138" s="216"/>
      <c r="Y138" s="130"/>
      <c r="Z138" s="129"/>
      <c r="AA138" s="216"/>
      <c r="AB138" s="216"/>
      <c r="AC138" s="216"/>
      <c r="AD138" s="216"/>
      <c r="AE138" s="216"/>
    </row>
    <row r="139" spans="1:34" ht="15.75" x14ac:dyDescent="0.25">
      <c r="A139" s="131"/>
      <c r="B139" s="129"/>
      <c r="C139" s="129"/>
      <c r="D139" s="129"/>
      <c r="E139" s="129"/>
      <c r="F139" s="129"/>
      <c r="G139" s="129"/>
      <c r="H139" s="129"/>
      <c r="I139" s="129"/>
      <c r="J139" s="129"/>
      <c r="K139" s="129"/>
      <c r="L139" s="129"/>
      <c r="M139" s="129"/>
      <c r="N139" s="129"/>
      <c r="O139" s="129"/>
      <c r="P139" s="129"/>
      <c r="Q139" s="129"/>
      <c r="R139" s="129"/>
      <c r="S139" s="129"/>
      <c r="T139" s="216" t="s">
        <v>291</v>
      </c>
      <c r="U139" s="216"/>
      <c r="V139" s="216"/>
      <c r="W139" s="216"/>
      <c r="X139" s="216"/>
      <c r="Y139" s="130"/>
      <c r="Z139" s="129"/>
      <c r="AA139" s="216"/>
      <c r="AB139" s="216"/>
      <c r="AC139" s="216"/>
      <c r="AD139" s="216"/>
      <c r="AE139" s="216"/>
    </row>
    <row r="140" spans="1:34" ht="15" x14ac:dyDescent="0.2">
      <c r="T140" s="216" t="s">
        <v>197</v>
      </c>
      <c r="U140" s="216"/>
      <c r="V140" s="216"/>
      <c r="W140" s="216"/>
      <c r="X140" s="216"/>
      <c r="AA140" s="216"/>
      <c r="AB140" s="216"/>
      <c r="AC140" s="216"/>
      <c r="AD140" s="216"/>
      <c r="AE140" s="216"/>
    </row>
    <row r="141" spans="1:34" ht="15" x14ac:dyDescent="0.2">
      <c r="T141" s="216" t="s">
        <v>198</v>
      </c>
      <c r="U141" s="216"/>
      <c r="V141" s="216"/>
      <c r="W141" s="216"/>
      <c r="X141" s="216"/>
      <c r="AA141" s="216"/>
      <c r="AB141" s="216"/>
      <c r="AC141" s="216"/>
      <c r="AD141" s="216"/>
      <c r="AE141" s="216"/>
    </row>
    <row r="142" spans="1:34" ht="25.5" x14ac:dyDescent="0.2">
      <c r="A142" s="132" t="s">
        <v>199</v>
      </c>
      <c r="B142" s="132" t="s">
        <v>200</v>
      </c>
      <c r="C142" s="132" t="s">
        <v>201</v>
      </c>
      <c r="T142" s="129"/>
      <c r="U142" s="129"/>
      <c r="V142" s="130"/>
      <c r="W142" s="129"/>
      <c r="AA142" s="130"/>
      <c r="AB142" s="129"/>
      <c r="AC142" s="130"/>
      <c r="AD142" s="129"/>
    </row>
    <row r="143" spans="1:34" ht="25.5" x14ac:dyDescent="0.25">
      <c r="A143" s="133" t="s">
        <v>202</v>
      </c>
      <c r="B143" s="133" t="s">
        <v>203</v>
      </c>
      <c r="C143" s="133" t="s">
        <v>204</v>
      </c>
      <c r="T143" s="219" t="s">
        <v>205</v>
      </c>
      <c r="U143" s="219"/>
      <c r="V143" s="219"/>
      <c r="W143" s="219"/>
      <c r="X143" s="219"/>
      <c r="AA143" s="219"/>
      <c r="AB143" s="219"/>
      <c r="AC143" s="219"/>
      <c r="AD143" s="219"/>
      <c r="AE143" s="219"/>
    </row>
    <row r="144" spans="1:34" ht="25.5" x14ac:dyDescent="0.2">
      <c r="A144" s="133" t="s">
        <v>206</v>
      </c>
      <c r="B144" s="133" t="s">
        <v>207</v>
      </c>
      <c r="C144" s="133" t="s">
        <v>208</v>
      </c>
      <c r="T144" s="215" t="s">
        <v>209</v>
      </c>
      <c r="U144" s="215"/>
      <c r="V144" s="215"/>
      <c r="W144" s="215"/>
      <c r="X144" s="215"/>
      <c r="AA144" s="215"/>
      <c r="AB144" s="215"/>
      <c r="AC144" s="215"/>
      <c r="AD144" s="215"/>
      <c r="AE144" s="215"/>
    </row>
    <row r="145" spans="1:3" ht="25.5" x14ac:dyDescent="0.2">
      <c r="A145" s="133" t="s">
        <v>210</v>
      </c>
      <c r="B145" s="133" t="s">
        <v>211</v>
      </c>
      <c r="C145" s="133" t="s">
        <v>212</v>
      </c>
    </row>
    <row r="146" spans="1:3" ht="25.5" x14ac:dyDescent="0.2">
      <c r="A146" s="133" t="s">
        <v>213</v>
      </c>
      <c r="B146" s="133" t="s">
        <v>214</v>
      </c>
      <c r="C146" s="133" t="s">
        <v>215</v>
      </c>
    </row>
    <row r="147" spans="1:3" ht="25.5" x14ac:dyDescent="0.2">
      <c r="A147" s="133" t="s">
        <v>216</v>
      </c>
      <c r="B147" s="134" t="s">
        <v>217</v>
      </c>
      <c r="C147" s="133" t="s">
        <v>218</v>
      </c>
    </row>
  </sheetData>
  <mergeCells count="105">
    <mergeCell ref="C87:C88"/>
    <mergeCell ref="A6:AD6"/>
    <mergeCell ref="A1:AD1"/>
    <mergeCell ref="A2:AD2"/>
    <mergeCell ref="A3:AD3"/>
    <mergeCell ref="A4:AD4"/>
    <mergeCell ref="A5:AD5"/>
    <mergeCell ref="AB7:AD8"/>
    <mergeCell ref="AE7:AE8"/>
    <mergeCell ref="A7:A9"/>
    <mergeCell ref="B7:B9"/>
    <mergeCell ref="C7:C9"/>
    <mergeCell ref="D7:D9"/>
    <mergeCell ref="E7:G9"/>
    <mergeCell ref="H7:I9"/>
    <mergeCell ref="T9:Y9"/>
    <mergeCell ref="J7:K8"/>
    <mergeCell ref="L7:S8"/>
    <mergeCell ref="T7:Y8"/>
    <mergeCell ref="Z7:AA8"/>
    <mergeCell ref="A13:A15"/>
    <mergeCell ref="N10:O10"/>
    <mergeCell ref="P10:Q10"/>
    <mergeCell ref="R10:S10"/>
    <mergeCell ref="T10:Y10"/>
    <mergeCell ref="Z10:AA10"/>
    <mergeCell ref="AB10:AD10"/>
    <mergeCell ref="Z9:AA9"/>
    <mergeCell ref="AB9:AD9"/>
    <mergeCell ref="A10:A12"/>
    <mergeCell ref="B10:B12"/>
    <mergeCell ref="C10:C12"/>
    <mergeCell ref="D10:D12"/>
    <mergeCell ref="E10:G10"/>
    <mergeCell ref="H10:I10"/>
    <mergeCell ref="J10:K10"/>
    <mergeCell ref="L10:M10"/>
    <mergeCell ref="J9:K9"/>
    <mergeCell ref="L9:M9"/>
    <mergeCell ref="N9:O9"/>
    <mergeCell ref="P9:Q9"/>
    <mergeCell ref="R9:S9"/>
    <mergeCell ref="A132:T132"/>
    <mergeCell ref="A133:AD133"/>
    <mergeCell ref="R11:R12"/>
    <mergeCell ref="S11:S12"/>
    <mergeCell ref="U11:V11"/>
    <mergeCell ref="X11:Y11"/>
    <mergeCell ref="AB11:AC11"/>
    <mergeCell ref="U12:V12"/>
    <mergeCell ref="X12:Y12"/>
    <mergeCell ref="AB12:AC12"/>
    <mergeCell ref="Q11:Q12"/>
    <mergeCell ref="E11:F12"/>
    <mergeCell ref="G11:G12"/>
    <mergeCell ref="H11:H12"/>
    <mergeCell ref="I11:I12"/>
    <mergeCell ref="J11:J12"/>
    <mergeCell ref="K11:K12"/>
    <mergeCell ref="L11:L12"/>
    <mergeCell ref="M11:M12"/>
    <mergeCell ref="N11:N12"/>
    <mergeCell ref="O11:O12"/>
    <mergeCell ref="P11:P12"/>
    <mergeCell ref="C105:C108"/>
    <mergeCell ref="A131:T131"/>
    <mergeCell ref="T144:X144"/>
    <mergeCell ref="AA144:AE144"/>
    <mergeCell ref="T139:X139"/>
    <mergeCell ref="AA139:AE139"/>
    <mergeCell ref="T140:X140"/>
    <mergeCell ref="AA140:AE140"/>
    <mergeCell ref="T141:X141"/>
    <mergeCell ref="AA141:AE141"/>
    <mergeCell ref="A134:AD134"/>
    <mergeCell ref="A135:AD135"/>
    <mergeCell ref="A136:AD136"/>
    <mergeCell ref="T143:X143"/>
    <mergeCell ref="AA143:AE143"/>
    <mergeCell ref="T138:X138"/>
    <mergeCell ref="AA138:AE138"/>
    <mergeCell ref="B106:B108"/>
    <mergeCell ref="A106:A108"/>
    <mergeCell ref="L13:L15"/>
    <mergeCell ref="B16:B20"/>
    <mergeCell ref="C16:C20"/>
    <mergeCell ref="A16:A20"/>
    <mergeCell ref="C61:C62"/>
    <mergeCell ref="C68:C69"/>
    <mergeCell ref="I13:I15"/>
    <mergeCell ref="J13:J15"/>
    <mergeCell ref="K13:K15"/>
    <mergeCell ref="C102:C104"/>
    <mergeCell ref="C21:C22"/>
    <mergeCell ref="C25:C28"/>
    <mergeCell ref="B13:B15"/>
    <mergeCell ref="C13:C15"/>
    <mergeCell ref="D13:D15"/>
    <mergeCell ref="E13:F15"/>
    <mergeCell ref="G13:G15"/>
    <mergeCell ref="H13:H15"/>
    <mergeCell ref="C33:C37"/>
    <mergeCell ref="C44:C45"/>
    <mergeCell ref="C49:C50"/>
    <mergeCell ref="C94:C96"/>
  </mergeCells>
  <printOptions horizontalCentered="1"/>
  <pageMargins left="0.23622047244094491" right="0.23622047244094491" top="3.937007874015748E-2" bottom="3.937007874015748E-2" header="0" footer="0"/>
  <pageSetup paperSize="5" scale="38" fitToHeight="0" orientation="landscape" horizontalDpi="4294967293" r:id="rId1"/>
  <rowBreaks count="2" manualBreakCount="2">
    <brk id="93" max="30" man="1"/>
    <brk id="101" max="3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 81</vt:lpstr>
      <vt:lpstr>'E. 81'!Print_Area</vt:lpstr>
      <vt:lpstr>'E. 81'!Print_Titles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PE</cp:lastModifiedBy>
  <dcterms:created xsi:type="dcterms:W3CDTF">2022-07-08T03:28:59Z</dcterms:created>
  <dcterms:modified xsi:type="dcterms:W3CDTF">2023-04-11T23:28:12Z</dcterms:modified>
</cp:coreProperties>
</file>