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305" yWindow="-15" windowWidth="10200" windowHeight="4080"/>
  </bookViews>
  <sheets>
    <sheet name="Dinas Sosial" sheetId="1" r:id="rId1"/>
  </sheets>
  <definedNames>
    <definedName name="_xlnm.Print_Area" localSheetId="0">'Dinas Sosial'!$A$1:$AE$111</definedName>
    <definedName name="_xlnm.Print_Titles" localSheetId="0">'Dinas Sosial'!$7:$12</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59" i="1" l="1"/>
  <c r="P59" i="1"/>
  <c r="N59" i="1"/>
  <c r="L59" i="1"/>
  <c r="J59" i="1"/>
  <c r="R48" i="1"/>
  <c r="R52" i="1"/>
  <c r="R87" i="1"/>
  <c r="P87" i="1"/>
  <c r="N87" i="1"/>
  <c r="R79" i="1"/>
  <c r="P79" i="1"/>
  <c r="N79" i="1"/>
  <c r="L79" i="1"/>
  <c r="R80" i="1"/>
  <c r="P80" i="1"/>
  <c r="N80" i="1"/>
  <c r="L80" i="1"/>
  <c r="R76" i="1"/>
  <c r="P76" i="1"/>
  <c r="N76" i="1"/>
  <c r="R78" i="1"/>
  <c r="J76" i="1"/>
  <c r="R61" i="1" l="1"/>
  <c r="R60" i="1"/>
  <c r="L49" i="1"/>
  <c r="L50" i="1"/>
  <c r="L41" i="1"/>
  <c r="R41" i="1"/>
  <c r="S81" i="1"/>
  <c r="S79" i="1"/>
  <c r="Q81" i="1"/>
  <c r="Q79" i="1" s="1"/>
  <c r="O81" i="1"/>
  <c r="O79" i="1" s="1"/>
  <c r="M81" i="1"/>
  <c r="M79" i="1"/>
  <c r="K79" i="1"/>
  <c r="K81" i="1"/>
  <c r="G16" i="1"/>
  <c r="K71" i="1"/>
  <c r="K65" i="1"/>
  <c r="K59" i="1"/>
  <c r="K52" i="1"/>
  <c r="K48" i="1"/>
  <c r="K42" i="1"/>
  <c r="K41" i="1"/>
  <c r="K37" i="1"/>
  <c r="K33" i="1"/>
  <c r="K26" i="1"/>
  <c r="K21" i="1"/>
  <c r="K18" i="1"/>
  <c r="K16" i="1"/>
  <c r="I65" i="1"/>
  <c r="I59" i="1"/>
  <c r="I52" i="1"/>
  <c r="I48" i="1" s="1"/>
  <c r="I42" i="1"/>
  <c r="I41" i="1"/>
  <c r="I16" i="1"/>
  <c r="S76" i="1"/>
  <c r="S18" i="1" l="1"/>
  <c r="S16" i="1" s="1"/>
  <c r="S88" i="1" l="1"/>
  <c r="S87" i="1" s="1"/>
  <c r="S84" i="1"/>
  <c r="S71" i="1"/>
  <c r="S65" i="1" s="1"/>
  <c r="S59" i="1"/>
  <c r="S52" i="1"/>
  <c r="S42" i="1"/>
  <c r="S41" i="1" s="1"/>
  <c r="S37" i="1"/>
  <c r="S33" i="1"/>
  <c r="S26" i="1"/>
  <c r="S21" i="1"/>
  <c r="S48" i="1" l="1"/>
  <c r="J48" i="1" l="1"/>
  <c r="T83" i="1" l="1"/>
  <c r="T85" i="1"/>
  <c r="Q88" i="1" l="1"/>
  <c r="Q87" i="1" s="1"/>
  <c r="Q84" i="1"/>
  <c r="Q71" i="1"/>
  <c r="Q65" i="1" s="1"/>
  <c r="Q59" i="1"/>
  <c r="Q52" i="1"/>
  <c r="Q42" i="1"/>
  <c r="Q41" i="1" s="1"/>
  <c r="Q37" i="1"/>
  <c r="Q33" i="1"/>
  <c r="Q26" i="1"/>
  <c r="Q21" i="1"/>
  <c r="Q18" i="1"/>
  <c r="P18" i="1"/>
  <c r="P17" i="1"/>
  <c r="P16" i="1"/>
  <c r="Q16" i="1" l="1"/>
  <c r="Q48" i="1"/>
  <c r="N74" i="1"/>
  <c r="N52" i="1"/>
  <c r="N60" i="1" l="1"/>
  <c r="N18" i="1" l="1"/>
  <c r="N17" i="1"/>
  <c r="N16" i="1"/>
  <c r="L76" i="1"/>
  <c r="W28" i="1" l="1"/>
  <c r="O88" i="1"/>
  <c r="O87" i="1" s="1"/>
  <c r="O84" i="1"/>
  <c r="O59" i="1"/>
  <c r="O52" i="1"/>
  <c r="O37" i="1"/>
  <c r="O33" i="1"/>
  <c r="O26" i="1"/>
  <c r="O18" i="1"/>
  <c r="O48" i="1" l="1"/>
  <c r="O21" i="1"/>
  <c r="O16" i="1" s="1"/>
  <c r="E46" i="1" l="1"/>
  <c r="E88" i="1" l="1"/>
  <c r="L88" i="1"/>
  <c r="J88" i="1"/>
  <c r="H88" i="1"/>
  <c r="J80" i="1"/>
  <c r="L74" i="1"/>
  <c r="J74" i="1"/>
  <c r="H74" i="1"/>
  <c r="H66" i="1"/>
  <c r="H80" i="1" s="1"/>
  <c r="H67" i="1"/>
  <c r="E67" i="1"/>
  <c r="H65" i="1"/>
  <c r="H79" i="1" s="1"/>
  <c r="L66" i="1"/>
  <c r="L65" i="1"/>
  <c r="J66" i="1"/>
  <c r="J65" i="1"/>
  <c r="J79" i="1" s="1"/>
  <c r="E66" i="1"/>
  <c r="E80" i="1" s="1"/>
  <c r="E65" i="1"/>
  <c r="E79" i="1" s="1"/>
  <c r="H59" i="1"/>
  <c r="E59" i="1"/>
  <c r="G58" i="1"/>
  <c r="G55" i="1"/>
  <c r="G54" i="1"/>
  <c r="E53" i="1"/>
  <c r="L52" i="1"/>
  <c r="H52" i="1"/>
  <c r="J52" i="1"/>
  <c r="E52" i="1"/>
  <c r="H51" i="1"/>
  <c r="J51" i="1"/>
  <c r="L51" i="1"/>
  <c r="L48" i="1"/>
  <c r="E51" i="1"/>
  <c r="E50" i="1"/>
  <c r="E49" i="1"/>
  <c r="E48" i="1"/>
  <c r="J50" i="1"/>
  <c r="J49" i="1"/>
  <c r="E47" i="1"/>
  <c r="H42" i="1"/>
  <c r="J42" i="1"/>
  <c r="L42" i="1"/>
  <c r="E42" i="1"/>
  <c r="L87" i="1"/>
  <c r="H41" i="1"/>
  <c r="H87" i="1" s="1"/>
  <c r="J41" i="1"/>
  <c r="J87" i="1" s="1"/>
  <c r="E41" i="1"/>
  <c r="E87" i="1" s="1"/>
  <c r="E39" i="1" l="1"/>
  <c r="L17" i="1"/>
  <c r="L16" i="1"/>
  <c r="E17" i="1"/>
  <c r="E16" i="1"/>
  <c r="E61" i="1"/>
  <c r="E60" i="1"/>
  <c r="E57" i="1"/>
  <c r="H50" i="1"/>
  <c r="H49" i="1"/>
  <c r="H48" i="1"/>
  <c r="E40" i="1" l="1"/>
  <c r="E38" i="1"/>
  <c r="T17" i="1" l="1"/>
  <c r="Z17" i="1" s="1"/>
  <c r="T41" i="1"/>
  <c r="Z41" i="1" s="1"/>
  <c r="T51" i="1"/>
  <c r="Z51" i="1" s="1"/>
  <c r="T50" i="1"/>
  <c r="U50" i="1" s="1"/>
  <c r="T49" i="1"/>
  <c r="Z49" i="1" s="1"/>
  <c r="T66" i="1"/>
  <c r="U66" i="1" s="1"/>
  <c r="T72" i="1"/>
  <c r="U72" i="1" s="1"/>
  <c r="T73" i="1"/>
  <c r="U73" i="1" s="1"/>
  <c r="T80" i="1"/>
  <c r="Z80" i="1" s="1"/>
  <c r="Z50" i="1" l="1"/>
  <c r="Z72" i="1"/>
  <c r="Z73" i="1"/>
  <c r="U80" i="1"/>
  <c r="Z66" i="1"/>
  <c r="U51" i="1"/>
  <c r="U49" i="1"/>
  <c r="U41" i="1"/>
  <c r="U17" i="1"/>
  <c r="W44" i="1"/>
  <c r="X44" i="1" s="1"/>
  <c r="T44" i="1"/>
  <c r="U44" i="1" s="1"/>
  <c r="Z44" i="1" l="1"/>
  <c r="AA44" i="1"/>
  <c r="E54" i="1"/>
  <c r="E55" i="1"/>
  <c r="E58" i="1"/>
  <c r="H77" i="1"/>
  <c r="H76" i="1" s="1"/>
  <c r="E77" i="1"/>
  <c r="E76" i="1" s="1"/>
  <c r="J18" i="1" l="1"/>
  <c r="E85" i="1"/>
  <c r="E21" i="1"/>
  <c r="M88" i="1"/>
  <c r="M84" i="1"/>
  <c r="M77" i="1"/>
  <c r="O71" i="1" s="1"/>
  <c r="O65" i="1" s="1"/>
  <c r="M46" i="1"/>
  <c r="O42" i="1" s="1"/>
  <c r="O41" i="1" s="1"/>
  <c r="G88" i="1" l="1"/>
  <c r="G87" i="1" s="1"/>
  <c r="I88" i="1"/>
  <c r="K88" i="1"/>
  <c r="K87" i="1" s="1"/>
  <c r="I87" i="1"/>
  <c r="G84" i="1"/>
  <c r="I84" i="1"/>
  <c r="K84" i="1"/>
  <c r="G81" i="1"/>
  <c r="G79" i="1" s="1"/>
  <c r="I81" i="1"/>
  <c r="I71" i="1"/>
  <c r="G71" i="1"/>
  <c r="G67" i="1"/>
  <c r="I67" i="1"/>
  <c r="G59" i="1"/>
  <c r="G52" i="1"/>
  <c r="G42" i="1"/>
  <c r="G41" i="1" s="1"/>
  <c r="G37" i="1"/>
  <c r="I37" i="1"/>
  <c r="G33" i="1"/>
  <c r="I33" i="1"/>
  <c r="G26" i="1"/>
  <c r="I26" i="1"/>
  <c r="G21" i="1"/>
  <c r="I21" i="1"/>
  <c r="G18" i="1"/>
  <c r="I18" i="1"/>
  <c r="W85" i="1"/>
  <c r="AA85" i="1" s="1"/>
  <c r="W82" i="1"/>
  <c r="AA82" i="1" s="1"/>
  <c r="T82" i="1"/>
  <c r="W83" i="1"/>
  <c r="AA83" i="1" s="1"/>
  <c r="W81" i="1"/>
  <c r="W77" i="1"/>
  <c r="T77" i="1"/>
  <c r="U77" i="1" s="1"/>
  <c r="W76" i="1"/>
  <c r="T76" i="1"/>
  <c r="U76" i="1" s="1"/>
  <c r="W62" i="1"/>
  <c r="AA62" i="1" s="1"/>
  <c r="T62" i="1"/>
  <c r="Z62" i="1" s="1"/>
  <c r="W57" i="1"/>
  <c r="AA57" i="1" s="1"/>
  <c r="T57" i="1"/>
  <c r="U57" i="1" s="1"/>
  <c r="W55" i="1"/>
  <c r="AA55" i="1" s="1"/>
  <c r="T55" i="1"/>
  <c r="U55" i="1" s="1"/>
  <c r="W54" i="1"/>
  <c r="AA54" i="1" s="1"/>
  <c r="T54" i="1"/>
  <c r="U54" i="1" s="1"/>
  <c r="AA77" i="1" l="1"/>
  <c r="X77" i="1"/>
  <c r="AA76" i="1"/>
  <c r="X76" i="1"/>
  <c r="G48" i="1"/>
  <c r="I79" i="1"/>
  <c r="G65" i="1"/>
  <c r="AA81" i="1"/>
  <c r="T81" i="1"/>
  <c r="Z81" i="1" s="1"/>
  <c r="U85" i="1"/>
  <c r="Z85" i="1"/>
  <c r="X85" i="1"/>
  <c r="U82" i="1"/>
  <c r="Z82" i="1"/>
  <c r="X82" i="1"/>
  <c r="X81" i="1"/>
  <c r="U83" i="1"/>
  <c r="Z83" i="1"/>
  <c r="X83" i="1"/>
  <c r="Z77" i="1"/>
  <c r="Z76" i="1"/>
  <c r="U62" i="1"/>
  <c r="X62" i="1"/>
  <c r="X57" i="1"/>
  <c r="Z57" i="1"/>
  <c r="Z55" i="1"/>
  <c r="X55" i="1"/>
  <c r="Z54" i="1"/>
  <c r="X54" i="1"/>
  <c r="U81" i="1" l="1"/>
  <c r="T22" i="1"/>
  <c r="T74" i="1" l="1"/>
  <c r="U74" i="1" s="1"/>
  <c r="E74" i="1"/>
  <c r="M59" i="1"/>
  <c r="W46" i="1"/>
  <c r="AA46" i="1" s="1"/>
  <c r="T46" i="1"/>
  <c r="Z46" i="1" l="1"/>
  <c r="U46" i="1"/>
  <c r="Z74" i="1"/>
  <c r="X46" i="1"/>
  <c r="L18" i="1" l="1"/>
  <c r="T84" i="1" l="1"/>
  <c r="M18" i="1" l="1"/>
  <c r="W18" i="1" s="1"/>
  <c r="T18" i="1"/>
  <c r="U18" i="1" s="1"/>
  <c r="AA18" i="1" l="1"/>
  <c r="X18" i="1"/>
  <c r="Z18" i="1"/>
  <c r="T48" i="1" l="1"/>
  <c r="Z48" i="1" l="1"/>
  <c r="U48" i="1"/>
  <c r="W89" i="1"/>
  <c r="AA89" i="1" s="1"/>
  <c r="T89" i="1"/>
  <c r="Z89" i="1" s="1"/>
  <c r="AA90" i="1"/>
  <c r="Z90" i="1"/>
  <c r="T88" i="1"/>
  <c r="Z88" i="1" s="1"/>
  <c r="T87" i="1"/>
  <c r="Z87" i="1" s="1"/>
  <c r="AA86" i="1"/>
  <c r="Z86" i="1"/>
  <c r="Z84" i="1"/>
  <c r="T79" i="1"/>
  <c r="Z79" i="1" s="1"/>
  <c r="W78" i="1"/>
  <c r="AA78" i="1" s="1"/>
  <c r="T78" i="1"/>
  <c r="Z78" i="1" s="1"/>
  <c r="W75" i="1"/>
  <c r="AA75" i="1" s="1"/>
  <c r="T75" i="1"/>
  <c r="Z75" i="1" s="1"/>
  <c r="T71" i="1"/>
  <c r="Z71" i="1" s="1"/>
  <c r="AA70" i="1"/>
  <c r="Z70" i="1"/>
  <c r="AA69" i="1"/>
  <c r="Z69" i="1"/>
  <c r="AA68" i="1"/>
  <c r="Z68" i="1"/>
  <c r="Z67" i="1"/>
  <c r="T65" i="1"/>
  <c r="AA64" i="1"/>
  <c r="Z64" i="1"/>
  <c r="W61" i="1"/>
  <c r="AA61" i="1" s="1"/>
  <c r="T61" i="1"/>
  <c r="Z61" i="1" s="1"/>
  <c r="AA63" i="1"/>
  <c r="Z63" i="1"/>
  <c r="W60" i="1"/>
  <c r="AA60" i="1" s="1"/>
  <c r="T60" i="1"/>
  <c r="Z60" i="1" s="1"/>
  <c r="T59" i="1"/>
  <c r="W58" i="1"/>
  <c r="AA58" i="1" s="1"/>
  <c r="T58" i="1"/>
  <c r="Z58" i="1" s="1"/>
  <c r="W56" i="1"/>
  <c r="AA56" i="1" s="1"/>
  <c r="T56" i="1"/>
  <c r="Z56" i="1" s="1"/>
  <c r="W53" i="1"/>
  <c r="AA53" i="1" s="1"/>
  <c r="T53" i="1"/>
  <c r="Z53" i="1" s="1"/>
  <c r="T52" i="1"/>
  <c r="W47" i="1"/>
  <c r="AA47" i="1" s="1"/>
  <c r="T47" i="1"/>
  <c r="Z47" i="1" s="1"/>
  <c r="W45" i="1"/>
  <c r="AA45" i="1" s="1"/>
  <c r="T45" i="1"/>
  <c r="Z45" i="1" s="1"/>
  <c r="W43" i="1"/>
  <c r="AA43" i="1" s="1"/>
  <c r="T43" i="1"/>
  <c r="Z43" i="1" s="1"/>
  <c r="T42" i="1"/>
  <c r="Z42" i="1" s="1"/>
  <c r="W40" i="1"/>
  <c r="T40" i="1"/>
  <c r="W39" i="1"/>
  <c r="T39" i="1"/>
  <c r="W38" i="1"/>
  <c r="T38" i="1"/>
  <c r="T37" i="1"/>
  <c r="W36" i="1"/>
  <c r="T36" i="1"/>
  <c r="W35" i="1"/>
  <c r="T35" i="1"/>
  <c r="W34" i="1"/>
  <c r="T34" i="1"/>
  <c r="T33" i="1"/>
  <c r="W32" i="1"/>
  <c r="T32" i="1"/>
  <c r="W31" i="1"/>
  <c r="T31" i="1"/>
  <c r="W30" i="1"/>
  <c r="T30" i="1"/>
  <c r="W29" i="1"/>
  <c r="T29" i="1"/>
  <c r="T28" i="1"/>
  <c r="W27" i="1"/>
  <c r="T27" i="1"/>
  <c r="T26" i="1"/>
  <c r="W24" i="1"/>
  <c r="T24" i="1"/>
  <c r="W23" i="1"/>
  <c r="T23" i="1"/>
  <c r="W22" i="1"/>
  <c r="W20" i="1"/>
  <c r="T20" i="1"/>
  <c r="W19" i="1"/>
  <c r="T19" i="1"/>
  <c r="T16" i="1"/>
  <c r="Z52" i="1" l="1"/>
  <c r="U52" i="1"/>
  <c r="Z65" i="1"/>
  <c r="U65" i="1"/>
  <c r="U24" i="1"/>
  <c r="Z24" i="1"/>
  <c r="U23" i="1"/>
  <c r="Z23" i="1"/>
  <c r="U30" i="1"/>
  <c r="Z30" i="1"/>
  <c r="U37" i="1"/>
  <c r="Z37" i="1"/>
  <c r="U40" i="1"/>
  <c r="Z40" i="1"/>
  <c r="U34" i="1"/>
  <c r="Z34" i="1"/>
  <c r="U20" i="1"/>
  <c r="Z20" i="1"/>
  <c r="U26" i="1"/>
  <c r="Z26" i="1"/>
  <c r="U29" i="1"/>
  <c r="Z29" i="1"/>
  <c r="U33" i="1"/>
  <c r="Z33" i="1"/>
  <c r="U36" i="1"/>
  <c r="Z36" i="1"/>
  <c r="U39" i="1"/>
  <c r="Z39" i="1"/>
  <c r="U27" i="1"/>
  <c r="Z27" i="1"/>
  <c r="U31" i="1"/>
  <c r="Z31" i="1"/>
  <c r="U19" i="1"/>
  <c r="Z19" i="1"/>
  <c r="Z25" i="1"/>
  <c r="U28" i="1"/>
  <c r="Z28" i="1"/>
  <c r="U32" i="1"/>
  <c r="Z32" i="1"/>
  <c r="U35" i="1"/>
  <c r="Z35" i="1"/>
  <c r="U38" i="1"/>
  <c r="Z38" i="1"/>
  <c r="U22" i="1"/>
  <c r="Z22" i="1"/>
  <c r="U75" i="1"/>
  <c r="U59" i="1"/>
  <c r="Z59" i="1"/>
  <c r="U16" i="1"/>
  <c r="Z16" i="1"/>
  <c r="X47" i="1"/>
  <c r="X60" i="1"/>
  <c r="U87" i="1"/>
  <c r="U43" i="1"/>
  <c r="X53" i="1"/>
  <c r="U58" i="1"/>
  <c r="X75" i="1"/>
  <c r="U79" i="1"/>
  <c r="X89" i="1"/>
  <c r="U45" i="1"/>
  <c r="U61" i="1"/>
  <c r="X45" i="1"/>
  <c r="U47" i="1"/>
  <c r="U56" i="1"/>
  <c r="U60" i="1"/>
  <c r="X61" i="1"/>
  <c r="U78" i="1"/>
  <c r="U88" i="1"/>
  <c r="X56" i="1"/>
  <c r="U71" i="1"/>
  <c r="X78" i="1"/>
  <c r="U42" i="1"/>
  <c r="X43" i="1"/>
  <c r="U53" i="1"/>
  <c r="X58" i="1"/>
  <c r="U84" i="1"/>
  <c r="U89" i="1"/>
  <c r="X40" i="1"/>
  <c r="AA40" i="1"/>
  <c r="X39" i="1"/>
  <c r="AA39" i="1"/>
  <c r="X38" i="1"/>
  <c r="AA38" i="1"/>
  <c r="X36" i="1"/>
  <c r="AA36" i="1"/>
  <c r="X35" i="1"/>
  <c r="AA35" i="1"/>
  <c r="X34" i="1"/>
  <c r="AA34" i="1"/>
  <c r="X32" i="1"/>
  <c r="AA32" i="1"/>
  <c r="X31" i="1"/>
  <c r="AA31" i="1"/>
  <c r="X30" i="1"/>
  <c r="AA30" i="1"/>
  <c r="X29" i="1"/>
  <c r="AA29" i="1"/>
  <c r="X28" i="1"/>
  <c r="AA28" i="1"/>
  <c r="X27" i="1"/>
  <c r="AA27" i="1"/>
  <c r="AA25" i="1"/>
  <c r="X24" i="1"/>
  <c r="AA24" i="1"/>
  <c r="X23" i="1"/>
  <c r="AA23" i="1"/>
  <c r="X22" i="1"/>
  <c r="AA22" i="1"/>
  <c r="X20" i="1"/>
  <c r="AA20" i="1"/>
  <c r="X19" i="1"/>
  <c r="AA19" i="1"/>
  <c r="T21" i="1"/>
  <c r="Z21" i="1" s="1"/>
  <c r="M71" i="1"/>
  <c r="W71" i="1" s="1"/>
  <c r="AA71" i="1" s="1"/>
  <c r="W59" i="1"/>
  <c r="AA59" i="1" s="1"/>
  <c r="M52" i="1"/>
  <c r="M42" i="1"/>
  <c r="M37" i="1"/>
  <c r="W37" i="1" s="1"/>
  <c r="AA37" i="1" s="1"/>
  <c r="M33" i="1"/>
  <c r="W33" i="1" s="1"/>
  <c r="AA33" i="1" s="1"/>
  <c r="M26" i="1"/>
  <c r="W26" i="1" s="1"/>
  <c r="AA26" i="1" s="1"/>
  <c r="M21" i="1"/>
  <c r="M16" i="1" l="1"/>
  <c r="W21" i="1"/>
  <c r="AA21" i="1" s="1"/>
  <c r="X33" i="1"/>
  <c r="U21" i="1"/>
  <c r="U91" i="1" s="1"/>
  <c r="X37" i="1"/>
  <c r="M65" i="1"/>
  <c r="W65" i="1" s="1"/>
  <c r="AA65" i="1" s="1"/>
  <c r="AA67" i="1"/>
  <c r="M41" i="1"/>
  <c r="W41" i="1" s="1"/>
  <c r="AA41" i="1" s="1"/>
  <c r="W42" i="1"/>
  <c r="AA42" i="1" s="1"/>
  <c r="X71" i="1"/>
  <c r="X26" i="1"/>
  <c r="M48" i="1"/>
  <c r="W48" i="1" s="1"/>
  <c r="AA48" i="1" s="1"/>
  <c r="W52" i="1"/>
  <c r="AA52" i="1" s="1"/>
  <c r="W84" i="1"/>
  <c r="AA84" i="1" s="1"/>
  <c r="X59" i="1"/>
  <c r="M87" i="1"/>
  <c r="W87" i="1" s="1"/>
  <c r="AA87" i="1" s="1"/>
  <c r="W88" i="1"/>
  <c r="AA88" i="1" s="1"/>
  <c r="W16" i="1" l="1"/>
  <c r="W79" i="1"/>
  <c r="X21" i="1"/>
  <c r="X87" i="1"/>
  <c r="X52" i="1"/>
  <c r="X42" i="1"/>
  <c r="X41" i="1"/>
  <c r="X88" i="1"/>
  <c r="X84" i="1"/>
  <c r="X48" i="1"/>
  <c r="X65" i="1"/>
  <c r="AA16" i="1" l="1"/>
  <c r="X16" i="1"/>
  <c r="AA79" i="1"/>
  <c r="X79" i="1"/>
  <c r="X91" i="1" l="1"/>
  <c r="X92" i="1" s="1"/>
  <c r="U92" i="1"/>
</calcChain>
</file>

<file path=xl/comments1.xml><?xml version="1.0" encoding="utf-8"?>
<comments xmlns="http://schemas.openxmlformats.org/spreadsheetml/2006/main">
  <authors>
    <author>USER</author>
    <author>W10 PRO</author>
  </authors>
  <commentList>
    <comment ref="C38" authorId="0">
      <text>
        <r>
          <rPr>
            <b/>
            <sz val="9"/>
            <color indexed="81"/>
            <rFont val="Tahoma"/>
            <family val="2"/>
          </rPr>
          <t>USER:</t>
        </r>
        <r>
          <rPr>
            <sz val="9"/>
            <color indexed="81"/>
            <rFont val="Tahoma"/>
            <family val="2"/>
          </rPr>
          <t xml:space="preserve">
Mobil
5 Pusat
2 Daerah
Speddboat 2
Trail 2
TKSK 11
12 Dinas
34 Unit</t>
        </r>
      </text>
    </comment>
    <comment ref="C39" authorId="0">
      <text>
        <r>
          <rPr>
            <b/>
            <sz val="9"/>
            <color indexed="81"/>
            <rFont val="Tahoma"/>
            <family val="2"/>
          </rPr>
          <t>USER:</t>
        </r>
        <r>
          <rPr>
            <sz val="9"/>
            <color indexed="81"/>
            <rFont val="Tahoma"/>
            <family val="2"/>
          </rPr>
          <t xml:space="preserve">
2 Gedung
2 TMP
Target 1
Realisasi 0</t>
        </r>
      </text>
    </comment>
    <comment ref="C40" authorId="0">
      <text>
        <r>
          <rPr>
            <b/>
            <sz val="9"/>
            <color indexed="81"/>
            <rFont val="Tahoma"/>
            <family val="2"/>
          </rPr>
          <t>USER:</t>
        </r>
        <r>
          <rPr>
            <sz val="9"/>
            <color indexed="81"/>
            <rFont val="Tahoma"/>
            <family val="2"/>
          </rPr>
          <t xml:space="preserve">
22 ac
10 komp
laptop 10
printer 10
sound 2
total 56 unit</t>
        </r>
      </text>
    </comment>
    <comment ref="J41" authorId="1">
      <text>
        <r>
          <rPr>
            <b/>
            <sz val="12"/>
            <color indexed="81"/>
            <rFont val="Tahoma"/>
            <family val="2"/>
          </rPr>
          <t>Jumlah PSKS yang Memiliki Kompetensi dibagi Jumlah PSKS yang terdatax100</t>
        </r>
      </text>
    </comment>
    <comment ref="H42" authorId="1">
      <text>
        <r>
          <rPr>
            <b/>
            <sz val="12"/>
            <color indexed="81"/>
            <rFont val="Tahoma"/>
            <family val="2"/>
          </rPr>
          <t>Lembaga/Orsos/Relawan/Petugas Sosial yg aktif dibagi Jumlah embaga/Orsos/Relawan/Petugas Sosial yang terdatax100</t>
        </r>
      </text>
    </comment>
    <comment ref="J42" authorId="1">
      <text>
        <r>
          <rPr>
            <b/>
            <sz val="12"/>
            <color indexed="81"/>
            <rFont val="Tahoma"/>
            <family val="2"/>
          </rPr>
          <t>Jumlah PSKS yang Mengikuti Pengembangan Kompetensi dibagi Jumlah PSKS yang terdatax100</t>
        </r>
      </text>
    </comment>
    <comment ref="L42" authorId="1">
      <text>
        <r>
          <rPr>
            <b/>
            <sz val="12"/>
            <color indexed="81"/>
            <rFont val="Tahoma"/>
            <family val="2"/>
          </rPr>
          <t>Jumlah PSKS yang Mengikuti Pengembangan Kompetensi dibagi Jumlah PSKS yang terdatax100</t>
        </r>
      </text>
    </comment>
    <comment ref="N42" authorId="1">
      <text>
        <r>
          <rPr>
            <b/>
            <sz val="12"/>
            <color indexed="81"/>
            <rFont val="Tahoma"/>
            <family val="2"/>
          </rPr>
          <t>Jumlah PSKS yang Mengikuti Pengembangan Kompetensi dibagi Jumlah PSKS yang terdatax100</t>
        </r>
      </text>
    </comment>
    <comment ref="P42" authorId="1">
      <text>
        <r>
          <rPr>
            <b/>
            <sz val="12"/>
            <color indexed="81"/>
            <rFont val="Tahoma"/>
            <family val="2"/>
          </rPr>
          <t>Jumlah PSKS yang Mengikuti Pengembangan Kompetensi dibagi Jumlah PSKS yang terdatax100</t>
        </r>
      </text>
    </comment>
    <comment ref="R42" authorId="1">
      <text>
        <r>
          <rPr>
            <b/>
            <sz val="12"/>
            <color indexed="81"/>
            <rFont val="Tahoma"/>
            <family val="2"/>
          </rPr>
          <t>Jumlah PSKS yang Mengikuti Pengembangan Kompetensi dibagi Jumlah PSKS yang terdatax100</t>
        </r>
      </text>
    </comment>
    <comment ref="J46" authorId="0">
      <text>
        <r>
          <rPr>
            <b/>
            <sz val="9"/>
            <color indexed="81"/>
            <rFont val="Tahoma"/>
            <family val="2"/>
          </rPr>
          <t>USER:</t>
        </r>
        <r>
          <rPr>
            <sz val="9"/>
            <color indexed="81"/>
            <rFont val="Tahoma"/>
            <family val="2"/>
          </rPr>
          <t xml:space="preserve">
17 LKSA
27 Karang Taruna
Samping 
Tagana</t>
        </r>
      </text>
    </comment>
    <comment ref="L46" authorId="0">
      <text>
        <r>
          <rPr>
            <b/>
            <sz val="9"/>
            <color indexed="81"/>
            <rFont val="Tahoma"/>
            <family val="2"/>
          </rPr>
          <t>USER:</t>
        </r>
        <r>
          <rPr>
            <sz val="9"/>
            <color indexed="81"/>
            <rFont val="Tahoma"/>
            <family val="2"/>
          </rPr>
          <t xml:space="preserve">
TAGANA
SAMPING DESA</t>
        </r>
      </text>
    </comment>
    <comment ref="J48" authorId="1">
      <text>
        <r>
          <rPr>
            <b/>
            <sz val="12"/>
            <color indexed="81"/>
            <rFont val="Tahoma"/>
            <family val="2"/>
          </rPr>
          <t>Jumlah Disabilitas Anak Terlantar dan Perempuan Rawan Sosial Ekonomi Yang Mandiri/jumlah PMKS yang terdatax100</t>
        </r>
      </text>
    </comment>
    <comment ref="R48" authorId="1">
      <text>
        <r>
          <rPr>
            <b/>
            <sz val="12"/>
            <color indexed="81"/>
            <rFont val="Tahoma"/>
            <family val="2"/>
          </rPr>
          <t>Jumlah Disabilitas Anak Terlantar dan Perempuan Rawan Sosial Ekonomi Yang Mandiri/jumlah PMKS yang terdatax100</t>
        </r>
      </text>
    </comment>
    <comment ref="L52" authorId="1">
      <text>
        <r>
          <rPr>
            <b/>
            <sz val="12"/>
            <color indexed="81"/>
            <rFont val="Tahoma"/>
            <family val="2"/>
          </rPr>
          <t>Jumlah PMKS yang mendapat rehabilitasi sosial dasar/Jumlah PMKS yang terdatax100</t>
        </r>
      </text>
    </comment>
    <comment ref="N52" authorId="1">
      <text>
        <r>
          <rPr>
            <b/>
            <sz val="12"/>
            <color indexed="81"/>
            <rFont val="Tahoma"/>
            <family val="2"/>
          </rPr>
          <t>Jumlah PMKS yang mendapat rehabilitasi sosial dasar/Jumlah PMKS yang terdatax100</t>
        </r>
      </text>
    </comment>
    <comment ref="P52" authorId="1">
      <text>
        <r>
          <rPr>
            <b/>
            <sz val="12"/>
            <color indexed="81"/>
            <rFont val="Tahoma"/>
            <family val="2"/>
          </rPr>
          <t>Jumlah PMKS yang mendapat rehabilitasi sosial dasar/Jumlah PMKS yang terdatax100</t>
        </r>
      </text>
    </comment>
    <comment ref="R52" authorId="1">
      <text>
        <r>
          <rPr>
            <b/>
            <sz val="12"/>
            <color indexed="81"/>
            <rFont val="Tahoma"/>
            <family val="2"/>
          </rPr>
          <t>Jumlah PMKS yang mendapat rehabilitasi sosial dasar/Jumlah PMKS yang terdatax100</t>
        </r>
      </text>
    </comment>
    <comment ref="J59" authorId="0">
      <text>
        <r>
          <rPr>
            <b/>
            <sz val="12"/>
            <color indexed="81"/>
            <rFont val="Tahoma"/>
            <family val="2"/>
          </rPr>
          <t>Jumlah tuna sosial yang mendapatkan rehabilitasi sosial/jumlah PMKS yang terdata x 100</t>
        </r>
      </text>
    </comment>
    <comment ref="L59" authorId="0">
      <text>
        <r>
          <rPr>
            <b/>
            <sz val="12"/>
            <color indexed="81"/>
            <rFont val="Tahoma"/>
            <family val="2"/>
          </rPr>
          <t>Jumlah tuna sosial yang mendapatkan rehabilitasi sosial/jumlah PMKS yang terdata x 100</t>
        </r>
      </text>
    </comment>
    <comment ref="N59" authorId="0">
      <text>
        <r>
          <rPr>
            <b/>
            <sz val="12"/>
            <color indexed="81"/>
            <rFont val="Tahoma"/>
            <family val="2"/>
          </rPr>
          <t>Jumlah tuna sosial yang mendapatkan rehabilitasi sosial/jumlah PMKS yang terdata x 100</t>
        </r>
      </text>
    </comment>
    <comment ref="P59" authorId="0">
      <text>
        <r>
          <rPr>
            <b/>
            <sz val="12"/>
            <color indexed="81"/>
            <rFont val="Tahoma"/>
            <family val="2"/>
          </rPr>
          <t>Jumlah tuna sosial yang mendapatkan rehabilitasi sosial/jumlah PMKS yang terdata x 100</t>
        </r>
      </text>
    </comment>
    <comment ref="R59" authorId="0">
      <text>
        <r>
          <rPr>
            <b/>
            <sz val="12"/>
            <color indexed="81"/>
            <rFont val="Tahoma"/>
            <family val="2"/>
          </rPr>
          <t>Jumlah tuna sosial yang mendapatkan rehabilitasi sosial/jumlah PMKS yang terdata x 100</t>
        </r>
      </text>
    </comment>
    <comment ref="J65" authorId="1">
      <text>
        <r>
          <rPr>
            <b/>
            <sz val="12"/>
            <color indexed="81"/>
            <rFont val="Tahoma"/>
            <family val="2"/>
          </rPr>
          <t>Jumlah Fakir Miskin yang Mandiri/jumlah PMKS yg terdatax100</t>
        </r>
      </text>
    </comment>
    <comment ref="L65" authorId="1">
      <text>
        <r>
          <rPr>
            <b/>
            <sz val="12"/>
            <color indexed="81"/>
            <rFont val="Tahoma"/>
            <family val="2"/>
          </rPr>
          <t>Jumlah Fakir Miskin yang Mandiri/jumlah PMKS yg terdatax100</t>
        </r>
      </text>
    </comment>
    <comment ref="N65" authorId="1">
      <text>
        <r>
          <rPr>
            <b/>
            <sz val="12"/>
            <color indexed="81"/>
            <rFont val="Tahoma"/>
            <family val="2"/>
          </rPr>
          <t>Jumlah Fakir Miskin yang Mandiri/jumlah PMKS yg terdatax100</t>
        </r>
      </text>
    </comment>
    <comment ref="P65" authorId="1">
      <text>
        <r>
          <rPr>
            <b/>
            <sz val="12"/>
            <color indexed="81"/>
            <rFont val="Tahoma"/>
            <family val="2"/>
          </rPr>
          <t>Jumlah Fakir Miskin yang Mandiri/jumlah PMKS yg terdatax100</t>
        </r>
      </text>
    </comment>
    <comment ref="C75" authorId="0">
      <text>
        <r>
          <rPr>
            <b/>
            <sz val="9"/>
            <color indexed="81"/>
            <rFont val="Tahoma"/>
            <family val="2"/>
          </rPr>
          <t>USER:</t>
        </r>
        <r>
          <rPr>
            <sz val="9"/>
            <color indexed="81"/>
            <rFont val="Tahoma"/>
            <family val="2"/>
          </rPr>
          <t xml:space="preserve">
DTKS atau Datu Suban</t>
        </r>
      </text>
    </comment>
    <comment ref="R82" authorId="0">
      <text>
        <r>
          <rPr>
            <b/>
            <sz val="12"/>
            <color indexed="81"/>
            <rFont val="Tahoma"/>
            <family val="2"/>
          </rPr>
          <t>s.d juli</t>
        </r>
      </text>
    </comment>
    <comment ref="R83" authorId="0">
      <text>
        <r>
          <rPr>
            <b/>
            <sz val="12"/>
            <color indexed="81"/>
            <rFont val="Tahoma"/>
            <family val="2"/>
          </rPr>
          <t>s.d juli</t>
        </r>
      </text>
    </comment>
    <comment ref="R85" authorId="0">
      <text>
        <r>
          <rPr>
            <b/>
            <sz val="12"/>
            <color indexed="81"/>
            <rFont val="Tahoma"/>
            <family val="2"/>
          </rPr>
          <t>s.d juli</t>
        </r>
      </text>
    </comment>
    <comment ref="R86" authorId="0">
      <text>
        <r>
          <rPr>
            <b/>
            <sz val="12"/>
            <color indexed="81"/>
            <rFont val="Tahoma"/>
            <family val="2"/>
          </rPr>
          <t>s.d juli</t>
        </r>
      </text>
    </comment>
  </commentList>
</comments>
</file>

<file path=xl/sharedStrings.xml><?xml version="1.0" encoding="utf-8"?>
<sst xmlns="http://schemas.openxmlformats.org/spreadsheetml/2006/main" count="504" uniqueCount="220">
  <si>
    <t>EVALUASI TERHADAP HASIL RENCANA KERJA PERANGKAT DAERAH LINGKUP KABUPATEN</t>
  </si>
  <si>
    <t>RENCANA KERJA PERANGKAT DAERAH</t>
  </si>
  <si>
    <t>Indikator dan Target Kinerja Perangkat Daerah Kabupaten yang Mengacu Pada Sasaran RKPD Kabupaten</t>
  </si>
  <si>
    <t>No</t>
  </si>
  <si>
    <t>Sasaran</t>
  </si>
  <si>
    <t>Program/Kegiatan</t>
  </si>
  <si>
    <r>
      <t>Indikator Kinerja Program (</t>
    </r>
    <r>
      <rPr>
        <b/>
        <i/>
        <sz val="12"/>
        <color theme="1"/>
        <rFont val="Arial"/>
        <family val="2"/>
      </rPr>
      <t>Outcome</t>
    </r>
    <r>
      <rPr>
        <b/>
        <sz val="12"/>
        <color theme="1"/>
        <rFont val="Arial"/>
        <family val="2"/>
      </rPr>
      <t>)/Kegiatan (</t>
    </r>
    <r>
      <rPr>
        <b/>
        <i/>
        <sz val="12"/>
        <color theme="1"/>
        <rFont val="Arial"/>
        <family val="2"/>
      </rPr>
      <t>Output</t>
    </r>
    <r>
      <rPr>
        <b/>
        <sz val="12"/>
        <color theme="1"/>
        <rFont val="Arial"/>
        <family val="2"/>
      </rPr>
      <t>)</t>
    </r>
  </si>
  <si>
    <t>Target Renstra Perangkat Daerah Pada Tahun 2023</t>
  </si>
  <si>
    <t>Realisasi Kinerja Pada Triwulan</t>
  </si>
  <si>
    <t>SKPD Penanggung Jawab</t>
  </si>
  <si>
    <t>I</t>
  </si>
  <si>
    <t>II</t>
  </si>
  <si>
    <t>III</t>
  </si>
  <si>
    <t>IV</t>
  </si>
  <si>
    <t>K</t>
  </si>
  <si>
    <t>Rp</t>
  </si>
  <si>
    <t>[kolom (8-11)(K)]</t>
  </si>
  <si>
    <t>[kolom (8-11)(Rp)]</t>
  </si>
  <si>
    <t>[kolom (6)(K) + kolom (12)(K)]</t>
  </si>
  <si>
    <t>[kolom (6)(Rp) + kolom (12)(Rp)]</t>
  </si>
  <si>
    <t>[kolom (13)(K) : kolom (5)(K)] x 100%</t>
  </si>
  <si>
    <t>[Kolom (13)(Rp) : Kolom (5)(Rp)] x 100%</t>
  </si>
  <si>
    <t>tabel 5.2 rpjmd, misi 5, hal 207</t>
  </si>
  <si>
    <t>tabel  6,1 renstra kolom 5</t>
  </si>
  <si>
    <t>tabel  6,1 renstra kolom 6</t>
  </si>
  <si>
    <t>tabel  6,1 renstra kolom 9</t>
  </si>
  <si>
    <t>tabel  6,1 renstra kolom 18</t>
  </si>
  <si>
    <t>tabel  6,1 Renstra kolom 19</t>
  </si>
  <si>
    <t>tabel  6,1 Renstra kolom 10</t>
  </si>
  <si>
    <t>tabel  6,1 renstra kolom 11</t>
  </si>
  <si>
    <t>sistem emonev triwulan II</t>
  </si>
  <si>
    <t>Meningkatnya akuntabilitas Instansi Pemerintah dan Kualitas Pelayanan Publik</t>
  </si>
  <si>
    <t>Meningkatnya Kinerja Keuangan dan Kinerja Birokrasi</t>
  </si>
  <si>
    <t>Rata-rata Capaian Kinerja (%)</t>
  </si>
  <si>
    <t>Predikat Kinerja</t>
  </si>
  <si>
    <t>No.</t>
  </si>
  <si>
    <t xml:space="preserve">INTERVAL NILAI REALISASI KINERJA </t>
  </si>
  <si>
    <t xml:space="preserve">KRITERIA PENILAIAN REALISASI KINERJA </t>
  </si>
  <si>
    <r>
      <t>(1)</t>
    </r>
    <r>
      <rPr>
        <sz val="7"/>
        <color rgb="FF000000"/>
        <rFont val="Arial Narrow"/>
        <family val="2"/>
      </rPr>
      <t xml:space="preserve">             </t>
    </r>
    <r>
      <rPr>
        <sz val="10"/>
        <color rgb="FF000000"/>
        <rFont val="Arial Narrow"/>
        <family val="2"/>
      </rPr>
      <t> </t>
    </r>
  </si>
  <si>
    <r>
      <t xml:space="preserve">91% </t>
    </r>
    <r>
      <rPr>
        <sz val="12"/>
        <color rgb="FF000000"/>
        <rFont val="Arial Narrow"/>
        <family val="2"/>
      </rPr>
      <t>≤</t>
    </r>
    <r>
      <rPr>
        <sz val="10"/>
        <color rgb="FF000000"/>
        <rFont val="Arial Narrow"/>
        <family val="2"/>
      </rPr>
      <t xml:space="preserve"> 100%</t>
    </r>
  </si>
  <si>
    <t>Sangat tinggi</t>
  </si>
  <si>
    <r>
      <t>(2)</t>
    </r>
    <r>
      <rPr>
        <sz val="7"/>
        <color rgb="FF000000"/>
        <rFont val="Arial Narrow"/>
        <family val="2"/>
      </rPr>
      <t xml:space="preserve">             </t>
    </r>
    <r>
      <rPr>
        <sz val="10"/>
        <color rgb="FF000000"/>
        <rFont val="Arial Narrow"/>
        <family val="2"/>
      </rPr>
      <t> </t>
    </r>
  </si>
  <si>
    <r>
      <t xml:space="preserve">76% </t>
    </r>
    <r>
      <rPr>
        <sz val="12"/>
        <color rgb="FF000000"/>
        <rFont val="Arial Narrow"/>
        <family val="2"/>
      </rPr>
      <t xml:space="preserve">≤ </t>
    </r>
    <r>
      <rPr>
        <sz val="10"/>
        <color rgb="FF000000"/>
        <rFont val="Arial Narrow"/>
        <family val="2"/>
      </rPr>
      <t xml:space="preserve">90% </t>
    </r>
  </si>
  <si>
    <t>Tinggi</t>
  </si>
  <si>
    <r>
      <t>(3)</t>
    </r>
    <r>
      <rPr>
        <sz val="7"/>
        <color rgb="FF000000"/>
        <rFont val="Arial Narrow"/>
        <family val="2"/>
      </rPr>
      <t xml:space="preserve">             </t>
    </r>
    <r>
      <rPr>
        <sz val="10"/>
        <color rgb="FF000000"/>
        <rFont val="Arial Narrow"/>
        <family val="2"/>
      </rPr>
      <t> </t>
    </r>
  </si>
  <si>
    <r>
      <t xml:space="preserve">66% </t>
    </r>
    <r>
      <rPr>
        <sz val="12"/>
        <color rgb="FF000000"/>
        <rFont val="Arial Narrow"/>
        <family val="2"/>
      </rPr>
      <t xml:space="preserve">≤ </t>
    </r>
    <r>
      <rPr>
        <sz val="10"/>
        <color rgb="FF000000"/>
        <rFont val="Arial Narrow"/>
        <family val="2"/>
      </rPr>
      <t>75%</t>
    </r>
  </si>
  <si>
    <t>Sedang</t>
  </si>
  <si>
    <r>
      <t>(4)</t>
    </r>
    <r>
      <rPr>
        <sz val="7"/>
        <color rgb="FF000000"/>
        <rFont val="Arial Narrow"/>
        <family val="2"/>
      </rPr>
      <t xml:space="preserve">             </t>
    </r>
    <r>
      <rPr>
        <sz val="10"/>
        <color rgb="FF000000"/>
        <rFont val="Arial Narrow"/>
        <family val="2"/>
      </rPr>
      <t> </t>
    </r>
  </si>
  <si>
    <r>
      <t xml:space="preserve">51% </t>
    </r>
    <r>
      <rPr>
        <sz val="12"/>
        <color rgb="FF000000"/>
        <rFont val="Arial Narrow"/>
        <family val="2"/>
      </rPr>
      <t xml:space="preserve">≤ </t>
    </r>
    <r>
      <rPr>
        <sz val="10"/>
        <color rgb="FF000000"/>
        <rFont val="Arial Narrow"/>
        <family val="2"/>
      </rPr>
      <t>65%</t>
    </r>
  </si>
  <si>
    <t>Rendah</t>
  </si>
  <si>
    <r>
      <t>(5)</t>
    </r>
    <r>
      <rPr>
        <sz val="7"/>
        <color rgb="FF000000"/>
        <rFont val="Arial Narrow"/>
        <family val="2"/>
      </rPr>
      <t xml:space="preserve">             </t>
    </r>
    <r>
      <rPr>
        <sz val="10"/>
        <color rgb="FF000000"/>
        <rFont val="Arial Narrow"/>
        <family val="2"/>
      </rPr>
      <t> </t>
    </r>
  </si>
  <si>
    <r>
      <t>≤</t>
    </r>
    <r>
      <rPr>
        <sz val="10"/>
        <color rgb="FF000000"/>
        <rFont val="Arial Narrow"/>
        <family val="2"/>
      </rPr>
      <t xml:space="preserve"> 50%</t>
    </r>
  </si>
  <si>
    <t>Sangat Rendah</t>
  </si>
  <si>
    <t>Dok</t>
  </si>
  <si>
    <t>%</t>
  </si>
  <si>
    <t>DINAS SOSIAL</t>
  </si>
  <si>
    <t>Dinas Sosial</t>
  </si>
  <si>
    <t>[kolom (12)(K) : kolom (7)(K)] x 100%</t>
  </si>
  <si>
    <t>[kolom (12)(Rp) : kolom (7)(Rp)] x 100%</t>
  </si>
  <si>
    <t>Realisasi dan Tingkat Capaian Kinerja dan Anggaran Renja Perangkat Daerah yang Dievaluasi</t>
  </si>
  <si>
    <t>Disusun</t>
  </si>
  <si>
    <t>Kabupaten Hulu Sungai Selatan</t>
  </si>
  <si>
    <t>Kepala Dinas Sosial</t>
  </si>
  <si>
    <t>NORDIANSYAH, S.Sos, M.Si</t>
  </si>
  <si>
    <t>NIP. 19681010 199603 1 004</t>
  </si>
  <si>
    <t>Tindak lanjut yang diperlukan dalam Renja Perangkat Daerah Kabupaten berikutnya*): Masih melanjutakan program dan kegiatan sesuai dengan rencana yang sudah ditetapkan dan mengevaluasi setiap kegiatan sebagai bahan perbaikan.</t>
  </si>
  <si>
    <t>Program Penunjang Urusan Pemerintahan Daerah Kabupaten/Kota</t>
  </si>
  <si>
    <t>Penyusunan Dokumen Perencanaan Perangkat Daerah</t>
  </si>
  <si>
    <t>Evaluasi Kinerja Perangkat Daerah</t>
  </si>
  <si>
    <t>Administrasi Keuangan Perangkat Daerah</t>
  </si>
  <si>
    <t>Penyediaan Gaji dan Tunjangan ASN</t>
  </si>
  <si>
    <t>Koordinasi dan Penyusunan Laporan Keuangan Akhir Tahun SKPD</t>
  </si>
  <si>
    <t>Koordinasi dan Penyusunan Laporan Keuangan Bulanan/Triwulanan/Semesteran SKPD</t>
  </si>
  <si>
    <t>Penyusunan Pelaporan dan Analisis Prognosis Realisasi Anggaran</t>
  </si>
  <si>
    <t>Administrasi Umum Perangkat Daerah</t>
  </si>
  <si>
    <t>Penyediaan Komponen Instalasi Listrik/Penerangan Bangunan Kantor</t>
  </si>
  <si>
    <t>Penyediaan Peralatan dan Perlengkapan Kantor</t>
  </si>
  <si>
    <t>Penyediaan Bahan Logistik Kantor</t>
  </si>
  <si>
    <t>Penyediaan Barang Cetakan dan Penggandaan</t>
  </si>
  <si>
    <t>Penyediaan Bahan Bacaan dan Peraturan Perundang‑undangan</t>
  </si>
  <si>
    <t>Penyelenggaraan Rapat Koordinasi dan Konsultasi SKPD</t>
  </si>
  <si>
    <t>Penyediaan Jasa Penunjang Urusan Pemerintahan Daerah</t>
  </si>
  <si>
    <t>Penyediaan Jasa Surat Menyurat</t>
  </si>
  <si>
    <t>Penyediaan Jasa Komunikasi, Sumber Daya Air dan Listrik</t>
  </si>
  <si>
    <t>Penyediaan Jasa Pelayanan Umum Kantor</t>
  </si>
  <si>
    <t>Penyediaan Jasa Pemeliharaan, Biaya Pemeliharaan, Pajak dan Perizinan Kendaraan Dinas Operasional atau Lapangan</t>
  </si>
  <si>
    <t>Pemeliharaan Barang Milik Daerah Penunjang Urusan Pemerintahan Daerah</t>
  </si>
  <si>
    <t>Program Pemberdayaan Sosial</t>
  </si>
  <si>
    <t>Pengembangan Potensi Sumber Kesejahteraan Sosial Daerah Kabupaten/Kota</t>
  </si>
  <si>
    <t>Peningkatan Kemampuan Potensi Pekerja Sosial Masyarakat Kewenangan Kabupaten/Kota</t>
  </si>
  <si>
    <t>Peningkatan Kemampuan Potensi Tenaga Kesejahteraan Sosial Kecamatan Kewenangan Kabupaten/Kota</t>
  </si>
  <si>
    <t>Peningkatan Kemampuan Potensi Sumber Kesejahteraan Sosial Kelembagaan Masyarakat Kewenangan Kabupaten/Kota</t>
  </si>
  <si>
    <t>Peningkatan Kemampuan Sumber Daya Manusia dan Penguatan Lembaga Konsultasi Kesejahteraan Keluarga (LK3)</t>
  </si>
  <si>
    <t>Program Rehabilitasi Sosial</t>
  </si>
  <si>
    <t>Rehabilitasi Sosial Dasar Penyandang Disabilitas Terlantar, Anak Terlantar, Lanjut Usia Terlantar, serta Gelandangan Pengemis di Luar Panti Sosial</t>
  </si>
  <si>
    <t>Penyediaan Permakanan</t>
  </si>
  <si>
    <t>Pemberian Bimbingan Sosial kepada Keluarga Penyandang Disabilitas Terlantar, Anak Terlantar, Lanjut Usia Terlantar, serta Gelandangan Pengemis dan Masyarakat</t>
  </si>
  <si>
    <t>Pemberian Akses ke Layanan Pendidikan dan Kesehatan Dasar</t>
  </si>
  <si>
    <t>Rehabilitasi Sosial Penyandang Masalah Kesejahteraan Sosial (PMKS) Lainnya Bukan Korban HIV/AIDS dan NAPZA di Luar Panti Sosial</t>
  </si>
  <si>
    <t>Pemberian Layanan Kedaruratan</t>
  </si>
  <si>
    <t>Penyediaan Alat Bantu</t>
  </si>
  <si>
    <t>Pemberian Bimbingan Fisik, Mental, Spiritual, dan Sosial</t>
  </si>
  <si>
    <t>Pemberian Bimbingan Sosial kepada Keluarga Penyandang Masalah Kesejahteraan Sosial (PMKS) Lainnya Bukan Korban HIV/AIDS dan NAPZA</t>
  </si>
  <si>
    <t>Program Perlindungan Dan Jaminan Sosial</t>
  </si>
  <si>
    <t>Pemeliharaan Anak‑Anak Terlantar</t>
  </si>
  <si>
    <t>Penjangkauan Anak‑Anak Terlantar</t>
  </si>
  <si>
    <t>Rujukan Anak‑Anak Terlantar</t>
  </si>
  <si>
    <t>Pemantauan terhadap Pelaksanaan Pemeliharaan Anak Terlantar</t>
  </si>
  <si>
    <t>Pengelolaan Data Fakir Miskin Cakupan Daerah Kabupaten/Kota</t>
  </si>
  <si>
    <t>Pendataan Fakir Miskin Cakupan Daerah Kabupaten/Kota</t>
  </si>
  <si>
    <t>Program Penanganan Bencana</t>
  </si>
  <si>
    <t>Penyelenggaraan Pemberdayaan Masyarakat terhadap Kesiapsiagaan Bencana Kabupaten/Kota</t>
  </si>
  <si>
    <t>Koordinasi, Sosialisasi dan Pelaksanaan Kampung Siaga Bencana</t>
  </si>
  <si>
    <t>Program Pengelolaan Taman Makam Pahlawan</t>
  </si>
  <si>
    <t>Pemeliharaan Taman Makam Pahlawan Nasional Kabupaten/Kota</t>
  </si>
  <si>
    <t>Rehabilitasi Sarana dan Prasarana Taman Makam Pahlawan Nasional Kabupaten/Kota</t>
  </si>
  <si>
    <t>Lap</t>
  </si>
  <si>
    <t>Org</t>
  </si>
  <si>
    <t>Lembaga</t>
  </si>
  <si>
    <t>Perencanaan, Pengangnggaran dan Evaluasi Kinerja Perangkat Daerah</t>
  </si>
  <si>
    <t>Persentase Rehabilitasi Sosial Dasar</t>
  </si>
  <si>
    <t>Pencapaian SPM bidang Sosial Penanganan Bencana</t>
  </si>
  <si>
    <t>Pemeliharaan/ Rehabilitasi Sarana dan Prasarana Gedung Kantor atau Bangunan Lainnya</t>
  </si>
  <si>
    <t>Pemeliharaan/ Rehabilitasi Gedung Kantor dan Bangunan Lainnya</t>
  </si>
  <si>
    <t xml:space="preserve"> </t>
  </si>
  <si>
    <t>Persentase Taman Makam Pahlawan Nasional Kabupaten yang dikelola dengan baik</t>
  </si>
  <si>
    <t>Faktor penghambat pencapaian kinerja: Pembatasan Kegiatan karna adanya penerapan Protokol Kesehatan Covid-19 dalam pelaksanaan kegiatan yang melibatkan orang banyak membuat penjadwalan penyaluran bantuan sosial harus dipertimbangkan dengan baik sesuai situasi dan kondisi, update data untuk bantuan orang miskin masih secara manual sehingga memerlukan waktu yang lama serta penyesuaian dengan peraturan bupati terbaru terkait bantuan sosial.</t>
  </si>
  <si>
    <t>Tindak lanjut yang diperlukan dalam triwulan berikutnya*): Tetap menjalankan rencana kegiatan dengan menyesuaikan penerapan protokol Kesehatan dengan mengatur waktu dan tempat pelaksanaan, dan memaksimalkan Potensi dalam update data dan pelaksanaan kegiatan dilapangan</t>
  </si>
  <si>
    <t>Persentase Potensi dan Sumber Kesejahteraan Sosial (PSKS) yang memiliki keterampilan</t>
  </si>
  <si>
    <t>Persentase Tuna Sosial  yang mendapatkan Rehabilitasi Sosial</t>
  </si>
  <si>
    <t>Persentase Fakir Miskin yang Mendapatkan Bantuan Sosial</t>
  </si>
  <si>
    <t>Target Kinerja dan Anggaran Renja Perangkat Daerah Tahun Berjalan (Tahun 2022) yang Dievaluasi</t>
  </si>
  <si>
    <t>Realisasi Kinerja dan Anggaran Renstra Perangkat Daerah s/d Tahun 2022</t>
  </si>
  <si>
    <t>Tingkat Capaian Kinerja dan Realisasi Anggaran Renstra Perangkat Daerah s/d Tahun 2022 (%)</t>
  </si>
  <si>
    <t>Realisasi Capaian Kinerja Renstra Perangkat Daerah sampai dengan Renja Perangkat Daerah Tahun Lalu (2021)</t>
  </si>
  <si>
    <t>Pemberian Layanan Rujukan</t>
  </si>
  <si>
    <t xml:space="preserve">Pemberian Layanan Rujukan </t>
  </si>
  <si>
    <t xml:space="preserve">Fasilitasi Bantuan Sosial Kesejahteraan Keluarga  </t>
  </si>
  <si>
    <t>Fasilitasi Bantuan Pengembangan Ekonomi Masyarakat</t>
  </si>
  <si>
    <t>Perlindungan Sosial Korban Bencana Alam dan Sosial Kabupaten/Kota</t>
  </si>
  <si>
    <t xml:space="preserve">Penyediaan Makanan </t>
  </si>
  <si>
    <t xml:space="preserve">Penyediaan Sandang </t>
  </si>
  <si>
    <t>Koordinasi, Sosialisasi dan Pelaksanaan Taruna Siaga Bencana</t>
  </si>
  <si>
    <t>Jumlah Dokumen Perencanaan Perangkat Daerah</t>
  </si>
  <si>
    <t>Jumlah Laporan Evaluasi Kinerja Perangkat Daerah</t>
  </si>
  <si>
    <t>Jumlah Orang yang Menerima Gaji dan Tunjangan ASN</t>
  </si>
  <si>
    <t>Jumlah Laporan Keuangan Akhir Tahun SKPD dan Laporan Hasil Koordinasi Penyusunan Laporan Keuangan Akhir Tahun SKPD</t>
  </si>
  <si>
    <t>Jumlah Laporan Keuangan Bulanan/Triwulanan/Semesteran SKPD dan Laporan Koordinasi Penyusunan Laporan Keuangan Bulanan/Triwulanan/Semesteran SKPD</t>
  </si>
  <si>
    <t>Jumlah Dokumen Pelaporan dan Analisis Prognosis Realisasi Anggaran</t>
  </si>
  <si>
    <t>Jumlah Paket Komponen Instalasi Listrik/Penerangan Bangunan Kantor yang Disediakan</t>
  </si>
  <si>
    <t>Jumlah Paket Peralatan dan Perlengkapan Kantor yang Disediakan</t>
  </si>
  <si>
    <t>Jumlah Paket Bahan Logistik Kantor yang Disediakan</t>
  </si>
  <si>
    <t>Jumlah Paket Barang Cetakan dan Penggandaan yang Disediakan</t>
  </si>
  <si>
    <t>Jumlah Dokumen Bahan Bacaan dan Peraturan Perundang-Undangan yang Disediakan</t>
  </si>
  <si>
    <t>Jumlah Laporan Penyelenggaraan Rapat Koordinasi dan Konsultasi SKPD</t>
  </si>
  <si>
    <t>Paket</t>
  </si>
  <si>
    <t>Jumlah Laporan Penyediaan Jasa Surat Menyurat</t>
  </si>
  <si>
    <t>Jumlah Laporan Penyediaan Jasa Komunikasi, Sumber Daya Air dan Listrik yang Disediakan</t>
  </si>
  <si>
    <t>Jumlah Laporan Penyediaan Jasa Pelayanan Umum Kantor yang Disediakan</t>
  </si>
  <si>
    <t>Unit</t>
  </si>
  <si>
    <t>Jumlah Kendaraan Dinas Operasional atau Lapangan yang Dipelihara dan dibayarkan Pajak dan Perizinannya</t>
  </si>
  <si>
    <t>Jumlah Gedung Kantor dan Bangunan Lainnya yang Dipelihara/Direhabilitasi</t>
  </si>
  <si>
    <t>Jumlah Sarana dan Prasarana Gedung Kantor atau Bangunan Lainnya yang Dipelihara/Direhabilitasi</t>
  </si>
  <si>
    <t>Jumlah Orang Mendapat Peningkatan Kapasitas Pekerja Sosial Masyarakat Kewenangan Kabupaten/Kota</t>
  </si>
  <si>
    <t>Jumlah Tenaga Kesejahteraan Sosial Kecamatan Kewenangan Kabupaten/Kota yang Meningkat Kapasitasnya Kewenangan Kabupaten/Kota</t>
  </si>
  <si>
    <t>Jumlah Lembaga Kesejahteraan Sosial yang Meningkat Kapasitasnya Kewenangan Kabupaten/Kota</t>
  </si>
  <si>
    <t>Jumlah Sertifikat yang dari Hasil Peningkatan Sumber Daya Manusia dan Lembaga Konsultasi Kesejahteraan Keluarga (LK3) Kewenangan Kabupaten/Kota</t>
  </si>
  <si>
    <t>Sertifikat</t>
  </si>
  <si>
    <t>Jumlah Orang yang Mendapatkan Pemenuhan Kebutuhan Permakanan Sesuai dengan Standar Gizi Minimal Kewenangan Kabupaten/Kota</t>
  </si>
  <si>
    <t>Jumlah Orang yang Mendapatkan Alat Bantu dan Alat Bantu Peraga Sesuai Kebutuhan Kewenangan Kabupaten/Kota</t>
  </si>
  <si>
    <t>Jumlah Peserta Bimbingan Fisik, Mental, Spiritual dan Sosial Kewenangan Kabupaten/Kota</t>
  </si>
  <si>
    <t>Jumlah Peserta Bimbingan Sosial Kepada Keluarga Penyandang Disabilitas Terlantar, Anak Terlantar,  Lanjut Usia Terlantar, serta Gelandangan Pengemis dan Masyarakat Kewenangan Kabupaten/Kota</t>
  </si>
  <si>
    <t>Jumlah Orang yang Mendapatkan Akses ke Layanan Pendidikan dan Kesehatan Dasar Kewenangan Kabupaten/Kota</t>
  </si>
  <si>
    <t>Jumlah Orang Mendapatkan Layanan Rujukan Kewenangan Kabupaten/Kota</t>
  </si>
  <si>
    <t>Jumlah Orang yang Mendapatkan Pelayanan Kedaruratan Kewenangan Kabupaten/Kota</t>
  </si>
  <si>
    <t>Jumlah Peserta dalam Pemberian Bimbingan Sosial Kepada Keluarga Penyandang Masalah Kesejahteraan Sosial (PMKS) Lainnya Bukan Korban HIV/AIDS dan NAPZA Kewenangan Kabupaten/Kota</t>
  </si>
  <si>
    <t>Jumlah Anak-Anak Terlantar yang Dijangkau Kewenangan Kabupaten/Kota</t>
  </si>
  <si>
    <t>Jumlah Anak-Anak Terlantar yang Mendapat Rujukan Kewenangan Kabupaten/Kota</t>
  </si>
  <si>
    <t>Jumlah Anak Terlantar yang Terpantau dan Terpelihara Kewenangan Kabupaten/Kota</t>
  </si>
  <si>
    <t>Jumlah Fakir Miskin Cakupan Daerah Kabupaten/Kota yang Didata</t>
  </si>
  <si>
    <t>Jumlah Keluarga yang Mendapatkan Pengentasan Fakir Miskin Kabupaten/Kota</t>
  </si>
  <si>
    <t>Keluarga</t>
  </si>
  <si>
    <t>Jumlah Keluarga Penerima Manfaat (KPM) yang Mendapatkan Bantuan Sosial Kesejahteraan Keluarga Kewenangan Kabupaten/Kota</t>
  </si>
  <si>
    <t>Jumlah Orang Mendapatkan Bantuan Pengembangan Ekonomi Masyarakat Kewenangan Kabupaten/Kota</t>
  </si>
  <si>
    <t>Jumlah Orang yang Mendapatkan Permakanan 3x1 Hari dalam Masa Tanggap Darurat (Pengungsian) Kewenangan Kabupaten/Kota</t>
  </si>
  <si>
    <t>Jumlah Orang yang Mendapatkan Pakaian dan Kelengkapan Lainnya yang Tersedia pada Masa Tanggap Darurat (Pengungsian) dan Pasca Bencana Kewenangan Kabupaten/Kota</t>
  </si>
  <si>
    <t>Jumlah Orang yang Melaksanakan Koordinasi, Sosialisasi dan Pelaksanaan Taruna Siaga Bencana Kewenangan Kabupaten/Kota</t>
  </si>
  <si>
    <t>Jumlah Kampung yang Melaksanakan Koordinasi, Sosialisasi dan Pelaksanaan Kampung Siaga Bencana Kewenangan Kabupaten/Kota</t>
  </si>
  <si>
    <t>Kampung</t>
  </si>
  <si>
    <t>Jumlah Makam yang Terpenuhi Pemeliharannya pada Taman Makam Pahlawan Kabupaten/Kota</t>
  </si>
  <si>
    <t>Makam</t>
  </si>
  <si>
    <t>Jumlah Dokumen Hasil Rehabilitasi serta Pemeliharaan Sarana dan Prasarana Taman
Makam  Pahlawan Nasional Kabupaten/Kota</t>
  </si>
  <si>
    <t>Jumlah Dokumen Perencanaan dan Evaluasi Kinerja Dinas Sosial yang Berkualitas</t>
  </si>
  <si>
    <t>Jumlah Dokumen Administrasi Keuangan Sesuai Standar</t>
  </si>
  <si>
    <t>Jumlah pelayanan administrasi umum sesuai dengan kebutuhan</t>
  </si>
  <si>
    <t>Bulan</t>
  </si>
  <si>
    <t>Jumlah penyediaan jasa penunjang urusan pemerintahan daerah sesuai kebutuhan</t>
  </si>
  <si>
    <t>Jumlah pemeliharaan barang milik daerah penunjang urusan pemerintahan daerah sesuai kebutuhan</t>
  </si>
  <si>
    <t>Persentase Potensi dan Sumber Kesejahteraan Sosial (PSKS) yang mengikuti pengembangan kompetensi</t>
  </si>
  <si>
    <t>Jumlah Pemutakhiran DTKS yang akurat dan tepat waktu</t>
  </si>
  <si>
    <t>Persentase Penerima PKH yang telah diverifikasi sesuai ketentuan</t>
  </si>
  <si>
    <t>Persentase Penerima BSP/BPNT yang telah diverifikasi sesuai ketentuan</t>
  </si>
  <si>
    <t>Persentase Fakir Miskin yang Mendapatkan Bantuan Sosial sesuai dengan Ketentuan</t>
  </si>
  <si>
    <t>Persentase Taruna Siaga Bencana yang berpartisipasi aktif dalam penanggulangan bencana</t>
  </si>
  <si>
    <t>Persentase  Pemenuhan Aspek Kualitas Dokumen AKIP</t>
  </si>
  <si>
    <t>Tingkat Kepuasan Pelayanan</t>
  </si>
  <si>
    <t>Persentase Anak terlantar yang mandiri</t>
  </si>
  <si>
    <t>Persentase perempuan rawan sosial ekonomi yang mandiri</t>
  </si>
  <si>
    <t>Faktor pendorong keberhasilan pencapaian: Ketersediaan tenaga pendukung dari kelompok potensi dan sumber kesejahteraan sosial (PSKS) sangat mendukung terhadap pelaksanaan kegiatan dilapangan baik dalam kegiatan pendataan, monitoring, evaluasi dan pelaksanaan penyaluran bantuan sosial.</t>
  </si>
  <si>
    <t>Peningkatan Kemampuan Potensi Sumber Kesejahteraan Sosial Keluarga Kewenangan Kabupaten/Kota</t>
  </si>
  <si>
    <t>Jumlah Pendamping Program Keluarga Harapan (PKH) yang memiliki kemampuan dalam menangani PMKS</t>
  </si>
  <si>
    <t>Memastikan bantuan pemberdayaan terhadap PMKS sesuai dengan peruntukannya</t>
  </si>
  <si>
    <t>Memastikan bantuan Perlindungan dan Jaminan Sosial sesuai dengan peruntukannya</t>
  </si>
  <si>
    <t>Memastikan bantuan Rehabilitasi Sosial sesuai dengan peruntukannya</t>
  </si>
  <si>
    <t>Persentase penerima bantuan sosial kepada individu dan lembaga tepat waktu, tepat jumlah dan tepat sasaran</t>
  </si>
  <si>
    <t>Persentase Bantuan Sosial pemberdayaan terhadap fakir Miskin tepat sasaran, waktu dan jumlah</t>
  </si>
  <si>
    <t>Persentase Fakir Miskin yang mendapat bantuan perlindungan Sosial</t>
  </si>
  <si>
    <t>Persentase Fakir Miskin yang mendapat Jaminan Sosial</t>
  </si>
  <si>
    <t>Kandangan,         Desember 2022</t>
  </si>
  <si>
    <t>PERIODE PELAKSANAAN TRIWULAN IV TAHUN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</si>
</sst>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_(* \(#,##0\);_(* &quot;-&quot;_);_(@_)"/>
    <numFmt numFmtId="43" formatCode="_(* #,##0.00_);_(* \(#,##0.00\);_(* &quot;-&quot;??_);_(@_)"/>
    <numFmt numFmtId="164" formatCode="_(* #,##0_);_(* \(#,##0\);_(* &quot;-&quot;??_);_(@_)"/>
  </numFmts>
  <fonts count="21" x14ac:knownFonts="1">
    <font>
      <sz val="11"/>
      <color theme="1"/>
      <name val="Calibri"/>
      <family val="2"/>
      <scheme val="minor"/>
    </font>
    <font>
      <sz val="11"/>
      <color theme="1"/>
      <name val="Calibri"/>
      <family val="2"/>
      <scheme val="minor"/>
    </font>
    <font>
      <b/>
      <sz val="18"/>
      <color theme="1"/>
      <name val="Arial"/>
      <family val="2"/>
    </font>
    <font>
      <sz val="18"/>
      <color theme="1"/>
      <name val="Arial"/>
      <family val="2"/>
    </font>
    <font>
      <sz val="11"/>
      <color theme="1"/>
      <name val="Arial"/>
      <family val="2"/>
    </font>
    <font>
      <b/>
      <sz val="14"/>
      <color theme="1"/>
      <name val="Arial"/>
      <family val="2"/>
    </font>
    <font>
      <b/>
      <sz val="12"/>
      <color theme="1"/>
      <name val="Arial"/>
      <family val="2"/>
    </font>
    <font>
      <b/>
      <i/>
      <sz val="12"/>
      <color theme="1"/>
      <name val="Arial"/>
      <family val="2"/>
    </font>
    <font>
      <sz val="12"/>
      <color theme="1"/>
      <name val="Arial"/>
      <family val="2"/>
    </font>
    <font>
      <sz val="11"/>
      <color rgb="FF000000"/>
      <name val="Calibri"/>
      <family val="2"/>
    </font>
    <font>
      <sz val="10"/>
      <color rgb="FF000000"/>
      <name val="Arial Narrow"/>
      <family val="2"/>
    </font>
    <font>
      <sz val="7"/>
      <color rgb="FF000000"/>
      <name val="Arial Narrow"/>
      <family val="2"/>
    </font>
    <font>
      <sz val="12"/>
      <color rgb="FF000000"/>
      <name val="Arial Narrow"/>
      <family val="2"/>
    </font>
    <font>
      <b/>
      <u/>
      <sz val="12"/>
      <color theme="1"/>
      <name val="Arial"/>
      <family val="2"/>
    </font>
    <font>
      <b/>
      <sz val="12"/>
      <color indexed="81"/>
      <name val="Tahoma"/>
      <family val="2"/>
    </font>
    <font>
      <b/>
      <sz val="11"/>
      <color theme="1"/>
      <name val="Arial"/>
      <family val="2"/>
    </font>
    <font>
      <sz val="12"/>
      <name val="Arial"/>
      <family val="2"/>
    </font>
    <font>
      <sz val="9"/>
      <color indexed="81"/>
      <name val="Tahoma"/>
      <family val="2"/>
    </font>
    <font>
      <b/>
      <sz val="9"/>
      <color indexed="81"/>
      <name val="Tahoma"/>
      <family val="2"/>
    </font>
    <font>
      <b/>
      <sz val="12"/>
      <color rgb="FFFF0000"/>
      <name val="Arial"/>
      <family val="2"/>
    </font>
    <font>
      <b/>
      <sz val="12"/>
      <name val="Arial"/>
      <family val="2"/>
    </font>
  </fonts>
  <fills count="8">
    <fill>
      <patternFill patternType="none"/>
    </fill>
    <fill>
      <patternFill patternType="gray125"/>
    </fill>
    <fill>
      <patternFill patternType="solid">
        <fgColor theme="4" tint="0.39997558519241921"/>
        <bgColor indexed="64"/>
      </patternFill>
    </fill>
    <fill>
      <patternFill patternType="solid">
        <fgColor rgb="FFFFC000"/>
        <bgColor indexed="64"/>
      </patternFill>
    </fill>
    <fill>
      <patternFill patternType="solid">
        <fgColor rgb="FFFFFF00"/>
        <bgColor indexed="64"/>
      </patternFill>
    </fill>
    <fill>
      <patternFill patternType="solid">
        <fgColor rgb="FFFFFFFF"/>
        <bgColor rgb="FFFFFFFF"/>
      </patternFill>
    </fill>
    <fill>
      <patternFill patternType="solid">
        <fgColor theme="0"/>
        <bgColor indexed="64"/>
      </patternFill>
    </fill>
    <fill>
      <patternFill patternType="solid">
        <fgColor rgb="FF00B05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43" fontId="1" fillId="0" borderId="0" applyFont="0" applyFill="0" applyBorder="0" applyAlignment="0" applyProtection="0"/>
    <xf numFmtId="41" fontId="1" fillId="0" borderId="0" applyFont="0" applyFill="0" applyBorder="0" applyAlignment="0" applyProtection="0"/>
    <xf numFmtId="0" fontId="9" fillId="0" borderId="0"/>
  </cellStyleXfs>
  <cellXfs count="204">
    <xf numFmtId="0" fontId="0" fillId="0" borderId="0" xfId="0"/>
    <xf numFmtId="0" fontId="3" fillId="0" borderId="0" xfId="0" applyFont="1" applyFill="1"/>
    <xf numFmtId="0" fontId="4" fillId="0" borderId="0" xfId="0" applyFont="1" applyFill="1"/>
    <xf numFmtId="0" fontId="2" fillId="0" borderId="0" xfId="0" applyFont="1" applyFill="1" applyAlignment="1"/>
    <xf numFmtId="0" fontId="4" fillId="0" borderId="0" xfId="0" applyFont="1" applyFill="1" applyAlignment="1">
      <alignment horizontal="center"/>
    </xf>
    <xf numFmtId="0" fontId="6" fillId="2" borderId="15" xfId="0" applyFont="1" applyFill="1" applyBorder="1" applyAlignment="1">
      <alignment vertical="top" wrapText="1"/>
    </xf>
    <xf numFmtId="0" fontId="6" fillId="3" borderId="2" xfId="0" applyFont="1" applyFill="1" applyBorder="1" applyAlignment="1">
      <alignment horizontal="center"/>
    </xf>
    <xf numFmtId="0" fontId="6" fillId="3" borderId="2" xfId="0" applyFont="1" applyFill="1" applyBorder="1" applyAlignment="1">
      <alignment horizontal="center" vertical="top" wrapText="1"/>
    </xf>
    <xf numFmtId="0" fontId="4" fillId="3" borderId="11" xfId="0" applyFont="1" applyFill="1" applyBorder="1"/>
    <xf numFmtId="0" fontId="8" fillId="0" borderId="6" xfId="0" applyFont="1" applyFill="1" applyBorder="1"/>
    <xf numFmtId="0" fontId="8" fillId="0" borderId="6" xfId="0" applyFont="1" applyFill="1" applyBorder="1" applyAlignment="1">
      <alignment horizontal="center"/>
    </xf>
    <xf numFmtId="0" fontId="4" fillId="0" borderId="11" xfId="0" applyFont="1" applyFill="1" applyBorder="1"/>
    <xf numFmtId="0" fontId="8" fillId="0" borderId="11" xfId="0" applyFont="1" applyFill="1" applyBorder="1"/>
    <xf numFmtId="0" fontId="8" fillId="0" borderId="11" xfId="0" applyFont="1" applyFill="1" applyBorder="1" applyAlignment="1">
      <alignment horizontal="center"/>
    </xf>
    <xf numFmtId="0" fontId="8" fillId="0" borderId="15" xfId="0" applyFont="1" applyFill="1" applyBorder="1"/>
    <xf numFmtId="0" fontId="8" fillId="0" borderId="15" xfId="0" applyFont="1" applyFill="1" applyBorder="1" applyAlignment="1">
      <alignment horizontal="center"/>
    </xf>
    <xf numFmtId="0" fontId="6" fillId="0" borderId="11" xfId="0" applyFont="1" applyFill="1" applyBorder="1" applyAlignment="1">
      <alignment horizontal="center" vertical="top"/>
    </xf>
    <xf numFmtId="0" fontId="6" fillId="0" borderId="11" xfId="0" applyFont="1" applyFill="1" applyBorder="1" applyAlignment="1">
      <alignment horizontal="left" vertical="top" wrapText="1"/>
    </xf>
    <xf numFmtId="0" fontId="6" fillId="0" borderId="2" xfId="0" applyFont="1" applyFill="1" applyBorder="1" applyAlignment="1">
      <alignment horizontal="left" vertical="top" wrapText="1"/>
    </xf>
    <xf numFmtId="0" fontId="8" fillId="0" borderId="2" xfId="0" applyFont="1" applyFill="1" applyBorder="1" applyAlignment="1">
      <alignment horizontal="center" vertical="top" wrapText="1"/>
    </xf>
    <xf numFmtId="9" fontId="8" fillId="0" borderId="2" xfId="0" applyNumberFormat="1" applyFont="1" applyFill="1" applyBorder="1" applyAlignment="1">
      <alignment horizontal="center" vertical="top"/>
    </xf>
    <xf numFmtId="164" fontId="8" fillId="0" borderId="2" xfId="1" applyNumberFormat="1" applyFont="1" applyFill="1" applyBorder="1" applyAlignment="1">
      <alignment vertical="top"/>
    </xf>
    <xf numFmtId="164" fontId="8" fillId="0" borderId="2" xfId="1" quotePrefix="1" applyNumberFormat="1" applyFont="1" applyFill="1" applyBorder="1" applyAlignment="1">
      <alignment vertical="top"/>
    </xf>
    <xf numFmtId="0" fontId="6" fillId="0" borderId="11" xfId="0" applyFont="1" applyFill="1" applyBorder="1" applyAlignment="1">
      <alignment horizontal="center" vertical="top" wrapText="1"/>
    </xf>
    <xf numFmtId="164" fontId="8" fillId="0" borderId="0" xfId="1" quotePrefix="1" applyNumberFormat="1" applyFont="1" applyFill="1" applyBorder="1" applyAlignment="1">
      <alignment vertical="top"/>
    </xf>
    <xf numFmtId="0" fontId="8" fillId="0" borderId="2" xfId="0" applyFont="1" applyFill="1" applyBorder="1" applyAlignment="1">
      <alignment horizontal="left" vertical="top" wrapText="1"/>
    </xf>
    <xf numFmtId="0" fontId="8" fillId="0" borderId="11" xfId="0" applyFont="1" applyFill="1" applyBorder="1" applyAlignment="1">
      <alignment horizontal="center" vertical="top" wrapText="1"/>
    </xf>
    <xf numFmtId="0" fontId="8" fillId="4" borderId="2" xfId="0" applyFont="1" applyFill="1" applyBorder="1" applyAlignment="1">
      <alignment horizontal="left"/>
    </xf>
    <xf numFmtId="0" fontId="4" fillId="0" borderId="15" xfId="0" applyFont="1" applyFill="1" applyBorder="1"/>
    <xf numFmtId="0" fontId="8" fillId="0" borderId="0" xfId="0" applyFont="1" applyFill="1"/>
    <xf numFmtId="0" fontId="8" fillId="0" borderId="0" xfId="0" applyFont="1" applyFill="1" applyAlignment="1">
      <alignment horizontal="center"/>
    </xf>
    <xf numFmtId="0" fontId="8" fillId="0" borderId="2" xfId="0" applyFont="1" applyFill="1" applyBorder="1" applyAlignment="1">
      <alignment horizontal="center" vertical="top"/>
    </xf>
    <xf numFmtId="0" fontId="10" fillId="5" borderId="16" xfId="3" applyFont="1" applyFill="1" applyBorder="1" applyAlignment="1">
      <alignment horizontal="center" vertical="center" wrapText="1"/>
    </xf>
    <xf numFmtId="0" fontId="10" fillId="0" borderId="16" xfId="3" applyFont="1" applyFill="1" applyBorder="1" applyAlignment="1">
      <alignment horizontal="center" vertical="center" wrapText="1"/>
    </xf>
    <xf numFmtId="0" fontId="12" fillId="0" borderId="16" xfId="3" applyFont="1" applyFill="1" applyBorder="1" applyAlignment="1">
      <alignment horizontal="center" vertical="center" wrapText="1"/>
    </xf>
    <xf numFmtId="0" fontId="6" fillId="0" borderId="0" xfId="0" applyFont="1" applyFill="1" applyBorder="1"/>
    <xf numFmtId="0" fontId="8" fillId="0" borderId="0" xfId="0" applyFont="1" applyFill="1" applyBorder="1"/>
    <xf numFmtId="164" fontId="6" fillId="0" borderId="2" xfId="1" quotePrefix="1" applyNumberFormat="1" applyFont="1" applyFill="1" applyBorder="1" applyAlignment="1">
      <alignment vertical="top"/>
    </xf>
    <xf numFmtId="1" fontId="8" fillId="0" borderId="2" xfId="0" applyNumberFormat="1" applyFont="1" applyFill="1" applyBorder="1" applyAlignment="1">
      <alignment horizontal="center" vertical="top" wrapText="1"/>
    </xf>
    <xf numFmtId="0" fontId="6" fillId="0" borderId="2" xfId="0" applyFont="1" applyFill="1" applyBorder="1" applyAlignment="1">
      <alignment horizontal="center" vertical="top" wrapText="1"/>
    </xf>
    <xf numFmtId="9" fontId="6" fillId="0" borderId="2" xfId="0" applyNumberFormat="1" applyFont="1" applyFill="1" applyBorder="1" applyAlignment="1">
      <alignment horizontal="center" vertical="top"/>
    </xf>
    <xf numFmtId="2" fontId="6" fillId="0" borderId="2" xfId="0" applyNumberFormat="1" applyFont="1" applyFill="1" applyBorder="1" applyAlignment="1">
      <alignment horizontal="center" vertical="top" wrapText="1"/>
    </xf>
    <xf numFmtId="3" fontId="8" fillId="0" borderId="2" xfId="0" applyNumberFormat="1" applyFont="1" applyFill="1" applyBorder="1" applyAlignment="1">
      <alignment horizontal="center" vertical="top" wrapText="1"/>
    </xf>
    <xf numFmtId="9" fontId="8" fillId="0" borderId="2" xfId="0" applyNumberFormat="1" applyFont="1" applyFill="1" applyBorder="1" applyAlignment="1">
      <alignment horizontal="center" vertical="top" wrapText="1"/>
    </xf>
    <xf numFmtId="0" fontId="6" fillId="0" borderId="6" xfId="0" applyFont="1" applyFill="1" applyBorder="1" applyAlignment="1">
      <alignment horizontal="center" vertical="top"/>
    </xf>
    <xf numFmtId="0" fontId="6" fillId="0" borderId="6" xfId="0" applyFont="1" applyFill="1" applyBorder="1" applyAlignment="1">
      <alignment horizontal="left" vertical="top" wrapText="1"/>
    </xf>
    <xf numFmtId="41" fontId="8" fillId="0" borderId="2" xfId="2" applyFont="1" applyFill="1" applyBorder="1" applyAlignment="1">
      <alignment vertical="top"/>
    </xf>
    <xf numFmtId="2" fontId="8" fillId="0" borderId="2" xfId="0" applyNumberFormat="1" applyFont="1" applyFill="1" applyBorder="1" applyAlignment="1">
      <alignment horizontal="center" vertical="top"/>
    </xf>
    <xf numFmtId="41" fontId="8" fillId="0" borderId="2" xfId="0" applyNumberFormat="1" applyFont="1" applyFill="1" applyBorder="1" applyAlignment="1">
      <alignment horizontal="center" vertical="top"/>
    </xf>
    <xf numFmtId="1" fontId="8" fillId="0" borderId="2" xfId="2" applyNumberFormat="1" applyFont="1" applyFill="1" applyBorder="1" applyAlignment="1">
      <alignment horizontal="center" vertical="top"/>
    </xf>
    <xf numFmtId="1" fontId="8" fillId="0" borderId="2" xfId="2" applyNumberFormat="1" applyFont="1" applyFill="1" applyBorder="1" applyAlignment="1">
      <alignment horizontal="center" vertical="top" wrapText="1"/>
    </xf>
    <xf numFmtId="2" fontId="6" fillId="0" borderId="2" xfId="0" applyNumberFormat="1" applyFont="1" applyFill="1" applyBorder="1" applyAlignment="1">
      <alignment horizontal="center" vertical="top"/>
    </xf>
    <xf numFmtId="0" fontId="6" fillId="0" borderId="2" xfId="0" applyFont="1" applyFill="1" applyBorder="1" applyAlignment="1">
      <alignment horizontal="center" vertical="top"/>
    </xf>
    <xf numFmtId="1" fontId="6" fillId="0" borderId="2" xfId="0" applyNumberFormat="1" applyFont="1" applyFill="1" applyBorder="1" applyAlignment="1">
      <alignment horizontal="center" vertical="top"/>
    </xf>
    <xf numFmtId="1" fontId="8" fillId="0" borderId="2" xfId="0" applyNumberFormat="1" applyFont="1" applyFill="1" applyBorder="1" applyAlignment="1">
      <alignment horizontal="center" vertical="top"/>
    </xf>
    <xf numFmtId="41" fontId="6" fillId="0" borderId="2" xfId="0" applyNumberFormat="1" applyFont="1" applyFill="1" applyBorder="1" applyAlignment="1">
      <alignment horizontal="center" vertical="top"/>
    </xf>
    <xf numFmtId="2" fontId="8" fillId="4" borderId="12" xfId="0" applyNumberFormat="1" applyFont="1" applyFill="1" applyBorder="1" applyAlignment="1">
      <alignment horizontal="right"/>
    </xf>
    <xf numFmtId="2" fontId="8" fillId="4" borderId="13" xfId="0" applyNumberFormat="1" applyFont="1" applyFill="1" applyBorder="1" applyAlignment="1">
      <alignment horizontal="right"/>
    </xf>
    <xf numFmtId="0" fontId="8" fillId="4" borderId="13" xfId="0" applyFont="1" applyFill="1" applyBorder="1" applyAlignment="1">
      <alignment horizontal="center"/>
    </xf>
    <xf numFmtId="2" fontId="8" fillId="4" borderId="14" xfId="0" applyNumberFormat="1" applyFont="1" applyFill="1" applyBorder="1" applyAlignment="1">
      <alignment horizontal="right"/>
    </xf>
    <xf numFmtId="0" fontId="8" fillId="4" borderId="12" xfId="0" applyFont="1" applyFill="1" applyBorder="1"/>
    <xf numFmtId="0" fontId="8" fillId="4" borderId="13" xfId="0" applyFont="1" applyFill="1" applyBorder="1" applyAlignment="1">
      <alignment horizontal="left"/>
    </xf>
    <xf numFmtId="0" fontId="8" fillId="4" borderId="13" xfId="0" applyFont="1" applyFill="1" applyBorder="1"/>
    <xf numFmtId="0" fontId="8" fillId="4" borderId="14" xfId="0" applyFont="1" applyFill="1" applyBorder="1"/>
    <xf numFmtId="0" fontId="8" fillId="0" borderId="6" xfId="0" applyFont="1" applyFill="1" applyBorder="1" applyAlignment="1">
      <alignment horizontal="center"/>
    </xf>
    <xf numFmtId="0" fontId="8" fillId="0" borderId="11" xfId="0" applyFont="1" applyFill="1" applyBorder="1" applyAlignment="1">
      <alignment horizontal="center"/>
    </xf>
    <xf numFmtId="0" fontId="8" fillId="0" borderId="15" xfId="0" applyFont="1" applyFill="1" applyBorder="1" applyAlignment="1">
      <alignment horizontal="center"/>
    </xf>
    <xf numFmtId="0" fontId="4" fillId="3" borderId="15" xfId="0" applyFont="1" applyFill="1" applyBorder="1"/>
    <xf numFmtId="2" fontId="8" fillId="4" borderId="2" xfId="0" applyNumberFormat="1" applyFont="1" applyFill="1" applyBorder="1" applyAlignment="1">
      <alignment horizontal="center" vertical="center"/>
    </xf>
    <xf numFmtId="164" fontId="6" fillId="0" borderId="2" xfId="1" applyNumberFormat="1" applyFont="1" applyFill="1" applyBorder="1" applyAlignment="1">
      <alignment vertical="top"/>
    </xf>
    <xf numFmtId="3" fontId="6" fillId="0" borderId="0" xfId="0" applyNumberFormat="1" applyFont="1" applyFill="1" applyAlignment="1">
      <alignment horizontal="right" vertical="top" wrapText="1"/>
    </xf>
    <xf numFmtId="1" fontId="6" fillId="0" borderId="15" xfId="0" applyNumberFormat="1" applyFont="1" applyFill="1" applyBorder="1" applyAlignment="1">
      <alignment horizontal="center" vertical="top" wrapText="1"/>
    </xf>
    <xf numFmtId="9" fontId="6" fillId="0" borderId="2" xfId="0" applyNumberFormat="1" applyFont="1" applyFill="1" applyBorder="1" applyAlignment="1">
      <alignment horizontal="center" vertical="top" wrapText="1"/>
    </xf>
    <xf numFmtId="0" fontId="6" fillId="0" borderId="2" xfId="0" applyFont="1" applyBorder="1" applyAlignment="1">
      <alignment vertical="top" wrapText="1"/>
    </xf>
    <xf numFmtId="3" fontId="6" fillId="0" borderId="0" xfId="0" applyNumberFormat="1" applyFont="1" applyFill="1" applyAlignment="1">
      <alignment vertical="top" wrapText="1"/>
    </xf>
    <xf numFmtId="1" fontId="6" fillId="0" borderId="2" xfId="0" applyNumberFormat="1" applyFont="1" applyFill="1" applyBorder="1" applyAlignment="1">
      <alignment horizontal="center" vertical="top" wrapText="1"/>
    </xf>
    <xf numFmtId="0" fontId="6" fillId="0" borderId="15" xfId="0" applyFont="1" applyFill="1" applyBorder="1" applyAlignment="1">
      <alignment horizontal="left" vertical="top" wrapText="1"/>
    </xf>
    <xf numFmtId="41" fontId="6" fillId="0" borderId="6" xfId="0" applyNumberFormat="1" applyFont="1" applyFill="1" applyBorder="1" applyAlignment="1">
      <alignment vertical="top"/>
    </xf>
    <xf numFmtId="2" fontId="6" fillId="0" borderId="6" xfId="0" applyNumberFormat="1" applyFont="1" applyFill="1" applyBorder="1" applyAlignment="1">
      <alignment horizontal="center" vertical="top"/>
    </xf>
    <xf numFmtId="41" fontId="6" fillId="0" borderId="2" xfId="0" applyNumberFormat="1" applyFont="1" applyFill="1" applyBorder="1" applyAlignment="1">
      <alignment vertical="top"/>
    </xf>
    <xf numFmtId="0" fontId="15" fillId="0" borderId="11" xfId="0" applyFont="1" applyFill="1" applyBorder="1"/>
    <xf numFmtId="0" fontId="15" fillId="0" borderId="0" xfId="0" applyFont="1" applyFill="1"/>
    <xf numFmtId="164" fontId="6" fillId="0" borderId="0" xfId="1" quotePrefix="1" applyNumberFormat="1" applyFont="1" applyFill="1" applyBorder="1" applyAlignment="1">
      <alignment vertical="top"/>
    </xf>
    <xf numFmtId="41" fontId="8" fillId="0" borderId="2" xfId="0" applyNumberFormat="1" applyFont="1" applyFill="1" applyBorder="1" applyAlignment="1">
      <alignment vertical="top"/>
    </xf>
    <xf numFmtId="3" fontId="8" fillId="0" borderId="2" xfId="0" applyNumberFormat="1" applyFont="1" applyFill="1" applyBorder="1" applyAlignment="1">
      <alignment horizontal="center" vertical="top"/>
    </xf>
    <xf numFmtId="0" fontId="8" fillId="0" borderId="2" xfId="2" applyNumberFormat="1" applyFont="1" applyFill="1" applyBorder="1" applyAlignment="1">
      <alignment horizontal="center" vertical="top"/>
    </xf>
    <xf numFmtId="0" fontId="8" fillId="0" borderId="2" xfId="2" applyNumberFormat="1" applyFont="1" applyFill="1" applyBorder="1" applyAlignment="1">
      <alignment horizontal="center" vertical="top" wrapText="1"/>
    </xf>
    <xf numFmtId="0" fontId="8" fillId="0" borderId="2" xfId="2" quotePrefix="1" applyNumberFormat="1" applyFont="1" applyFill="1" applyBorder="1" applyAlignment="1">
      <alignment horizontal="center" vertical="top"/>
    </xf>
    <xf numFmtId="1" fontId="6" fillId="0" borderId="2" xfId="2" applyNumberFormat="1" applyFont="1" applyFill="1" applyBorder="1" applyAlignment="1">
      <alignment horizontal="center" vertical="top"/>
    </xf>
    <xf numFmtId="0" fontId="8" fillId="0" borderId="2" xfId="0" quotePrefix="1" applyFont="1" applyFill="1" applyBorder="1" applyAlignment="1">
      <alignment horizontal="center" vertical="top" wrapText="1"/>
    </xf>
    <xf numFmtId="164" fontId="8" fillId="0" borderId="2" xfId="1" applyNumberFormat="1" applyFont="1" applyFill="1" applyBorder="1" applyAlignment="1">
      <alignment horizontal="right" vertical="top"/>
    </xf>
    <xf numFmtId="164" fontId="8" fillId="6" borderId="6" xfId="1" applyNumberFormat="1" applyFont="1" applyFill="1" applyBorder="1" applyAlignment="1">
      <alignment vertical="top" wrapText="1"/>
    </xf>
    <xf numFmtId="0" fontId="8" fillId="0" borderId="14" xfId="0" applyFont="1" applyFill="1" applyBorder="1" applyAlignment="1">
      <alignment vertical="top" wrapText="1"/>
    </xf>
    <xf numFmtId="0" fontId="8" fillId="0" borderId="2" xfId="0" applyFont="1" applyFill="1" applyBorder="1" applyAlignment="1">
      <alignment vertical="top" wrapText="1"/>
    </xf>
    <xf numFmtId="1" fontId="8" fillId="0" borderId="2" xfId="0" quotePrefix="1" applyNumberFormat="1" applyFont="1" applyFill="1" applyBorder="1" applyAlignment="1">
      <alignment horizontal="center" vertical="top" wrapText="1"/>
    </xf>
    <xf numFmtId="2" fontId="6" fillId="0" borderId="2" xfId="2" applyNumberFormat="1" applyFont="1" applyFill="1" applyBorder="1" applyAlignment="1">
      <alignment horizontal="center" vertical="top" wrapText="1"/>
    </xf>
    <xf numFmtId="2" fontId="6" fillId="0" borderId="2" xfId="2" applyNumberFormat="1" applyFont="1" applyFill="1" applyBorder="1" applyAlignment="1">
      <alignment horizontal="center" vertical="top"/>
    </xf>
    <xf numFmtId="41" fontId="8" fillId="0" borderId="6" xfId="2" applyFont="1" applyFill="1" applyBorder="1" applyAlignment="1">
      <alignment vertical="top"/>
    </xf>
    <xf numFmtId="164" fontId="8" fillId="0" borderId="6" xfId="1" quotePrefix="1" applyNumberFormat="1" applyFont="1" applyFill="1" applyBorder="1" applyAlignment="1">
      <alignment vertical="top"/>
    </xf>
    <xf numFmtId="41" fontId="8" fillId="0" borderId="6" xfId="0" applyNumberFormat="1" applyFont="1" applyFill="1" applyBorder="1" applyAlignment="1">
      <alignment horizontal="center" vertical="top"/>
    </xf>
    <xf numFmtId="2" fontId="8" fillId="0" borderId="6" xfId="0" applyNumberFormat="1" applyFont="1" applyFill="1" applyBorder="1" applyAlignment="1">
      <alignment horizontal="center" vertical="top"/>
    </xf>
    <xf numFmtId="0" fontId="8" fillId="0" borderId="6" xfId="0" applyFont="1" applyFill="1" applyBorder="1" applyAlignment="1">
      <alignment horizontal="center" vertical="top"/>
    </xf>
    <xf numFmtId="41" fontId="8" fillId="0" borderId="6" xfId="0" applyNumberFormat="1" applyFont="1" applyFill="1" applyBorder="1" applyAlignment="1">
      <alignment vertical="top"/>
    </xf>
    <xf numFmtId="0" fontId="8" fillId="0" borderId="6" xfId="0" applyFont="1" applyFill="1" applyBorder="1" applyAlignment="1">
      <alignment horizontal="left" vertical="top" wrapText="1"/>
    </xf>
    <xf numFmtId="0" fontId="8" fillId="0" borderId="15" xfId="0" applyFont="1" applyFill="1" applyBorder="1" applyAlignment="1">
      <alignment horizontal="left" vertical="top" wrapText="1"/>
    </xf>
    <xf numFmtId="164" fontId="8" fillId="0" borderId="15" xfId="1" applyNumberFormat="1" applyFont="1" applyFill="1" applyBorder="1" applyAlignment="1">
      <alignment vertical="top"/>
    </xf>
    <xf numFmtId="164" fontId="8" fillId="0" borderId="6" xfId="1" applyNumberFormat="1" applyFont="1" applyFill="1" applyBorder="1" applyAlignment="1">
      <alignment vertical="top"/>
    </xf>
    <xf numFmtId="164" fontId="6" fillId="0" borderId="6" xfId="1" quotePrefix="1" applyNumberFormat="1" applyFont="1" applyFill="1" applyBorder="1" applyAlignment="1">
      <alignment vertical="top"/>
    </xf>
    <xf numFmtId="41" fontId="6" fillId="0" borderId="6" xfId="0" applyNumberFormat="1" applyFont="1" applyFill="1" applyBorder="1" applyAlignment="1">
      <alignment horizontal="center" vertical="top"/>
    </xf>
    <xf numFmtId="41" fontId="6" fillId="0" borderId="15" xfId="2" applyFont="1" applyFill="1" applyBorder="1" applyAlignment="1">
      <alignment vertical="top"/>
    </xf>
    <xf numFmtId="164" fontId="6" fillId="0" borderId="15" xfId="1" quotePrefix="1" applyNumberFormat="1" applyFont="1" applyFill="1" applyBorder="1" applyAlignment="1">
      <alignment vertical="top"/>
    </xf>
    <xf numFmtId="41" fontId="6" fillId="0" borderId="15" xfId="0" applyNumberFormat="1" applyFont="1" applyFill="1" applyBorder="1" applyAlignment="1">
      <alignment horizontal="center" vertical="top"/>
    </xf>
    <xf numFmtId="41" fontId="6" fillId="0" borderId="15" xfId="0" applyNumberFormat="1" applyFont="1" applyFill="1" applyBorder="1" applyAlignment="1">
      <alignment vertical="top"/>
    </xf>
    <xf numFmtId="1" fontId="6" fillId="0" borderId="15" xfId="0" applyNumberFormat="1" applyFont="1" applyFill="1" applyBorder="1" applyAlignment="1">
      <alignment horizontal="center" vertical="top"/>
    </xf>
    <xf numFmtId="0" fontId="6" fillId="0" borderId="15" xfId="0" applyFont="1" applyFill="1" applyBorder="1" applyAlignment="1">
      <alignment horizontal="center" vertical="top"/>
    </xf>
    <xf numFmtId="41" fontId="6" fillId="0" borderId="0" xfId="2" applyFont="1" applyFill="1" applyAlignment="1">
      <alignment vertical="top" wrapText="1"/>
    </xf>
    <xf numFmtId="41" fontId="6" fillId="0" borderId="0" xfId="2" applyFont="1" applyFill="1" applyAlignment="1">
      <alignment vertical="top"/>
    </xf>
    <xf numFmtId="0" fontId="8" fillId="7" borderId="2" xfId="0" applyFont="1" applyFill="1" applyBorder="1" applyAlignment="1">
      <alignment horizontal="left" vertical="top" wrapText="1"/>
    </xf>
    <xf numFmtId="0" fontId="8" fillId="7" borderId="14" xfId="0" applyFont="1" applyFill="1" applyBorder="1" applyAlignment="1">
      <alignment vertical="top" wrapText="1"/>
    </xf>
    <xf numFmtId="0" fontId="6" fillId="7" borderId="2" xfId="0" applyFont="1" applyFill="1" applyBorder="1" applyAlignment="1">
      <alignment horizontal="left" vertical="top" wrapText="1"/>
    </xf>
    <xf numFmtId="0" fontId="8" fillId="7" borderId="6" xfId="0" applyFont="1" applyFill="1" applyBorder="1" applyAlignment="1">
      <alignment horizontal="left" vertical="top" wrapText="1"/>
    </xf>
    <xf numFmtId="9" fontId="8" fillId="0" borderId="15" xfId="0" applyNumberFormat="1" applyFont="1" applyFill="1" applyBorder="1" applyAlignment="1">
      <alignment horizontal="center" vertical="top"/>
    </xf>
    <xf numFmtId="0" fontId="16" fillId="0" borderId="2" xfId="0" applyFont="1" applyFill="1" applyBorder="1" applyAlignment="1">
      <alignment vertical="top" wrapText="1"/>
    </xf>
    <xf numFmtId="164" fontId="6" fillId="0" borderId="11" xfId="1" quotePrefix="1" applyNumberFormat="1" applyFont="1" applyFill="1" applyBorder="1" applyAlignment="1">
      <alignment vertical="top"/>
    </xf>
    <xf numFmtId="41" fontId="6" fillId="0" borderId="11" xfId="0" applyNumberFormat="1" applyFont="1" applyFill="1" applyBorder="1" applyAlignment="1">
      <alignment horizontal="center" vertical="top"/>
    </xf>
    <xf numFmtId="2" fontId="6" fillId="0" borderId="11" xfId="0" applyNumberFormat="1" applyFont="1" applyFill="1" applyBorder="1" applyAlignment="1">
      <alignment horizontal="center" vertical="top"/>
    </xf>
    <xf numFmtId="41" fontId="6" fillId="0" borderId="11" xfId="0" applyNumberFormat="1" applyFont="1" applyFill="1" applyBorder="1" applyAlignment="1">
      <alignment vertical="top"/>
    </xf>
    <xf numFmtId="2" fontId="6" fillId="0" borderId="15" xfId="0" applyNumberFormat="1" applyFont="1" applyFill="1" applyBorder="1" applyAlignment="1">
      <alignment horizontal="center" vertical="top"/>
    </xf>
    <xf numFmtId="164" fontId="8" fillId="6" borderId="2" xfId="1" applyNumberFormat="1" applyFont="1" applyFill="1" applyBorder="1" applyAlignment="1">
      <alignment horizontal="right" vertical="top" wrapText="1"/>
    </xf>
    <xf numFmtId="164" fontId="8" fillId="0" borderId="6" xfId="1" applyNumberFormat="1" applyFont="1" applyFill="1" applyBorder="1" applyAlignment="1">
      <alignment vertical="top" wrapText="1"/>
    </xf>
    <xf numFmtId="43" fontId="6" fillId="0" borderId="15" xfId="1" quotePrefix="1" applyNumberFormat="1" applyFont="1" applyFill="1" applyBorder="1" applyAlignment="1">
      <alignment vertical="top"/>
    </xf>
    <xf numFmtId="164" fontId="16" fillId="0" borderId="0" xfId="3" applyNumberFormat="1" applyFont="1" applyFill="1" applyBorder="1" applyAlignment="1">
      <alignment vertical="top"/>
    </xf>
    <xf numFmtId="2" fontId="19" fillId="0" borderId="2" xfId="0" applyNumberFormat="1" applyFont="1" applyFill="1" applyBorder="1" applyAlignment="1">
      <alignment horizontal="center" vertical="top" wrapText="1"/>
    </xf>
    <xf numFmtId="0" fontId="6" fillId="3" borderId="9"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2" xfId="0" applyFont="1" applyFill="1" applyBorder="1" applyAlignment="1">
      <alignment horizontal="center" vertical="top" wrapText="1"/>
    </xf>
    <xf numFmtId="41" fontId="8" fillId="0" borderId="0" xfId="0" applyNumberFormat="1" applyFont="1" applyFill="1"/>
    <xf numFmtId="164" fontId="8" fillId="0" borderId="0" xfId="0" applyNumberFormat="1" applyFont="1" applyFill="1"/>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5" fillId="0" borderId="1" xfId="0" applyFont="1" applyFill="1" applyBorder="1" applyAlignment="1">
      <alignment horizontal="left"/>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2" fillId="0" borderId="0" xfId="0" applyFont="1" applyFill="1" applyAlignment="1">
      <alignment horizontal="center"/>
    </xf>
    <xf numFmtId="0" fontId="2" fillId="0" borderId="0" xfId="0" applyFont="1" applyFill="1" applyAlignment="1">
      <alignment horizontal="center" vertical="top"/>
    </xf>
    <xf numFmtId="0" fontId="5" fillId="0" borderId="0" xfId="0" applyFont="1" applyFill="1" applyAlignment="1">
      <alignment horizontal="left" vertical="top"/>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3" borderId="12" xfId="0" applyFont="1" applyFill="1" applyBorder="1" applyAlignment="1">
      <alignment horizontal="center"/>
    </xf>
    <xf numFmtId="0" fontId="6" fillId="3" borderId="13" xfId="0" applyFont="1" applyFill="1" applyBorder="1" applyAlignment="1">
      <alignment horizontal="center"/>
    </xf>
    <xf numFmtId="0" fontId="6" fillId="3" borderId="14" xfId="0" applyFont="1" applyFill="1" applyBorder="1" applyAlignment="1">
      <alignment horizontal="center"/>
    </xf>
    <xf numFmtId="0" fontId="6" fillId="3" borderId="12" xfId="0" applyFont="1" applyFill="1" applyBorder="1" applyAlignment="1">
      <alignment horizontal="center" vertical="top" wrapText="1"/>
    </xf>
    <xf numFmtId="0" fontId="6" fillId="3" borderId="13" xfId="0" applyFont="1" applyFill="1" applyBorder="1" applyAlignment="1">
      <alignment horizontal="center" vertical="top" wrapText="1"/>
    </xf>
    <xf numFmtId="0" fontId="6" fillId="3" borderId="14" xfId="0" applyFont="1" applyFill="1" applyBorder="1" applyAlignment="1">
      <alignment horizontal="center" vertical="top" wrapText="1"/>
    </xf>
    <xf numFmtId="0" fontId="6" fillId="2" borderId="6"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2" xfId="0" applyFont="1" applyFill="1" applyBorder="1" applyAlignment="1">
      <alignment horizontal="center" vertical="top"/>
    </xf>
    <xf numFmtId="0" fontId="6" fillId="3" borderId="14" xfId="0" applyFont="1" applyFill="1" applyBorder="1" applyAlignment="1">
      <alignment horizontal="center" vertical="top"/>
    </xf>
    <xf numFmtId="0" fontId="6" fillId="3" borderId="10" xfId="0" applyFont="1" applyFill="1" applyBorder="1" applyAlignment="1">
      <alignment horizontal="center" vertical="center"/>
    </xf>
    <xf numFmtId="0" fontId="8" fillId="4" borderId="2" xfId="0" applyFont="1" applyFill="1" applyBorder="1" applyAlignment="1">
      <alignment horizontal="left" vertical="top"/>
    </xf>
    <xf numFmtId="0" fontId="8" fillId="0" borderId="6" xfId="0" applyFont="1" applyFill="1" applyBorder="1" applyAlignment="1">
      <alignment horizontal="center" wrapText="1"/>
    </xf>
    <xf numFmtId="0" fontId="8" fillId="0" borderId="11" xfId="0" applyFont="1" applyFill="1" applyBorder="1" applyAlignment="1">
      <alignment horizontal="center" wrapText="1"/>
    </xf>
    <xf numFmtId="0" fontId="8" fillId="0" borderId="15" xfId="0" applyFont="1" applyFill="1" applyBorder="1" applyAlignment="1">
      <alignment horizontal="center" wrapText="1"/>
    </xf>
    <xf numFmtId="0" fontId="8" fillId="0" borderId="3" xfId="0" applyFont="1" applyFill="1" applyBorder="1" applyAlignment="1">
      <alignment horizontal="center" wrapText="1"/>
    </xf>
    <xf numFmtId="0" fontId="8" fillId="0" borderId="7" xfId="0" applyFont="1" applyFill="1" applyBorder="1" applyAlignment="1">
      <alignment horizontal="center" wrapText="1"/>
    </xf>
    <xf numFmtId="0" fontId="8" fillId="0" borderId="9" xfId="0" applyFont="1" applyFill="1" applyBorder="1" applyAlignment="1">
      <alignment horizontal="center" wrapText="1"/>
    </xf>
    <xf numFmtId="0" fontId="8" fillId="0" borderId="6" xfId="0" applyFont="1" applyFill="1" applyBorder="1" applyAlignment="1">
      <alignment horizontal="center"/>
    </xf>
    <xf numFmtId="0" fontId="8" fillId="0" borderId="11" xfId="0" applyFont="1" applyFill="1" applyBorder="1" applyAlignment="1">
      <alignment horizontal="center"/>
    </xf>
    <xf numFmtId="0" fontId="8" fillId="0" borderId="15" xfId="0" applyFont="1" applyFill="1" applyBorder="1" applyAlignment="1">
      <alignment horizontal="center"/>
    </xf>
    <xf numFmtId="0" fontId="8" fillId="0" borderId="6" xfId="0" applyFont="1" applyFill="1" applyBorder="1" applyAlignment="1">
      <alignment horizontal="center" vertical="top" wrapText="1"/>
    </xf>
    <xf numFmtId="0" fontId="8" fillId="0" borderId="11" xfId="0" applyFont="1" applyFill="1" applyBorder="1" applyAlignment="1">
      <alignment horizontal="center" vertical="top" wrapText="1"/>
    </xf>
    <xf numFmtId="0" fontId="8" fillId="0" borderId="15" xfId="0" applyFont="1" applyFill="1" applyBorder="1" applyAlignment="1">
      <alignment horizontal="center" vertical="top" wrapText="1"/>
    </xf>
    <xf numFmtId="0" fontId="8" fillId="0" borderId="3" xfId="0" applyFont="1" applyFill="1" applyBorder="1" applyAlignment="1">
      <alignment horizontal="center" vertical="top" wrapText="1"/>
    </xf>
    <xf numFmtId="0" fontId="8" fillId="0" borderId="5" xfId="0" applyFont="1" applyFill="1" applyBorder="1" applyAlignment="1">
      <alignment horizontal="center" vertical="top" wrapText="1"/>
    </xf>
    <xf numFmtId="0" fontId="8" fillId="0" borderId="7" xfId="0" applyFont="1" applyFill="1" applyBorder="1" applyAlignment="1">
      <alignment horizontal="center" vertical="top" wrapText="1"/>
    </xf>
    <xf numFmtId="0" fontId="8" fillId="0" borderId="8" xfId="0" applyFont="1" applyFill="1" applyBorder="1" applyAlignment="1">
      <alignment horizontal="center" vertical="top" wrapText="1"/>
    </xf>
    <xf numFmtId="0" fontId="8" fillId="0" borderId="9" xfId="0" applyFont="1" applyFill="1" applyBorder="1" applyAlignment="1">
      <alignment horizontal="center" vertical="top" wrapText="1"/>
    </xf>
    <xf numFmtId="0" fontId="8" fillId="0" borderId="10" xfId="0" applyFont="1" applyFill="1" applyBorder="1" applyAlignment="1">
      <alignment horizontal="center" vertical="top" wrapText="1"/>
    </xf>
    <xf numFmtId="0" fontId="8" fillId="4" borderId="12" xfId="0" applyFont="1" applyFill="1" applyBorder="1" applyAlignment="1">
      <alignment horizontal="right"/>
    </xf>
    <xf numFmtId="0" fontId="8" fillId="4" borderId="13" xfId="0" applyFont="1" applyFill="1" applyBorder="1" applyAlignment="1">
      <alignment horizontal="right"/>
    </xf>
    <xf numFmtId="0" fontId="6" fillId="3" borderId="11"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2" xfId="0" applyFont="1" applyFill="1" applyBorder="1" applyAlignment="1">
      <alignment horizontal="center" vertical="center"/>
    </xf>
    <xf numFmtId="0" fontId="8" fillId="0" borderId="0" xfId="0" applyFont="1" applyFill="1" applyAlignment="1">
      <alignment horizontal="center"/>
    </xf>
    <xf numFmtId="0" fontId="13" fillId="0" borderId="0" xfId="0" applyFont="1" applyFill="1" applyAlignment="1">
      <alignment horizontal="center"/>
    </xf>
    <xf numFmtId="0" fontId="8" fillId="0" borderId="0" xfId="0" applyFont="1" applyFill="1" applyAlignment="1">
      <alignment horizontal="center" vertical="top"/>
    </xf>
    <xf numFmtId="2" fontId="20" fillId="0" borderId="2" xfId="0" applyNumberFormat="1" applyFont="1" applyFill="1" applyBorder="1" applyAlignment="1">
      <alignment horizontal="center" vertical="top" wrapText="1"/>
    </xf>
    <xf numFmtId="0" fontId="6" fillId="0" borderId="6"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5" xfId="0" applyFont="1" applyFill="1" applyBorder="1" applyAlignment="1">
      <alignment horizontal="center" vertical="center"/>
    </xf>
  </cellXfs>
  <cellStyles count="4">
    <cellStyle name="Comma" xfId="1" builtinId="3"/>
    <cellStyle name="Comma [0]" xfId="2" builtinId="6"/>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1183823</xdr:colOff>
      <xdr:row>97</xdr:row>
      <xdr:rowOff>88446</xdr:rowOff>
    </xdr:from>
    <xdr:to>
      <xdr:col>21</xdr:col>
      <xdr:colOff>234014</xdr:colOff>
      <xdr:row>105</xdr:row>
      <xdr:rowOff>254759</xdr:rowOff>
    </xdr:to>
    <xdr:pic>
      <xdr:nvPicPr>
        <xdr:cNvPr id="4" name="Picture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a:stretch>
          <a:fillRect/>
        </a:stretch>
      </xdr:blipFill>
      <xdr:spPr>
        <a:xfrm>
          <a:off x="17961430" y="109993339"/>
          <a:ext cx="2597121" cy="224820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AK107"/>
  <sheetViews>
    <sheetView tabSelected="1" showRuler="0" topLeftCell="C7" zoomScale="60" zoomScaleNormal="60" zoomScalePageLayoutView="55" workbookViewId="0">
      <selection activeCell="A100" sqref="A100"/>
    </sheetView>
  </sheetViews>
  <sheetFormatPr defaultColWidth="9.140625" defaultRowHeight="14.25" x14ac:dyDescent="0.2"/>
  <cols>
    <col min="1" max="1" width="6.42578125" style="2" customWidth="1"/>
    <col min="2" max="2" width="34.85546875" style="2" bestFit="1" customWidth="1"/>
    <col min="3" max="3" width="33.140625" style="2" customWidth="1"/>
    <col min="4" max="4" width="28.140625" style="2" customWidth="1"/>
    <col min="5" max="5" width="9" style="2" customWidth="1"/>
    <col min="6" max="6" width="13.85546875" style="2" customWidth="1"/>
    <col min="7" max="7" width="24.5703125" style="2" customWidth="1"/>
    <col min="8" max="8" width="9.42578125" style="2" customWidth="1"/>
    <col min="9" max="9" width="30" style="2" customWidth="1"/>
    <col min="10" max="10" width="11.42578125" style="2" customWidth="1"/>
    <col min="11" max="11" width="26.140625" style="2" customWidth="1"/>
    <col min="12" max="12" width="9.42578125" style="2" customWidth="1"/>
    <col min="13" max="13" width="27.5703125" style="2" customWidth="1"/>
    <col min="14" max="14" width="9.7109375" style="2" customWidth="1"/>
    <col min="15" max="15" width="23.42578125" style="2" bestFit="1" customWidth="1"/>
    <col min="16" max="16" width="7.7109375" style="2" customWidth="1"/>
    <col min="17" max="17" width="23.42578125" style="2" bestFit="1" customWidth="1"/>
    <col min="18" max="18" width="9" style="2" customWidth="1"/>
    <col min="19" max="19" width="23.42578125" style="2" bestFit="1" customWidth="1"/>
    <col min="20" max="20" width="9.28515625" style="2" customWidth="1"/>
    <col min="21" max="21" width="20.5703125" style="2" bestFit="1" customWidth="1"/>
    <col min="22" max="22" width="5.5703125" style="4" customWidth="1"/>
    <col min="23" max="23" width="25.5703125" style="2" bestFit="1" customWidth="1"/>
    <col min="24" max="24" width="17" style="2" bestFit="1" customWidth="1"/>
    <col min="25" max="25" width="5.5703125" style="4" customWidth="1"/>
    <col min="26" max="26" width="9.5703125" style="2" customWidth="1"/>
    <col min="27" max="27" width="25.140625" style="2" bestFit="1" customWidth="1"/>
    <col min="28" max="28" width="8" style="2" customWidth="1"/>
    <col min="29" max="29" width="5.5703125" style="4" customWidth="1"/>
    <col min="30" max="30" width="10.85546875" style="2" customWidth="1"/>
    <col min="31" max="31" width="15" style="2" customWidth="1"/>
    <col min="32" max="32" width="9.140625" style="2"/>
    <col min="33" max="37" width="19.5703125" style="2" customWidth="1"/>
    <col min="38" max="16384" width="9.140625" style="2"/>
  </cols>
  <sheetData>
    <row r="1" spans="1:37" ht="23.25" x14ac:dyDescent="0.35">
      <c r="A1" s="148" t="s">
        <v>0</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
    </row>
    <row r="2" spans="1:37" ht="23.25" x14ac:dyDescent="0.35">
      <c r="A2" s="148" t="s">
        <v>1</v>
      </c>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3"/>
    </row>
    <row r="3" spans="1:37" ht="23.25" x14ac:dyDescent="0.35">
      <c r="A3" s="148" t="s">
        <v>55</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3"/>
    </row>
    <row r="4" spans="1:37" ht="23.25" x14ac:dyDescent="0.35">
      <c r="A4" s="149" t="s">
        <v>219</v>
      </c>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
    </row>
    <row r="5" spans="1:37" ht="18" x14ac:dyDescent="0.2">
      <c r="A5" s="150" t="s">
        <v>2</v>
      </c>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row>
    <row r="6" spans="1:37" ht="18" x14ac:dyDescent="0.25">
      <c r="A6" s="144" t="s">
        <v>55</v>
      </c>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row>
    <row r="7" spans="1:37" ht="81" customHeight="1" x14ac:dyDescent="0.2">
      <c r="A7" s="151" t="s">
        <v>3</v>
      </c>
      <c r="B7" s="151" t="s">
        <v>4</v>
      </c>
      <c r="C7" s="152" t="s">
        <v>5</v>
      </c>
      <c r="D7" s="152" t="s">
        <v>6</v>
      </c>
      <c r="E7" s="138" t="s">
        <v>7</v>
      </c>
      <c r="F7" s="153"/>
      <c r="G7" s="139"/>
      <c r="H7" s="138" t="s">
        <v>134</v>
      </c>
      <c r="I7" s="139"/>
      <c r="J7" s="138" t="s">
        <v>131</v>
      </c>
      <c r="K7" s="153"/>
      <c r="L7" s="138" t="s">
        <v>8</v>
      </c>
      <c r="M7" s="153"/>
      <c r="N7" s="153"/>
      <c r="O7" s="153"/>
      <c r="P7" s="153"/>
      <c r="Q7" s="153"/>
      <c r="R7" s="153"/>
      <c r="S7" s="139"/>
      <c r="T7" s="138" t="s">
        <v>59</v>
      </c>
      <c r="U7" s="153"/>
      <c r="V7" s="153"/>
      <c r="W7" s="153"/>
      <c r="X7" s="153"/>
      <c r="Y7" s="139"/>
      <c r="Z7" s="138" t="s">
        <v>132</v>
      </c>
      <c r="AA7" s="139"/>
      <c r="AB7" s="138" t="s">
        <v>133</v>
      </c>
      <c r="AC7" s="153"/>
      <c r="AD7" s="153"/>
      <c r="AE7" s="162" t="s">
        <v>9</v>
      </c>
      <c r="AG7" s="4"/>
      <c r="AH7" s="4"/>
      <c r="AI7" s="4"/>
      <c r="AJ7" s="4"/>
      <c r="AK7" s="4"/>
    </row>
    <row r="8" spans="1:37" ht="18" customHeight="1" x14ac:dyDescent="0.2">
      <c r="A8" s="151"/>
      <c r="B8" s="151"/>
      <c r="C8" s="152"/>
      <c r="D8" s="152"/>
      <c r="E8" s="140"/>
      <c r="F8" s="154"/>
      <c r="G8" s="141"/>
      <c r="H8" s="140"/>
      <c r="I8" s="141"/>
      <c r="J8" s="142"/>
      <c r="K8" s="155"/>
      <c r="L8" s="142"/>
      <c r="M8" s="155"/>
      <c r="N8" s="155"/>
      <c r="O8" s="155"/>
      <c r="P8" s="155"/>
      <c r="Q8" s="155"/>
      <c r="R8" s="155"/>
      <c r="S8" s="143"/>
      <c r="T8" s="142"/>
      <c r="U8" s="155"/>
      <c r="V8" s="155"/>
      <c r="W8" s="155"/>
      <c r="X8" s="155"/>
      <c r="Y8" s="143"/>
      <c r="Z8" s="142"/>
      <c r="AA8" s="143"/>
      <c r="AB8" s="142"/>
      <c r="AC8" s="155"/>
      <c r="AD8" s="155"/>
      <c r="AE8" s="163"/>
    </row>
    <row r="9" spans="1:37" ht="15.75" customHeight="1" x14ac:dyDescent="0.2">
      <c r="A9" s="151"/>
      <c r="B9" s="151"/>
      <c r="C9" s="152"/>
      <c r="D9" s="152"/>
      <c r="E9" s="142"/>
      <c r="F9" s="155"/>
      <c r="G9" s="143"/>
      <c r="H9" s="142"/>
      <c r="I9" s="143"/>
      <c r="J9" s="164">
        <v>2022</v>
      </c>
      <c r="K9" s="165"/>
      <c r="L9" s="145" t="s">
        <v>10</v>
      </c>
      <c r="M9" s="147"/>
      <c r="N9" s="145" t="s">
        <v>11</v>
      </c>
      <c r="O9" s="147"/>
      <c r="P9" s="145" t="s">
        <v>12</v>
      </c>
      <c r="Q9" s="147"/>
      <c r="R9" s="145" t="s">
        <v>13</v>
      </c>
      <c r="S9" s="147"/>
      <c r="T9" s="145">
        <v>2022</v>
      </c>
      <c r="U9" s="146"/>
      <c r="V9" s="146"/>
      <c r="W9" s="146"/>
      <c r="X9" s="146"/>
      <c r="Y9" s="147"/>
      <c r="Z9" s="145">
        <v>2022</v>
      </c>
      <c r="AA9" s="147"/>
      <c r="AB9" s="145">
        <v>2022</v>
      </c>
      <c r="AC9" s="146"/>
      <c r="AD9" s="147"/>
      <c r="AE9" s="5"/>
    </row>
    <row r="10" spans="1:37" ht="15.75" x14ac:dyDescent="0.25">
      <c r="A10" s="201">
        <v>1</v>
      </c>
      <c r="B10" s="201">
        <v>2</v>
      </c>
      <c r="C10" s="166">
        <v>3</v>
      </c>
      <c r="D10" s="166">
        <v>4</v>
      </c>
      <c r="E10" s="159">
        <v>5</v>
      </c>
      <c r="F10" s="160"/>
      <c r="G10" s="161"/>
      <c r="H10" s="159">
        <v>6</v>
      </c>
      <c r="I10" s="161"/>
      <c r="J10" s="170">
        <v>7</v>
      </c>
      <c r="K10" s="171"/>
      <c r="L10" s="170">
        <v>8</v>
      </c>
      <c r="M10" s="171"/>
      <c r="N10" s="170">
        <v>9</v>
      </c>
      <c r="O10" s="171"/>
      <c r="P10" s="170">
        <v>10</v>
      </c>
      <c r="Q10" s="171"/>
      <c r="R10" s="170">
        <v>11</v>
      </c>
      <c r="S10" s="171"/>
      <c r="T10" s="156">
        <v>12</v>
      </c>
      <c r="U10" s="157"/>
      <c r="V10" s="157"/>
      <c r="W10" s="157"/>
      <c r="X10" s="157"/>
      <c r="Y10" s="158"/>
      <c r="Z10" s="156">
        <v>13</v>
      </c>
      <c r="AA10" s="158"/>
      <c r="AB10" s="156">
        <v>14</v>
      </c>
      <c r="AC10" s="157"/>
      <c r="AD10" s="158"/>
      <c r="AE10" s="6">
        <v>15</v>
      </c>
    </row>
    <row r="11" spans="1:37" ht="87" customHeight="1" x14ac:dyDescent="0.2">
      <c r="A11" s="202"/>
      <c r="B11" s="202"/>
      <c r="C11" s="194"/>
      <c r="D11" s="194"/>
      <c r="E11" s="168" t="s">
        <v>14</v>
      </c>
      <c r="F11" s="195"/>
      <c r="G11" s="167" t="s">
        <v>15</v>
      </c>
      <c r="H11" s="168" t="s">
        <v>14</v>
      </c>
      <c r="I11" s="167" t="s">
        <v>15</v>
      </c>
      <c r="J11" s="168" t="s">
        <v>14</v>
      </c>
      <c r="K11" s="166" t="s">
        <v>15</v>
      </c>
      <c r="L11" s="168" t="s">
        <v>14</v>
      </c>
      <c r="M11" s="166" t="s">
        <v>15</v>
      </c>
      <c r="N11" s="168" t="s">
        <v>14</v>
      </c>
      <c r="O11" s="166" t="s">
        <v>15</v>
      </c>
      <c r="P11" s="168" t="s">
        <v>14</v>
      </c>
      <c r="Q11" s="166" t="s">
        <v>15</v>
      </c>
      <c r="R11" s="168" t="s">
        <v>14</v>
      </c>
      <c r="S11" s="166" t="s">
        <v>15</v>
      </c>
      <c r="T11" s="135" t="s">
        <v>16</v>
      </c>
      <c r="U11" s="159" t="s">
        <v>57</v>
      </c>
      <c r="V11" s="161"/>
      <c r="W11" s="7" t="s">
        <v>17</v>
      </c>
      <c r="X11" s="159" t="s">
        <v>58</v>
      </c>
      <c r="Y11" s="161"/>
      <c r="Z11" s="135" t="s">
        <v>18</v>
      </c>
      <c r="AA11" s="7" t="s">
        <v>19</v>
      </c>
      <c r="AB11" s="159" t="s">
        <v>20</v>
      </c>
      <c r="AC11" s="161"/>
      <c r="AD11" s="7" t="s">
        <v>21</v>
      </c>
      <c r="AE11" s="8"/>
    </row>
    <row r="12" spans="1:37" ht="15.75" x14ac:dyDescent="0.2">
      <c r="A12" s="203"/>
      <c r="B12" s="203"/>
      <c r="C12" s="167"/>
      <c r="D12" s="167"/>
      <c r="E12" s="169"/>
      <c r="F12" s="172"/>
      <c r="G12" s="196"/>
      <c r="H12" s="169"/>
      <c r="I12" s="196"/>
      <c r="J12" s="169"/>
      <c r="K12" s="167"/>
      <c r="L12" s="169"/>
      <c r="M12" s="167"/>
      <c r="N12" s="169"/>
      <c r="O12" s="167"/>
      <c r="P12" s="169"/>
      <c r="Q12" s="167"/>
      <c r="R12" s="169"/>
      <c r="S12" s="167"/>
      <c r="T12" s="133" t="s">
        <v>14</v>
      </c>
      <c r="U12" s="169" t="s">
        <v>14</v>
      </c>
      <c r="V12" s="172"/>
      <c r="W12" s="134" t="s">
        <v>15</v>
      </c>
      <c r="X12" s="169" t="s">
        <v>15</v>
      </c>
      <c r="Y12" s="172"/>
      <c r="Z12" s="133" t="s">
        <v>14</v>
      </c>
      <c r="AA12" s="134" t="s">
        <v>15</v>
      </c>
      <c r="AB12" s="169" t="s">
        <v>14</v>
      </c>
      <c r="AC12" s="172"/>
      <c r="AD12" s="134" t="s">
        <v>15</v>
      </c>
      <c r="AE12" s="67"/>
    </row>
    <row r="13" spans="1:37" ht="15" hidden="1" customHeight="1" x14ac:dyDescent="0.2">
      <c r="A13" s="180"/>
      <c r="B13" s="183" t="s">
        <v>22</v>
      </c>
      <c r="C13" s="174" t="s">
        <v>23</v>
      </c>
      <c r="D13" s="183" t="s">
        <v>24</v>
      </c>
      <c r="E13" s="186" t="s">
        <v>25</v>
      </c>
      <c r="F13" s="187"/>
      <c r="G13" s="180"/>
      <c r="H13" s="186" t="s">
        <v>26</v>
      </c>
      <c r="I13" s="174" t="s">
        <v>27</v>
      </c>
      <c r="J13" s="177" t="s">
        <v>28</v>
      </c>
      <c r="K13" s="174" t="s">
        <v>29</v>
      </c>
      <c r="L13" s="177" t="s">
        <v>30</v>
      </c>
      <c r="M13" s="9"/>
      <c r="N13" s="9"/>
      <c r="O13" s="9"/>
      <c r="P13" s="9"/>
      <c r="Q13" s="9"/>
      <c r="R13" s="9"/>
      <c r="S13" s="9"/>
      <c r="T13" s="9"/>
      <c r="U13" s="9"/>
      <c r="V13" s="64"/>
      <c r="W13" s="9"/>
      <c r="X13" s="9"/>
      <c r="Y13" s="64"/>
      <c r="Z13" s="9"/>
      <c r="AA13" s="9"/>
      <c r="AB13" s="9"/>
      <c r="AC13" s="10"/>
      <c r="AD13" s="9"/>
      <c r="AE13" s="11"/>
    </row>
    <row r="14" spans="1:37" ht="15" hidden="1" customHeight="1" x14ac:dyDescent="0.2">
      <c r="A14" s="181"/>
      <c r="B14" s="184"/>
      <c r="C14" s="175"/>
      <c r="D14" s="184"/>
      <c r="E14" s="188"/>
      <c r="F14" s="189"/>
      <c r="G14" s="181"/>
      <c r="H14" s="188"/>
      <c r="I14" s="175"/>
      <c r="J14" s="178"/>
      <c r="K14" s="175"/>
      <c r="L14" s="178"/>
      <c r="M14" s="12"/>
      <c r="N14" s="12"/>
      <c r="O14" s="12"/>
      <c r="P14" s="12"/>
      <c r="Q14" s="12"/>
      <c r="R14" s="12"/>
      <c r="S14" s="12"/>
      <c r="T14" s="12"/>
      <c r="U14" s="12"/>
      <c r="V14" s="65"/>
      <c r="W14" s="12"/>
      <c r="X14" s="12"/>
      <c r="Y14" s="65"/>
      <c r="Z14" s="12"/>
      <c r="AA14" s="12"/>
      <c r="AB14" s="12"/>
      <c r="AC14" s="13"/>
      <c r="AD14" s="12"/>
      <c r="AE14" s="11"/>
    </row>
    <row r="15" spans="1:37" ht="15" hidden="1" customHeight="1" x14ac:dyDescent="0.2">
      <c r="A15" s="182"/>
      <c r="B15" s="185"/>
      <c r="C15" s="176"/>
      <c r="D15" s="185"/>
      <c r="E15" s="190"/>
      <c r="F15" s="191"/>
      <c r="G15" s="182"/>
      <c r="H15" s="190"/>
      <c r="I15" s="176"/>
      <c r="J15" s="179"/>
      <c r="K15" s="176"/>
      <c r="L15" s="179"/>
      <c r="M15" s="14"/>
      <c r="N15" s="14"/>
      <c r="O15" s="14"/>
      <c r="P15" s="14"/>
      <c r="Q15" s="14"/>
      <c r="R15" s="14"/>
      <c r="S15" s="14"/>
      <c r="T15" s="14"/>
      <c r="U15" s="14"/>
      <c r="V15" s="66"/>
      <c r="W15" s="14"/>
      <c r="X15" s="14"/>
      <c r="Y15" s="66"/>
      <c r="Z15" s="14"/>
      <c r="AA15" s="14"/>
      <c r="AB15" s="14"/>
      <c r="AC15" s="15"/>
      <c r="AD15" s="14"/>
      <c r="AE15" s="11"/>
    </row>
    <row r="16" spans="1:37" ht="63" x14ac:dyDescent="0.2">
      <c r="A16" s="44">
        <v>1</v>
      </c>
      <c r="B16" s="17" t="s">
        <v>31</v>
      </c>
      <c r="C16" s="45" t="s">
        <v>66</v>
      </c>
      <c r="D16" s="73" t="s">
        <v>204</v>
      </c>
      <c r="E16" s="39">
        <f>300/3</f>
        <v>100</v>
      </c>
      <c r="F16" s="40" t="s">
        <v>54</v>
      </c>
      <c r="G16" s="107">
        <f>SUM(G18,G21,G26,G33,G37)</f>
        <v>14625212102</v>
      </c>
      <c r="H16" s="39">
        <v>100</v>
      </c>
      <c r="I16" s="107">
        <f>SUM(I18,I21,I26,I33,I37)</f>
        <v>4011748034</v>
      </c>
      <c r="J16" s="39">
        <v>100</v>
      </c>
      <c r="K16" s="107">
        <f>SUM(K18,K21,K26,K33,K37)</f>
        <v>4647545511</v>
      </c>
      <c r="L16" s="75">
        <f>100/4</f>
        <v>25</v>
      </c>
      <c r="M16" s="107">
        <f>SUM(M18,M21,M26,M33,M37)</f>
        <v>838372771</v>
      </c>
      <c r="N16" s="75">
        <f>100/4</f>
        <v>25</v>
      </c>
      <c r="O16" s="107">
        <f>SUM(O18,O21,O26,O33,O37)</f>
        <v>1057277336</v>
      </c>
      <c r="P16" s="75">
        <f>100/4</f>
        <v>25</v>
      </c>
      <c r="Q16" s="107">
        <f>SUM(Q18,Q21,Q26,Q33,Q37)</f>
        <v>995684809</v>
      </c>
      <c r="R16" s="75">
        <v>25</v>
      </c>
      <c r="S16" s="107">
        <f>SUM(S18,S21,S26,S33,S37)</f>
        <v>1556094431</v>
      </c>
      <c r="T16" s="53">
        <f t="shared" ref="T16:T21" si="0">SUM(L16,N16,P16,R16)</f>
        <v>100</v>
      </c>
      <c r="U16" s="51">
        <f t="shared" ref="U16:U24" si="1">T16/J16*100</f>
        <v>100</v>
      </c>
      <c r="V16" s="52" t="s">
        <v>54</v>
      </c>
      <c r="W16" s="108">
        <f>SUM(M16,O16,Q16,S16)</f>
        <v>4447429347</v>
      </c>
      <c r="X16" s="51">
        <f t="shared" ref="X16:X24" si="2">W16/K16*100</f>
        <v>95.694153752204102</v>
      </c>
      <c r="Y16" s="52" t="s">
        <v>54</v>
      </c>
      <c r="Z16" s="53">
        <f t="shared" ref="Z16:Z52" si="3">SUM(H16,T16)</f>
        <v>200</v>
      </c>
      <c r="AA16" s="77">
        <f t="shared" ref="AA16:AA52" si="4">SUM(I16,W16)</f>
        <v>8459177381</v>
      </c>
      <c r="AB16" s="51"/>
      <c r="AC16" s="40" t="s">
        <v>54</v>
      </c>
      <c r="AD16" s="78"/>
      <c r="AE16" s="23" t="s">
        <v>56</v>
      </c>
      <c r="AH16" s="24"/>
    </row>
    <row r="17" spans="1:34" ht="31.5" x14ac:dyDescent="0.2">
      <c r="A17" s="16"/>
      <c r="B17" s="17"/>
      <c r="C17" s="76"/>
      <c r="D17" s="73" t="s">
        <v>205</v>
      </c>
      <c r="E17" s="39">
        <f>300/3</f>
        <v>100</v>
      </c>
      <c r="F17" s="40" t="s">
        <v>54</v>
      </c>
      <c r="G17" s="110"/>
      <c r="H17" s="39">
        <v>100</v>
      </c>
      <c r="I17" s="110"/>
      <c r="J17" s="39">
        <v>100</v>
      </c>
      <c r="K17" s="110"/>
      <c r="L17" s="75">
        <f>100/4</f>
        <v>25</v>
      </c>
      <c r="M17" s="110"/>
      <c r="N17" s="75">
        <f>100/4</f>
        <v>25</v>
      </c>
      <c r="O17" s="110"/>
      <c r="P17" s="75">
        <f>100/4</f>
        <v>25</v>
      </c>
      <c r="Q17" s="110"/>
      <c r="R17" s="75">
        <v>25</v>
      </c>
      <c r="S17" s="110"/>
      <c r="T17" s="53">
        <f t="shared" si="0"/>
        <v>100</v>
      </c>
      <c r="U17" s="51">
        <f t="shared" ref="U17" si="5">T17/J17*100</f>
        <v>100</v>
      </c>
      <c r="V17" s="52" t="s">
        <v>54</v>
      </c>
      <c r="W17" s="124"/>
      <c r="X17" s="78"/>
      <c r="Y17" s="52"/>
      <c r="Z17" s="53">
        <f t="shared" si="3"/>
        <v>200</v>
      </c>
      <c r="AA17" s="112"/>
      <c r="AB17" s="51"/>
      <c r="AC17" s="40"/>
      <c r="AD17" s="127"/>
      <c r="AE17" s="23"/>
      <c r="AH17" s="24"/>
    </row>
    <row r="18" spans="1:34" s="81" customFormat="1" ht="63" x14ac:dyDescent="0.25">
      <c r="A18" s="16"/>
      <c r="B18" s="17"/>
      <c r="C18" s="76" t="s">
        <v>119</v>
      </c>
      <c r="D18" s="18" t="s">
        <v>192</v>
      </c>
      <c r="E18" s="39">
        <v>45</v>
      </c>
      <c r="F18" s="40" t="s">
        <v>53</v>
      </c>
      <c r="G18" s="37">
        <f>SUM(G19:G20)</f>
        <v>21379200</v>
      </c>
      <c r="H18" s="39">
        <v>15</v>
      </c>
      <c r="I18" s="37">
        <f t="shared" ref="I18:O18" si="6">SUM(I19:I20)</f>
        <v>3570550</v>
      </c>
      <c r="J18" s="39">
        <f t="shared" si="6"/>
        <v>15</v>
      </c>
      <c r="K18" s="37">
        <f>SUM(K19:K20)</f>
        <v>5639550</v>
      </c>
      <c r="L18" s="39">
        <f t="shared" si="6"/>
        <v>8</v>
      </c>
      <c r="M18" s="37">
        <f t="shared" si="6"/>
        <v>438750</v>
      </c>
      <c r="N18" s="39">
        <f t="shared" si="6"/>
        <v>0</v>
      </c>
      <c r="O18" s="37">
        <f t="shared" si="6"/>
        <v>494500</v>
      </c>
      <c r="P18" s="39">
        <f t="shared" ref="P18:Q18" si="7">SUM(P19:P20)</f>
        <v>0</v>
      </c>
      <c r="Q18" s="37">
        <f t="shared" si="7"/>
        <v>1079000</v>
      </c>
      <c r="R18" s="39">
        <v>7</v>
      </c>
      <c r="S18" s="37">
        <f t="shared" ref="S18" si="8">SUM(S19:S20)</f>
        <v>2061400</v>
      </c>
      <c r="T18" s="53">
        <f t="shared" si="0"/>
        <v>15</v>
      </c>
      <c r="U18" s="51">
        <f t="shared" si="1"/>
        <v>100</v>
      </c>
      <c r="V18" s="40" t="s">
        <v>54</v>
      </c>
      <c r="W18" s="77">
        <f t="shared" ref="W18:W24" si="9">SUM(M18,O18,Q18,S18)</f>
        <v>4073650</v>
      </c>
      <c r="X18" s="78">
        <f t="shared" si="2"/>
        <v>72.233600198597401</v>
      </c>
      <c r="Y18" s="40" t="s">
        <v>54</v>
      </c>
      <c r="Z18" s="53">
        <f t="shared" si="3"/>
        <v>30</v>
      </c>
      <c r="AA18" s="79">
        <f t="shared" si="4"/>
        <v>7644200</v>
      </c>
      <c r="AB18" s="51"/>
      <c r="AC18" s="40" t="s">
        <v>54</v>
      </c>
      <c r="AD18" s="51"/>
      <c r="AE18" s="80"/>
      <c r="AH18" s="82"/>
    </row>
    <row r="19" spans="1:34" ht="45" x14ac:dyDescent="0.2">
      <c r="A19" s="16"/>
      <c r="B19" s="17"/>
      <c r="C19" s="25" t="s">
        <v>67</v>
      </c>
      <c r="D19" s="25" t="s">
        <v>143</v>
      </c>
      <c r="E19" s="19">
        <v>30</v>
      </c>
      <c r="F19" s="20" t="s">
        <v>53</v>
      </c>
      <c r="G19" s="46">
        <v>18177000</v>
      </c>
      <c r="H19" s="19">
        <v>10</v>
      </c>
      <c r="I19" s="21">
        <v>2859450</v>
      </c>
      <c r="J19" s="19">
        <v>10</v>
      </c>
      <c r="K19" s="22">
        <v>4601100</v>
      </c>
      <c r="L19" s="19">
        <v>7</v>
      </c>
      <c r="M19" s="22">
        <v>438750</v>
      </c>
      <c r="N19" s="19">
        <v>0</v>
      </c>
      <c r="O19" s="22">
        <v>494500</v>
      </c>
      <c r="P19" s="19">
        <v>0</v>
      </c>
      <c r="Q19" s="22">
        <v>664500</v>
      </c>
      <c r="R19" s="19">
        <v>3</v>
      </c>
      <c r="S19" s="22">
        <v>2061400</v>
      </c>
      <c r="T19" s="54">
        <f t="shared" si="0"/>
        <v>10</v>
      </c>
      <c r="U19" s="47">
        <f t="shared" si="1"/>
        <v>100</v>
      </c>
      <c r="V19" s="31" t="s">
        <v>54</v>
      </c>
      <c r="W19" s="48">
        <f t="shared" si="9"/>
        <v>3659150</v>
      </c>
      <c r="X19" s="47">
        <f t="shared" si="2"/>
        <v>79.527721631783692</v>
      </c>
      <c r="Y19" s="31" t="s">
        <v>54</v>
      </c>
      <c r="Z19" s="54">
        <f t="shared" si="3"/>
        <v>20</v>
      </c>
      <c r="AA19" s="83">
        <f t="shared" si="4"/>
        <v>6518600</v>
      </c>
      <c r="AB19" s="47"/>
      <c r="AC19" s="20" t="s">
        <v>54</v>
      </c>
      <c r="AD19" s="47"/>
      <c r="AE19" s="11"/>
      <c r="AH19" s="24"/>
    </row>
    <row r="20" spans="1:34" ht="30" x14ac:dyDescent="0.2">
      <c r="A20" s="16"/>
      <c r="B20" s="17"/>
      <c r="C20" s="25" t="s">
        <v>68</v>
      </c>
      <c r="D20" s="25" t="s">
        <v>144</v>
      </c>
      <c r="E20" s="19">
        <v>15</v>
      </c>
      <c r="F20" s="20" t="s">
        <v>116</v>
      </c>
      <c r="G20" s="46">
        <v>3202200</v>
      </c>
      <c r="H20" s="19">
        <v>5</v>
      </c>
      <c r="I20" s="21">
        <v>711100</v>
      </c>
      <c r="J20" s="19">
        <v>5</v>
      </c>
      <c r="K20" s="22">
        <v>1038450</v>
      </c>
      <c r="L20" s="19">
        <v>1</v>
      </c>
      <c r="M20" s="22">
        <v>0</v>
      </c>
      <c r="N20" s="19">
        <v>0</v>
      </c>
      <c r="O20" s="22">
        <v>0</v>
      </c>
      <c r="P20" s="19">
        <v>0</v>
      </c>
      <c r="Q20" s="22">
        <v>414500</v>
      </c>
      <c r="R20" s="19">
        <v>4</v>
      </c>
      <c r="S20" s="22">
        <v>0</v>
      </c>
      <c r="T20" s="54">
        <f t="shared" si="0"/>
        <v>5</v>
      </c>
      <c r="U20" s="47">
        <f t="shared" si="1"/>
        <v>100</v>
      </c>
      <c r="V20" s="31" t="s">
        <v>54</v>
      </c>
      <c r="W20" s="48">
        <f t="shared" si="9"/>
        <v>414500</v>
      </c>
      <c r="X20" s="47">
        <f t="shared" si="2"/>
        <v>39.915258317685009</v>
      </c>
      <c r="Y20" s="31" t="s">
        <v>54</v>
      </c>
      <c r="Z20" s="54">
        <f t="shared" si="3"/>
        <v>10</v>
      </c>
      <c r="AA20" s="83">
        <f t="shared" si="4"/>
        <v>1125600</v>
      </c>
      <c r="AB20" s="47"/>
      <c r="AC20" s="20" t="s">
        <v>54</v>
      </c>
      <c r="AD20" s="47"/>
      <c r="AE20" s="11"/>
      <c r="AH20" s="24"/>
    </row>
    <row r="21" spans="1:34" ht="47.25" x14ac:dyDescent="0.2">
      <c r="A21" s="44">
        <v>2</v>
      </c>
      <c r="B21" s="45" t="s">
        <v>32</v>
      </c>
      <c r="C21" s="18" t="s">
        <v>69</v>
      </c>
      <c r="D21" s="18" t="s">
        <v>193</v>
      </c>
      <c r="E21" s="39">
        <f>14*3</f>
        <v>42</v>
      </c>
      <c r="F21" s="40" t="s">
        <v>53</v>
      </c>
      <c r="G21" s="70">
        <f>SUM(G22:G25)</f>
        <v>10000239500</v>
      </c>
      <c r="H21" s="39">
        <v>14</v>
      </c>
      <c r="I21" s="70">
        <f>SUM(I22:I25)</f>
        <v>2805694438</v>
      </c>
      <c r="J21" s="39">
        <v>14</v>
      </c>
      <c r="K21" s="70">
        <f>SUM(K22:K25)</f>
        <v>3228342727</v>
      </c>
      <c r="L21" s="71">
        <v>3</v>
      </c>
      <c r="M21" s="116">
        <f>SUM(M22:M25)</f>
        <v>690060209</v>
      </c>
      <c r="N21" s="71">
        <v>3</v>
      </c>
      <c r="O21" s="116">
        <f>SUM(O22:O25)</f>
        <v>889302853</v>
      </c>
      <c r="P21" s="71">
        <v>3</v>
      </c>
      <c r="Q21" s="116">
        <f>SUM(Q22:Q25)</f>
        <v>812565551</v>
      </c>
      <c r="R21" s="71">
        <v>5</v>
      </c>
      <c r="S21" s="116">
        <f>SUM(S22:S25)</f>
        <v>735292210</v>
      </c>
      <c r="T21" s="53">
        <f t="shared" si="0"/>
        <v>14</v>
      </c>
      <c r="U21" s="51">
        <f t="shared" si="1"/>
        <v>100</v>
      </c>
      <c r="V21" s="52" t="s">
        <v>54</v>
      </c>
      <c r="W21" s="55">
        <f t="shared" si="9"/>
        <v>3127220823</v>
      </c>
      <c r="X21" s="51">
        <f t="shared" si="2"/>
        <v>96.867683745152746</v>
      </c>
      <c r="Y21" s="52" t="s">
        <v>54</v>
      </c>
      <c r="Z21" s="53">
        <f t="shared" si="3"/>
        <v>28</v>
      </c>
      <c r="AA21" s="79">
        <f t="shared" si="4"/>
        <v>5932915261</v>
      </c>
      <c r="AB21" s="51"/>
      <c r="AC21" s="40" t="s">
        <v>54</v>
      </c>
      <c r="AD21" s="51"/>
      <c r="AE21" s="11"/>
      <c r="AH21" s="24"/>
    </row>
    <row r="22" spans="1:34" ht="45" x14ac:dyDescent="0.2">
      <c r="A22" s="16"/>
      <c r="B22" s="17"/>
      <c r="C22" s="25" t="s">
        <v>70</v>
      </c>
      <c r="D22" s="104" t="s">
        <v>145</v>
      </c>
      <c r="E22" s="19">
        <v>27</v>
      </c>
      <c r="F22" s="121" t="s">
        <v>117</v>
      </c>
      <c r="G22" s="46">
        <v>9987659600</v>
      </c>
      <c r="H22" s="19">
        <v>25</v>
      </c>
      <c r="I22" s="21">
        <v>2802489838</v>
      </c>
      <c r="J22" s="38">
        <v>27</v>
      </c>
      <c r="K22" s="22">
        <v>3225418377</v>
      </c>
      <c r="L22" s="38">
        <v>27</v>
      </c>
      <c r="M22" s="22">
        <v>689389459</v>
      </c>
      <c r="N22" s="38">
        <v>27</v>
      </c>
      <c r="O22" s="22">
        <v>889302853</v>
      </c>
      <c r="P22" s="38">
        <v>27</v>
      </c>
      <c r="Q22" s="22">
        <v>812249051</v>
      </c>
      <c r="R22" s="38">
        <v>27</v>
      </c>
      <c r="S22" s="22">
        <v>733518060</v>
      </c>
      <c r="T22" s="54">
        <f>AVERAGE(L22,N22,P22,R22)</f>
        <v>27</v>
      </c>
      <c r="U22" s="54">
        <f t="shared" si="1"/>
        <v>100</v>
      </c>
      <c r="V22" s="31" t="s">
        <v>54</v>
      </c>
      <c r="W22" s="48">
        <f t="shared" si="9"/>
        <v>3124459423</v>
      </c>
      <c r="X22" s="47">
        <f t="shared" si="2"/>
        <v>96.8698958646753</v>
      </c>
      <c r="Y22" s="31" t="s">
        <v>54</v>
      </c>
      <c r="Z22" s="54">
        <f t="shared" si="3"/>
        <v>52</v>
      </c>
      <c r="AA22" s="83">
        <f t="shared" si="4"/>
        <v>5926949261</v>
      </c>
      <c r="AB22" s="47"/>
      <c r="AC22" s="20" t="s">
        <v>54</v>
      </c>
      <c r="AD22" s="47"/>
      <c r="AE22" s="26"/>
      <c r="AH22" s="24"/>
    </row>
    <row r="23" spans="1:34" ht="90" x14ac:dyDescent="0.2">
      <c r="A23" s="16"/>
      <c r="B23" s="17"/>
      <c r="C23" s="25" t="s">
        <v>71</v>
      </c>
      <c r="D23" s="25" t="s">
        <v>146</v>
      </c>
      <c r="E23" s="19">
        <v>3</v>
      </c>
      <c r="F23" s="121" t="s">
        <v>116</v>
      </c>
      <c r="G23" s="46">
        <v>4174900</v>
      </c>
      <c r="H23" s="19">
        <v>1</v>
      </c>
      <c r="I23" s="21">
        <v>633300</v>
      </c>
      <c r="J23" s="38">
        <v>1</v>
      </c>
      <c r="K23" s="22">
        <v>1062350</v>
      </c>
      <c r="L23" s="38">
        <v>1</v>
      </c>
      <c r="M23" s="22">
        <v>222500</v>
      </c>
      <c r="N23" s="38">
        <v>0</v>
      </c>
      <c r="O23" s="22">
        <v>0</v>
      </c>
      <c r="P23" s="38">
        <v>0</v>
      </c>
      <c r="Q23" s="22">
        <v>0</v>
      </c>
      <c r="R23" s="38">
        <v>0</v>
      </c>
      <c r="S23" s="22">
        <v>676900</v>
      </c>
      <c r="T23" s="54">
        <f>SUM(L23,N23,P23,R23)</f>
        <v>1</v>
      </c>
      <c r="U23" s="54">
        <f t="shared" si="1"/>
        <v>100</v>
      </c>
      <c r="V23" s="31" t="s">
        <v>54</v>
      </c>
      <c r="W23" s="48">
        <f t="shared" si="9"/>
        <v>899400</v>
      </c>
      <c r="X23" s="47">
        <f t="shared" si="2"/>
        <v>84.661363957264555</v>
      </c>
      <c r="Y23" s="31" t="s">
        <v>54</v>
      </c>
      <c r="Z23" s="54">
        <f t="shared" si="3"/>
        <v>2</v>
      </c>
      <c r="AA23" s="83">
        <f t="shared" si="4"/>
        <v>1532700</v>
      </c>
      <c r="AB23" s="47"/>
      <c r="AC23" s="20" t="s">
        <v>54</v>
      </c>
      <c r="AD23" s="47"/>
      <c r="AE23" s="11"/>
      <c r="AH23" s="24"/>
    </row>
    <row r="24" spans="1:34" ht="135" x14ac:dyDescent="0.2">
      <c r="A24" s="16"/>
      <c r="B24" s="17"/>
      <c r="C24" s="25" t="s">
        <v>72</v>
      </c>
      <c r="D24" s="25" t="s">
        <v>147</v>
      </c>
      <c r="E24" s="19">
        <v>37</v>
      </c>
      <c r="F24" s="121" t="s">
        <v>116</v>
      </c>
      <c r="G24" s="46">
        <v>6155000</v>
      </c>
      <c r="H24" s="19">
        <v>12</v>
      </c>
      <c r="I24" s="21">
        <v>1499800</v>
      </c>
      <c r="J24" s="19">
        <v>13</v>
      </c>
      <c r="K24" s="22">
        <v>1862000</v>
      </c>
      <c r="L24" s="38">
        <v>3</v>
      </c>
      <c r="M24" s="22">
        <v>448250</v>
      </c>
      <c r="N24" s="38">
        <v>3</v>
      </c>
      <c r="O24" s="22">
        <v>0</v>
      </c>
      <c r="P24" s="38">
        <v>3</v>
      </c>
      <c r="Q24" s="22">
        <v>316500</v>
      </c>
      <c r="R24" s="38">
        <v>4</v>
      </c>
      <c r="S24" s="22">
        <v>1097250</v>
      </c>
      <c r="T24" s="54">
        <f>SUM(L24,N24,P24,R24)</f>
        <v>13</v>
      </c>
      <c r="U24" s="54">
        <f t="shared" si="1"/>
        <v>100</v>
      </c>
      <c r="V24" s="31" t="s">
        <v>54</v>
      </c>
      <c r="W24" s="48">
        <f t="shared" si="9"/>
        <v>1862000</v>
      </c>
      <c r="X24" s="47">
        <f t="shared" si="2"/>
        <v>100</v>
      </c>
      <c r="Y24" s="31" t="s">
        <v>54</v>
      </c>
      <c r="Z24" s="54">
        <f t="shared" si="3"/>
        <v>25</v>
      </c>
      <c r="AA24" s="83">
        <f t="shared" si="4"/>
        <v>3361800</v>
      </c>
      <c r="AB24" s="47"/>
      <c r="AC24" s="20" t="s">
        <v>54</v>
      </c>
      <c r="AD24" s="47"/>
      <c r="AE24" s="11"/>
      <c r="AH24" s="24"/>
    </row>
    <row r="25" spans="1:34" ht="96.75" customHeight="1" x14ac:dyDescent="0.2">
      <c r="A25" s="16"/>
      <c r="B25" s="17"/>
      <c r="C25" s="117" t="s">
        <v>73</v>
      </c>
      <c r="D25" s="117" t="s">
        <v>148</v>
      </c>
      <c r="E25" s="19">
        <v>2</v>
      </c>
      <c r="F25" s="121" t="s">
        <v>53</v>
      </c>
      <c r="G25" s="46">
        <v>2250000</v>
      </c>
      <c r="H25" s="19">
        <v>1</v>
      </c>
      <c r="I25" s="21">
        <v>1071500</v>
      </c>
      <c r="J25" s="38"/>
      <c r="K25" s="22"/>
      <c r="L25" s="38"/>
      <c r="M25" s="22"/>
      <c r="N25" s="38"/>
      <c r="O25" s="22"/>
      <c r="P25" s="38"/>
      <c r="Q25" s="22"/>
      <c r="R25" s="38"/>
      <c r="S25" s="22"/>
      <c r="T25" s="54"/>
      <c r="U25" s="54"/>
      <c r="V25" s="31"/>
      <c r="W25" s="48"/>
      <c r="X25" s="47"/>
      <c r="Y25" s="31"/>
      <c r="Z25" s="54">
        <f t="shared" si="3"/>
        <v>1</v>
      </c>
      <c r="AA25" s="83">
        <f t="shared" si="4"/>
        <v>1071500</v>
      </c>
      <c r="AB25" s="47"/>
      <c r="AC25" s="20" t="s">
        <v>54</v>
      </c>
      <c r="AD25" s="47"/>
      <c r="AE25" s="11"/>
      <c r="AH25" s="24"/>
    </row>
    <row r="26" spans="1:34" ht="97.5" customHeight="1" x14ac:dyDescent="0.2">
      <c r="A26" s="16"/>
      <c r="B26" s="17"/>
      <c r="C26" s="18" t="s">
        <v>74</v>
      </c>
      <c r="D26" s="18" t="s">
        <v>194</v>
      </c>
      <c r="E26" s="39">
        <v>36</v>
      </c>
      <c r="F26" s="40" t="s">
        <v>195</v>
      </c>
      <c r="G26" s="37">
        <f>SUM(G27:G32)</f>
        <v>1414259876</v>
      </c>
      <c r="H26" s="39">
        <v>12</v>
      </c>
      <c r="I26" s="37">
        <f>SUM(I27:I32)</f>
        <v>498772902</v>
      </c>
      <c r="J26" s="39">
        <v>12</v>
      </c>
      <c r="K26" s="37">
        <f>SUM(K27:K32)</f>
        <v>614243234</v>
      </c>
      <c r="L26" s="71">
        <v>3</v>
      </c>
      <c r="M26" s="37">
        <f>SUM(M27:M32)</f>
        <v>89954906</v>
      </c>
      <c r="N26" s="71">
        <v>3</v>
      </c>
      <c r="O26" s="37">
        <f>SUM(O27:O32)</f>
        <v>92632200</v>
      </c>
      <c r="P26" s="71">
        <v>3</v>
      </c>
      <c r="Q26" s="37">
        <f>SUM(Q27:Q32)</f>
        <v>57669750</v>
      </c>
      <c r="R26" s="71">
        <v>3</v>
      </c>
      <c r="S26" s="37">
        <f>SUM(S27:S32)</f>
        <v>358819800</v>
      </c>
      <c r="T26" s="53">
        <f t="shared" ref="T26:T62" si="10">SUM(L26,N26,P26,R26)</f>
        <v>12</v>
      </c>
      <c r="U26" s="51">
        <f t="shared" ref="U26:U40" si="11">T26/J26*100</f>
        <v>100</v>
      </c>
      <c r="V26" s="52" t="s">
        <v>54</v>
      </c>
      <c r="W26" s="55">
        <f t="shared" ref="W26:W62" si="12">SUM(M26,O26,Q26,S26)</f>
        <v>599076656</v>
      </c>
      <c r="X26" s="51">
        <f t="shared" ref="X26:X62" si="13">W26/K26*100</f>
        <v>97.530851434661471</v>
      </c>
      <c r="Y26" s="52" t="s">
        <v>54</v>
      </c>
      <c r="Z26" s="53">
        <f t="shared" si="3"/>
        <v>24</v>
      </c>
      <c r="AA26" s="79">
        <f t="shared" si="4"/>
        <v>1097849558</v>
      </c>
      <c r="AB26" s="51"/>
      <c r="AC26" s="40" t="s">
        <v>54</v>
      </c>
      <c r="AD26" s="51"/>
      <c r="AE26" s="11"/>
      <c r="AH26" s="24"/>
    </row>
    <row r="27" spans="1:34" ht="75" x14ac:dyDescent="0.2">
      <c r="A27" s="16"/>
      <c r="B27" s="17"/>
      <c r="C27" s="25" t="s">
        <v>75</v>
      </c>
      <c r="D27" s="25" t="s">
        <v>149</v>
      </c>
      <c r="E27" s="19">
        <v>36</v>
      </c>
      <c r="F27" s="20" t="s">
        <v>155</v>
      </c>
      <c r="G27" s="46">
        <v>14041168</v>
      </c>
      <c r="H27" s="19">
        <v>12</v>
      </c>
      <c r="I27" s="21">
        <v>3164844</v>
      </c>
      <c r="J27" s="19">
        <v>12</v>
      </c>
      <c r="K27" s="22">
        <v>3245000</v>
      </c>
      <c r="L27" s="38">
        <v>3</v>
      </c>
      <c r="M27" s="22">
        <v>1370000</v>
      </c>
      <c r="N27" s="38">
        <v>3</v>
      </c>
      <c r="O27" s="22">
        <v>1800000</v>
      </c>
      <c r="P27" s="38">
        <v>3</v>
      </c>
      <c r="Q27" s="22">
        <v>0</v>
      </c>
      <c r="R27" s="38">
        <v>3</v>
      </c>
      <c r="S27" s="22">
        <v>0</v>
      </c>
      <c r="T27" s="54">
        <f t="shared" si="10"/>
        <v>12</v>
      </c>
      <c r="U27" s="47">
        <f t="shared" si="11"/>
        <v>100</v>
      </c>
      <c r="V27" s="31" t="s">
        <v>54</v>
      </c>
      <c r="W27" s="48">
        <f t="shared" si="12"/>
        <v>3170000</v>
      </c>
      <c r="X27" s="47">
        <f t="shared" si="13"/>
        <v>97.688751926040069</v>
      </c>
      <c r="Y27" s="31" t="s">
        <v>54</v>
      </c>
      <c r="Z27" s="54">
        <f t="shared" si="3"/>
        <v>24</v>
      </c>
      <c r="AA27" s="83">
        <f t="shared" si="4"/>
        <v>6334844</v>
      </c>
      <c r="AB27" s="47"/>
      <c r="AC27" s="20" t="s">
        <v>54</v>
      </c>
      <c r="AD27" s="47"/>
      <c r="AE27" s="11"/>
      <c r="AH27" s="24"/>
    </row>
    <row r="28" spans="1:34" ht="45" x14ac:dyDescent="0.2">
      <c r="A28" s="16"/>
      <c r="B28" s="17"/>
      <c r="C28" s="25" t="s">
        <v>76</v>
      </c>
      <c r="D28" s="25" t="s">
        <v>150</v>
      </c>
      <c r="E28" s="19">
        <v>36</v>
      </c>
      <c r="F28" s="20" t="s">
        <v>155</v>
      </c>
      <c r="G28" s="22">
        <v>502363308</v>
      </c>
      <c r="H28" s="19">
        <v>12</v>
      </c>
      <c r="I28" s="22">
        <v>290211025</v>
      </c>
      <c r="J28" s="19">
        <v>12</v>
      </c>
      <c r="K28" s="22">
        <v>331524634</v>
      </c>
      <c r="L28" s="38">
        <v>3</v>
      </c>
      <c r="M28" s="22">
        <v>21322000</v>
      </c>
      <c r="N28" s="38">
        <v>3</v>
      </c>
      <c r="O28" s="22">
        <v>38061500</v>
      </c>
      <c r="P28" s="38">
        <v>3</v>
      </c>
      <c r="Q28" s="22">
        <v>19420000</v>
      </c>
      <c r="R28" s="38">
        <v>3</v>
      </c>
      <c r="S28" s="22">
        <v>238831500</v>
      </c>
      <c r="T28" s="54">
        <f t="shared" si="10"/>
        <v>12</v>
      </c>
      <c r="U28" s="47">
        <f t="shared" si="11"/>
        <v>100</v>
      </c>
      <c r="V28" s="31" t="s">
        <v>54</v>
      </c>
      <c r="W28" s="48">
        <f>SUM(M28,O28,Q28,S28)</f>
        <v>317635000</v>
      </c>
      <c r="X28" s="47">
        <f t="shared" si="13"/>
        <v>95.810376492263913</v>
      </c>
      <c r="Y28" s="31" t="s">
        <v>54</v>
      </c>
      <c r="Z28" s="54">
        <f t="shared" si="3"/>
        <v>24</v>
      </c>
      <c r="AA28" s="83">
        <f t="shared" si="4"/>
        <v>607846025</v>
      </c>
      <c r="AB28" s="47"/>
      <c r="AC28" s="20" t="s">
        <v>54</v>
      </c>
      <c r="AD28" s="47"/>
      <c r="AE28" s="11"/>
      <c r="AH28" s="24"/>
    </row>
    <row r="29" spans="1:34" ht="45" x14ac:dyDescent="0.2">
      <c r="A29" s="16"/>
      <c r="B29" s="17"/>
      <c r="C29" s="25" t="s">
        <v>77</v>
      </c>
      <c r="D29" s="25" t="s">
        <v>151</v>
      </c>
      <c r="E29" s="19">
        <v>36</v>
      </c>
      <c r="F29" s="20" t="s">
        <v>155</v>
      </c>
      <c r="G29" s="46">
        <v>148640500</v>
      </c>
      <c r="H29" s="19">
        <v>12</v>
      </c>
      <c r="I29" s="21">
        <v>22849250</v>
      </c>
      <c r="J29" s="19">
        <v>12</v>
      </c>
      <c r="K29" s="22">
        <v>55013250</v>
      </c>
      <c r="L29" s="38">
        <v>3</v>
      </c>
      <c r="M29" s="22">
        <v>6900000</v>
      </c>
      <c r="N29" s="38">
        <v>3</v>
      </c>
      <c r="O29" s="22">
        <v>11195000</v>
      </c>
      <c r="P29" s="38">
        <v>3</v>
      </c>
      <c r="Q29" s="22">
        <v>11195000</v>
      </c>
      <c r="R29" s="38">
        <v>3</v>
      </c>
      <c r="S29" s="22">
        <v>25500000</v>
      </c>
      <c r="T29" s="54">
        <f t="shared" si="10"/>
        <v>12</v>
      </c>
      <c r="U29" s="47">
        <f t="shared" si="11"/>
        <v>100</v>
      </c>
      <c r="V29" s="31" t="s">
        <v>54</v>
      </c>
      <c r="W29" s="48">
        <f t="shared" si="12"/>
        <v>54790000</v>
      </c>
      <c r="X29" s="47">
        <f t="shared" si="13"/>
        <v>99.594188672728848</v>
      </c>
      <c r="Y29" s="31" t="s">
        <v>54</v>
      </c>
      <c r="Z29" s="54">
        <f t="shared" si="3"/>
        <v>24</v>
      </c>
      <c r="AA29" s="83">
        <f t="shared" si="4"/>
        <v>77639250</v>
      </c>
      <c r="AB29" s="47"/>
      <c r="AC29" s="20" t="s">
        <v>54</v>
      </c>
      <c r="AD29" s="47"/>
      <c r="AE29" s="11"/>
      <c r="AH29" s="24"/>
    </row>
    <row r="30" spans="1:34" ht="75.75" customHeight="1" x14ac:dyDescent="0.2">
      <c r="A30" s="16"/>
      <c r="B30" s="17"/>
      <c r="C30" s="25" t="s">
        <v>78</v>
      </c>
      <c r="D30" s="25" t="s">
        <v>152</v>
      </c>
      <c r="E30" s="19">
        <v>36</v>
      </c>
      <c r="F30" s="20" t="s">
        <v>155</v>
      </c>
      <c r="G30" s="46">
        <v>44814900</v>
      </c>
      <c r="H30" s="19">
        <v>12</v>
      </c>
      <c r="I30" s="21">
        <v>13970300</v>
      </c>
      <c r="J30" s="19">
        <v>12</v>
      </c>
      <c r="K30" s="22">
        <v>12060350</v>
      </c>
      <c r="L30" s="38">
        <v>3</v>
      </c>
      <c r="M30" s="22">
        <v>3645600</v>
      </c>
      <c r="N30" s="38">
        <v>3</v>
      </c>
      <c r="O30" s="22">
        <v>5225300</v>
      </c>
      <c r="P30" s="38">
        <v>3</v>
      </c>
      <c r="Q30" s="22">
        <v>3168750</v>
      </c>
      <c r="R30" s="38">
        <v>3</v>
      </c>
      <c r="S30" s="22">
        <v>0</v>
      </c>
      <c r="T30" s="54">
        <f t="shared" si="10"/>
        <v>12</v>
      </c>
      <c r="U30" s="47">
        <f t="shared" si="11"/>
        <v>100</v>
      </c>
      <c r="V30" s="31" t="s">
        <v>54</v>
      </c>
      <c r="W30" s="48">
        <f t="shared" si="12"/>
        <v>12039650</v>
      </c>
      <c r="X30" s="47">
        <f t="shared" si="13"/>
        <v>99.828363190123</v>
      </c>
      <c r="Y30" s="31" t="s">
        <v>54</v>
      </c>
      <c r="Z30" s="54">
        <f t="shared" si="3"/>
        <v>24</v>
      </c>
      <c r="AA30" s="83">
        <f t="shared" si="4"/>
        <v>26009950</v>
      </c>
      <c r="AB30" s="47"/>
      <c r="AC30" s="20" t="s">
        <v>54</v>
      </c>
      <c r="AD30" s="47"/>
      <c r="AE30" s="11"/>
      <c r="AH30" s="24"/>
    </row>
    <row r="31" spans="1:34" ht="90.75" customHeight="1" x14ac:dyDescent="0.2">
      <c r="A31" s="16"/>
      <c r="B31" s="17"/>
      <c r="C31" s="25" t="s">
        <v>79</v>
      </c>
      <c r="D31" s="122" t="s">
        <v>153</v>
      </c>
      <c r="E31" s="19">
        <v>36</v>
      </c>
      <c r="F31" s="121" t="s">
        <v>53</v>
      </c>
      <c r="G31" s="46">
        <v>14400000</v>
      </c>
      <c r="H31" s="19">
        <v>12</v>
      </c>
      <c r="I31" s="21">
        <v>2900000</v>
      </c>
      <c r="J31" s="19">
        <v>12</v>
      </c>
      <c r="K31" s="22">
        <v>4400000</v>
      </c>
      <c r="L31" s="38">
        <v>3</v>
      </c>
      <c r="M31" s="22">
        <v>580000</v>
      </c>
      <c r="N31" s="38">
        <v>3</v>
      </c>
      <c r="O31" s="22">
        <v>910000</v>
      </c>
      <c r="P31" s="38">
        <v>3</v>
      </c>
      <c r="Q31" s="22">
        <v>930000</v>
      </c>
      <c r="R31" s="38">
        <v>3</v>
      </c>
      <c r="S31" s="22">
        <v>1320000</v>
      </c>
      <c r="T31" s="54">
        <f t="shared" si="10"/>
        <v>12</v>
      </c>
      <c r="U31" s="47">
        <f t="shared" si="11"/>
        <v>100</v>
      </c>
      <c r="V31" s="31" t="s">
        <v>54</v>
      </c>
      <c r="W31" s="48">
        <f t="shared" si="12"/>
        <v>3740000</v>
      </c>
      <c r="X31" s="47">
        <f t="shared" si="13"/>
        <v>85</v>
      </c>
      <c r="Y31" s="31" t="s">
        <v>54</v>
      </c>
      <c r="Z31" s="54">
        <f t="shared" si="3"/>
        <v>24</v>
      </c>
      <c r="AA31" s="83">
        <f t="shared" si="4"/>
        <v>6640000</v>
      </c>
      <c r="AB31" s="47"/>
      <c r="AC31" s="20" t="s">
        <v>54</v>
      </c>
      <c r="AD31" s="47"/>
      <c r="AE31" s="11"/>
      <c r="AH31" s="24"/>
    </row>
    <row r="32" spans="1:34" ht="82.5" customHeight="1" x14ac:dyDescent="0.2">
      <c r="A32" s="16"/>
      <c r="B32" s="17"/>
      <c r="C32" s="25" t="s">
        <v>80</v>
      </c>
      <c r="D32" s="103" t="s">
        <v>154</v>
      </c>
      <c r="E32" s="19">
        <v>36</v>
      </c>
      <c r="F32" s="121" t="s">
        <v>116</v>
      </c>
      <c r="G32" s="46">
        <v>690000000</v>
      </c>
      <c r="H32" s="19">
        <v>12</v>
      </c>
      <c r="I32" s="21">
        <v>165677483</v>
      </c>
      <c r="J32" s="19">
        <v>12</v>
      </c>
      <c r="K32" s="22">
        <v>208000000</v>
      </c>
      <c r="L32" s="38">
        <v>3</v>
      </c>
      <c r="M32" s="22">
        <v>56137306</v>
      </c>
      <c r="N32" s="38">
        <v>3</v>
      </c>
      <c r="O32" s="22">
        <v>35440400</v>
      </c>
      <c r="P32" s="38">
        <v>3</v>
      </c>
      <c r="Q32" s="22">
        <v>22956000</v>
      </c>
      <c r="R32" s="38">
        <v>3</v>
      </c>
      <c r="S32" s="22">
        <v>93168300</v>
      </c>
      <c r="T32" s="54">
        <f t="shared" si="10"/>
        <v>12</v>
      </c>
      <c r="U32" s="47">
        <f t="shared" si="11"/>
        <v>100</v>
      </c>
      <c r="V32" s="31" t="s">
        <v>54</v>
      </c>
      <c r="W32" s="48">
        <f t="shared" si="12"/>
        <v>207702006</v>
      </c>
      <c r="X32" s="47">
        <f t="shared" si="13"/>
        <v>99.856733653846149</v>
      </c>
      <c r="Y32" s="31" t="s">
        <v>54</v>
      </c>
      <c r="Z32" s="54">
        <f t="shared" si="3"/>
        <v>24</v>
      </c>
      <c r="AA32" s="83">
        <f t="shared" si="4"/>
        <v>373379489</v>
      </c>
      <c r="AB32" s="47"/>
      <c r="AC32" s="20" t="s">
        <v>54</v>
      </c>
      <c r="AD32" s="47"/>
      <c r="AE32" s="11"/>
      <c r="AH32" s="24"/>
    </row>
    <row r="33" spans="1:34" ht="117.75" customHeight="1" x14ac:dyDescent="0.2">
      <c r="A33" s="16"/>
      <c r="B33" s="17"/>
      <c r="C33" s="18" t="s">
        <v>81</v>
      </c>
      <c r="D33" s="18" t="s">
        <v>196</v>
      </c>
      <c r="E33" s="39">
        <v>36</v>
      </c>
      <c r="F33" s="40" t="s">
        <v>195</v>
      </c>
      <c r="G33" s="37">
        <f>SUM(G34:G36)</f>
        <v>339593800</v>
      </c>
      <c r="H33" s="39">
        <v>12</v>
      </c>
      <c r="I33" s="37">
        <f>SUM(I34:I36)</f>
        <v>106756979</v>
      </c>
      <c r="J33" s="71">
        <v>12</v>
      </c>
      <c r="K33" s="37">
        <f>SUM(K34:K36)</f>
        <v>194327250</v>
      </c>
      <c r="L33" s="71">
        <v>3</v>
      </c>
      <c r="M33" s="37">
        <f>SUM(M34:M36)</f>
        <v>41058205</v>
      </c>
      <c r="N33" s="71">
        <v>3</v>
      </c>
      <c r="O33" s="37">
        <f>SUM(O34:O36)</f>
        <v>27389065</v>
      </c>
      <c r="P33" s="71">
        <v>3</v>
      </c>
      <c r="Q33" s="37">
        <f>SUM(Q34:Q36)</f>
        <v>58651115</v>
      </c>
      <c r="R33" s="71">
        <v>3</v>
      </c>
      <c r="S33" s="37">
        <f>SUM(S34:S36)</f>
        <v>37991637</v>
      </c>
      <c r="T33" s="53">
        <f t="shared" si="10"/>
        <v>12</v>
      </c>
      <c r="U33" s="51">
        <f t="shared" si="11"/>
        <v>100</v>
      </c>
      <c r="V33" s="52" t="s">
        <v>54</v>
      </c>
      <c r="W33" s="55">
        <f t="shared" si="12"/>
        <v>165090022</v>
      </c>
      <c r="X33" s="51">
        <f t="shared" si="13"/>
        <v>84.95464326284656</v>
      </c>
      <c r="Y33" s="52" t="s">
        <v>54</v>
      </c>
      <c r="Z33" s="53">
        <f t="shared" si="3"/>
        <v>24</v>
      </c>
      <c r="AA33" s="79">
        <f t="shared" si="4"/>
        <v>271847001</v>
      </c>
      <c r="AB33" s="51"/>
      <c r="AC33" s="40" t="s">
        <v>54</v>
      </c>
      <c r="AD33" s="51"/>
      <c r="AE33" s="11"/>
      <c r="AH33" s="24"/>
    </row>
    <row r="34" spans="1:34" ht="50.25" customHeight="1" x14ac:dyDescent="0.2">
      <c r="A34" s="16"/>
      <c r="B34" s="17"/>
      <c r="C34" s="25" t="s">
        <v>82</v>
      </c>
      <c r="D34" s="25" t="s">
        <v>156</v>
      </c>
      <c r="E34" s="19">
        <v>36</v>
      </c>
      <c r="F34" s="20" t="s">
        <v>116</v>
      </c>
      <c r="G34" s="46">
        <v>11100000</v>
      </c>
      <c r="H34" s="19">
        <v>12</v>
      </c>
      <c r="I34" s="21">
        <v>2190000</v>
      </c>
      <c r="J34" s="38">
        <v>12</v>
      </c>
      <c r="K34" s="22">
        <v>2960000</v>
      </c>
      <c r="L34" s="38">
        <v>3</v>
      </c>
      <c r="M34" s="22">
        <v>1000000</v>
      </c>
      <c r="N34" s="38">
        <v>3</v>
      </c>
      <c r="O34" s="22">
        <v>1960000</v>
      </c>
      <c r="P34" s="38">
        <v>3</v>
      </c>
      <c r="Q34" s="22">
        <v>0</v>
      </c>
      <c r="R34" s="38">
        <v>3</v>
      </c>
      <c r="S34" s="22">
        <v>0</v>
      </c>
      <c r="T34" s="54">
        <f t="shared" si="10"/>
        <v>12</v>
      </c>
      <c r="U34" s="47">
        <f t="shared" si="11"/>
        <v>100</v>
      </c>
      <c r="V34" s="31" t="s">
        <v>54</v>
      </c>
      <c r="W34" s="48">
        <f t="shared" si="12"/>
        <v>2960000</v>
      </c>
      <c r="X34" s="47">
        <f t="shared" si="13"/>
        <v>100</v>
      </c>
      <c r="Y34" s="31" t="s">
        <v>54</v>
      </c>
      <c r="Z34" s="54">
        <f t="shared" si="3"/>
        <v>24</v>
      </c>
      <c r="AA34" s="83">
        <f t="shared" si="4"/>
        <v>5150000</v>
      </c>
      <c r="AB34" s="47"/>
      <c r="AC34" s="20" t="s">
        <v>54</v>
      </c>
      <c r="AD34" s="47"/>
      <c r="AE34" s="11"/>
      <c r="AH34" s="24"/>
    </row>
    <row r="35" spans="1:34" ht="94.5" customHeight="1" x14ac:dyDescent="0.2">
      <c r="A35" s="16"/>
      <c r="B35" s="17"/>
      <c r="C35" s="25" t="s">
        <v>83</v>
      </c>
      <c r="D35" s="25" t="s">
        <v>157</v>
      </c>
      <c r="E35" s="19">
        <v>36</v>
      </c>
      <c r="F35" s="20" t="s">
        <v>116</v>
      </c>
      <c r="G35" s="46">
        <v>119277800</v>
      </c>
      <c r="H35" s="19">
        <v>12</v>
      </c>
      <c r="I35" s="21">
        <v>63182379</v>
      </c>
      <c r="J35" s="38">
        <v>12</v>
      </c>
      <c r="K35" s="22">
        <v>108166250</v>
      </c>
      <c r="L35" s="38">
        <v>3</v>
      </c>
      <c r="M35" s="22">
        <v>13864355</v>
      </c>
      <c r="N35" s="38">
        <v>3</v>
      </c>
      <c r="O35" s="22">
        <v>11931865</v>
      </c>
      <c r="P35" s="38">
        <v>3</v>
      </c>
      <c r="Q35" s="22">
        <v>38203915</v>
      </c>
      <c r="R35" s="38">
        <v>3</v>
      </c>
      <c r="S35" s="22">
        <v>17294437</v>
      </c>
      <c r="T35" s="54">
        <f t="shared" si="10"/>
        <v>12</v>
      </c>
      <c r="U35" s="47">
        <f t="shared" si="11"/>
        <v>100</v>
      </c>
      <c r="V35" s="31" t="s">
        <v>54</v>
      </c>
      <c r="W35" s="48">
        <f t="shared" si="12"/>
        <v>81294572</v>
      </c>
      <c r="X35" s="47">
        <f t="shared" si="13"/>
        <v>75.157058694370932</v>
      </c>
      <c r="Y35" s="31" t="s">
        <v>54</v>
      </c>
      <c r="Z35" s="54">
        <f t="shared" si="3"/>
        <v>24</v>
      </c>
      <c r="AA35" s="83">
        <f t="shared" si="4"/>
        <v>144476951</v>
      </c>
      <c r="AB35" s="47"/>
      <c r="AC35" s="20" t="s">
        <v>54</v>
      </c>
      <c r="AD35" s="47"/>
      <c r="AE35" s="11"/>
      <c r="AH35" s="24"/>
    </row>
    <row r="36" spans="1:34" ht="81.75" customHeight="1" x14ac:dyDescent="0.2">
      <c r="A36" s="16"/>
      <c r="B36" s="17"/>
      <c r="C36" s="25" t="s">
        <v>84</v>
      </c>
      <c r="D36" s="25" t="s">
        <v>158</v>
      </c>
      <c r="E36" s="19">
        <v>36</v>
      </c>
      <c r="F36" s="20" t="s">
        <v>116</v>
      </c>
      <c r="G36" s="46">
        <v>209216000</v>
      </c>
      <c r="H36" s="19">
        <v>12</v>
      </c>
      <c r="I36" s="21">
        <v>41384600</v>
      </c>
      <c r="J36" s="38">
        <v>12</v>
      </c>
      <c r="K36" s="22">
        <v>83201000</v>
      </c>
      <c r="L36" s="38">
        <v>3</v>
      </c>
      <c r="M36" s="22">
        <v>26193850</v>
      </c>
      <c r="N36" s="38">
        <v>3</v>
      </c>
      <c r="O36" s="22">
        <v>13497200</v>
      </c>
      <c r="P36" s="38">
        <v>3</v>
      </c>
      <c r="Q36" s="22">
        <v>20447200</v>
      </c>
      <c r="R36" s="38">
        <v>3</v>
      </c>
      <c r="S36" s="22">
        <v>20697200</v>
      </c>
      <c r="T36" s="54">
        <f t="shared" si="10"/>
        <v>12</v>
      </c>
      <c r="U36" s="47">
        <f t="shared" si="11"/>
        <v>100</v>
      </c>
      <c r="V36" s="31" t="s">
        <v>54</v>
      </c>
      <c r="W36" s="48">
        <f t="shared" si="12"/>
        <v>80835450</v>
      </c>
      <c r="X36" s="47">
        <f t="shared" si="13"/>
        <v>97.156825038160605</v>
      </c>
      <c r="Y36" s="31" t="s">
        <v>54</v>
      </c>
      <c r="Z36" s="54">
        <f t="shared" si="3"/>
        <v>24</v>
      </c>
      <c r="AA36" s="83">
        <f t="shared" si="4"/>
        <v>122220050</v>
      </c>
      <c r="AB36" s="47"/>
      <c r="AC36" s="20" t="s">
        <v>54</v>
      </c>
      <c r="AD36" s="47"/>
      <c r="AE36" s="11"/>
      <c r="AH36" s="24"/>
    </row>
    <row r="37" spans="1:34" ht="78.75" x14ac:dyDescent="0.2">
      <c r="A37" s="16"/>
      <c r="B37" s="17"/>
      <c r="C37" s="18" t="s">
        <v>86</v>
      </c>
      <c r="D37" s="18" t="s">
        <v>197</v>
      </c>
      <c r="E37" s="39">
        <v>36</v>
      </c>
      <c r="F37" s="40" t="s">
        <v>195</v>
      </c>
      <c r="G37" s="37">
        <f>SUM(G38:G40)</f>
        <v>2849739726</v>
      </c>
      <c r="H37" s="39">
        <v>12</v>
      </c>
      <c r="I37" s="37">
        <f>SUM(I38:I40)</f>
        <v>596953165</v>
      </c>
      <c r="J37" s="71">
        <v>12</v>
      </c>
      <c r="K37" s="37">
        <f>SUM(K38:K40)</f>
        <v>604992750</v>
      </c>
      <c r="L37" s="71">
        <v>3</v>
      </c>
      <c r="M37" s="37">
        <f>SUM(M38:M40)</f>
        <v>16860701</v>
      </c>
      <c r="N37" s="71">
        <v>3</v>
      </c>
      <c r="O37" s="37">
        <f>SUM(O38:O40)</f>
        <v>47458718</v>
      </c>
      <c r="P37" s="71">
        <v>3</v>
      </c>
      <c r="Q37" s="37">
        <f>SUM(Q38:Q40)</f>
        <v>65719393</v>
      </c>
      <c r="R37" s="71">
        <v>3</v>
      </c>
      <c r="S37" s="37">
        <f>SUM(S38:S40)</f>
        <v>421929384</v>
      </c>
      <c r="T37" s="53">
        <f t="shared" si="10"/>
        <v>12</v>
      </c>
      <c r="U37" s="51">
        <f t="shared" si="11"/>
        <v>100</v>
      </c>
      <c r="V37" s="52" t="s">
        <v>54</v>
      </c>
      <c r="W37" s="55">
        <f t="shared" si="12"/>
        <v>551968196</v>
      </c>
      <c r="X37" s="51">
        <f t="shared" si="13"/>
        <v>91.235505880029137</v>
      </c>
      <c r="Y37" s="52" t="s">
        <v>54</v>
      </c>
      <c r="Z37" s="53">
        <f t="shared" si="3"/>
        <v>24</v>
      </c>
      <c r="AA37" s="79">
        <f t="shared" si="4"/>
        <v>1148921361</v>
      </c>
      <c r="AB37" s="51"/>
      <c r="AC37" s="40" t="s">
        <v>54</v>
      </c>
      <c r="AD37" s="51"/>
      <c r="AE37" s="11"/>
      <c r="AH37" s="24"/>
    </row>
    <row r="38" spans="1:34" ht="137.25" customHeight="1" x14ac:dyDescent="0.2">
      <c r="A38" s="16"/>
      <c r="B38" s="17"/>
      <c r="C38" s="25" t="s">
        <v>85</v>
      </c>
      <c r="D38" s="25" t="s">
        <v>160</v>
      </c>
      <c r="E38" s="19">
        <f>34*3</f>
        <v>102</v>
      </c>
      <c r="F38" s="20" t="s">
        <v>159</v>
      </c>
      <c r="G38" s="46">
        <v>628500000</v>
      </c>
      <c r="H38" s="19">
        <v>34</v>
      </c>
      <c r="I38" s="21">
        <v>155231633</v>
      </c>
      <c r="J38" s="19">
        <v>34</v>
      </c>
      <c r="K38" s="128">
        <v>246685000</v>
      </c>
      <c r="L38" s="42">
        <v>5</v>
      </c>
      <c r="M38" s="22">
        <v>11740701</v>
      </c>
      <c r="N38" s="42">
        <v>10</v>
      </c>
      <c r="O38" s="22">
        <v>37618718</v>
      </c>
      <c r="P38" s="42">
        <v>10</v>
      </c>
      <c r="Q38" s="22">
        <v>44104393</v>
      </c>
      <c r="R38" s="42">
        <v>9</v>
      </c>
      <c r="S38" s="22">
        <v>110165532</v>
      </c>
      <c r="T38" s="54">
        <f t="shared" si="10"/>
        <v>34</v>
      </c>
      <c r="U38" s="47">
        <f t="shared" si="11"/>
        <v>100</v>
      </c>
      <c r="V38" s="31" t="s">
        <v>54</v>
      </c>
      <c r="W38" s="48">
        <f t="shared" si="12"/>
        <v>203629344</v>
      </c>
      <c r="X38" s="47">
        <f t="shared" si="13"/>
        <v>82.546301558667935</v>
      </c>
      <c r="Y38" s="31" t="s">
        <v>54</v>
      </c>
      <c r="Z38" s="54">
        <f t="shared" si="3"/>
        <v>68</v>
      </c>
      <c r="AA38" s="83">
        <f t="shared" si="4"/>
        <v>358860977</v>
      </c>
      <c r="AB38" s="47"/>
      <c r="AC38" s="20" t="s">
        <v>54</v>
      </c>
      <c r="AD38" s="47"/>
      <c r="AE38" s="11"/>
      <c r="AH38" s="24"/>
    </row>
    <row r="39" spans="1:34" ht="60" x14ac:dyDescent="0.2">
      <c r="A39" s="16"/>
      <c r="B39" s="17"/>
      <c r="C39" s="25" t="s">
        <v>123</v>
      </c>
      <c r="D39" s="25" t="s">
        <v>161</v>
      </c>
      <c r="E39" s="19">
        <f>2+1+1</f>
        <v>4</v>
      </c>
      <c r="F39" s="20" t="s">
        <v>159</v>
      </c>
      <c r="G39" s="46">
        <v>2144374726</v>
      </c>
      <c r="H39" s="19">
        <v>2</v>
      </c>
      <c r="I39" s="21">
        <v>421971532</v>
      </c>
      <c r="J39" s="19">
        <v>1</v>
      </c>
      <c r="K39" s="22">
        <v>330574000</v>
      </c>
      <c r="L39" s="42">
        <v>0</v>
      </c>
      <c r="M39" s="22">
        <v>0</v>
      </c>
      <c r="N39" s="42">
        <v>0</v>
      </c>
      <c r="O39" s="22">
        <v>0</v>
      </c>
      <c r="P39" s="42">
        <v>0</v>
      </c>
      <c r="Q39" s="22">
        <v>13815000</v>
      </c>
      <c r="R39" s="42">
        <v>1</v>
      </c>
      <c r="S39" s="22">
        <v>307113852</v>
      </c>
      <c r="T39" s="54">
        <f t="shared" si="10"/>
        <v>1</v>
      </c>
      <c r="U39" s="47">
        <f t="shared" si="11"/>
        <v>100</v>
      </c>
      <c r="V39" s="31" t="s">
        <v>54</v>
      </c>
      <c r="W39" s="48">
        <f t="shared" si="12"/>
        <v>320928852</v>
      </c>
      <c r="X39" s="47">
        <f t="shared" si="13"/>
        <v>97.082302903434638</v>
      </c>
      <c r="Y39" s="31" t="s">
        <v>54</v>
      </c>
      <c r="Z39" s="54">
        <f t="shared" si="3"/>
        <v>3</v>
      </c>
      <c r="AA39" s="83">
        <f t="shared" si="4"/>
        <v>742900384</v>
      </c>
      <c r="AB39" s="47"/>
      <c r="AC39" s="20" t="s">
        <v>54</v>
      </c>
      <c r="AD39" s="47"/>
      <c r="AE39" s="11"/>
      <c r="AH39" s="24"/>
    </row>
    <row r="40" spans="1:34" ht="75" x14ac:dyDescent="0.2">
      <c r="A40" s="16"/>
      <c r="B40" s="17"/>
      <c r="C40" s="25" t="s">
        <v>122</v>
      </c>
      <c r="D40" s="122" t="s">
        <v>162</v>
      </c>
      <c r="E40" s="19">
        <f>56*3</f>
        <v>168</v>
      </c>
      <c r="F40" s="20" t="s">
        <v>159</v>
      </c>
      <c r="G40" s="46">
        <v>76865000</v>
      </c>
      <c r="H40" s="19">
        <v>56</v>
      </c>
      <c r="I40" s="21">
        <v>19750000</v>
      </c>
      <c r="J40" s="19">
        <v>56</v>
      </c>
      <c r="K40" s="22">
        <v>27733750</v>
      </c>
      <c r="L40" s="42">
        <v>13</v>
      </c>
      <c r="M40" s="22">
        <v>5120000</v>
      </c>
      <c r="N40" s="42">
        <v>20</v>
      </c>
      <c r="O40" s="22">
        <v>9840000</v>
      </c>
      <c r="P40" s="42">
        <v>15</v>
      </c>
      <c r="Q40" s="22">
        <v>7800000</v>
      </c>
      <c r="R40" s="42">
        <v>8</v>
      </c>
      <c r="S40" s="22">
        <v>4650000</v>
      </c>
      <c r="T40" s="54">
        <f t="shared" si="10"/>
        <v>56</v>
      </c>
      <c r="U40" s="47">
        <f t="shared" si="11"/>
        <v>100</v>
      </c>
      <c r="V40" s="31" t="s">
        <v>54</v>
      </c>
      <c r="W40" s="48">
        <f t="shared" si="12"/>
        <v>27410000</v>
      </c>
      <c r="X40" s="47">
        <f t="shared" si="13"/>
        <v>98.832649749853516</v>
      </c>
      <c r="Y40" s="31" t="s">
        <v>54</v>
      </c>
      <c r="Z40" s="54">
        <f t="shared" si="3"/>
        <v>112</v>
      </c>
      <c r="AA40" s="83">
        <f t="shared" si="4"/>
        <v>47160000</v>
      </c>
      <c r="AB40" s="47"/>
      <c r="AC40" s="20" t="s">
        <v>54</v>
      </c>
      <c r="AD40" s="47"/>
      <c r="AE40" s="11"/>
      <c r="AH40" s="24"/>
    </row>
    <row r="41" spans="1:34" ht="117.75" customHeight="1" x14ac:dyDescent="0.2">
      <c r="A41" s="44">
        <v>13</v>
      </c>
      <c r="B41" s="45" t="s">
        <v>211</v>
      </c>
      <c r="C41" s="18" t="s">
        <v>87</v>
      </c>
      <c r="D41" s="18" t="s">
        <v>128</v>
      </c>
      <c r="E41" s="41">
        <f>302/478*100</f>
        <v>63.179916317991633</v>
      </c>
      <c r="F41" s="40" t="s">
        <v>54</v>
      </c>
      <c r="G41" s="37">
        <f>SUM(G42)</f>
        <v>14543430350</v>
      </c>
      <c r="H41" s="41">
        <f>155/478*100</f>
        <v>32.42677824267782</v>
      </c>
      <c r="I41" s="37">
        <f>SUM(I42)</f>
        <v>4445586784</v>
      </c>
      <c r="J41" s="41">
        <f>293/478*100</f>
        <v>61.297071129707113</v>
      </c>
      <c r="K41" s="37">
        <f>SUM(K42)</f>
        <v>4925289150</v>
      </c>
      <c r="L41" s="41">
        <f>147/394*100</f>
        <v>37.309644670050766</v>
      </c>
      <c r="M41" s="37">
        <f>SUM(M42)</f>
        <v>1458226242</v>
      </c>
      <c r="N41" s="41"/>
      <c r="O41" s="37">
        <f>SUM(O42)</f>
        <v>797817742</v>
      </c>
      <c r="P41" s="41"/>
      <c r="Q41" s="37">
        <f>SUM(Q42)</f>
        <v>1148986542</v>
      </c>
      <c r="R41" s="41">
        <f>155/394*100</f>
        <v>39.340101522842644</v>
      </c>
      <c r="S41" s="37">
        <f>SUM(S42)</f>
        <v>1387670637</v>
      </c>
      <c r="T41" s="51">
        <f>SUM(L41,N41,P41,R41)</f>
        <v>76.649746192893417</v>
      </c>
      <c r="U41" s="51">
        <f t="shared" ref="U41:U52" si="14">T41/J41*100</f>
        <v>125.04634361844045</v>
      </c>
      <c r="V41" s="52" t="s">
        <v>54</v>
      </c>
      <c r="W41" s="55">
        <f t="shared" si="12"/>
        <v>4792701163</v>
      </c>
      <c r="X41" s="51">
        <f t="shared" si="13"/>
        <v>97.308016180126202</v>
      </c>
      <c r="Y41" s="52" t="s">
        <v>54</v>
      </c>
      <c r="Z41" s="51">
        <f>SUM(H41,T41)</f>
        <v>109.07652443557123</v>
      </c>
      <c r="AA41" s="79">
        <f t="shared" si="4"/>
        <v>9238287947</v>
      </c>
      <c r="AB41" s="51"/>
      <c r="AC41" s="40" t="s">
        <v>54</v>
      </c>
      <c r="AD41" s="51"/>
      <c r="AE41" s="11"/>
      <c r="AH41" s="24"/>
    </row>
    <row r="42" spans="1:34" ht="132" customHeight="1" x14ac:dyDescent="0.2">
      <c r="A42" s="16"/>
      <c r="B42" s="17"/>
      <c r="C42" s="18" t="s">
        <v>88</v>
      </c>
      <c r="D42" s="18" t="s">
        <v>198</v>
      </c>
      <c r="E42" s="41">
        <f>352/478*100</f>
        <v>73.640167364016733</v>
      </c>
      <c r="F42" s="40" t="s">
        <v>54</v>
      </c>
      <c r="G42" s="37">
        <f>SUM(G43:G47)</f>
        <v>14543430350</v>
      </c>
      <c r="H42" s="41">
        <f>319/478*100</f>
        <v>66.73640167364016</v>
      </c>
      <c r="I42" s="37">
        <f>SUM(I43:I47)</f>
        <v>4445586784</v>
      </c>
      <c r="J42" s="41">
        <f>347/478*100</f>
        <v>72.594142259414227</v>
      </c>
      <c r="K42" s="37">
        <f>SUM(K43:K47)</f>
        <v>4925289150</v>
      </c>
      <c r="L42" s="41">
        <f>302/394*100</f>
        <v>76.649746192893403</v>
      </c>
      <c r="M42" s="37">
        <f>SUM(M43:M47)</f>
        <v>1458226242</v>
      </c>
      <c r="N42" s="41">
        <v>0</v>
      </c>
      <c r="O42" s="37">
        <f>SUM(O43:O47)</f>
        <v>797817742</v>
      </c>
      <c r="P42" s="41">
        <v>0</v>
      </c>
      <c r="Q42" s="37">
        <f>SUM(Q43:Q47)</f>
        <v>1148986542</v>
      </c>
      <c r="R42" s="41">
        <v>0</v>
      </c>
      <c r="S42" s="37">
        <f>SUM(S43:S47)</f>
        <v>1387670637</v>
      </c>
      <c r="T42" s="51">
        <f t="shared" si="10"/>
        <v>76.649746192893403</v>
      </c>
      <c r="U42" s="51">
        <f t="shared" si="14"/>
        <v>105.5866820755131</v>
      </c>
      <c r="V42" s="52" t="s">
        <v>54</v>
      </c>
      <c r="W42" s="55">
        <f t="shared" si="12"/>
        <v>4792701163</v>
      </c>
      <c r="X42" s="51">
        <f t="shared" si="13"/>
        <v>97.308016180126202</v>
      </c>
      <c r="Y42" s="52" t="s">
        <v>54</v>
      </c>
      <c r="Z42" s="53">
        <f t="shared" si="3"/>
        <v>143.38614786653358</v>
      </c>
      <c r="AA42" s="79">
        <f t="shared" si="4"/>
        <v>9238287947</v>
      </c>
      <c r="AB42" s="51"/>
      <c r="AC42" s="40" t="s">
        <v>54</v>
      </c>
      <c r="AD42" s="51"/>
      <c r="AE42" s="11"/>
      <c r="AH42" s="24"/>
    </row>
    <row r="43" spans="1:34" ht="120" customHeight="1" x14ac:dyDescent="0.2">
      <c r="A43" s="16"/>
      <c r="B43" s="17"/>
      <c r="C43" s="25" t="s">
        <v>89</v>
      </c>
      <c r="D43" s="25" t="s">
        <v>163</v>
      </c>
      <c r="E43" s="19">
        <v>35</v>
      </c>
      <c r="F43" s="20" t="s">
        <v>117</v>
      </c>
      <c r="G43" s="46">
        <v>339949800</v>
      </c>
      <c r="H43" s="38">
        <v>25</v>
      </c>
      <c r="I43" s="21">
        <v>99750000</v>
      </c>
      <c r="J43" s="19">
        <v>25</v>
      </c>
      <c r="K43" s="22">
        <v>99200000</v>
      </c>
      <c r="L43" s="19">
        <v>25</v>
      </c>
      <c r="M43" s="22">
        <v>30000000</v>
      </c>
      <c r="N43" s="19">
        <v>0</v>
      </c>
      <c r="O43" s="22">
        <v>17187500</v>
      </c>
      <c r="P43" s="19">
        <v>0</v>
      </c>
      <c r="Q43" s="22">
        <v>30000000</v>
      </c>
      <c r="R43" s="19">
        <v>0</v>
      </c>
      <c r="S43" s="22">
        <v>22012500</v>
      </c>
      <c r="T43" s="54">
        <f t="shared" si="10"/>
        <v>25</v>
      </c>
      <c r="U43" s="54">
        <f t="shared" si="14"/>
        <v>100</v>
      </c>
      <c r="V43" s="31" t="s">
        <v>54</v>
      </c>
      <c r="W43" s="48">
        <f t="shared" si="12"/>
        <v>99200000</v>
      </c>
      <c r="X43" s="47">
        <f t="shared" si="13"/>
        <v>100</v>
      </c>
      <c r="Y43" s="31" t="s">
        <v>54</v>
      </c>
      <c r="Z43" s="54">
        <f t="shared" si="3"/>
        <v>50</v>
      </c>
      <c r="AA43" s="83">
        <f t="shared" si="4"/>
        <v>198950000</v>
      </c>
      <c r="AB43" s="47"/>
      <c r="AC43" s="20" t="s">
        <v>54</v>
      </c>
      <c r="AD43" s="47"/>
      <c r="AE43" s="11"/>
      <c r="AH43" s="24"/>
    </row>
    <row r="44" spans="1:34" ht="105" x14ac:dyDescent="0.2">
      <c r="A44" s="16"/>
      <c r="B44" s="17"/>
      <c r="C44" s="25" t="s">
        <v>90</v>
      </c>
      <c r="D44" s="91" t="s">
        <v>164</v>
      </c>
      <c r="E44" s="19">
        <v>11</v>
      </c>
      <c r="F44" s="20" t="s">
        <v>117</v>
      </c>
      <c r="G44" s="46">
        <v>562757100</v>
      </c>
      <c r="H44" s="38">
        <v>11</v>
      </c>
      <c r="I44" s="21">
        <v>177527300</v>
      </c>
      <c r="J44" s="19">
        <v>11</v>
      </c>
      <c r="K44" s="22">
        <v>174387500</v>
      </c>
      <c r="L44" s="19">
        <v>11</v>
      </c>
      <c r="M44" s="22">
        <v>57200000</v>
      </c>
      <c r="N44" s="19">
        <v>0</v>
      </c>
      <c r="O44" s="22">
        <v>29712500</v>
      </c>
      <c r="P44" s="19">
        <v>0</v>
      </c>
      <c r="Q44" s="22">
        <v>44012500</v>
      </c>
      <c r="R44" s="19">
        <v>0</v>
      </c>
      <c r="S44" s="22">
        <v>42900000</v>
      </c>
      <c r="T44" s="54">
        <f t="shared" ref="T44" si="15">SUM(L44,N44,P44,R44)</f>
        <v>11</v>
      </c>
      <c r="U44" s="54">
        <f t="shared" si="14"/>
        <v>100</v>
      </c>
      <c r="V44" s="31" t="s">
        <v>54</v>
      </c>
      <c r="W44" s="48">
        <f t="shared" ref="W44" si="16">SUM(M44,O44,Q44,S44)</f>
        <v>173825000</v>
      </c>
      <c r="X44" s="47">
        <f t="shared" ref="X44" si="17">W44/K44*100</f>
        <v>99.677442477241769</v>
      </c>
      <c r="Y44" s="31" t="s">
        <v>54</v>
      </c>
      <c r="Z44" s="54">
        <f t="shared" ref="Z44" si="18">SUM(H44,T44)</f>
        <v>22</v>
      </c>
      <c r="AA44" s="83">
        <f t="shared" ref="AA44" si="19">SUM(I44,W44)</f>
        <v>351352300</v>
      </c>
      <c r="AB44" s="47"/>
      <c r="AC44" s="20" t="s">
        <v>54</v>
      </c>
      <c r="AD44" s="47"/>
      <c r="AE44" s="11"/>
      <c r="AH44" s="24"/>
    </row>
    <row r="45" spans="1:34" ht="75" x14ac:dyDescent="0.2">
      <c r="A45" s="16"/>
      <c r="B45" s="17"/>
      <c r="C45" s="25" t="s">
        <v>209</v>
      </c>
      <c r="D45" s="129" t="s">
        <v>210</v>
      </c>
      <c r="E45" s="19">
        <v>42</v>
      </c>
      <c r="F45" s="20" t="s">
        <v>117</v>
      </c>
      <c r="G45" s="46"/>
      <c r="H45" s="38"/>
      <c r="I45" s="21"/>
      <c r="J45" s="19">
        <v>42</v>
      </c>
      <c r="K45" s="22">
        <v>11376000</v>
      </c>
      <c r="L45" s="19">
        <v>42</v>
      </c>
      <c r="M45" s="22">
        <v>0</v>
      </c>
      <c r="N45" s="19">
        <v>0</v>
      </c>
      <c r="O45" s="22">
        <v>0</v>
      </c>
      <c r="P45" s="19">
        <v>0</v>
      </c>
      <c r="Q45" s="22">
        <v>10476000</v>
      </c>
      <c r="R45" s="19">
        <v>0</v>
      </c>
      <c r="S45" s="22">
        <v>0</v>
      </c>
      <c r="T45" s="54">
        <f t="shared" si="10"/>
        <v>42</v>
      </c>
      <c r="U45" s="54">
        <f t="shared" si="14"/>
        <v>100</v>
      </c>
      <c r="V45" s="31" t="s">
        <v>54</v>
      </c>
      <c r="W45" s="48">
        <f t="shared" si="12"/>
        <v>10476000</v>
      </c>
      <c r="X45" s="47">
        <f t="shared" si="13"/>
        <v>92.088607594936718</v>
      </c>
      <c r="Y45" s="31" t="s">
        <v>54</v>
      </c>
      <c r="Z45" s="54">
        <f t="shared" si="3"/>
        <v>42</v>
      </c>
      <c r="AA45" s="83">
        <f t="shared" si="4"/>
        <v>10476000</v>
      </c>
      <c r="AB45" s="47"/>
      <c r="AC45" s="20" t="s">
        <v>54</v>
      </c>
      <c r="AD45" s="47"/>
      <c r="AE45" s="11"/>
      <c r="AH45" s="24"/>
    </row>
    <row r="46" spans="1:34" ht="90" x14ac:dyDescent="0.2">
      <c r="A46" s="16"/>
      <c r="B46" s="17"/>
      <c r="C46" s="25" t="s">
        <v>91</v>
      </c>
      <c r="D46" s="25" t="s">
        <v>165</v>
      </c>
      <c r="E46" s="19">
        <f>17+46+44</f>
        <v>107</v>
      </c>
      <c r="F46" s="43" t="s">
        <v>118</v>
      </c>
      <c r="G46" s="90">
        <v>13585068500</v>
      </c>
      <c r="H46" s="19">
        <v>17</v>
      </c>
      <c r="I46" s="21">
        <v>4157509484</v>
      </c>
      <c r="J46" s="19">
        <v>46</v>
      </c>
      <c r="K46" s="22">
        <v>4626274100</v>
      </c>
      <c r="L46" s="19">
        <v>2</v>
      </c>
      <c r="M46" s="22">
        <f>1329750000+41276242</f>
        <v>1371026242</v>
      </c>
      <c r="N46" s="19">
        <v>17</v>
      </c>
      <c r="O46" s="22">
        <v>750917742</v>
      </c>
      <c r="P46" s="19">
        <v>18</v>
      </c>
      <c r="Q46" s="131">
        <v>1064038042</v>
      </c>
      <c r="R46" s="19">
        <v>9</v>
      </c>
      <c r="S46" s="22">
        <v>1322758137</v>
      </c>
      <c r="T46" s="54">
        <f t="shared" si="10"/>
        <v>46</v>
      </c>
      <c r="U46" s="47">
        <f t="shared" si="14"/>
        <v>100</v>
      </c>
      <c r="V46" s="31" t="s">
        <v>54</v>
      </c>
      <c r="W46" s="48">
        <f t="shared" si="12"/>
        <v>4508740163</v>
      </c>
      <c r="X46" s="47">
        <f t="shared" si="13"/>
        <v>97.45942556667795</v>
      </c>
      <c r="Y46" s="31" t="s">
        <v>54</v>
      </c>
      <c r="Z46" s="54">
        <f t="shared" si="3"/>
        <v>63</v>
      </c>
      <c r="AA46" s="83">
        <f t="shared" si="4"/>
        <v>8666249647</v>
      </c>
      <c r="AB46" s="47"/>
      <c r="AC46" s="20" t="s">
        <v>54</v>
      </c>
      <c r="AD46" s="47"/>
      <c r="AE46" s="11"/>
      <c r="AH46" s="24"/>
    </row>
    <row r="47" spans="1:34" ht="105" x14ac:dyDescent="0.2">
      <c r="A47" s="16"/>
      <c r="B47" s="17"/>
      <c r="C47" s="25" t="s">
        <v>92</v>
      </c>
      <c r="D47" s="25" t="s">
        <v>166</v>
      </c>
      <c r="E47" s="19">
        <f>J47*3</f>
        <v>3</v>
      </c>
      <c r="F47" s="43" t="s">
        <v>167</v>
      </c>
      <c r="G47" s="46">
        <v>55654950</v>
      </c>
      <c r="H47" s="38">
        <v>1</v>
      </c>
      <c r="I47" s="21">
        <v>10800000</v>
      </c>
      <c r="J47" s="19">
        <v>1</v>
      </c>
      <c r="K47" s="22">
        <v>14051550</v>
      </c>
      <c r="L47" s="19">
        <v>0</v>
      </c>
      <c r="M47" s="22">
        <v>0</v>
      </c>
      <c r="N47" s="19">
        <v>0</v>
      </c>
      <c r="O47" s="22">
        <v>0</v>
      </c>
      <c r="P47" s="19">
        <v>1</v>
      </c>
      <c r="Q47" s="22">
        <v>460000</v>
      </c>
      <c r="R47" s="19">
        <v>0</v>
      </c>
      <c r="S47" s="22">
        <v>0</v>
      </c>
      <c r="T47" s="54">
        <f t="shared" si="10"/>
        <v>1</v>
      </c>
      <c r="U47" s="47">
        <f t="shared" si="14"/>
        <v>100</v>
      </c>
      <c r="V47" s="31" t="s">
        <v>54</v>
      </c>
      <c r="W47" s="48">
        <f t="shared" si="12"/>
        <v>460000</v>
      </c>
      <c r="X47" s="47">
        <f t="shared" si="13"/>
        <v>3.2736602011877691</v>
      </c>
      <c r="Y47" s="31" t="s">
        <v>54</v>
      </c>
      <c r="Z47" s="54">
        <f t="shared" si="3"/>
        <v>2</v>
      </c>
      <c r="AA47" s="83">
        <f t="shared" si="4"/>
        <v>11260000</v>
      </c>
      <c r="AB47" s="47"/>
      <c r="AC47" s="20" t="s">
        <v>54</v>
      </c>
      <c r="AD47" s="47"/>
      <c r="AE47" s="11"/>
      <c r="AH47" s="24"/>
    </row>
    <row r="48" spans="1:34" ht="104.25" customHeight="1" x14ac:dyDescent="0.2">
      <c r="A48" s="16"/>
      <c r="B48" s="17" t="s">
        <v>213</v>
      </c>
      <c r="C48" s="18" t="s">
        <v>93</v>
      </c>
      <c r="D48" s="73" t="s">
        <v>214</v>
      </c>
      <c r="E48" s="41">
        <f>226/985*100</f>
        <v>22.944162436548226</v>
      </c>
      <c r="F48" s="40" t="s">
        <v>54</v>
      </c>
      <c r="G48" s="107">
        <f>SUM(G52,G59)</f>
        <v>39547663840</v>
      </c>
      <c r="H48" s="41">
        <f>171/985*100</f>
        <v>17.36040609137056</v>
      </c>
      <c r="I48" s="107">
        <f>SUM(I52,I59)</f>
        <v>17321487125</v>
      </c>
      <c r="J48" s="132">
        <f>2572/2572*100</f>
        <v>100</v>
      </c>
      <c r="K48" s="107">
        <f>SUM(K52,K59)</f>
        <v>7553729700</v>
      </c>
      <c r="L48" s="41">
        <f>171/808*100</f>
        <v>21.163366336633661</v>
      </c>
      <c r="M48" s="107">
        <f>SUM(M52,M59)</f>
        <v>860585600</v>
      </c>
      <c r="N48" s="41">
        <v>0</v>
      </c>
      <c r="O48" s="107">
        <f>SUM(O52,O59)</f>
        <v>3078804300</v>
      </c>
      <c r="P48" s="41">
        <v>0</v>
      </c>
      <c r="Q48" s="107">
        <f>SUM(Q52,Q59)</f>
        <v>295053500</v>
      </c>
      <c r="R48" s="200">
        <f>1562/2572*100</f>
        <v>60.730948678071542</v>
      </c>
      <c r="S48" s="107">
        <f>SUM(S52,S59)</f>
        <v>1923798800</v>
      </c>
      <c r="T48" s="51">
        <f t="shared" si="10"/>
        <v>81.894315014705199</v>
      </c>
      <c r="U48" s="51">
        <f t="shared" si="14"/>
        <v>81.894315014705199</v>
      </c>
      <c r="V48" s="52" t="s">
        <v>54</v>
      </c>
      <c r="W48" s="108">
        <f t="shared" si="12"/>
        <v>6158242200</v>
      </c>
      <c r="X48" s="51">
        <f t="shared" si="13"/>
        <v>81.525848085350475</v>
      </c>
      <c r="Y48" s="52" t="s">
        <v>54</v>
      </c>
      <c r="Z48" s="51">
        <f t="shared" si="3"/>
        <v>99.254721106075763</v>
      </c>
      <c r="AA48" s="77">
        <f t="shared" si="4"/>
        <v>23479729325</v>
      </c>
      <c r="AB48" s="51"/>
      <c r="AC48" s="40" t="s">
        <v>54</v>
      </c>
      <c r="AD48" s="51"/>
      <c r="AE48" s="11"/>
      <c r="AH48" s="24"/>
    </row>
    <row r="49" spans="1:34" ht="48.75" customHeight="1" x14ac:dyDescent="0.2">
      <c r="A49" s="16"/>
      <c r="B49" s="17"/>
      <c r="C49" s="18"/>
      <c r="D49" s="73" t="s">
        <v>206</v>
      </c>
      <c r="E49" s="39">
        <f>265/767*100</f>
        <v>34.550195567144719</v>
      </c>
      <c r="F49" s="40" t="s">
        <v>54</v>
      </c>
      <c r="G49" s="123"/>
      <c r="H49" s="41">
        <f>186/767*100</f>
        <v>24.250325945241201</v>
      </c>
      <c r="I49" s="123"/>
      <c r="J49" s="41">
        <f>225/767*100</f>
        <v>29.335071707953063</v>
      </c>
      <c r="K49" s="123"/>
      <c r="L49" s="41">
        <f>186/396*100</f>
        <v>46.969696969696969</v>
      </c>
      <c r="M49" s="123"/>
      <c r="N49" s="41">
        <v>0</v>
      </c>
      <c r="O49" s="123"/>
      <c r="P49" s="41">
        <v>0</v>
      </c>
      <c r="Q49" s="123"/>
      <c r="R49" s="41">
        <v>0</v>
      </c>
      <c r="S49" s="123"/>
      <c r="T49" s="51">
        <f t="shared" ref="T49:T51" si="20">SUM(L49,N49,P49,R49)</f>
        <v>46.969696969696969</v>
      </c>
      <c r="U49" s="51">
        <f t="shared" si="14"/>
        <v>160.11447811447812</v>
      </c>
      <c r="V49" s="52" t="s">
        <v>54</v>
      </c>
      <c r="W49" s="124"/>
      <c r="X49" s="51"/>
      <c r="Y49" s="52"/>
      <c r="Z49" s="51">
        <f t="shared" si="3"/>
        <v>71.22002291493817</v>
      </c>
      <c r="AA49" s="126"/>
      <c r="AB49" s="51"/>
      <c r="AC49" s="40"/>
      <c r="AD49" s="51"/>
      <c r="AE49" s="11"/>
      <c r="AH49" s="24"/>
    </row>
    <row r="50" spans="1:34" ht="47.25" x14ac:dyDescent="0.2">
      <c r="A50" s="16"/>
      <c r="B50" s="17"/>
      <c r="C50" s="18"/>
      <c r="D50" s="73" t="s">
        <v>207</v>
      </c>
      <c r="E50" s="41">
        <f>120/1770*100</f>
        <v>6.7796610169491522</v>
      </c>
      <c r="F50" s="40" t="s">
        <v>54</v>
      </c>
      <c r="G50" s="123"/>
      <c r="H50" s="41">
        <f>69/1770*100</f>
        <v>3.898305084745763</v>
      </c>
      <c r="I50" s="123"/>
      <c r="J50" s="41">
        <f>100/1770*100</f>
        <v>5.6497175141242941</v>
      </c>
      <c r="K50" s="123"/>
      <c r="L50" s="41">
        <f>70/2588*100</f>
        <v>2.7047913446676968</v>
      </c>
      <c r="M50" s="123"/>
      <c r="N50" s="41">
        <v>0</v>
      </c>
      <c r="O50" s="123"/>
      <c r="P50" s="41">
        <v>0</v>
      </c>
      <c r="Q50" s="123"/>
      <c r="R50" s="41">
        <v>0</v>
      </c>
      <c r="S50" s="123"/>
      <c r="T50" s="51">
        <f t="shared" si="20"/>
        <v>2.7047913446676968</v>
      </c>
      <c r="U50" s="51">
        <f t="shared" si="14"/>
        <v>47.874806800618231</v>
      </c>
      <c r="V50" s="52" t="s">
        <v>54</v>
      </c>
      <c r="W50" s="124"/>
      <c r="X50" s="51"/>
      <c r="Y50" s="52"/>
      <c r="Z50" s="51">
        <f t="shared" si="3"/>
        <v>6.6030964294134602</v>
      </c>
      <c r="AA50" s="126"/>
      <c r="AB50" s="51"/>
      <c r="AC50" s="40"/>
      <c r="AD50" s="51"/>
      <c r="AE50" s="11"/>
      <c r="AH50" s="24"/>
    </row>
    <row r="51" spans="1:34" ht="119.25" customHeight="1" x14ac:dyDescent="0.2">
      <c r="A51" s="16"/>
      <c r="B51" s="17"/>
      <c r="C51" s="18"/>
      <c r="D51" s="73" t="s">
        <v>215</v>
      </c>
      <c r="E51" s="41">
        <f>3091/7660*100</f>
        <v>40.35248041775457</v>
      </c>
      <c r="F51" s="40" t="s">
        <v>54</v>
      </c>
      <c r="G51" s="110"/>
      <c r="H51" s="41">
        <f>2398/7660*100</f>
        <v>31.305483028720626</v>
      </c>
      <c r="I51" s="130"/>
      <c r="J51" s="41">
        <f>2272/7660*100</f>
        <v>29.660574412532636</v>
      </c>
      <c r="K51" s="110"/>
      <c r="L51" s="41">
        <f>806/10622*100</f>
        <v>7.5880248540764441</v>
      </c>
      <c r="M51" s="110"/>
      <c r="N51" s="41">
        <v>0</v>
      </c>
      <c r="O51" s="110"/>
      <c r="P51" s="41">
        <v>0</v>
      </c>
      <c r="Q51" s="110"/>
      <c r="R51" s="41">
        <v>0</v>
      </c>
      <c r="S51" s="110"/>
      <c r="T51" s="51">
        <f t="shared" si="20"/>
        <v>7.5880248540764441</v>
      </c>
      <c r="U51" s="51">
        <f t="shared" si="14"/>
        <v>25.582865485134494</v>
      </c>
      <c r="V51" s="52" t="s">
        <v>54</v>
      </c>
      <c r="W51" s="111"/>
      <c r="X51" s="51"/>
      <c r="Y51" s="52"/>
      <c r="Z51" s="51">
        <f t="shared" si="3"/>
        <v>38.893507882797067</v>
      </c>
      <c r="AA51" s="112"/>
      <c r="AB51" s="51"/>
      <c r="AC51" s="40"/>
      <c r="AD51" s="51"/>
      <c r="AE51" s="11"/>
      <c r="AH51" s="24"/>
    </row>
    <row r="52" spans="1:34" ht="201" customHeight="1" x14ac:dyDescent="0.2">
      <c r="A52" s="16"/>
      <c r="B52" s="17"/>
      <c r="C52" s="18" t="s">
        <v>94</v>
      </c>
      <c r="D52" s="18" t="s">
        <v>120</v>
      </c>
      <c r="E52" s="41">
        <f>2962/5632*100</f>
        <v>52.59232954545454</v>
      </c>
      <c r="F52" s="40" t="s">
        <v>54</v>
      </c>
      <c r="G52" s="37">
        <f>SUM(G53:G58)</f>
        <v>27032841245</v>
      </c>
      <c r="H52" s="41">
        <f>2206/5632*100</f>
        <v>39.169034090909086</v>
      </c>
      <c r="I52" s="37">
        <f>SUM(I53:I58)</f>
        <v>7045844800</v>
      </c>
      <c r="J52" s="41">
        <f>2173/5632*100</f>
        <v>38.583096590909086</v>
      </c>
      <c r="K52" s="37">
        <f>SUM(K53:K58)</f>
        <v>7107287100</v>
      </c>
      <c r="L52" s="41">
        <f>780/7628*100</f>
        <v>10.225485055060304</v>
      </c>
      <c r="M52" s="37">
        <f>SUM(M53:M58)</f>
        <v>790460600</v>
      </c>
      <c r="N52" s="41">
        <f>606/7628*100</f>
        <v>7.94441531200839</v>
      </c>
      <c r="O52" s="37">
        <f>SUM(O53:O58)</f>
        <v>2984376500</v>
      </c>
      <c r="P52" s="41">
        <v>0</v>
      </c>
      <c r="Q52" s="37">
        <f>SUM(Q53:Q58)</f>
        <v>219999750</v>
      </c>
      <c r="R52" s="41">
        <f>1093/7628*100</f>
        <v>14.328788673308862</v>
      </c>
      <c r="S52" s="37">
        <f>SUM(S53:S58)</f>
        <v>1789171400</v>
      </c>
      <c r="T52" s="51">
        <f t="shared" si="10"/>
        <v>32.498689040377556</v>
      </c>
      <c r="U52" s="51">
        <f t="shared" si="14"/>
        <v>84.230380430467747</v>
      </c>
      <c r="V52" s="52" t="s">
        <v>54</v>
      </c>
      <c r="W52" s="55">
        <f t="shared" si="12"/>
        <v>5784008250</v>
      </c>
      <c r="X52" s="51">
        <f t="shared" si="13"/>
        <v>81.38137897932954</v>
      </c>
      <c r="Y52" s="52" t="s">
        <v>54</v>
      </c>
      <c r="Z52" s="53">
        <f t="shared" si="3"/>
        <v>71.667723131286635</v>
      </c>
      <c r="AA52" s="79">
        <f t="shared" si="4"/>
        <v>12829853050</v>
      </c>
      <c r="AB52" s="51"/>
      <c r="AC52" s="40" t="s">
        <v>54</v>
      </c>
      <c r="AD52" s="51"/>
      <c r="AE52" s="11"/>
      <c r="AH52" s="24"/>
    </row>
    <row r="53" spans="1:34" ht="105" x14ac:dyDescent="0.2">
      <c r="A53" s="16"/>
      <c r="B53" s="17"/>
      <c r="C53" s="25" t="s">
        <v>95</v>
      </c>
      <c r="D53" s="92" t="s">
        <v>168</v>
      </c>
      <c r="E53" s="42">
        <f>H53+1890+2679</f>
        <v>6606</v>
      </c>
      <c r="F53" s="20" t="s">
        <v>117</v>
      </c>
      <c r="G53" s="46">
        <v>24774156095</v>
      </c>
      <c r="H53" s="42">
        <v>2037</v>
      </c>
      <c r="I53" s="21">
        <v>6873459800</v>
      </c>
      <c r="J53" s="42">
        <v>1890</v>
      </c>
      <c r="K53" s="22">
        <v>6156466300</v>
      </c>
      <c r="L53" s="42">
        <v>748</v>
      </c>
      <c r="M53" s="22">
        <v>736610600</v>
      </c>
      <c r="N53" s="42">
        <v>538</v>
      </c>
      <c r="O53" s="22">
        <v>2883080000</v>
      </c>
      <c r="P53" s="42">
        <v>0</v>
      </c>
      <c r="Q53" s="22">
        <v>0</v>
      </c>
      <c r="R53" s="42">
        <v>477</v>
      </c>
      <c r="S53" s="22">
        <v>1486049500</v>
      </c>
      <c r="T53" s="84">
        <f t="shared" si="10"/>
        <v>1763</v>
      </c>
      <c r="U53" s="47">
        <f t="shared" ref="U53:U62" si="21">T53/J53*100</f>
        <v>93.280423280423292</v>
      </c>
      <c r="V53" s="31" t="s">
        <v>54</v>
      </c>
      <c r="W53" s="48">
        <f t="shared" si="12"/>
        <v>5105740100</v>
      </c>
      <c r="X53" s="47">
        <f t="shared" si="13"/>
        <v>82.932965945090942</v>
      </c>
      <c r="Y53" s="31" t="s">
        <v>54</v>
      </c>
      <c r="Z53" s="84">
        <f t="shared" ref="Z53:Z90" si="22">SUM(H53,T53)</f>
        <v>3800</v>
      </c>
      <c r="AA53" s="83">
        <f t="shared" ref="AA53:AA71" si="23">SUM(I53,W53)</f>
        <v>11979199900</v>
      </c>
      <c r="AB53" s="47"/>
      <c r="AC53" s="20" t="s">
        <v>54</v>
      </c>
      <c r="AD53" s="47"/>
      <c r="AE53" s="11"/>
      <c r="AH53" s="24"/>
    </row>
    <row r="54" spans="1:34" ht="90" x14ac:dyDescent="0.2">
      <c r="A54" s="16"/>
      <c r="B54" s="17"/>
      <c r="C54" s="25" t="s">
        <v>100</v>
      </c>
      <c r="D54" s="92" t="s">
        <v>169</v>
      </c>
      <c r="E54" s="42">
        <f>15*2</f>
        <v>30</v>
      </c>
      <c r="F54" s="20" t="s">
        <v>117</v>
      </c>
      <c r="G54" s="46">
        <f>K54*2</f>
        <v>93200000</v>
      </c>
      <c r="H54" s="42"/>
      <c r="I54" s="21"/>
      <c r="J54" s="42">
        <v>15</v>
      </c>
      <c r="K54" s="22">
        <v>46600000</v>
      </c>
      <c r="L54" s="42">
        <v>0</v>
      </c>
      <c r="M54" s="22">
        <v>0</v>
      </c>
      <c r="N54" s="42">
        <v>0</v>
      </c>
      <c r="O54" s="22">
        <v>0</v>
      </c>
      <c r="P54" s="42">
        <v>15</v>
      </c>
      <c r="Q54" s="22">
        <v>46600000</v>
      </c>
      <c r="R54" s="42">
        <v>0</v>
      </c>
      <c r="S54" s="22">
        <v>0</v>
      </c>
      <c r="T54" s="84">
        <f t="shared" si="10"/>
        <v>15</v>
      </c>
      <c r="U54" s="47">
        <f t="shared" si="21"/>
        <v>100</v>
      </c>
      <c r="V54" s="31" t="s">
        <v>54</v>
      </c>
      <c r="W54" s="48">
        <f t="shared" si="12"/>
        <v>46600000</v>
      </c>
      <c r="X54" s="47">
        <f t="shared" si="13"/>
        <v>100</v>
      </c>
      <c r="Y54" s="31" t="s">
        <v>54</v>
      </c>
      <c r="Z54" s="84">
        <f t="shared" si="22"/>
        <v>15</v>
      </c>
      <c r="AA54" s="83">
        <f t="shared" si="23"/>
        <v>46600000</v>
      </c>
      <c r="AB54" s="47"/>
      <c r="AC54" s="20" t="s">
        <v>54</v>
      </c>
      <c r="AD54" s="47"/>
      <c r="AE54" s="11"/>
      <c r="AH54" s="24"/>
    </row>
    <row r="55" spans="1:34" ht="75" x14ac:dyDescent="0.2">
      <c r="A55" s="16"/>
      <c r="B55" s="17"/>
      <c r="C55" s="25" t="s">
        <v>101</v>
      </c>
      <c r="D55" s="92" t="s">
        <v>170</v>
      </c>
      <c r="E55" s="42">
        <f>120*2</f>
        <v>240</v>
      </c>
      <c r="F55" s="20" t="s">
        <v>117</v>
      </c>
      <c r="G55" s="46">
        <f>K55*2</f>
        <v>216153900</v>
      </c>
      <c r="H55" s="42"/>
      <c r="I55" s="21"/>
      <c r="J55" s="42">
        <v>90</v>
      </c>
      <c r="K55" s="22">
        <v>108076950</v>
      </c>
      <c r="L55" s="42">
        <v>0</v>
      </c>
      <c r="M55" s="22">
        <v>3250000</v>
      </c>
      <c r="N55" s="42">
        <v>26</v>
      </c>
      <c r="O55" s="22">
        <v>27934000</v>
      </c>
      <c r="P55" s="42">
        <v>0</v>
      </c>
      <c r="Q55" s="22">
        <v>2720000</v>
      </c>
      <c r="R55" s="42">
        <v>60</v>
      </c>
      <c r="S55" s="22">
        <v>73990200</v>
      </c>
      <c r="T55" s="84">
        <f t="shared" si="10"/>
        <v>86</v>
      </c>
      <c r="U55" s="47">
        <f t="shared" si="21"/>
        <v>95.555555555555557</v>
      </c>
      <c r="V55" s="31" t="s">
        <v>54</v>
      </c>
      <c r="W55" s="48">
        <f t="shared" si="12"/>
        <v>107894200</v>
      </c>
      <c r="X55" s="47">
        <f t="shared" si="13"/>
        <v>99.830907515432287</v>
      </c>
      <c r="Y55" s="31" t="s">
        <v>54</v>
      </c>
      <c r="Z55" s="84">
        <f t="shared" si="22"/>
        <v>86</v>
      </c>
      <c r="AA55" s="83">
        <f t="shared" si="23"/>
        <v>107894200</v>
      </c>
      <c r="AB55" s="47"/>
      <c r="AC55" s="20" t="s">
        <v>54</v>
      </c>
      <c r="AD55" s="47"/>
      <c r="AE55" s="11"/>
      <c r="AH55" s="24"/>
    </row>
    <row r="56" spans="1:34" ht="150" x14ac:dyDescent="0.2">
      <c r="A56" s="16"/>
      <c r="B56" s="17" t="s">
        <v>124</v>
      </c>
      <c r="C56" s="25" t="s">
        <v>96</v>
      </c>
      <c r="D56" s="92" t="s">
        <v>171</v>
      </c>
      <c r="E56" s="38">
        <v>300</v>
      </c>
      <c r="F56" s="20" t="s">
        <v>117</v>
      </c>
      <c r="G56" s="22">
        <v>50079500</v>
      </c>
      <c r="H56" s="94">
        <v>100</v>
      </c>
      <c r="I56" s="22">
        <v>8910000</v>
      </c>
      <c r="J56" s="19">
        <v>280</v>
      </c>
      <c r="K56" s="22">
        <v>32472250</v>
      </c>
      <c r="L56" s="19">
        <v>0</v>
      </c>
      <c r="M56" s="22">
        <v>0</v>
      </c>
      <c r="N56" s="19">
        <v>0</v>
      </c>
      <c r="O56" s="22">
        <v>1875000</v>
      </c>
      <c r="P56" s="19">
        <v>90</v>
      </c>
      <c r="Q56" s="22">
        <v>11684750</v>
      </c>
      <c r="R56" s="19">
        <v>190</v>
      </c>
      <c r="S56" s="22">
        <v>13862500</v>
      </c>
      <c r="T56" s="54">
        <f t="shared" si="10"/>
        <v>280</v>
      </c>
      <c r="U56" s="47">
        <f t="shared" si="21"/>
        <v>100</v>
      </c>
      <c r="V56" s="31" t="s">
        <v>54</v>
      </c>
      <c r="W56" s="48">
        <f t="shared" si="12"/>
        <v>27422250</v>
      </c>
      <c r="X56" s="47">
        <f t="shared" si="13"/>
        <v>84.448259667870261</v>
      </c>
      <c r="Y56" s="31" t="s">
        <v>54</v>
      </c>
      <c r="Z56" s="54">
        <f t="shared" si="22"/>
        <v>380</v>
      </c>
      <c r="AA56" s="83">
        <f t="shared" si="23"/>
        <v>36332250</v>
      </c>
      <c r="AB56" s="47"/>
      <c r="AC56" s="20" t="s">
        <v>54</v>
      </c>
      <c r="AD56" s="47"/>
      <c r="AE56" s="11"/>
      <c r="AH56" s="24"/>
    </row>
    <row r="57" spans="1:34" ht="90" x14ac:dyDescent="0.2">
      <c r="A57" s="16"/>
      <c r="B57" s="17"/>
      <c r="C57" s="25" t="s">
        <v>97</v>
      </c>
      <c r="D57" s="92" t="s">
        <v>172</v>
      </c>
      <c r="E57" s="87">
        <f>68+351+436</f>
        <v>855</v>
      </c>
      <c r="F57" s="20" t="s">
        <v>117</v>
      </c>
      <c r="G57" s="46">
        <v>1380387850</v>
      </c>
      <c r="H57" s="50">
        <v>69</v>
      </c>
      <c r="I57" s="21">
        <v>163475000</v>
      </c>
      <c r="J57" s="42">
        <v>320</v>
      </c>
      <c r="K57" s="22">
        <v>504239650</v>
      </c>
      <c r="L57" s="42">
        <v>0</v>
      </c>
      <c r="M57" s="22">
        <v>0</v>
      </c>
      <c r="N57" s="42">
        <v>0</v>
      </c>
      <c r="O57" s="22">
        <v>30025000</v>
      </c>
      <c r="P57" s="42">
        <v>87</v>
      </c>
      <c r="Q57" s="22">
        <v>120195000</v>
      </c>
      <c r="R57" s="42">
        <v>110</v>
      </c>
      <c r="S57" s="22">
        <v>173779650</v>
      </c>
      <c r="T57" s="85">
        <f t="shared" si="10"/>
        <v>197</v>
      </c>
      <c r="U57" s="47">
        <f t="shared" si="21"/>
        <v>61.5625</v>
      </c>
      <c r="V57" s="31" t="s">
        <v>54</v>
      </c>
      <c r="W57" s="48">
        <f t="shared" si="12"/>
        <v>323999650</v>
      </c>
      <c r="X57" s="47">
        <f t="shared" si="13"/>
        <v>64.255091800099422</v>
      </c>
      <c r="Y57" s="31" t="s">
        <v>54</v>
      </c>
      <c r="Z57" s="54">
        <f t="shared" si="22"/>
        <v>266</v>
      </c>
      <c r="AA57" s="83">
        <f t="shared" si="23"/>
        <v>487474650</v>
      </c>
      <c r="AB57" s="47"/>
      <c r="AC57" s="20" t="s">
        <v>54</v>
      </c>
      <c r="AD57" s="47"/>
      <c r="AE57" s="11"/>
      <c r="AH57" s="24"/>
    </row>
    <row r="58" spans="1:34" ht="60" x14ac:dyDescent="0.2">
      <c r="A58" s="16"/>
      <c r="B58" s="17"/>
      <c r="C58" s="25" t="s">
        <v>135</v>
      </c>
      <c r="D58" s="92" t="s">
        <v>173</v>
      </c>
      <c r="E58" s="87">
        <f>48*2</f>
        <v>96</v>
      </c>
      <c r="F58" s="20" t="s">
        <v>117</v>
      </c>
      <c r="G58" s="46">
        <f>K58*2</f>
        <v>518863900</v>
      </c>
      <c r="H58" s="50"/>
      <c r="I58" s="21"/>
      <c r="J58" s="42">
        <v>188</v>
      </c>
      <c r="K58" s="22">
        <v>259431950</v>
      </c>
      <c r="L58" s="42">
        <v>41</v>
      </c>
      <c r="M58" s="22">
        <v>50600000</v>
      </c>
      <c r="N58" s="42">
        <v>23</v>
      </c>
      <c r="O58" s="22">
        <v>41462500</v>
      </c>
      <c r="P58" s="42">
        <v>38</v>
      </c>
      <c r="Q58" s="22">
        <v>38800000</v>
      </c>
      <c r="R58" s="42">
        <v>95</v>
      </c>
      <c r="S58" s="22">
        <v>41489550</v>
      </c>
      <c r="T58" s="85">
        <f t="shared" si="10"/>
        <v>197</v>
      </c>
      <c r="U58" s="47">
        <f t="shared" si="21"/>
        <v>104.78723404255319</v>
      </c>
      <c r="V58" s="31" t="s">
        <v>54</v>
      </c>
      <c r="W58" s="48">
        <f t="shared" si="12"/>
        <v>172352050</v>
      </c>
      <c r="X58" s="47">
        <f t="shared" si="13"/>
        <v>66.434396380245374</v>
      </c>
      <c r="Y58" s="31" t="s">
        <v>54</v>
      </c>
      <c r="Z58" s="54">
        <f t="shared" si="22"/>
        <v>197</v>
      </c>
      <c r="AA58" s="83">
        <f t="shared" si="23"/>
        <v>172352050</v>
      </c>
      <c r="AB58" s="47"/>
      <c r="AC58" s="20" t="s">
        <v>54</v>
      </c>
      <c r="AD58" s="47"/>
      <c r="AE58" s="11"/>
      <c r="AH58" s="24"/>
    </row>
    <row r="59" spans="1:34" ht="202.5" customHeight="1" x14ac:dyDescent="0.2">
      <c r="A59" s="16"/>
      <c r="B59" s="17"/>
      <c r="C59" s="18" t="s">
        <v>98</v>
      </c>
      <c r="D59" s="45" t="s">
        <v>129</v>
      </c>
      <c r="E59" s="41">
        <f>217/2028*100</f>
        <v>10.700197238658777</v>
      </c>
      <c r="F59" s="40" t="s">
        <v>54</v>
      </c>
      <c r="G59" s="74">
        <f>SUM(G60:G64)</f>
        <v>12514822595</v>
      </c>
      <c r="H59" s="41">
        <f>276/2028*100</f>
        <v>13.609467455621301</v>
      </c>
      <c r="I59" s="74">
        <f>SUM(I60:I64)</f>
        <v>10275642325</v>
      </c>
      <c r="J59" s="41">
        <f>SUM(J60:J64)/2028*100</f>
        <v>6.0157790927021697</v>
      </c>
      <c r="K59" s="74">
        <f>SUM(K60:K64)</f>
        <v>446442600</v>
      </c>
      <c r="L59" s="41">
        <f>SUM(L60:L64)/2028*100</f>
        <v>0.9368836291913214</v>
      </c>
      <c r="M59" s="115">
        <f>SUM(M60:M64)</f>
        <v>70125000</v>
      </c>
      <c r="N59" s="41">
        <f>SUM(N60:N64)/2028*100</f>
        <v>1.1341222879684418</v>
      </c>
      <c r="O59" s="115">
        <f>SUM(O60:O64)</f>
        <v>94427800</v>
      </c>
      <c r="P59" s="41">
        <f>SUM(P60:P64)/2028*100</f>
        <v>1.4299802761341223</v>
      </c>
      <c r="Q59" s="115">
        <f>SUM(Q60:Q64)</f>
        <v>75053750</v>
      </c>
      <c r="R59" s="41">
        <f>SUM(R60:R64)/2028*100</f>
        <v>2.5147928994082842</v>
      </c>
      <c r="S59" s="115">
        <f>SUM(S60:S64)</f>
        <v>134627400</v>
      </c>
      <c r="T59" s="51">
        <f t="shared" si="10"/>
        <v>6.0157790927021697</v>
      </c>
      <c r="U59" s="51">
        <f t="shared" si="21"/>
        <v>100</v>
      </c>
      <c r="V59" s="52" t="s">
        <v>54</v>
      </c>
      <c r="W59" s="55">
        <f t="shared" si="12"/>
        <v>374233950</v>
      </c>
      <c r="X59" s="51">
        <f t="shared" si="13"/>
        <v>83.825770658982819</v>
      </c>
      <c r="Y59" s="52" t="s">
        <v>54</v>
      </c>
      <c r="Z59" s="53">
        <f t="shared" si="22"/>
        <v>19.625246548323471</v>
      </c>
      <c r="AA59" s="79">
        <f t="shared" si="23"/>
        <v>10649876275</v>
      </c>
      <c r="AB59" s="51"/>
      <c r="AC59" s="40" t="s">
        <v>54</v>
      </c>
      <c r="AD59" s="51"/>
      <c r="AE59" s="11"/>
      <c r="AH59" s="24"/>
    </row>
    <row r="60" spans="1:34" ht="60" x14ac:dyDescent="0.2">
      <c r="A60" s="16"/>
      <c r="B60" s="17"/>
      <c r="C60" s="25" t="s">
        <v>99</v>
      </c>
      <c r="D60" s="93" t="s">
        <v>174</v>
      </c>
      <c r="E60" s="19">
        <f>97*3</f>
        <v>291</v>
      </c>
      <c r="F60" s="20" t="s">
        <v>117</v>
      </c>
      <c r="G60" s="90">
        <v>11665977100</v>
      </c>
      <c r="H60" s="94">
        <v>177</v>
      </c>
      <c r="I60" s="21">
        <v>9755219200</v>
      </c>
      <c r="J60" s="19">
        <v>42</v>
      </c>
      <c r="K60" s="22">
        <v>367029900</v>
      </c>
      <c r="L60" s="19">
        <v>14</v>
      </c>
      <c r="M60" s="22">
        <v>64675000</v>
      </c>
      <c r="N60" s="19">
        <f>25-L60</f>
        <v>11</v>
      </c>
      <c r="O60" s="22">
        <v>80773600</v>
      </c>
      <c r="P60" s="19">
        <v>3</v>
      </c>
      <c r="Q60" s="22">
        <v>58569100</v>
      </c>
      <c r="R60" s="19">
        <f>42-28</f>
        <v>14</v>
      </c>
      <c r="S60" s="22">
        <v>102285400</v>
      </c>
      <c r="T60" s="54">
        <f t="shared" si="10"/>
        <v>42</v>
      </c>
      <c r="U60" s="47">
        <f t="shared" si="21"/>
        <v>100</v>
      </c>
      <c r="V60" s="31" t="s">
        <v>54</v>
      </c>
      <c r="W60" s="48">
        <f t="shared" si="12"/>
        <v>306303100</v>
      </c>
      <c r="X60" s="47">
        <f t="shared" si="13"/>
        <v>83.454535992844185</v>
      </c>
      <c r="Y60" s="31" t="s">
        <v>54</v>
      </c>
      <c r="Z60" s="54">
        <f t="shared" si="22"/>
        <v>219</v>
      </c>
      <c r="AA60" s="83">
        <f t="shared" si="23"/>
        <v>10061522300</v>
      </c>
      <c r="AB60" s="47"/>
      <c r="AC60" s="20" t="s">
        <v>54</v>
      </c>
      <c r="AD60" s="47"/>
      <c r="AE60" s="11"/>
      <c r="AH60" s="24"/>
    </row>
    <row r="61" spans="1:34" ht="75" x14ac:dyDescent="0.2">
      <c r="A61" s="16"/>
      <c r="B61" s="17"/>
      <c r="C61" s="25" t="s">
        <v>101</v>
      </c>
      <c r="D61" s="92" t="s">
        <v>170</v>
      </c>
      <c r="E61" s="19">
        <f>25+70+70</f>
        <v>165</v>
      </c>
      <c r="F61" s="20" t="s">
        <v>117</v>
      </c>
      <c r="G61" s="46">
        <v>244291150</v>
      </c>
      <c r="H61" s="89">
        <v>75</v>
      </c>
      <c r="I61" s="21">
        <v>73240600</v>
      </c>
      <c r="J61" s="19">
        <v>70</v>
      </c>
      <c r="K61" s="22">
        <v>53680350</v>
      </c>
      <c r="L61" s="19">
        <v>0</v>
      </c>
      <c r="M61" s="22">
        <v>0</v>
      </c>
      <c r="N61" s="19">
        <v>12</v>
      </c>
      <c r="O61" s="22">
        <v>8429200</v>
      </c>
      <c r="P61" s="19">
        <v>21</v>
      </c>
      <c r="Q61" s="22">
        <v>6049650</v>
      </c>
      <c r="R61" s="19">
        <f>70-33</f>
        <v>37</v>
      </c>
      <c r="S61" s="22">
        <v>28895000</v>
      </c>
      <c r="T61" s="54">
        <f t="shared" si="10"/>
        <v>70</v>
      </c>
      <c r="U61" s="47">
        <f t="shared" si="21"/>
        <v>100</v>
      </c>
      <c r="V61" s="31" t="s">
        <v>54</v>
      </c>
      <c r="W61" s="48">
        <f t="shared" si="12"/>
        <v>43373850</v>
      </c>
      <c r="X61" s="47">
        <f t="shared" si="13"/>
        <v>80.800236958216558</v>
      </c>
      <c r="Y61" s="31" t="s">
        <v>54</v>
      </c>
      <c r="Z61" s="54">
        <f t="shared" si="22"/>
        <v>145</v>
      </c>
      <c r="AA61" s="83">
        <f t="shared" si="23"/>
        <v>116614450</v>
      </c>
      <c r="AB61" s="47"/>
      <c r="AC61" s="20" t="s">
        <v>54</v>
      </c>
      <c r="AD61" s="47"/>
      <c r="AE61" s="11"/>
      <c r="AH61" s="24"/>
    </row>
    <row r="62" spans="1:34" ht="60" x14ac:dyDescent="0.2">
      <c r="A62" s="16"/>
      <c r="B62" s="17"/>
      <c r="C62" s="25" t="s">
        <v>136</v>
      </c>
      <c r="D62" s="92" t="s">
        <v>173</v>
      </c>
      <c r="E62" s="86">
        <v>40</v>
      </c>
      <c r="F62" s="20" t="s">
        <v>117</v>
      </c>
      <c r="G62" s="46"/>
      <c r="H62" s="86"/>
      <c r="I62" s="21"/>
      <c r="J62" s="42">
        <v>10</v>
      </c>
      <c r="K62" s="22">
        <v>25732350</v>
      </c>
      <c r="L62" s="19">
        <v>5</v>
      </c>
      <c r="M62" s="22">
        <v>5450000</v>
      </c>
      <c r="N62" s="19">
        <v>0</v>
      </c>
      <c r="O62" s="22">
        <v>5225000</v>
      </c>
      <c r="P62" s="19">
        <v>5</v>
      </c>
      <c r="Q62" s="22">
        <v>10435000</v>
      </c>
      <c r="R62" s="19">
        <v>0</v>
      </c>
      <c r="S62" s="22">
        <v>3447000</v>
      </c>
      <c r="T62" s="49">
        <f t="shared" si="10"/>
        <v>10</v>
      </c>
      <c r="U62" s="54">
        <f t="shared" si="21"/>
        <v>100</v>
      </c>
      <c r="V62" s="31" t="s">
        <v>54</v>
      </c>
      <c r="W62" s="48">
        <f t="shared" si="12"/>
        <v>24557000</v>
      </c>
      <c r="X62" s="47">
        <f t="shared" si="13"/>
        <v>95.432403181209651</v>
      </c>
      <c r="Y62" s="31" t="s">
        <v>54</v>
      </c>
      <c r="Z62" s="54">
        <f t="shared" si="22"/>
        <v>10</v>
      </c>
      <c r="AA62" s="83">
        <f t="shared" si="23"/>
        <v>24557000</v>
      </c>
      <c r="AB62" s="47"/>
      <c r="AC62" s="20" t="s">
        <v>54</v>
      </c>
      <c r="AD62" s="47"/>
      <c r="AE62" s="11"/>
      <c r="AH62" s="24"/>
    </row>
    <row r="63" spans="1:34" ht="90" x14ac:dyDescent="0.2">
      <c r="A63" s="16"/>
      <c r="B63" s="17"/>
      <c r="C63" s="117" t="s">
        <v>100</v>
      </c>
      <c r="D63" s="118" t="s">
        <v>169</v>
      </c>
      <c r="E63" s="86">
        <v>15</v>
      </c>
      <c r="F63" s="20" t="s">
        <v>117</v>
      </c>
      <c r="G63" s="46">
        <v>46600000</v>
      </c>
      <c r="H63" s="86">
        <v>15</v>
      </c>
      <c r="I63" s="21">
        <v>46375000</v>
      </c>
      <c r="J63" s="42"/>
      <c r="K63" s="22"/>
      <c r="L63" s="19"/>
      <c r="M63" s="22"/>
      <c r="N63" s="19"/>
      <c r="O63" s="22"/>
      <c r="P63" s="19"/>
      <c r="Q63" s="22"/>
      <c r="R63" s="19"/>
      <c r="S63" s="22"/>
      <c r="T63" s="49"/>
      <c r="U63" s="54"/>
      <c r="V63" s="31"/>
      <c r="W63" s="48"/>
      <c r="X63" s="47"/>
      <c r="Y63" s="31"/>
      <c r="Z63" s="54">
        <f t="shared" si="22"/>
        <v>15</v>
      </c>
      <c r="AA63" s="83">
        <f t="shared" si="23"/>
        <v>46375000</v>
      </c>
      <c r="AB63" s="47"/>
      <c r="AC63" s="20" t="s">
        <v>54</v>
      </c>
      <c r="AD63" s="47"/>
      <c r="AE63" s="11"/>
      <c r="AH63" s="24"/>
    </row>
    <row r="64" spans="1:34" ht="207" customHeight="1" x14ac:dyDescent="0.2">
      <c r="A64" s="16"/>
      <c r="B64" s="17"/>
      <c r="C64" s="117" t="s">
        <v>102</v>
      </c>
      <c r="D64" s="118" t="s">
        <v>175</v>
      </c>
      <c r="E64" s="50">
        <v>20</v>
      </c>
      <c r="F64" s="20" t="s">
        <v>117</v>
      </c>
      <c r="G64" s="22">
        <v>557954345</v>
      </c>
      <c r="H64" s="38">
        <v>9</v>
      </c>
      <c r="I64" s="21">
        <v>400807525</v>
      </c>
      <c r="J64" s="42"/>
      <c r="K64" s="22"/>
      <c r="L64" s="19"/>
      <c r="M64" s="22"/>
      <c r="N64" s="19"/>
      <c r="O64" s="22"/>
      <c r="P64" s="19"/>
      <c r="Q64" s="22"/>
      <c r="R64" s="19"/>
      <c r="S64" s="22"/>
      <c r="T64" s="54"/>
      <c r="U64" s="47"/>
      <c r="V64" s="31"/>
      <c r="W64" s="48"/>
      <c r="X64" s="47"/>
      <c r="Y64" s="31"/>
      <c r="Z64" s="54">
        <f t="shared" si="22"/>
        <v>9</v>
      </c>
      <c r="AA64" s="83">
        <f t="shared" si="23"/>
        <v>400807525</v>
      </c>
      <c r="AB64" s="47"/>
      <c r="AC64" s="20" t="s">
        <v>54</v>
      </c>
      <c r="AD64" s="47"/>
      <c r="AE64" s="11"/>
      <c r="AH64" s="24"/>
    </row>
    <row r="65" spans="1:34" ht="72.75" customHeight="1" x14ac:dyDescent="0.2">
      <c r="A65" s="16"/>
      <c r="B65" s="17" t="s">
        <v>212</v>
      </c>
      <c r="C65" s="18" t="s">
        <v>103</v>
      </c>
      <c r="D65" s="73" t="s">
        <v>216</v>
      </c>
      <c r="E65" s="96">
        <f>1255/8766*100</f>
        <v>14.316678074378281</v>
      </c>
      <c r="F65" s="72" t="s">
        <v>54</v>
      </c>
      <c r="G65" s="107">
        <f>SUM(G67,G71)</f>
        <v>2878770900</v>
      </c>
      <c r="H65" s="95">
        <f>762/8766*100</f>
        <v>8.6926762491444212</v>
      </c>
      <c r="I65" s="107">
        <f>SUM(I67,I71)</f>
        <v>1454114600</v>
      </c>
      <c r="J65" s="41">
        <f>1015/8766*100</f>
        <v>11.578827287246177</v>
      </c>
      <c r="K65" s="107">
        <f>SUM(K67,K71)</f>
        <v>13688146400</v>
      </c>
      <c r="L65" s="41">
        <f>762/7555*100</f>
        <v>10.086035737921906</v>
      </c>
      <c r="M65" s="107">
        <f>SUM(M67,M71)</f>
        <v>730030450</v>
      </c>
      <c r="N65" s="41">
        <v>0</v>
      </c>
      <c r="O65" s="107">
        <f>SUM(O67,O71)</f>
        <v>1094262400</v>
      </c>
      <c r="P65" s="41">
        <v>0</v>
      </c>
      <c r="Q65" s="107">
        <f>SUM(Q67,Q71)</f>
        <v>3790645600</v>
      </c>
      <c r="R65" s="41"/>
      <c r="S65" s="107">
        <f>SUM(S67,S71)</f>
        <v>7649312350</v>
      </c>
      <c r="T65" s="51">
        <f>SUM(L65,N65,P65,R65)</f>
        <v>10.086035737921906</v>
      </c>
      <c r="U65" s="51">
        <f>T65/J65*100</f>
        <v>87.107575643963969</v>
      </c>
      <c r="V65" s="52" t="s">
        <v>54</v>
      </c>
      <c r="W65" s="108">
        <f>SUM(M65,O65,Q65,S65)</f>
        <v>13264250800</v>
      </c>
      <c r="X65" s="51">
        <f>W65/K65*100</f>
        <v>96.903192093269837</v>
      </c>
      <c r="Y65" s="52" t="s">
        <v>54</v>
      </c>
      <c r="Z65" s="53">
        <f t="shared" si="22"/>
        <v>18.778711987066327</v>
      </c>
      <c r="AA65" s="77">
        <f t="shared" si="23"/>
        <v>14718365400</v>
      </c>
      <c r="AB65" s="51"/>
      <c r="AC65" s="40" t="s">
        <v>54</v>
      </c>
      <c r="AD65" s="51"/>
      <c r="AE65" s="11"/>
      <c r="AH65" s="24"/>
    </row>
    <row r="66" spans="1:34" ht="68.25" customHeight="1" x14ac:dyDescent="0.2">
      <c r="A66" s="16"/>
      <c r="B66" s="17"/>
      <c r="C66" s="18"/>
      <c r="D66" s="73" t="s">
        <v>217</v>
      </c>
      <c r="E66" s="96">
        <f>6554/8766*100</f>
        <v>74.766141911932465</v>
      </c>
      <c r="F66" s="72" t="s">
        <v>54</v>
      </c>
      <c r="G66" s="110"/>
      <c r="H66" s="95">
        <f>8327/8766*100</f>
        <v>94.992014601870864</v>
      </c>
      <c r="I66" s="110"/>
      <c r="J66" s="41">
        <f>6276/8766*100</f>
        <v>71.594798083504458</v>
      </c>
      <c r="K66" s="110"/>
      <c r="L66" s="41">
        <f>3355/7555*100</f>
        <v>44.407677035076112</v>
      </c>
      <c r="M66" s="110"/>
      <c r="N66" s="41">
        <v>0</v>
      </c>
      <c r="O66" s="110"/>
      <c r="P66" s="41">
        <v>0</v>
      </c>
      <c r="Q66" s="110"/>
      <c r="R66" s="41"/>
      <c r="S66" s="110"/>
      <c r="T66" s="51">
        <f>SUM(L66,N66,P66,R66)</f>
        <v>44.407677035076112</v>
      </c>
      <c r="U66" s="51">
        <f>T66/J66*100</f>
        <v>62.026401671363473</v>
      </c>
      <c r="V66" s="52" t="s">
        <v>54</v>
      </c>
      <c r="W66" s="111"/>
      <c r="X66" s="51"/>
      <c r="Y66" s="52"/>
      <c r="Z66" s="53">
        <f t="shared" si="22"/>
        <v>139.39969163694698</v>
      </c>
      <c r="AA66" s="112"/>
      <c r="AB66" s="51"/>
      <c r="AC66" s="40"/>
      <c r="AD66" s="51"/>
      <c r="AE66" s="11"/>
      <c r="AH66" s="24"/>
    </row>
    <row r="67" spans="1:34" ht="47.25" x14ac:dyDescent="0.2">
      <c r="A67" s="16"/>
      <c r="B67" s="17"/>
      <c r="C67" s="119" t="s">
        <v>104</v>
      </c>
      <c r="D67" s="119" t="s">
        <v>130</v>
      </c>
      <c r="E67" s="41">
        <f>7230/9533*100</f>
        <v>75.841812650791979</v>
      </c>
      <c r="F67" s="40" t="s">
        <v>54</v>
      </c>
      <c r="G67" s="37">
        <f>SUM(G68:G70)</f>
        <v>672473000</v>
      </c>
      <c r="H67" s="41">
        <f>4259/9533*100</f>
        <v>44.676387286268749</v>
      </c>
      <c r="I67" s="37">
        <f>SUM(I68:I70)</f>
        <v>324891400</v>
      </c>
      <c r="J67" s="41"/>
      <c r="K67" s="37"/>
      <c r="L67" s="41"/>
      <c r="M67" s="37"/>
      <c r="N67" s="41"/>
      <c r="O67" s="37"/>
      <c r="P67" s="41"/>
      <c r="Q67" s="37"/>
      <c r="R67" s="41"/>
      <c r="S67" s="37"/>
      <c r="T67" s="53"/>
      <c r="U67" s="51"/>
      <c r="V67" s="52"/>
      <c r="W67" s="55"/>
      <c r="X67" s="51"/>
      <c r="Y67" s="52"/>
      <c r="Z67" s="53">
        <f t="shared" si="22"/>
        <v>44.676387286268749</v>
      </c>
      <c r="AA67" s="79">
        <f t="shared" si="23"/>
        <v>324891400</v>
      </c>
      <c r="AB67" s="51"/>
      <c r="AC67" s="40" t="s">
        <v>54</v>
      </c>
      <c r="AD67" s="51"/>
      <c r="AE67" s="11"/>
      <c r="AH67" s="24"/>
    </row>
    <row r="68" spans="1:34" ht="60" x14ac:dyDescent="0.2">
      <c r="A68" s="16"/>
      <c r="B68" s="17"/>
      <c r="C68" s="117" t="s">
        <v>105</v>
      </c>
      <c r="D68" s="117" t="s">
        <v>176</v>
      </c>
      <c r="E68" s="19">
        <v>2</v>
      </c>
      <c r="F68" s="43" t="s">
        <v>117</v>
      </c>
      <c r="G68" s="22">
        <v>14100000</v>
      </c>
      <c r="H68" s="94">
        <v>2</v>
      </c>
      <c r="I68" s="69">
        <v>0</v>
      </c>
      <c r="J68" s="19"/>
      <c r="K68" s="22"/>
      <c r="L68" s="19"/>
      <c r="M68" s="22"/>
      <c r="N68" s="19"/>
      <c r="O68" s="22"/>
      <c r="P68" s="19"/>
      <c r="Q68" s="22"/>
      <c r="R68" s="19"/>
      <c r="S68" s="22"/>
      <c r="T68" s="54"/>
      <c r="U68" s="47"/>
      <c r="V68" s="31"/>
      <c r="W68" s="48"/>
      <c r="X68" s="47"/>
      <c r="Y68" s="31"/>
      <c r="Z68" s="54">
        <f t="shared" si="22"/>
        <v>2</v>
      </c>
      <c r="AA68" s="83">
        <f t="shared" si="23"/>
        <v>0</v>
      </c>
      <c r="AB68" s="47"/>
      <c r="AC68" s="20" t="s">
        <v>54</v>
      </c>
      <c r="AD68" s="47"/>
      <c r="AE68" s="11"/>
      <c r="AH68" s="24"/>
    </row>
    <row r="69" spans="1:34" ht="60" x14ac:dyDescent="0.2">
      <c r="A69" s="16"/>
      <c r="B69" s="17"/>
      <c r="C69" s="117" t="s">
        <v>106</v>
      </c>
      <c r="D69" s="117" t="s">
        <v>177</v>
      </c>
      <c r="E69" s="19">
        <v>436</v>
      </c>
      <c r="F69" s="43" t="s">
        <v>117</v>
      </c>
      <c r="G69" s="22">
        <v>636173200</v>
      </c>
      <c r="H69" s="94">
        <v>220</v>
      </c>
      <c r="I69" s="21">
        <v>302691600</v>
      </c>
      <c r="J69" s="19"/>
      <c r="K69" s="22"/>
      <c r="L69" s="19"/>
      <c r="M69" s="22"/>
      <c r="N69" s="19"/>
      <c r="O69" s="22"/>
      <c r="P69" s="19"/>
      <c r="Q69" s="22"/>
      <c r="R69" s="19"/>
      <c r="S69" s="22"/>
      <c r="T69" s="54"/>
      <c r="U69" s="47"/>
      <c r="V69" s="31"/>
      <c r="W69" s="48"/>
      <c r="X69" s="47"/>
      <c r="Y69" s="31"/>
      <c r="Z69" s="54">
        <f t="shared" si="22"/>
        <v>220</v>
      </c>
      <c r="AA69" s="83">
        <f t="shared" si="23"/>
        <v>302691600</v>
      </c>
      <c r="AB69" s="47"/>
      <c r="AC69" s="20" t="s">
        <v>54</v>
      </c>
      <c r="AD69" s="47"/>
      <c r="AE69" s="11"/>
      <c r="AH69" s="24"/>
    </row>
    <row r="70" spans="1:34" ht="88.5" customHeight="1" x14ac:dyDescent="0.2">
      <c r="A70" s="16"/>
      <c r="B70" s="17"/>
      <c r="C70" s="117" t="s">
        <v>107</v>
      </c>
      <c r="D70" s="117" t="s">
        <v>178</v>
      </c>
      <c r="E70" s="19">
        <v>436</v>
      </c>
      <c r="F70" s="43" t="s">
        <v>117</v>
      </c>
      <c r="G70" s="22">
        <v>22199800</v>
      </c>
      <c r="H70" s="94">
        <v>220</v>
      </c>
      <c r="I70" s="21">
        <v>22199800</v>
      </c>
      <c r="J70" s="19"/>
      <c r="K70" s="22"/>
      <c r="L70" s="19"/>
      <c r="M70" s="22"/>
      <c r="N70" s="19"/>
      <c r="O70" s="22"/>
      <c r="P70" s="19"/>
      <c r="Q70" s="22"/>
      <c r="R70" s="19"/>
      <c r="S70" s="22"/>
      <c r="T70" s="54"/>
      <c r="U70" s="47"/>
      <c r="V70" s="31"/>
      <c r="W70" s="48"/>
      <c r="X70" s="47"/>
      <c r="Y70" s="31"/>
      <c r="Z70" s="54">
        <f t="shared" si="22"/>
        <v>220</v>
      </c>
      <c r="AA70" s="83">
        <f t="shared" si="23"/>
        <v>22199800</v>
      </c>
      <c r="AB70" s="47"/>
      <c r="AC70" s="20" t="s">
        <v>54</v>
      </c>
      <c r="AD70" s="47"/>
      <c r="AE70" s="11"/>
      <c r="AH70" s="24"/>
    </row>
    <row r="71" spans="1:34" ht="47.25" x14ac:dyDescent="0.2">
      <c r="A71" s="16"/>
      <c r="B71" s="17"/>
      <c r="C71" s="45" t="s">
        <v>108</v>
      </c>
      <c r="D71" s="18" t="s">
        <v>199</v>
      </c>
      <c r="E71" s="41">
        <v>6</v>
      </c>
      <c r="F71" s="40" t="s">
        <v>53</v>
      </c>
      <c r="G71" s="107">
        <f>SUM(G75:G78)</f>
        <v>2206297900</v>
      </c>
      <c r="H71" s="41">
        <v>2</v>
      </c>
      <c r="I71" s="107">
        <f>SUM(I75:I78)</f>
        <v>1129223200</v>
      </c>
      <c r="J71" s="41">
        <v>2</v>
      </c>
      <c r="K71" s="107">
        <f>SUM(K75:K78)</f>
        <v>13688146400</v>
      </c>
      <c r="L71" s="41">
        <v>1</v>
      </c>
      <c r="M71" s="107">
        <f>SUM(M75:M78)</f>
        <v>730030450</v>
      </c>
      <c r="N71" s="41">
        <v>1</v>
      </c>
      <c r="O71" s="107">
        <f>SUM(O75:O78)</f>
        <v>1094262400</v>
      </c>
      <c r="P71" s="41">
        <v>1</v>
      </c>
      <c r="Q71" s="107">
        <f>SUM(Q75:Q78)</f>
        <v>3790645600</v>
      </c>
      <c r="R71" s="41"/>
      <c r="S71" s="107">
        <f>SUM(S75:S78)</f>
        <v>7649312350</v>
      </c>
      <c r="T71" s="53">
        <f t="shared" ref="T71:T80" si="24">SUM(L71,N71,P71,R71)</f>
        <v>3</v>
      </c>
      <c r="U71" s="53">
        <f t="shared" ref="U71:U85" si="25">T71/J71*100</f>
        <v>150</v>
      </c>
      <c r="V71" s="52" t="s">
        <v>54</v>
      </c>
      <c r="W71" s="108">
        <f>SUM(M71,O71,Q71,S71)</f>
        <v>13264250800</v>
      </c>
      <c r="X71" s="78">
        <f>W71/K71*100</f>
        <v>96.903192093269837</v>
      </c>
      <c r="Y71" s="44" t="s">
        <v>54</v>
      </c>
      <c r="Z71" s="53">
        <f t="shared" si="22"/>
        <v>5</v>
      </c>
      <c r="AA71" s="77">
        <f t="shared" si="23"/>
        <v>14393474000</v>
      </c>
      <c r="AB71" s="51"/>
      <c r="AC71" s="40" t="s">
        <v>54</v>
      </c>
      <c r="AD71" s="51"/>
      <c r="AE71" s="11"/>
      <c r="AH71" s="24"/>
    </row>
    <row r="72" spans="1:34" ht="63" x14ac:dyDescent="0.2">
      <c r="A72" s="16"/>
      <c r="B72" s="17"/>
      <c r="C72" s="17"/>
      <c r="D72" s="18" t="s">
        <v>200</v>
      </c>
      <c r="E72" s="75">
        <v>100</v>
      </c>
      <c r="F72" s="40" t="s">
        <v>54</v>
      </c>
      <c r="G72" s="123"/>
      <c r="H72" s="75">
        <v>100</v>
      </c>
      <c r="I72" s="123"/>
      <c r="J72" s="75">
        <v>100</v>
      </c>
      <c r="K72" s="123"/>
      <c r="L72" s="75">
        <v>100</v>
      </c>
      <c r="M72" s="123"/>
      <c r="N72" s="75">
        <v>100</v>
      </c>
      <c r="O72" s="123"/>
      <c r="P72" s="75">
        <v>100</v>
      </c>
      <c r="Q72" s="123"/>
      <c r="R72" s="41"/>
      <c r="S72" s="123"/>
      <c r="T72" s="53">
        <f t="shared" ref="T72" si="26">SUM(L72,N72,P72,R72)</f>
        <v>300</v>
      </c>
      <c r="U72" s="53">
        <f t="shared" ref="U72" si="27">T72/J72*100</f>
        <v>300</v>
      </c>
      <c r="V72" s="52" t="s">
        <v>54</v>
      </c>
      <c r="W72" s="124"/>
      <c r="X72" s="125"/>
      <c r="Y72" s="16"/>
      <c r="Z72" s="53">
        <f t="shared" si="22"/>
        <v>400</v>
      </c>
      <c r="AA72" s="126"/>
      <c r="AB72" s="51"/>
      <c r="AC72" s="40"/>
      <c r="AD72" s="51"/>
      <c r="AE72" s="11"/>
      <c r="AH72" s="24"/>
    </row>
    <row r="73" spans="1:34" ht="63" x14ac:dyDescent="0.2">
      <c r="A73" s="16"/>
      <c r="B73" s="17"/>
      <c r="C73" s="17"/>
      <c r="D73" s="18" t="s">
        <v>201</v>
      </c>
      <c r="E73" s="75">
        <v>100</v>
      </c>
      <c r="F73" s="40" t="s">
        <v>54</v>
      </c>
      <c r="G73" s="123"/>
      <c r="H73" s="75">
        <v>100</v>
      </c>
      <c r="I73" s="123"/>
      <c r="J73" s="75">
        <v>100</v>
      </c>
      <c r="K73" s="123"/>
      <c r="L73" s="75">
        <v>100</v>
      </c>
      <c r="M73" s="123"/>
      <c r="N73" s="75">
        <v>100</v>
      </c>
      <c r="O73" s="123"/>
      <c r="P73" s="75">
        <v>100</v>
      </c>
      <c r="Q73" s="123"/>
      <c r="R73" s="41"/>
      <c r="S73" s="123"/>
      <c r="T73" s="53">
        <f t="shared" ref="T73" si="28">SUM(L73,N73,P73,R73)</f>
        <v>300</v>
      </c>
      <c r="U73" s="53">
        <f t="shared" ref="U73" si="29">T73/J73*100</f>
        <v>300</v>
      </c>
      <c r="V73" s="52" t="s">
        <v>54</v>
      </c>
      <c r="W73" s="124"/>
      <c r="X73" s="125"/>
      <c r="Y73" s="16"/>
      <c r="Z73" s="53">
        <f t="shared" si="22"/>
        <v>400</v>
      </c>
      <c r="AA73" s="126"/>
      <c r="AB73" s="51"/>
      <c r="AC73" s="40"/>
      <c r="AD73" s="51"/>
      <c r="AE73" s="11"/>
      <c r="AH73" s="24"/>
    </row>
    <row r="74" spans="1:34" ht="63" x14ac:dyDescent="0.2">
      <c r="A74" s="16"/>
      <c r="B74" s="17"/>
      <c r="C74" s="76"/>
      <c r="D74" s="18" t="s">
        <v>202</v>
      </c>
      <c r="E74" s="41">
        <f>7230/9533*100</f>
        <v>75.841812650791979</v>
      </c>
      <c r="F74" s="40" t="s">
        <v>54</v>
      </c>
      <c r="G74" s="109"/>
      <c r="H74" s="41">
        <f>4259/9533*100</f>
        <v>44.676387286268749</v>
      </c>
      <c r="I74" s="105"/>
      <c r="J74" s="41">
        <f>6862/9533*100</f>
        <v>71.98153781600756</v>
      </c>
      <c r="K74" s="110"/>
      <c r="L74" s="41">
        <f>3209/7555*100</f>
        <v>42.475181998676376</v>
      </c>
      <c r="M74" s="110"/>
      <c r="N74" s="41">
        <f>2825/7555*100</f>
        <v>37.392455327597617</v>
      </c>
      <c r="O74" s="110"/>
      <c r="P74" s="41">
        <v>0</v>
      </c>
      <c r="Q74" s="110"/>
      <c r="R74" s="39"/>
      <c r="S74" s="110"/>
      <c r="T74" s="53">
        <f t="shared" si="24"/>
        <v>79.867637326273993</v>
      </c>
      <c r="U74" s="53">
        <f t="shared" si="25"/>
        <v>110.95572524502622</v>
      </c>
      <c r="V74" s="52" t="s">
        <v>54</v>
      </c>
      <c r="W74" s="111"/>
      <c r="X74" s="113"/>
      <c r="Y74" s="114"/>
      <c r="Z74" s="53">
        <f t="shared" si="22"/>
        <v>124.54402461254274</v>
      </c>
      <c r="AA74" s="112"/>
      <c r="AB74" s="51"/>
      <c r="AC74" s="40" t="s">
        <v>54</v>
      </c>
      <c r="AD74" s="51"/>
      <c r="AE74" s="11"/>
      <c r="AH74" s="24"/>
    </row>
    <row r="75" spans="1:34" ht="60" x14ac:dyDescent="0.2">
      <c r="A75" s="16"/>
      <c r="B75" s="17"/>
      <c r="C75" s="103" t="s">
        <v>109</v>
      </c>
      <c r="D75" s="25" t="s">
        <v>179</v>
      </c>
      <c r="E75" s="49">
        <v>93154</v>
      </c>
      <c r="F75" s="43" t="s">
        <v>117</v>
      </c>
      <c r="G75" s="97">
        <v>1097597300</v>
      </c>
      <c r="H75" s="49">
        <v>93154</v>
      </c>
      <c r="I75" s="106">
        <v>672684000</v>
      </c>
      <c r="J75" s="49">
        <v>93154</v>
      </c>
      <c r="K75" s="98">
        <v>115739000</v>
      </c>
      <c r="L75" s="49">
        <v>93154</v>
      </c>
      <c r="M75" s="98">
        <v>19050000</v>
      </c>
      <c r="N75" s="19">
        <v>0</v>
      </c>
      <c r="O75" s="98">
        <v>23518800</v>
      </c>
      <c r="P75" s="19">
        <v>0</v>
      </c>
      <c r="Q75" s="98">
        <v>27065000</v>
      </c>
      <c r="R75" s="19">
        <v>0</v>
      </c>
      <c r="S75" s="98">
        <v>46105200</v>
      </c>
      <c r="T75" s="54">
        <f t="shared" si="24"/>
        <v>93154</v>
      </c>
      <c r="U75" s="47">
        <f t="shared" si="25"/>
        <v>100</v>
      </c>
      <c r="V75" s="31" t="s">
        <v>54</v>
      </c>
      <c r="W75" s="99">
        <f t="shared" ref="W75:W85" si="30">SUM(M75,O75,Q75,S75)</f>
        <v>115739000</v>
      </c>
      <c r="X75" s="47">
        <f t="shared" ref="X75:X85" si="31">W75/K75*100</f>
        <v>100</v>
      </c>
      <c r="Y75" s="31" t="s">
        <v>54</v>
      </c>
      <c r="Z75" s="54">
        <f t="shared" si="22"/>
        <v>186308</v>
      </c>
      <c r="AA75" s="102">
        <f t="shared" ref="AA75:AA90" si="32">SUM(I75,W75)</f>
        <v>788423000</v>
      </c>
      <c r="AB75" s="47"/>
      <c r="AC75" s="20" t="s">
        <v>54</v>
      </c>
      <c r="AD75" s="100"/>
      <c r="AE75" s="11"/>
      <c r="AH75" s="24"/>
    </row>
    <row r="76" spans="1:34" ht="60" x14ac:dyDescent="0.2">
      <c r="A76" s="16"/>
      <c r="B76" s="17"/>
      <c r="C76" s="25" t="s">
        <v>108</v>
      </c>
      <c r="D76" s="25" t="s">
        <v>180</v>
      </c>
      <c r="E76" s="49">
        <f>E77+E78</f>
        <v>6794</v>
      </c>
      <c r="F76" s="43" t="s">
        <v>181</v>
      </c>
      <c r="G76" s="46">
        <v>1108700600</v>
      </c>
      <c r="H76" s="49">
        <f>H77+H78</f>
        <v>3822</v>
      </c>
      <c r="I76" s="21">
        <v>456539200</v>
      </c>
      <c r="J76" s="49">
        <f>J77+J78</f>
        <v>3983</v>
      </c>
      <c r="K76" s="22">
        <v>322511000</v>
      </c>
      <c r="L76" s="49">
        <f>L77+L78</f>
        <v>3209</v>
      </c>
      <c r="M76" s="22">
        <v>81032400</v>
      </c>
      <c r="N76" s="49">
        <f>N77+N78</f>
        <v>0</v>
      </c>
      <c r="O76" s="22">
        <v>75048600</v>
      </c>
      <c r="P76" s="49">
        <f>P77+P78</f>
        <v>149</v>
      </c>
      <c r="Q76" s="22">
        <v>78048600</v>
      </c>
      <c r="R76" s="49">
        <f>R77+R78</f>
        <v>108</v>
      </c>
      <c r="S76" s="22">
        <f>86105200+666400</f>
        <v>86771600</v>
      </c>
      <c r="T76" s="54">
        <f t="shared" si="24"/>
        <v>3466</v>
      </c>
      <c r="U76" s="54">
        <f t="shared" si="25"/>
        <v>87.019834295756965</v>
      </c>
      <c r="V76" s="31" t="s">
        <v>54</v>
      </c>
      <c r="W76" s="48">
        <f t="shared" si="30"/>
        <v>320901200</v>
      </c>
      <c r="X76" s="47">
        <f>W76/K76*100</f>
        <v>99.500854234429212</v>
      </c>
      <c r="Y76" s="31" t="s">
        <v>54</v>
      </c>
      <c r="Z76" s="54">
        <f t="shared" si="22"/>
        <v>7288</v>
      </c>
      <c r="AA76" s="83">
        <f t="shared" si="32"/>
        <v>777440400</v>
      </c>
      <c r="AB76" s="47"/>
      <c r="AC76" s="20" t="s">
        <v>54</v>
      </c>
      <c r="AD76" s="47"/>
      <c r="AE76" s="11"/>
      <c r="AH76" s="24"/>
    </row>
    <row r="77" spans="1:34" ht="94.5" customHeight="1" x14ac:dyDescent="0.2">
      <c r="A77" s="16"/>
      <c r="B77" s="17"/>
      <c r="C77" s="25" t="s">
        <v>137</v>
      </c>
      <c r="D77" s="25" t="s">
        <v>182</v>
      </c>
      <c r="E77" s="19">
        <f>6054+500</f>
        <v>6554</v>
      </c>
      <c r="F77" s="43" t="s">
        <v>181</v>
      </c>
      <c r="G77" s="46"/>
      <c r="H77" s="49">
        <f>611+3009</f>
        <v>3620</v>
      </c>
      <c r="I77" s="21"/>
      <c r="J77" s="19">
        <v>3698</v>
      </c>
      <c r="K77" s="22">
        <v>12297172000</v>
      </c>
      <c r="L77" s="19">
        <v>3209</v>
      </c>
      <c r="M77" s="22">
        <f>622546000+7402050</f>
        <v>629948050</v>
      </c>
      <c r="N77" s="19">
        <v>0</v>
      </c>
      <c r="O77" s="22">
        <v>995695000</v>
      </c>
      <c r="P77" s="19">
        <v>0</v>
      </c>
      <c r="Q77" s="22">
        <v>3240702000</v>
      </c>
      <c r="R77" s="19">
        <v>0</v>
      </c>
      <c r="S77" s="22">
        <v>7130535450</v>
      </c>
      <c r="T77" s="54">
        <f t="shared" si="24"/>
        <v>3209</v>
      </c>
      <c r="U77" s="54">
        <f t="shared" si="25"/>
        <v>86.77663601946999</v>
      </c>
      <c r="V77" s="31" t="s">
        <v>54</v>
      </c>
      <c r="W77" s="48">
        <f t="shared" si="30"/>
        <v>11996880500</v>
      </c>
      <c r="X77" s="47">
        <f>W77/K77*100</f>
        <v>97.558044239765039</v>
      </c>
      <c r="Y77" s="31" t="s">
        <v>54</v>
      </c>
      <c r="Z77" s="54">
        <f t="shared" si="22"/>
        <v>6829</v>
      </c>
      <c r="AA77" s="83">
        <f t="shared" si="32"/>
        <v>11996880500</v>
      </c>
      <c r="AB77" s="47"/>
      <c r="AC77" s="20" t="s">
        <v>54</v>
      </c>
      <c r="AD77" s="47"/>
      <c r="AE77" s="11"/>
      <c r="AH77" s="24"/>
    </row>
    <row r="78" spans="1:34" ht="75" x14ac:dyDescent="0.2">
      <c r="A78" s="16"/>
      <c r="B78" s="17"/>
      <c r="C78" s="25" t="s">
        <v>138</v>
      </c>
      <c r="D78" s="25" t="s">
        <v>183</v>
      </c>
      <c r="E78" s="49">
        <v>240</v>
      </c>
      <c r="F78" s="43" t="s">
        <v>117</v>
      </c>
      <c r="G78" s="46"/>
      <c r="H78" s="49">
        <v>202</v>
      </c>
      <c r="I78" s="21"/>
      <c r="J78" s="19">
        <v>285</v>
      </c>
      <c r="K78" s="22">
        <v>952724400</v>
      </c>
      <c r="L78" s="19">
        <v>0</v>
      </c>
      <c r="M78" s="22">
        <v>0</v>
      </c>
      <c r="N78" s="19">
        <v>0</v>
      </c>
      <c r="O78" s="22">
        <v>0</v>
      </c>
      <c r="P78" s="19">
        <v>149</v>
      </c>
      <c r="Q78" s="22">
        <v>444830000</v>
      </c>
      <c r="R78" s="19">
        <f>257-149</f>
        <v>108</v>
      </c>
      <c r="S78" s="22">
        <v>385900100</v>
      </c>
      <c r="T78" s="54">
        <f t="shared" si="24"/>
        <v>257</v>
      </c>
      <c r="U78" s="54">
        <f t="shared" si="25"/>
        <v>90.175438596491233</v>
      </c>
      <c r="V78" s="31" t="s">
        <v>54</v>
      </c>
      <c r="W78" s="48">
        <f t="shared" si="30"/>
        <v>830730100</v>
      </c>
      <c r="X78" s="47">
        <f t="shared" si="31"/>
        <v>87.195216161147968</v>
      </c>
      <c r="Y78" s="31" t="s">
        <v>54</v>
      </c>
      <c r="Z78" s="54">
        <f t="shared" si="22"/>
        <v>459</v>
      </c>
      <c r="AA78" s="83">
        <f t="shared" si="32"/>
        <v>830730100</v>
      </c>
      <c r="AB78" s="47"/>
      <c r="AC78" s="20" t="s">
        <v>54</v>
      </c>
      <c r="AD78" s="47"/>
      <c r="AE78" s="11"/>
      <c r="AH78" s="24"/>
    </row>
    <row r="79" spans="1:34" ht="76.5" customHeight="1" x14ac:dyDescent="0.2">
      <c r="A79" s="16"/>
      <c r="B79" s="17"/>
      <c r="C79" s="45" t="s">
        <v>110</v>
      </c>
      <c r="D79" s="73" t="s">
        <v>216</v>
      </c>
      <c r="E79" s="41">
        <f>E65</f>
        <v>14.316678074378281</v>
      </c>
      <c r="F79" s="72" t="s">
        <v>54</v>
      </c>
      <c r="G79" s="107">
        <f>SUM(G81,G84)</f>
        <v>484449800</v>
      </c>
      <c r="H79" s="41">
        <f>H65</f>
        <v>8.6926762491444212</v>
      </c>
      <c r="I79" s="107">
        <f>SUM(I81,I84)</f>
        <v>458414000</v>
      </c>
      <c r="J79" s="41">
        <f>J65</f>
        <v>11.578827287246177</v>
      </c>
      <c r="K79" s="107">
        <f>SUM(K81,K84)</f>
        <v>508120000</v>
      </c>
      <c r="L79" s="41">
        <f>L65</f>
        <v>10.086035737921906</v>
      </c>
      <c r="M79" s="107">
        <f>SUM(M81,M84)</f>
        <v>68100000</v>
      </c>
      <c r="N79" s="41">
        <f>N65</f>
        <v>0</v>
      </c>
      <c r="O79" s="107">
        <f>SUM(O81,O84)</f>
        <v>122939000</v>
      </c>
      <c r="P79" s="41">
        <f>P65</f>
        <v>0</v>
      </c>
      <c r="Q79" s="107">
        <f>SUM(Q81,Q84)</f>
        <v>83330000</v>
      </c>
      <c r="R79" s="41">
        <f>R65</f>
        <v>0</v>
      </c>
      <c r="S79" s="107">
        <f>SUM(S81,S84)</f>
        <v>186417000</v>
      </c>
      <c r="T79" s="51">
        <f t="shared" si="24"/>
        <v>10.086035737921906</v>
      </c>
      <c r="U79" s="53">
        <f t="shared" si="25"/>
        <v>87.107575643963969</v>
      </c>
      <c r="V79" s="52" t="s">
        <v>54</v>
      </c>
      <c r="W79" s="108">
        <f t="shared" si="30"/>
        <v>460786000</v>
      </c>
      <c r="X79" s="78">
        <f>W79/K79*100</f>
        <v>90.68448398016217</v>
      </c>
      <c r="Y79" s="44" t="s">
        <v>54</v>
      </c>
      <c r="Z79" s="53">
        <f>SUM(H79,T79)</f>
        <v>18.778711987066327</v>
      </c>
      <c r="AA79" s="77">
        <f t="shared" si="32"/>
        <v>919200000</v>
      </c>
      <c r="AB79" s="51"/>
      <c r="AC79" s="40" t="s">
        <v>54</v>
      </c>
      <c r="AD79" s="78"/>
      <c r="AE79" s="11"/>
      <c r="AH79" s="24"/>
    </row>
    <row r="80" spans="1:34" ht="70.5" customHeight="1" x14ac:dyDescent="0.2">
      <c r="A80" s="16"/>
      <c r="B80" s="17"/>
      <c r="C80" s="76"/>
      <c r="D80" s="73" t="s">
        <v>217</v>
      </c>
      <c r="E80" s="41">
        <f>E66</f>
        <v>74.766141911932465</v>
      </c>
      <c r="F80" s="72" t="s">
        <v>54</v>
      </c>
      <c r="G80" s="110"/>
      <c r="H80" s="41">
        <f>H66</f>
        <v>94.992014601870864</v>
      </c>
      <c r="I80" s="110"/>
      <c r="J80" s="41">
        <f>J66</f>
        <v>71.594798083504458</v>
      </c>
      <c r="K80" s="110"/>
      <c r="L80" s="41">
        <f>L66</f>
        <v>44.407677035076112</v>
      </c>
      <c r="M80" s="110"/>
      <c r="N80" s="41">
        <f>N66</f>
        <v>0</v>
      </c>
      <c r="O80" s="110"/>
      <c r="P80" s="41">
        <f>P66</f>
        <v>0</v>
      </c>
      <c r="Q80" s="110"/>
      <c r="R80" s="41">
        <f>R66</f>
        <v>0</v>
      </c>
      <c r="S80" s="110"/>
      <c r="T80" s="51">
        <f t="shared" si="24"/>
        <v>44.407677035076112</v>
      </c>
      <c r="U80" s="53">
        <f t="shared" si="25"/>
        <v>62.026401671363473</v>
      </c>
      <c r="V80" s="52" t="s">
        <v>54</v>
      </c>
      <c r="W80" s="111"/>
      <c r="X80" s="127"/>
      <c r="Y80" s="114"/>
      <c r="Z80" s="53">
        <f>SUM(H80,T80)</f>
        <v>139.39969163694698</v>
      </c>
      <c r="AA80" s="112"/>
      <c r="AB80" s="51"/>
      <c r="AC80" s="40"/>
      <c r="AD80" s="127"/>
      <c r="AE80" s="11"/>
      <c r="AH80" s="24"/>
    </row>
    <row r="81" spans="1:34" ht="47.25" x14ac:dyDescent="0.2">
      <c r="A81" s="16"/>
      <c r="B81" s="17"/>
      <c r="C81" s="18" t="s">
        <v>139</v>
      </c>
      <c r="D81" s="73" t="s">
        <v>121</v>
      </c>
      <c r="E81" s="39">
        <v>100</v>
      </c>
      <c r="F81" s="72" t="s">
        <v>54</v>
      </c>
      <c r="G81" s="37">
        <f>SUM(G82:G83)</f>
        <v>0</v>
      </c>
      <c r="H81" s="88">
        <v>100</v>
      </c>
      <c r="I81" s="37">
        <f>SUM(I82:I83)</f>
        <v>0</v>
      </c>
      <c r="J81" s="39">
        <v>100</v>
      </c>
      <c r="K81" s="37">
        <f>SUM(K82:K83)</f>
        <v>63364000</v>
      </c>
      <c r="L81" s="39">
        <v>100</v>
      </c>
      <c r="M81" s="37">
        <f>SUM(M82:M83)</f>
        <v>0</v>
      </c>
      <c r="N81" s="39">
        <v>100</v>
      </c>
      <c r="O81" s="37">
        <f>SUM(O82:O83)</f>
        <v>62564000</v>
      </c>
      <c r="P81" s="39">
        <v>100</v>
      </c>
      <c r="Q81" s="37">
        <f>SUM(Q82:Q83)</f>
        <v>350000</v>
      </c>
      <c r="R81" s="39">
        <v>100</v>
      </c>
      <c r="S81" s="37">
        <f>SUM(S82:S83)</f>
        <v>0</v>
      </c>
      <c r="T81" s="53">
        <f>AVERAGE(L81,N81,P81,R81)</f>
        <v>100</v>
      </c>
      <c r="U81" s="53">
        <f t="shared" si="25"/>
        <v>100</v>
      </c>
      <c r="V81" s="52" t="s">
        <v>54</v>
      </c>
      <c r="W81" s="55">
        <f t="shared" si="30"/>
        <v>62914000</v>
      </c>
      <c r="X81" s="51">
        <f t="shared" si="31"/>
        <v>99.289817562022591</v>
      </c>
      <c r="Y81" s="52" t="s">
        <v>54</v>
      </c>
      <c r="Z81" s="53">
        <f t="shared" si="22"/>
        <v>200</v>
      </c>
      <c r="AA81" s="79">
        <f t="shared" si="32"/>
        <v>62914000</v>
      </c>
      <c r="AB81" s="51"/>
      <c r="AC81" s="40" t="s">
        <v>54</v>
      </c>
      <c r="AD81" s="51"/>
      <c r="AE81" s="11"/>
      <c r="AH81" s="24"/>
    </row>
    <row r="82" spans="1:34" ht="105" x14ac:dyDescent="0.2">
      <c r="A82" s="16"/>
      <c r="B82" s="17"/>
      <c r="C82" s="103" t="s">
        <v>140</v>
      </c>
      <c r="D82" s="25" t="s">
        <v>184</v>
      </c>
      <c r="E82" s="49"/>
      <c r="F82" s="43" t="s">
        <v>117</v>
      </c>
      <c r="G82" s="98"/>
      <c r="H82" s="49"/>
      <c r="I82" s="106"/>
      <c r="J82" s="49">
        <v>300</v>
      </c>
      <c r="K82" s="98">
        <v>32000000</v>
      </c>
      <c r="L82" s="19">
        <v>0</v>
      </c>
      <c r="M82" s="98">
        <v>0</v>
      </c>
      <c r="N82" s="19">
        <v>108</v>
      </c>
      <c r="O82" s="98">
        <v>31200000</v>
      </c>
      <c r="P82" s="19">
        <v>192</v>
      </c>
      <c r="Q82" s="98">
        <v>350000</v>
      </c>
      <c r="R82" s="19">
        <v>0</v>
      </c>
      <c r="S82" s="98">
        <v>0</v>
      </c>
      <c r="T82" s="54">
        <f>AVERAGE(L82,N82,P82,R82)</f>
        <v>75</v>
      </c>
      <c r="U82" s="54">
        <f t="shared" si="25"/>
        <v>25</v>
      </c>
      <c r="V82" s="31" t="s">
        <v>54</v>
      </c>
      <c r="W82" s="99">
        <f t="shared" si="30"/>
        <v>31550000</v>
      </c>
      <c r="X82" s="100">
        <f t="shared" si="31"/>
        <v>98.59375</v>
      </c>
      <c r="Y82" s="101" t="s">
        <v>54</v>
      </c>
      <c r="Z82" s="54">
        <f t="shared" si="22"/>
        <v>75</v>
      </c>
      <c r="AA82" s="102">
        <f t="shared" si="32"/>
        <v>31550000</v>
      </c>
      <c r="AB82" s="47"/>
      <c r="AC82" s="20" t="s">
        <v>54</v>
      </c>
      <c r="AD82" s="100"/>
      <c r="AE82" s="11"/>
      <c r="AH82" s="24"/>
    </row>
    <row r="83" spans="1:34" ht="120" x14ac:dyDescent="0.2">
      <c r="A83" s="16"/>
      <c r="B83" s="17"/>
      <c r="C83" s="103" t="s">
        <v>141</v>
      </c>
      <c r="D83" s="25" t="s">
        <v>185</v>
      </c>
      <c r="E83" s="49"/>
      <c r="F83" s="43" t="s">
        <v>117</v>
      </c>
      <c r="G83" s="98"/>
      <c r="H83" s="49"/>
      <c r="I83" s="106"/>
      <c r="J83" s="49">
        <v>85</v>
      </c>
      <c r="K83" s="98">
        <v>31364000</v>
      </c>
      <c r="L83" s="19">
        <v>0</v>
      </c>
      <c r="M83" s="98">
        <v>0</v>
      </c>
      <c r="N83" s="19">
        <v>108</v>
      </c>
      <c r="O83" s="98">
        <v>31364000</v>
      </c>
      <c r="P83" s="19">
        <v>192</v>
      </c>
      <c r="Q83" s="98">
        <v>0</v>
      </c>
      <c r="R83" s="19">
        <v>0</v>
      </c>
      <c r="S83" s="98">
        <v>0</v>
      </c>
      <c r="T83" s="54">
        <f>AVERAGE(L83,N83,P83,R83)</f>
        <v>75</v>
      </c>
      <c r="U83" s="54">
        <f t="shared" si="25"/>
        <v>88.235294117647058</v>
      </c>
      <c r="V83" s="31" t="s">
        <v>54</v>
      </c>
      <c r="W83" s="99">
        <f t="shared" si="30"/>
        <v>31364000</v>
      </c>
      <c r="X83" s="100">
        <f t="shared" si="31"/>
        <v>100</v>
      </c>
      <c r="Y83" s="101" t="s">
        <v>54</v>
      </c>
      <c r="Z83" s="54">
        <f t="shared" si="22"/>
        <v>75</v>
      </c>
      <c r="AA83" s="102">
        <f t="shared" si="32"/>
        <v>31364000</v>
      </c>
      <c r="AB83" s="47"/>
      <c r="AC83" s="20" t="s">
        <v>54</v>
      </c>
      <c r="AD83" s="100"/>
      <c r="AE83" s="11"/>
      <c r="AH83" s="24"/>
    </row>
    <row r="84" spans="1:34" ht="135" customHeight="1" x14ac:dyDescent="0.2">
      <c r="A84" s="16"/>
      <c r="B84" s="17"/>
      <c r="C84" s="18" t="s">
        <v>111</v>
      </c>
      <c r="D84" s="73" t="s">
        <v>203</v>
      </c>
      <c r="E84" s="88">
        <v>100</v>
      </c>
      <c r="F84" s="72" t="s">
        <v>54</v>
      </c>
      <c r="G84" s="37">
        <f>SUM(G85:G86)</f>
        <v>484449800</v>
      </c>
      <c r="H84" s="88">
        <v>100</v>
      </c>
      <c r="I84" s="37">
        <f>SUM(I85:I86)</f>
        <v>458414000</v>
      </c>
      <c r="J84" s="88">
        <v>100</v>
      </c>
      <c r="K84" s="37">
        <f>SUM(K85:K86)</f>
        <v>444756000</v>
      </c>
      <c r="L84" s="88">
        <v>100</v>
      </c>
      <c r="M84" s="37">
        <f>SUM(M85:M86)</f>
        <v>68100000</v>
      </c>
      <c r="N84" s="39">
        <v>100</v>
      </c>
      <c r="O84" s="37">
        <f>SUM(O85:O86)</f>
        <v>60375000</v>
      </c>
      <c r="P84" s="39">
        <v>100</v>
      </c>
      <c r="Q84" s="37">
        <f>SUM(Q85:Q86)</f>
        <v>82980000</v>
      </c>
      <c r="R84" s="39">
        <v>100</v>
      </c>
      <c r="S84" s="37">
        <f>SUM(S85:S86)</f>
        <v>186417000</v>
      </c>
      <c r="T84" s="53">
        <f>AVERAGE(L84,N84,P84,R84)</f>
        <v>100</v>
      </c>
      <c r="U84" s="53">
        <f t="shared" si="25"/>
        <v>100</v>
      </c>
      <c r="V84" s="52" t="s">
        <v>54</v>
      </c>
      <c r="W84" s="55">
        <f t="shared" si="30"/>
        <v>397872000</v>
      </c>
      <c r="X84" s="51">
        <f t="shared" si="31"/>
        <v>89.458489598791246</v>
      </c>
      <c r="Y84" s="52" t="s">
        <v>54</v>
      </c>
      <c r="Z84" s="53">
        <f t="shared" si="22"/>
        <v>200</v>
      </c>
      <c r="AA84" s="79">
        <f t="shared" si="32"/>
        <v>856286000</v>
      </c>
      <c r="AB84" s="51"/>
      <c r="AC84" s="40" t="s">
        <v>54</v>
      </c>
      <c r="AD84" s="51"/>
      <c r="AE84" s="11"/>
      <c r="AH84" s="24"/>
    </row>
    <row r="85" spans="1:34" ht="105" x14ac:dyDescent="0.2">
      <c r="A85" s="16"/>
      <c r="B85" s="17"/>
      <c r="C85" s="103" t="s">
        <v>142</v>
      </c>
      <c r="D85" s="25" t="s">
        <v>186</v>
      </c>
      <c r="E85" s="49">
        <f>76*2</f>
        <v>152</v>
      </c>
      <c r="F85" s="43" t="s">
        <v>117</v>
      </c>
      <c r="G85" s="98"/>
      <c r="H85" s="49"/>
      <c r="I85" s="106"/>
      <c r="J85" s="49">
        <v>76</v>
      </c>
      <c r="K85" s="98">
        <v>444756000</v>
      </c>
      <c r="L85" s="19">
        <v>76</v>
      </c>
      <c r="M85" s="98">
        <v>68100000</v>
      </c>
      <c r="N85" s="19">
        <v>76</v>
      </c>
      <c r="O85" s="98">
        <v>60375000</v>
      </c>
      <c r="P85" s="19">
        <v>76</v>
      </c>
      <c r="Q85" s="98">
        <v>82980000</v>
      </c>
      <c r="R85" s="19">
        <v>76</v>
      </c>
      <c r="S85" s="98">
        <v>186417000</v>
      </c>
      <c r="T85" s="54">
        <f>AVERAGE(L85,N85,P85,R85)</f>
        <v>76</v>
      </c>
      <c r="U85" s="54">
        <f t="shared" si="25"/>
        <v>100</v>
      </c>
      <c r="V85" s="31" t="s">
        <v>54</v>
      </c>
      <c r="W85" s="99">
        <f t="shared" si="30"/>
        <v>397872000</v>
      </c>
      <c r="X85" s="100">
        <f t="shared" si="31"/>
        <v>89.458489598791246</v>
      </c>
      <c r="Y85" s="101" t="s">
        <v>54</v>
      </c>
      <c r="Z85" s="54">
        <f t="shared" si="22"/>
        <v>76</v>
      </c>
      <c r="AA85" s="102">
        <f t="shared" si="32"/>
        <v>397872000</v>
      </c>
      <c r="AB85" s="47"/>
      <c r="AC85" s="20" t="s">
        <v>54</v>
      </c>
      <c r="AD85" s="100"/>
      <c r="AE85" s="11"/>
      <c r="AH85" s="24"/>
    </row>
    <row r="86" spans="1:34" ht="105" x14ac:dyDescent="0.2">
      <c r="A86" s="16"/>
      <c r="B86" s="17"/>
      <c r="C86" s="120" t="s">
        <v>112</v>
      </c>
      <c r="D86" s="117" t="s">
        <v>187</v>
      </c>
      <c r="E86" s="49">
        <v>1</v>
      </c>
      <c r="F86" s="43" t="s">
        <v>188</v>
      </c>
      <c r="G86" s="98">
        <v>484449800</v>
      </c>
      <c r="H86" s="49">
        <v>1</v>
      </c>
      <c r="I86" s="106">
        <v>458414000</v>
      </c>
      <c r="J86" s="49"/>
      <c r="K86" s="98"/>
      <c r="L86" s="19"/>
      <c r="M86" s="98"/>
      <c r="N86" s="19"/>
      <c r="O86" s="98"/>
      <c r="P86" s="19"/>
      <c r="Q86" s="98"/>
      <c r="R86" s="19"/>
      <c r="S86" s="98"/>
      <c r="T86" s="54"/>
      <c r="U86" s="54"/>
      <c r="V86" s="31"/>
      <c r="W86" s="99"/>
      <c r="X86" s="100"/>
      <c r="Y86" s="101"/>
      <c r="Z86" s="54">
        <f t="shared" si="22"/>
        <v>1</v>
      </c>
      <c r="AA86" s="102">
        <f t="shared" si="32"/>
        <v>458414000</v>
      </c>
      <c r="AB86" s="47"/>
      <c r="AC86" s="20" t="s">
        <v>54</v>
      </c>
      <c r="AD86" s="100"/>
      <c r="AE86" s="11"/>
      <c r="AH86" s="24"/>
    </row>
    <row r="87" spans="1:34" ht="63" x14ac:dyDescent="0.2">
      <c r="A87" s="16"/>
      <c r="B87" s="17"/>
      <c r="C87" s="18" t="s">
        <v>113</v>
      </c>
      <c r="D87" s="18" t="s">
        <v>128</v>
      </c>
      <c r="E87" s="41">
        <f>E41</f>
        <v>63.179916317991633</v>
      </c>
      <c r="F87" s="40" t="s">
        <v>54</v>
      </c>
      <c r="G87" s="37">
        <f>SUM(G88)</f>
        <v>1160910500</v>
      </c>
      <c r="H87" s="41">
        <f>H41</f>
        <v>32.42677824267782</v>
      </c>
      <c r="I87" s="37">
        <f>SUM(I88)</f>
        <v>446051960</v>
      </c>
      <c r="J87" s="41">
        <f>J41</f>
        <v>61.297071129707113</v>
      </c>
      <c r="K87" s="37">
        <f>SUM(K88)</f>
        <v>248188000</v>
      </c>
      <c r="L87" s="41">
        <f>L41</f>
        <v>37.309644670050766</v>
      </c>
      <c r="M87" s="37">
        <f>SUM(M88)</f>
        <v>13032400</v>
      </c>
      <c r="N87" s="41">
        <f>N41</f>
        <v>0</v>
      </c>
      <c r="O87" s="37">
        <f>SUM(O88)</f>
        <v>67966100</v>
      </c>
      <c r="P87" s="41">
        <f>P41</f>
        <v>0</v>
      </c>
      <c r="Q87" s="37">
        <f>SUM(Q88)</f>
        <v>71903300</v>
      </c>
      <c r="R87" s="41">
        <f>R41</f>
        <v>39.340101522842644</v>
      </c>
      <c r="S87" s="37">
        <f>SUM(S88)</f>
        <v>76798600</v>
      </c>
      <c r="T87" s="53">
        <f>SUM(L87,N87,P87,R87)</f>
        <v>76.649746192893417</v>
      </c>
      <c r="U87" s="53">
        <f>T87/J87*100</f>
        <v>125.04634361844045</v>
      </c>
      <c r="V87" s="52" t="s">
        <v>54</v>
      </c>
      <c r="W87" s="55">
        <f>SUM(M87,O87,Q87,S87)</f>
        <v>229700400</v>
      </c>
      <c r="X87" s="51">
        <f>W87/K87*100</f>
        <v>92.55096942640256</v>
      </c>
      <c r="Y87" s="52" t="s">
        <v>54</v>
      </c>
      <c r="Z87" s="53">
        <f t="shared" si="22"/>
        <v>109.07652443557123</v>
      </c>
      <c r="AA87" s="79">
        <f t="shared" si="32"/>
        <v>675752360</v>
      </c>
      <c r="AB87" s="51"/>
      <c r="AC87" s="40" t="s">
        <v>54</v>
      </c>
      <c r="AD87" s="51"/>
      <c r="AE87" s="11"/>
      <c r="AH87" s="24"/>
    </row>
    <row r="88" spans="1:34" ht="122.25" customHeight="1" x14ac:dyDescent="0.2">
      <c r="A88" s="16"/>
      <c r="B88" s="17"/>
      <c r="C88" s="18" t="s">
        <v>114</v>
      </c>
      <c r="D88" s="73" t="s">
        <v>125</v>
      </c>
      <c r="E88" s="39">
        <f>1/1*100</f>
        <v>100</v>
      </c>
      <c r="F88" s="72" t="s">
        <v>54</v>
      </c>
      <c r="G88" s="37">
        <f>SUM(G89:G90)</f>
        <v>1160910500</v>
      </c>
      <c r="H88" s="39">
        <f>1/1*100</f>
        <v>100</v>
      </c>
      <c r="I88" s="37">
        <f>SUM(I89:I90)</f>
        <v>446051960</v>
      </c>
      <c r="J88" s="39">
        <f>1/1*100</f>
        <v>100</v>
      </c>
      <c r="K88" s="37">
        <f>SUM(K89:K90)</f>
        <v>248188000</v>
      </c>
      <c r="L88" s="39">
        <f>1/1*100</f>
        <v>100</v>
      </c>
      <c r="M88" s="37">
        <f>SUM(M89:M90)</f>
        <v>13032400</v>
      </c>
      <c r="N88" s="39">
        <v>0</v>
      </c>
      <c r="O88" s="37">
        <f>SUM(O89:O90)</f>
        <v>67966100</v>
      </c>
      <c r="P88" s="39">
        <v>0</v>
      </c>
      <c r="Q88" s="37">
        <f>SUM(Q89:Q90)</f>
        <v>71903300</v>
      </c>
      <c r="R88" s="39">
        <v>0</v>
      </c>
      <c r="S88" s="37">
        <f>SUM(S89:S90)</f>
        <v>76798600</v>
      </c>
      <c r="T88" s="53">
        <f>SUM(L88,N88,P88,R88)</f>
        <v>100</v>
      </c>
      <c r="U88" s="53">
        <f>T88/J88*100</f>
        <v>100</v>
      </c>
      <c r="V88" s="52" t="s">
        <v>54</v>
      </c>
      <c r="W88" s="55">
        <f>SUM(M88,O88,Q88,S88)</f>
        <v>229700400</v>
      </c>
      <c r="X88" s="51">
        <f>W88/K88*100</f>
        <v>92.55096942640256</v>
      </c>
      <c r="Y88" s="52" t="s">
        <v>54</v>
      </c>
      <c r="Z88" s="53">
        <f t="shared" si="22"/>
        <v>200</v>
      </c>
      <c r="AA88" s="79">
        <f t="shared" si="32"/>
        <v>675752360</v>
      </c>
      <c r="AB88" s="51"/>
      <c r="AC88" s="40" t="s">
        <v>54</v>
      </c>
      <c r="AD88" s="51"/>
      <c r="AE88" s="11"/>
      <c r="AH88" s="24"/>
    </row>
    <row r="89" spans="1:34" ht="75" x14ac:dyDescent="0.2">
      <c r="A89" s="16"/>
      <c r="B89" s="17"/>
      <c r="C89" s="25" t="s">
        <v>114</v>
      </c>
      <c r="D89" s="25" t="s">
        <v>189</v>
      </c>
      <c r="E89" s="50">
        <v>1</v>
      </c>
      <c r="F89" s="43" t="s">
        <v>190</v>
      </c>
      <c r="G89" s="46">
        <v>871561000</v>
      </c>
      <c r="H89" s="50">
        <v>1</v>
      </c>
      <c r="I89" s="21">
        <v>245480060</v>
      </c>
      <c r="J89" s="19">
        <v>1</v>
      </c>
      <c r="K89" s="22">
        <v>248188000</v>
      </c>
      <c r="L89" s="19">
        <v>1</v>
      </c>
      <c r="M89" s="22">
        <v>13032400</v>
      </c>
      <c r="N89" s="19">
        <v>0</v>
      </c>
      <c r="O89" s="22">
        <v>67966100</v>
      </c>
      <c r="P89" s="19">
        <v>0</v>
      </c>
      <c r="Q89" s="22">
        <v>71903300</v>
      </c>
      <c r="R89" s="19"/>
      <c r="S89" s="22">
        <v>76798600</v>
      </c>
      <c r="T89" s="54">
        <f>SUM(L89,N89,P89,R89)</f>
        <v>1</v>
      </c>
      <c r="U89" s="54">
        <f>T89/J89*100</f>
        <v>100</v>
      </c>
      <c r="V89" s="31" t="s">
        <v>54</v>
      </c>
      <c r="W89" s="48">
        <f>SUM(M89,O89,Q89,S89)</f>
        <v>229700400</v>
      </c>
      <c r="X89" s="47">
        <f>W89/K89*100</f>
        <v>92.55096942640256</v>
      </c>
      <c r="Y89" s="31" t="s">
        <v>54</v>
      </c>
      <c r="Z89" s="54">
        <f t="shared" si="22"/>
        <v>2</v>
      </c>
      <c r="AA89" s="83">
        <f t="shared" si="32"/>
        <v>475180460</v>
      </c>
      <c r="AB89" s="47"/>
      <c r="AC89" s="20" t="s">
        <v>54</v>
      </c>
      <c r="AD89" s="47"/>
      <c r="AE89" s="11"/>
      <c r="AH89" s="24"/>
    </row>
    <row r="90" spans="1:34" ht="115.5" customHeight="1" x14ac:dyDescent="0.2">
      <c r="A90" s="16"/>
      <c r="B90" s="17"/>
      <c r="C90" s="117" t="s">
        <v>115</v>
      </c>
      <c r="D90" s="117" t="s">
        <v>191</v>
      </c>
      <c r="E90" s="19">
        <v>1</v>
      </c>
      <c r="F90" s="43" t="s">
        <v>53</v>
      </c>
      <c r="G90" s="22">
        <v>289349500</v>
      </c>
      <c r="H90" s="19">
        <v>1</v>
      </c>
      <c r="I90" s="21">
        <v>200571900</v>
      </c>
      <c r="J90" s="19"/>
      <c r="K90" s="22"/>
      <c r="L90" s="19"/>
      <c r="M90" s="22"/>
      <c r="N90" s="19"/>
      <c r="O90" s="22"/>
      <c r="P90" s="19"/>
      <c r="Q90" s="22"/>
      <c r="R90" s="19"/>
      <c r="S90" s="22"/>
      <c r="T90" s="54"/>
      <c r="U90" s="54"/>
      <c r="V90" s="31"/>
      <c r="W90" s="48"/>
      <c r="X90" s="47"/>
      <c r="Y90" s="31"/>
      <c r="Z90" s="54">
        <f t="shared" si="22"/>
        <v>1</v>
      </c>
      <c r="AA90" s="83">
        <f t="shared" si="32"/>
        <v>200571900</v>
      </c>
      <c r="AB90" s="47"/>
      <c r="AC90" s="20" t="s">
        <v>54</v>
      </c>
      <c r="AD90" s="47"/>
      <c r="AE90" s="11"/>
      <c r="AH90" s="24"/>
    </row>
    <row r="91" spans="1:34" ht="15" x14ac:dyDescent="0.2">
      <c r="A91" s="192" t="s">
        <v>33</v>
      </c>
      <c r="B91" s="193"/>
      <c r="C91" s="193"/>
      <c r="D91" s="193"/>
      <c r="E91" s="193"/>
      <c r="F91" s="193"/>
      <c r="G91" s="193"/>
      <c r="H91" s="193"/>
      <c r="I91" s="193"/>
      <c r="J91" s="193"/>
      <c r="K91" s="193"/>
      <c r="L91" s="193"/>
      <c r="M91" s="193"/>
      <c r="N91" s="193"/>
      <c r="O91" s="193"/>
      <c r="P91" s="193"/>
      <c r="Q91" s="193"/>
      <c r="R91" s="193"/>
      <c r="S91" s="193"/>
      <c r="T91" s="193"/>
      <c r="U91" s="68">
        <f>AVERAGE(U16:U90)</f>
        <v>102.22716380214207</v>
      </c>
      <c r="V91" s="58"/>
      <c r="W91" s="56"/>
      <c r="X91" s="68">
        <f>AVERAGE(X16,X41,X48,X65,X79,X87)</f>
        <v>92.444443919585879</v>
      </c>
      <c r="Y91" s="58"/>
      <c r="Z91" s="57"/>
      <c r="AA91" s="57"/>
      <c r="AB91" s="57"/>
      <c r="AC91" s="58"/>
      <c r="AD91" s="59"/>
      <c r="AE91" s="11"/>
    </row>
    <row r="92" spans="1:34" ht="15" x14ac:dyDescent="0.2">
      <c r="A92" s="192" t="s">
        <v>34</v>
      </c>
      <c r="B92" s="193"/>
      <c r="C92" s="193"/>
      <c r="D92" s="193"/>
      <c r="E92" s="193"/>
      <c r="F92" s="193"/>
      <c r="G92" s="193"/>
      <c r="H92" s="193"/>
      <c r="I92" s="193"/>
      <c r="J92" s="193"/>
      <c r="K92" s="193"/>
      <c r="L92" s="193"/>
      <c r="M92" s="193"/>
      <c r="N92" s="193"/>
      <c r="O92" s="193"/>
      <c r="P92" s="193"/>
      <c r="Q92" s="193"/>
      <c r="R92" s="193"/>
      <c r="S92" s="193"/>
      <c r="T92" s="193"/>
      <c r="U92" s="27" t="str">
        <f>IF(U91&gt;=91,"Sangat Tinggi",IF(U91&gt;=76,"Tinggi",IF(U91&gt;=66,"Sedang",IF(U91&gt;=51,"Rendah",IF(U91&lt;=50,"Sangat Rendah")))))</f>
        <v>Sangat Tinggi</v>
      </c>
      <c r="V92" s="58"/>
      <c r="W92" s="60"/>
      <c r="X92" s="27" t="str">
        <f>IF(X91&gt;=91,"Sangat Tinggi",IF(X91&gt;=76,"Tinggi",IF(X91&gt;=66,"Sedang",IF(X91&gt;=51,"Rendah",IF(X91&lt;=50,"Sangat Rendah")))))</f>
        <v>Sangat Tinggi</v>
      </c>
      <c r="Y92" s="58"/>
      <c r="Z92" s="61"/>
      <c r="AA92" s="62"/>
      <c r="AB92" s="61"/>
      <c r="AC92" s="58"/>
      <c r="AD92" s="63"/>
      <c r="AE92" s="11"/>
    </row>
    <row r="93" spans="1:34" ht="15" x14ac:dyDescent="0.2">
      <c r="A93" s="173" t="s">
        <v>208</v>
      </c>
      <c r="B93" s="173"/>
      <c r="C93" s="173"/>
      <c r="D93" s="173"/>
      <c r="E93" s="173"/>
      <c r="F93" s="173"/>
      <c r="G93" s="173"/>
      <c r="H93" s="173"/>
      <c r="I93" s="173"/>
      <c r="J93" s="173"/>
      <c r="K93" s="173"/>
      <c r="L93" s="173"/>
      <c r="M93" s="173"/>
      <c r="N93" s="173"/>
      <c r="O93" s="173"/>
      <c r="P93" s="173"/>
      <c r="Q93" s="173"/>
      <c r="R93" s="173"/>
      <c r="S93" s="173"/>
      <c r="T93" s="173"/>
      <c r="U93" s="173"/>
      <c r="V93" s="173"/>
      <c r="W93" s="173"/>
      <c r="X93" s="173"/>
      <c r="Y93" s="173"/>
      <c r="Z93" s="173"/>
      <c r="AA93" s="173"/>
      <c r="AB93" s="173"/>
      <c r="AC93" s="173"/>
      <c r="AD93" s="173"/>
      <c r="AE93" s="11"/>
    </row>
    <row r="94" spans="1:34" ht="15" x14ac:dyDescent="0.2">
      <c r="A94" s="173" t="s">
        <v>126</v>
      </c>
      <c r="B94" s="173"/>
      <c r="C94" s="173"/>
      <c r="D94" s="173"/>
      <c r="E94" s="173"/>
      <c r="F94" s="173"/>
      <c r="G94" s="173"/>
      <c r="H94" s="173"/>
      <c r="I94" s="173"/>
      <c r="J94" s="173"/>
      <c r="K94" s="173"/>
      <c r="L94" s="173"/>
      <c r="M94" s="173"/>
      <c r="N94" s="173"/>
      <c r="O94" s="173"/>
      <c r="P94" s="173"/>
      <c r="Q94" s="173"/>
      <c r="R94" s="173"/>
      <c r="S94" s="173"/>
      <c r="T94" s="173"/>
      <c r="U94" s="173"/>
      <c r="V94" s="173"/>
      <c r="W94" s="173"/>
      <c r="X94" s="173"/>
      <c r="Y94" s="173"/>
      <c r="Z94" s="173"/>
      <c r="AA94" s="173"/>
      <c r="AB94" s="173"/>
      <c r="AC94" s="173"/>
      <c r="AD94" s="173"/>
      <c r="AE94" s="11"/>
    </row>
    <row r="95" spans="1:34" ht="15" x14ac:dyDescent="0.2">
      <c r="A95" s="173" t="s">
        <v>127</v>
      </c>
      <c r="B95" s="173"/>
      <c r="C95" s="173"/>
      <c r="D95" s="173"/>
      <c r="E95" s="173"/>
      <c r="F95" s="173"/>
      <c r="G95" s="173"/>
      <c r="H95" s="173"/>
      <c r="I95" s="173"/>
      <c r="J95" s="173"/>
      <c r="K95" s="173"/>
      <c r="L95" s="173"/>
      <c r="M95" s="173"/>
      <c r="N95" s="173"/>
      <c r="O95" s="173"/>
      <c r="P95" s="173"/>
      <c r="Q95" s="173"/>
      <c r="R95" s="173"/>
      <c r="S95" s="173"/>
      <c r="T95" s="173"/>
      <c r="U95" s="173"/>
      <c r="V95" s="173"/>
      <c r="W95" s="173"/>
      <c r="X95" s="173"/>
      <c r="Y95" s="173"/>
      <c r="Z95" s="173"/>
      <c r="AA95" s="173"/>
      <c r="AB95" s="173"/>
      <c r="AC95" s="173"/>
      <c r="AD95" s="173"/>
      <c r="AE95" s="11"/>
    </row>
    <row r="96" spans="1:34" ht="15" x14ac:dyDescent="0.2">
      <c r="A96" s="173" t="s">
        <v>65</v>
      </c>
      <c r="B96" s="173"/>
      <c r="C96" s="173"/>
      <c r="D96" s="173"/>
      <c r="E96" s="173"/>
      <c r="F96" s="173"/>
      <c r="G96" s="173"/>
      <c r="H96" s="173"/>
      <c r="I96" s="173"/>
      <c r="J96" s="173"/>
      <c r="K96" s="173"/>
      <c r="L96" s="173"/>
      <c r="M96" s="173"/>
      <c r="N96" s="173"/>
      <c r="O96" s="173"/>
      <c r="P96" s="173"/>
      <c r="Q96" s="173"/>
      <c r="R96" s="173"/>
      <c r="S96" s="173"/>
      <c r="T96" s="173"/>
      <c r="U96" s="173"/>
      <c r="V96" s="173"/>
      <c r="W96" s="173"/>
      <c r="X96" s="173"/>
      <c r="Y96" s="173"/>
      <c r="Z96" s="173"/>
      <c r="AA96" s="173"/>
      <c r="AB96" s="173"/>
      <c r="AC96" s="173"/>
      <c r="AD96" s="173"/>
      <c r="AE96" s="28"/>
    </row>
    <row r="97" spans="1:31" ht="15" x14ac:dyDescent="0.2">
      <c r="A97" s="29"/>
      <c r="B97" s="29"/>
      <c r="C97" s="29"/>
      <c r="D97" s="29"/>
      <c r="E97" s="29"/>
      <c r="F97" s="29"/>
      <c r="G97" s="29"/>
      <c r="H97" s="29"/>
      <c r="I97" s="29"/>
      <c r="J97" s="29"/>
      <c r="K97" s="137"/>
      <c r="L97" s="29"/>
      <c r="M97" s="137"/>
      <c r="N97" s="29"/>
      <c r="O97" s="137"/>
      <c r="P97" s="29"/>
      <c r="Q97" s="137"/>
      <c r="R97" s="29"/>
      <c r="S97" s="137"/>
      <c r="T97" s="29"/>
      <c r="U97" s="29"/>
      <c r="V97" s="30"/>
      <c r="W97" s="137"/>
      <c r="X97" s="29"/>
      <c r="Y97" s="30"/>
      <c r="Z97" s="29"/>
      <c r="AA97" s="136"/>
      <c r="AB97" s="29"/>
      <c r="AC97" s="30"/>
      <c r="AD97" s="29"/>
    </row>
    <row r="98" spans="1:31" ht="15" x14ac:dyDescent="0.2">
      <c r="A98" s="29"/>
      <c r="B98" s="29"/>
      <c r="C98" s="29"/>
      <c r="D98" s="29"/>
      <c r="E98" s="29"/>
      <c r="F98" s="29"/>
      <c r="G98" s="29"/>
      <c r="H98" s="29"/>
      <c r="I98" s="29"/>
      <c r="J98" s="29"/>
      <c r="K98" s="29"/>
      <c r="L98" s="29"/>
      <c r="M98" s="29"/>
      <c r="N98" s="29"/>
      <c r="O98" s="29"/>
      <c r="P98" s="29"/>
      <c r="Q98" s="29"/>
      <c r="R98" s="29"/>
      <c r="S98" s="137"/>
      <c r="T98" s="197" t="s">
        <v>60</v>
      </c>
      <c r="U98" s="197"/>
      <c r="V98" s="197"/>
      <c r="W98" s="197"/>
      <c r="X98" s="197"/>
      <c r="Y98" s="30"/>
      <c r="Z98" s="29"/>
      <c r="AA98" s="197"/>
      <c r="AB98" s="197"/>
      <c r="AC98" s="197"/>
      <c r="AD98" s="197"/>
      <c r="AE98" s="197"/>
    </row>
    <row r="99" spans="1:31" ht="15.75" x14ac:dyDescent="0.25">
      <c r="A99" s="35"/>
      <c r="B99" s="36"/>
      <c r="C99" s="29"/>
      <c r="D99" s="29"/>
      <c r="E99" s="29"/>
      <c r="F99" s="29"/>
      <c r="G99" s="29"/>
      <c r="H99" s="29"/>
      <c r="I99" s="29"/>
      <c r="J99" s="29"/>
      <c r="K99" s="29"/>
      <c r="L99" s="29"/>
      <c r="M99" s="29"/>
      <c r="N99" s="29"/>
      <c r="O99" s="29"/>
      <c r="P99" s="29"/>
      <c r="Q99" s="29"/>
      <c r="R99" s="29"/>
      <c r="S99" s="29"/>
      <c r="T99" s="197" t="s">
        <v>218</v>
      </c>
      <c r="U99" s="197"/>
      <c r="V99" s="197"/>
      <c r="W99" s="197"/>
      <c r="X99" s="197"/>
      <c r="Y99" s="30"/>
      <c r="Z99" s="29"/>
      <c r="AA99" s="197"/>
      <c r="AB99" s="197"/>
      <c r="AC99" s="197"/>
      <c r="AD99" s="197"/>
      <c r="AE99" s="197"/>
    </row>
    <row r="100" spans="1:31" ht="15" x14ac:dyDescent="0.2">
      <c r="T100" s="197" t="s">
        <v>62</v>
      </c>
      <c r="U100" s="197"/>
      <c r="V100" s="197"/>
      <c r="W100" s="197"/>
      <c r="X100" s="197"/>
      <c r="AA100" s="197"/>
      <c r="AB100" s="197"/>
      <c r="AC100" s="197"/>
      <c r="AD100" s="197"/>
      <c r="AE100" s="197"/>
    </row>
    <row r="101" spans="1:31" ht="15" x14ac:dyDescent="0.2">
      <c r="T101" s="197" t="s">
        <v>61</v>
      </c>
      <c r="U101" s="197"/>
      <c r="V101" s="197"/>
      <c r="W101" s="197"/>
      <c r="X101" s="197"/>
      <c r="AA101" s="197"/>
      <c r="AB101" s="197"/>
      <c r="AC101" s="197"/>
      <c r="AD101" s="197"/>
      <c r="AE101" s="197"/>
    </row>
    <row r="102" spans="1:31" ht="15" x14ac:dyDescent="0.2">
      <c r="A102" s="32" t="s">
        <v>35</v>
      </c>
      <c r="B102" s="32" t="s">
        <v>36</v>
      </c>
      <c r="C102" s="32" t="s">
        <v>37</v>
      </c>
      <c r="T102" s="29"/>
      <c r="U102" s="29"/>
      <c r="V102" s="30"/>
      <c r="W102" s="29"/>
      <c r="AA102" s="30"/>
      <c r="AB102" s="29"/>
      <c r="AC102" s="30"/>
      <c r="AD102" s="29"/>
    </row>
    <row r="103" spans="1:31" ht="25.5" x14ac:dyDescent="0.25">
      <c r="A103" s="33" t="s">
        <v>38</v>
      </c>
      <c r="B103" s="33" t="s">
        <v>39</v>
      </c>
      <c r="C103" s="33" t="s">
        <v>40</v>
      </c>
      <c r="T103" s="198" t="s">
        <v>63</v>
      </c>
      <c r="U103" s="198"/>
      <c r="V103" s="198"/>
      <c r="W103" s="198"/>
      <c r="X103" s="198"/>
      <c r="AA103" s="198"/>
      <c r="AB103" s="198"/>
      <c r="AC103" s="198"/>
      <c r="AD103" s="198"/>
      <c r="AE103" s="198"/>
    </row>
    <row r="104" spans="1:31" ht="25.5" x14ac:dyDescent="0.2">
      <c r="A104" s="33" t="s">
        <v>41</v>
      </c>
      <c r="B104" s="33" t="s">
        <v>42</v>
      </c>
      <c r="C104" s="33" t="s">
        <v>43</v>
      </c>
      <c r="T104" s="199" t="s">
        <v>64</v>
      </c>
      <c r="U104" s="199"/>
      <c r="V104" s="199"/>
      <c r="W104" s="199"/>
      <c r="X104" s="199"/>
      <c r="AA104" s="199"/>
      <c r="AB104" s="199"/>
      <c r="AC104" s="199"/>
      <c r="AD104" s="199"/>
      <c r="AE104" s="199"/>
    </row>
    <row r="105" spans="1:31" ht="25.5" x14ac:dyDescent="0.2">
      <c r="A105" s="33" t="s">
        <v>44</v>
      </c>
      <c r="B105" s="33" t="s">
        <v>45</v>
      </c>
      <c r="C105" s="33" t="s">
        <v>46</v>
      </c>
    </row>
    <row r="106" spans="1:31" ht="25.5" x14ac:dyDescent="0.2">
      <c r="A106" s="33" t="s">
        <v>47</v>
      </c>
      <c r="B106" s="33" t="s">
        <v>48</v>
      </c>
      <c r="C106" s="33" t="s">
        <v>49</v>
      </c>
    </row>
    <row r="107" spans="1:31" ht="25.5" x14ac:dyDescent="0.2">
      <c r="A107" s="33" t="s">
        <v>50</v>
      </c>
      <c r="B107" s="34" t="s">
        <v>51</v>
      </c>
      <c r="C107" s="33" t="s">
        <v>52</v>
      </c>
    </row>
  </sheetData>
  <mergeCells count="89">
    <mergeCell ref="T101:X101"/>
    <mergeCell ref="AA101:AE101"/>
    <mergeCell ref="T103:X103"/>
    <mergeCell ref="AA103:AE103"/>
    <mergeCell ref="T104:X104"/>
    <mergeCell ref="AA104:AE104"/>
    <mergeCell ref="T98:X98"/>
    <mergeCell ref="AA98:AE98"/>
    <mergeCell ref="T99:X99"/>
    <mergeCell ref="AA99:AE99"/>
    <mergeCell ref="T100:X100"/>
    <mergeCell ref="AA100:AE100"/>
    <mergeCell ref="A95:AD95"/>
    <mergeCell ref="P11:P12"/>
    <mergeCell ref="Q11:Q12"/>
    <mergeCell ref="R11:R12"/>
    <mergeCell ref="S11:S12"/>
    <mergeCell ref="A10:A12"/>
    <mergeCell ref="B10:B12"/>
    <mergeCell ref="C10:C12"/>
    <mergeCell ref="D10:D12"/>
    <mergeCell ref="N11:N12"/>
    <mergeCell ref="O11:O12"/>
    <mergeCell ref="E11:F12"/>
    <mergeCell ref="G11:G12"/>
    <mergeCell ref="H11:H12"/>
    <mergeCell ref="I11:I12"/>
    <mergeCell ref="J11:J12"/>
    <mergeCell ref="A96:AD96"/>
    <mergeCell ref="I13:I15"/>
    <mergeCell ref="J13:J15"/>
    <mergeCell ref="K13:K15"/>
    <mergeCell ref="L13:L15"/>
    <mergeCell ref="A93:AD93"/>
    <mergeCell ref="A13:A15"/>
    <mergeCell ref="B13:B15"/>
    <mergeCell ref="C13:C15"/>
    <mergeCell ref="D13:D15"/>
    <mergeCell ref="E13:F15"/>
    <mergeCell ref="G13:G15"/>
    <mergeCell ref="H13:H15"/>
    <mergeCell ref="A91:T91"/>
    <mergeCell ref="A92:T92"/>
    <mergeCell ref="A94:AD94"/>
    <mergeCell ref="K11:K12"/>
    <mergeCell ref="L11:L12"/>
    <mergeCell ref="M11:M12"/>
    <mergeCell ref="Z10:AA10"/>
    <mergeCell ref="AB10:AD10"/>
    <mergeCell ref="J10:K10"/>
    <mergeCell ref="L10:M10"/>
    <mergeCell ref="N10:O10"/>
    <mergeCell ref="P10:Q10"/>
    <mergeCell ref="R10:S10"/>
    <mergeCell ref="AB12:AC12"/>
    <mergeCell ref="AB11:AC11"/>
    <mergeCell ref="U11:V11"/>
    <mergeCell ref="U12:V12"/>
    <mergeCell ref="X11:Y11"/>
    <mergeCell ref="X12:Y12"/>
    <mergeCell ref="T10:Y10"/>
    <mergeCell ref="E10:G10"/>
    <mergeCell ref="H10:I10"/>
    <mergeCell ref="AE7:AE8"/>
    <mergeCell ref="J9:K9"/>
    <mergeCell ref="L9:M9"/>
    <mergeCell ref="N9:O9"/>
    <mergeCell ref="P9:Q9"/>
    <mergeCell ref="R9:S9"/>
    <mergeCell ref="Z9:AA9"/>
    <mergeCell ref="AB9:AD9"/>
    <mergeCell ref="J7:K8"/>
    <mergeCell ref="L7:S8"/>
    <mergeCell ref="Z7:AA8"/>
    <mergeCell ref="AB7:AD8"/>
    <mergeCell ref="T7:Y8"/>
    <mergeCell ref="H7:I9"/>
    <mergeCell ref="A6:AD6"/>
    <mergeCell ref="T9:Y9"/>
    <mergeCell ref="A1:AD1"/>
    <mergeCell ref="A2:AD2"/>
    <mergeCell ref="A3:AD3"/>
    <mergeCell ref="A4:AD4"/>
    <mergeCell ref="A5:AD5"/>
    <mergeCell ref="A7:A9"/>
    <mergeCell ref="B7:B9"/>
    <mergeCell ref="C7:C9"/>
    <mergeCell ref="D7:D9"/>
    <mergeCell ref="E7:G9"/>
  </mergeCells>
  <printOptions horizontalCentered="1"/>
  <pageMargins left="0.23622047244094491" right="0.23622047244094491" top="3.937007874015748E-2" bottom="3.937007874015748E-2" header="0" footer="0"/>
  <pageSetup paperSize="256" scale="31" fitToHeight="0" orientation="landscape" horizontalDpi="4294967293"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Dinas Sosial</vt:lpstr>
      <vt:lpstr>'Dinas Sosial'!Print_Area</vt:lpstr>
      <vt:lpstr>'Dinas Sosial'!Print_Titles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W10 PRO</dc:creator>
  <cp:lastModifiedBy>USER</cp:lastModifiedBy>
  <cp:lastPrinted>2022-10-13T01:29:39Z</cp:lastPrinted>
  <dcterms:created xsi:type="dcterms:W3CDTF">2020-03-18T05:59:44Z</dcterms:created>
  <dcterms:modified xsi:type="dcterms:W3CDTF">2023-01-07T07:07:57Z</dcterms:modified>
</cp:coreProperties>
</file>