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-120" yWindow="-120" windowWidth="20730" windowHeight="11160"/>
  </bookViews>
  <sheets>
    <sheet name="Dinas PMD" sheetId="1" r:id="rId1"/>
    <sheet name="Sheet1" sheetId="2" r:id="rId2"/>
    <sheet name="Sheet2" sheetId="3" r:id="rId3"/>
  </sheets>
  <definedNames>
    <definedName name="_xlnm.Print_Area" localSheetId="0">'Dinas PMD'!$A$1:$AM$70</definedName>
    <definedName name="_xlnm.Print_Titles" localSheetId="0">'Dinas PMD'!$7:$12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1" i="1" l="1"/>
  <c r="W46" i="1"/>
  <c r="Y33" i="1"/>
  <c r="Y29" i="1"/>
  <c r="Y22" i="1"/>
  <c r="Y17" i="1"/>
  <c r="X49" i="1"/>
  <c r="X48" i="1"/>
  <c r="X47" i="1"/>
  <c r="Y46" i="1"/>
  <c r="Y45" i="1" s="1"/>
  <c r="X46" i="1"/>
  <c r="X45" i="1"/>
  <c r="X44" i="1"/>
  <c r="X43" i="1"/>
  <c r="X42" i="1"/>
  <c r="Y41" i="1"/>
  <c r="Y40" i="1" s="1"/>
  <c r="X41" i="1"/>
  <c r="X40" i="1"/>
  <c r="X39" i="1"/>
  <c r="Y38" i="1"/>
  <c r="Y37" i="1" s="1"/>
  <c r="X38" i="1"/>
  <c r="X37" i="1"/>
  <c r="W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W17" i="1"/>
  <c r="X16" i="1"/>
  <c r="X15" i="1"/>
  <c r="Y14" i="1"/>
  <c r="X14" i="1"/>
  <c r="W14" i="1"/>
  <c r="X13" i="1"/>
  <c r="Y13" i="1" l="1"/>
  <c r="M45" i="1"/>
  <c r="G46" i="1"/>
  <c r="J46" i="1"/>
  <c r="G37" i="1"/>
  <c r="J37" i="1"/>
  <c r="G38" i="1"/>
  <c r="G39" i="1"/>
  <c r="G42" i="1"/>
  <c r="J38" i="1"/>
  <c r="J40" i="1"/>
  <c r="J41" i="1"/>
  <c r="G44" i="1"/>
  <c r="G47" i="1"/>
  <c r="G49" i="1"/>
  <c r="G48" i="1"/>
  <c r="Q46" i="1"/>
  <c r="N46" i="1"/>
  <c r="T41" i="1"/>
  <c r="Q40" i="1"/>
  <c r="T37" i="1"/>
  <c r="Q37" i="1"/>
  <c r="U49" i="1" l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O13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V46" i="1"/>
  <c r="V45" i="1" s="1"/>
  <c r="T46" i="1"/>
  <c r="V41" i="1"/>
  <c r="V40" i="1" s="1"/>
  <c r="V38" i="1"/>
  <c r="V37" i="1" s="1"/>
  <c r="V33" i="1"/>
  <c r="V29" i="1"/>
  <c r="V22" i="1"/>
  <c r="V17" i="1"/>
  <c r="T17" i="1"/>
  <c r="V14" i="1"/>
  <c r="T14" i="1"/>
  <c r="K38" i="1"/>
  <c r="E46" i="1"/>
  <c r="K46" i="1"/>
  <c r="K45" i="1"/>
  <c r="E45" i="1"/>
  <c r="K41" i="1"/>
  <c r="E41" i="1"/>
  <c r="K40" i="1"/>
  <c r="E40" i="1"/>
  <c r="H38" i="1"/>
  <c r="E38" i="1"/>
  <c r="E37" i="1"/>
  <c r="N37" i="1"/>
  <c r="H37" i="1"/>
  <c r="H46" i="1"/>
  <c r="Q45" i="1"/>
  <c r="H45" i="1"/>
  <c r="Q41" i="1"/>
  <c r="H41" i="1"/>
  <c r="H40" i="1"/>
  <c r="Z40" i="1"/>
  <c r="V13" i="1" l="1"/>
  <c r="M38" i="1"/>
  <c r="G13" i="1" l="1"/>
  <c r="G41" i="1"/>
  <c r="G40" i="1" s="1"/>
  <c r="Z32" i="1"/>
  <c r="H17" i="1" l="1"/>
  <c r="S46" i="1" l="1"/>
  <c r="S45" i="1" s="1"/>
  <c r="P46" i="1"/>
  <c r="N41" i="1"/>
  <c r="S41" i="1"/>
  <c r="S40" i="1" s="1"/>
  <c r="S38" i="1"/>
  <c r="S37" i="1" s="1"/>
  <c r="S14" i="1"/>
  <c r="Q14" i="1"/>
  <c r="AH14" i="1" l="1"/>
  <c r="AA14" i="1"/>
  <c r="P14" i="1"/>
  <c r="AD14" i="1" s="1"/>
  <c r="N14" i="1"/>
  <c r="Z14" i="1" s="1"/>
  <c r="M14" i="1"/>
  <c r="AG14" i="1" l="1"/>
  <c r="AB14" i="1"/>
  <c r="AE14" i="1"/>
  <c r="AI14" i="1"/>
  <c r="S33" i="1"/>
  <c r="S29" i="1"/>
  <c r="S22" i="1"/>
  <c r="S17" i="1"/>
  <c r="Q17" i="1"/>
  <c r="K37" i="1"/>
  <c r="S13" i="1" l="1"/>
  <c r="AH49" i="1"/>
  <c r="AD49" i="1"/>
  <c r="AI49" i="1" s="1"/>
  <c r="AA49" i="1"/>
  <c r="Z49" i="1"/>
  <c r="AB49" i="1" s="1"/>
  <c r="AH48" i="1"/>
  <c r="AD48" i="1"/>
  <c r="AI48" i="1" s="1"/>
  <c r="AA48" i="1"/>
  <c r="Z48" i="1"/>
  <c r="AB48" i="1" s="1"/>
  <c r="AH47" i="1"/>
  <c r="AD47" i="1"/>
  <c r="AI47" i="1" s="1"/>
  <c r="AA47" i="1"/>
  <c r="Z47" i="1"/>
  <c r="AB47" i="1" s="1"/>
  <c r="AH46" i="1"/>
  <c r="AA46" i="1"/>
  <c r="Z46" i="1"/>
  <c r="AH45" i="1"/>
  <c r="AA45" i="1"/>
  <c r="Z45" i="1"/>
  <c r="AH44" i="1"/>
  <c r="AD44" i="1"/>
  <c r="AI44" i="1" s="1"/>
  <c r="AA44" i="1"/>
  <c r="Z44" i="1"/>
  <c r="AB44" i="1" s="1"/>
  <c r="AH43" i="1"/>
  <c r="AD43" i="1"/>
  <c r="AI43" i="1" s="1"/>
  <c r="AA43" i="1"/>
  <c r="Z43" i="1"/>
  <c r="AB43" i="1" s="1"/>
  <c r="AH42" i="1"/>
  <c r="AD42" i="1"/>
  <c r="AI42" i="1" s="1"/>
  <c r="AA42" i="1"/>
  <c r="Z42" i="1"/>
  <c r="AB42" i="1" s="1"/>
  <c r="AH41" i="1"/>
  <c r="AA41" i="1"/>
  <c r="Z41" i="1"/>
  <c r="AH40" i="1"/>
  <c r="AA40" i="1"/>
  <c r="AH39" i="1"/>
  <c r="AD39" i="1"/>
  <c r="AI39" i="1" s="1"/>
  <c r="AA39" i="1"/>
  <c r="Z39" i="1"/>
  <c r="AB39" i="1" s="1"/>
  <c r="AH38" i="1"/>
  <c r="Z38" i="1"/>
  <c r="AH37" i="1"/>
  <c r="AA37" i="1"/>
  <c r="Z37" i="1"/>
  <c r="AH36" i="1"/>
  <c r="AD36" i="1"/>
  <c r="AI36" i="1" s="1"/>
  <c r="AA36" i="1"/>
  <c r="Z36" i="1"/>
  <c r="AB36" i="1" s="1"/>
  <c r="AH35" i="1"/>
  <c r="AD35" i="1"/>
  <c r="AI35" i="1" s="1"/>
  <c r="AA35" i="1"/>
  <c r="Z35" i="1"/>
  <c r="AB35" i="1" s="1"/>
  <c r="AH34" i="1"/>
  <c r="AD34" i="1"/>
  <c r="AI34" i="1" s="1"/>
  <c r="AA34" i="1"/>
  <c r="Z34" i="1"/>
  <c r="AB34" i="1" s="1"/>
  <c r="AH33" i="1"/>
  <c r="AA33" i="1"/>
  <c r="Z33" i="1"/>
  <c r="AB33" i="1" s="1"/>
  <c r="AH32" i="1"/>
  <c r="AD32" i="1"/>
  <c r="AI32" i="1" s="1"/>
  <c r="AA32" i="1"/>
  <c r="AB32" i="1"/>
  <c r="AH31" i="1"/>
  <c r="AD31" i="1"/>
  <c r="AI31" i="1" s="1"/>
  <c r="AA31" i="1"/>
  <c r="Z31" i="1"/>
  <c r="AB31" i="1" s="1"/>
  <c r="AH30" i="1"/>
  <c r="AD30" i="1"/>
  <c r="AI30" i="1" s="1"/>
  <c r="AA30" i="1"/>
  <c r="Z30" i="1"/>
  <c r="AB30" i="1" s="1"/>
  <c r="AH29" i="1"/>
  <c r="AA29" i="1"/>
  <c r="Z29" i="1"/>
  <c r="AB29" i="1" s="1"/>
  <c r="AH28" i="1"/>
  <c r="AD28" i="1"/>
  <c r="AI28" i="1" s="1"/>
  <c r="AA28" i="1"/>
  <c r="Z28" i="1"/>
  <c r="AB28" i="1" s="1"/>
  <c r="AH27" i="1"/>
  <c r="AD27" i="1"/>
  <c r="AI27" i="1" s="1"/>
  <c r="AA27" i="1"/>
  <c r="Z27" i="1"/>
  <c r="AB27" i="1" s="1"/>
  <c r="AH26" i="1"/>
  <c r="AD26" i="1"/>
  <c r="AE26" i="1" s="1"/>
  <c r="AA26" i="1"/>
  <c r="Z26" i="1"/>
  <c r="AB26" i="1" s="1"/>
  <c r="AH25" i="1"/>
  <c r="AD25" i="1"/>
  <c r="AI25" i="1" s="1"/>
  <c r="AA25" i="1"/>
  <c r="Z25" i="1"/>
  <c r="AB25" i="1" s="1"/>
  <c r="AH24" i="1"/>
  <c r="AD24" i="1"/>
  <c r="AI24" i="1" s="1"/>
  <c r="AA24" i="1"/>
  <c r="Z24" i="1"/>
  <c r="AB24" i="1" s="1"/>
  <c r="AH23" i="1"/>
  <c r="AD23" i="1"/>
  <c r="AI23" i="1" s="1"/>
  <c r="AA23" i="1"/>
  <c r="Z23" i="1"/>
  <c r="AB23" i="1" s="1"/>
  <c r="AH22" i="1"/>
  <c r="AA22" i="1"/>
  <c r="Z22" i="1"/>
  <c r="AB22" i="1" s="1"/>
  <c r="AH21" i="1"/>
  <c r="AD21" i="1"/>
  <c r="AI21" i="1" s="1"/>
  <c r="AA21" i="1"/>
  <c r="Z21" i="1"/>
  <c r="AB21" i="1" s="1"/>
  <c r="AH20" i="1"/>
  <c r="AD20" i="1"/>
  <c r="AE20" i="1" s="1"/>
  <c r="AA20" i="1"/>
  <c r="Z20" i="1"/>
  <c r="AB20" i="1" s="1"/>
  <c r="AH19" i="1"/>
  <c r="AD19" i="1"/>
  <c r="AE19" i="1" s="1"/>
  <c r="AA19" i="1"/>
  <c r="Z19" i="1"/>
  <c r="AB19" i="1" s="1"/>
  <c r="AH18" i="1"/>
  <c r="AD18" i="1"/>
  <c r="AE18" i="1" s="1"/>
  <c r="AA18" i="1"/>
  <c r="Z18" i="1"/>
  <c r="AB18" i="1" s="1"/>
  <c r="AH17" i="1"/>
  <c r="AA17" i="1"/>
  <c r="AH16" i="1"/>
  <c r="AD16" i="1"/>
  <c r="AE16" i="1" s="1"/>
  <c r="AA16" i="1"/>
  <c r="Z16" i="1"/>
  <c r="AB16" i="1" s="1"/>
  <c r="AH15" i="1"/>
  <c r="AD15" i="1"/>
  <c r="AE15" i="1" s="1"/>
  <c r="AA15" i="1"/>
  <c r="Z15" i="1"/>
  <c r="AB15" i="1" s="1"/>
  <c r="AH13" i="1"/>
  <c r="AA13" i="1"/>
  <c r="Z13" i="1"/>
  <c r="AG13" i="1" s="1"/>
  <c r="AG32" i="1" l="1"/>
  <c r="AG34" i="1"/>
  <c r="AG44" i="1"/>
  <c r="AG20" i="1"/>
  <c r="AG28" i="1"/>
  <c r="AG30" i="1"/>
  <c r="AG38" i="1"/>
  <c r="AB38" i="1" s="1"/>
  <c r="AG40" i="1"/>
  <c r="AB40" i="1" s="1"/>
  <c r="AG42" i="1"/>
  <c r="AG46" i="1"/>
  <c r="AB46" i="1" s="1"/>
  <c r="AG48" i="1"/>
  <c r="AG15" i="1"/>
  <c r="AG19" i="1"/>
  <c r="AG21" i="1"/>
  <c r="AG23" i="1"/>
  <c r="AG25" i="1"/>
  <c r="AG27" i="1"/>
  <c r="AG29" i="1"/>
  <c r="AG31" i="1"/>
  <c r="AG33" i="1"/>
  <c r="AG35" i="1"/>
  <c r="AG37" i="1"/>
  <c r="AB37" i="1" s="1"/>
  <c r="AG39" i="1"/>
  <c r="AG41" i="1"/>
  <c r="AB41" i="1" s="1"/>
  <c r="AG43" i="1"/>
  <c r="AG45" i="1"/>
  <c r="AB45" i="1" s="1"/>
  <c r="AG47" i="1"/>
  <c r="AG49" i="1"/>
  <c r="AG16" i="1"/>
  <c r="AG18" i="1"/>
  <c r="AG22" i="1"/>
  <c r="AG24" i="1"/>
  <c r="AG26" i="1"/>
  <c r="AG36" i="1"/>
  <c r="AI15" i="1"/>
  <c r="AI16" i="1"/>
  <c r="AI18" i="1"/>
  <c r="AI19" i="1"/>
  <c r="AI20" i="1"/>
  <c r="AI26" i="1"/>
  <c r="AE21" i="1"/>
  <c r="AE23" i="1"/>
  <c r="AE24" i="1"/>
  <c r="AE25" i="1"/>
  <c r="AE27" i="1"/>
  <c r="AE28" i="1"/>
  <c r="AE30" i="1"/>
  <c r="AE31" i="1"/>
  <c r="AE32" i="1"/>
  <c r="AE34" i="1"/>
  <c r="AE35" i="1"/>
  <c r="AE36" i="1"/>
  <c r="AE39" i="1"/>
  <c r="AE42" i="1"/>
  <c r="AE43" i="1"/>
  <c r="AE44" i="1"/>
  <c r="AE47" i="1"/>
  <c r="AE48" i="1"/>
  <c r="AE49" i="1"/>
  <c r="AB13" i="1"/>
  <c r="N17" i="1"/>
  <c r="Z17" i="1" s="1"/>
  <c r="K17" i="1"/>
  <c r="AB17" i="1" l="1"/>
  <c r="AB50" i="1" s="1"/>
  <c r="AG17" i="1"/>
  <c r="M46" i="1"/>
  <c r="P41" i="1"/>
  <c r="M41" i="1"/>
  <c r="M40" i="1" s="1"/>
  <c r="P38" i="1"/>
  <c r="AD38" i="1" s="1"/>
  <c r="M37" i="1"/>
  <c r="P33" i="1"/>
  <c r="AD33" i="1" s="1"/>
  <c r="M33" i="1"/>
  <c r="P29" i="1"/>
  <c r="AD29" i="1" s="1"/>
  <c r="M29" i="1"/>
  <c r="P22" i="1"/>
  <c r="AD22" i="1" s="1"/>
  <c r="M22" i="1"/>
  <c r="P17" i="1"/>
  <c r="M17" i="1"/>
  <c r="M13" i="1" l="1"/>
  <c r="AD17" i="1"/>
  <c r="AI17" i="1" s="1"/>
  <c r="P13" i="1"/>
  <c r="AD13" i="1" s="1"/>
  <c r="P40" i="1"/>
  <c r="AD40" i="1" s="1"/>
  <c r="AD41" i="1"/>
  <c r="AI22" i="1"/>
  <c r="AE22" i="1"/>
  <c r="AI29" i="1"/>
  <c r="AE29" i="1"/>
  <c r="AI33" i="1"/>
  <c r="AE33" i="1"/>
  <c r="AI38" i="1"/>
  <c r="AE38" i="1"/>
  <c r="P37" i="1"/>
  <c r="AD37" i="1" s="1"/>
  <c r="P45" i="1"/>
  <c r="AD45" i="1" s="1"/>
  <c r="AD46" i="1"/>
  <c r="AE17" i="1" l="1"/>
  <c r="AI46" i="1"/>
  <c r="AE46" i="1"/>
  <c r="AI37" i="1"/>
  <c r="AE37" i="1"/>
  <c r="AI41" i="1"/>
  <c r="AE41" i="1"/>
  <c r="AI45" i="1"/>
  <c r="AE45" i="1"/>
  <c r="AI13" i="1"/>
  <c r="AE13" i="1"/>
  <c r="AI40" i="1"/>
  <c r="AE40" i="1"/>
  <c r="AP22" i="1"/>
  <c r="AP21" i="1"/>
  <c r="AE50" i="1" l="1"/>
  <c r="AP20" i="1"/>
  <c r="AP19" i="1"/>
  <c r="AP18" i="1"/>
  <c r="AP17" i="1"/>
  <c r="AP13" i="1"/>
  <c r="AE51" i="1" l="1"/>
  <c r="AB51" i="1" l="1"/>
</calcChain>
</file>

<file path=xl/comments1.xml><?xml version="1.0" encoding="utf-8"?>
<comments xmlns="http://schemas.openxmlformats.org/spreadsheetml/2006/main">
  <authors>
    <author>W10 PRO</author>
    <author>Windows User</author>
    <author>USER</author>
  </authors>
  <commentList>
    <comment ref="K37" authorId="0" shapeId="0">
      <text>
        <r>
          <rPr>
            <b/>
            <sz val="12"/>
            <color indexed="81"/>
            <rFont val="Tahoma"/>
            <family val="2"/>
          </rPr>
          <t>Jumlah BUMDes berkembang/Jumlah seluruh BUMDesx100</t>
        </r>
      </text>
    </comment>
    <comment ref="K38" authorId="0" shapeId="0">
      <text>
        <r>
          <rPr>
            <b/>
            <sz val="12"/>
            <color indexed="81"/>
            <rFont val="Tahoma"/>
            <family val="2"/>
          </rPr>
          <t>Jumlah Bumdes yang memperoleh laba utk PADes/Jumlah seluruh Desax100</t>
        </r>
      </text>
    </comment>
    <comment ref="K40" authorId="0" shapeId="0">
      <text>
        <r>
          <rPr>
            <b/>
            <sz val="12"/>
            <color indexed="81"/>
            <rFont val="Tahoma"/>
            <family val="2"/>
          </rPr>
          <t>Jumlah Pemdes yg cepat berkembang/Jumlah seluruh desax100</t>
        </r>
      </text>
    </comment>
    <comment ref="K41" authorId="0" shapeId="0">
      <text>
        <r>
          <rPr>
            <b/>
            <sz val="12"/>
            <color indexed="81"/>
            <rFont val="Tahoma"/>
            <family val="2"/>
          </rPr>
          <t>Jumlah Pemdes yg tertib administrasi desa/Jumlah seluruh desax100</t>
        </r>
      </text>
    </comment>
    <comment ref="K45" authorId="0" shapeId="0">
      <text>
        <r>
          <rPr>
            <b/>
            <sz val="12"/>
            <color indexed="81"/>
            <rFont val="Tahoma"/>
            <family val="2"/>
          </rPr>
          <t>Jumlah desa berstatus maju/jumlah seluruh desax100</t>
        </r>
      </text>
    </comment>
    <comment ref="K46" authorId="1" shapeId="0">
      <text>
        <r>
          <rPr>
            <b/>
            <sz val="12"/>
            <color indexed="81"/>
            <rFont val="Tahoma"/>
            <family val="2"/>
          </rPr>
          <t>Jumlah LKD aktid/jumlah seluruh LKDx100</t>
        </r>
      </text>
    </comment>
    <comment ref="T48" authorId="2" shapeId="0">
      <text>
        <r>
          <rPr>
            <b/>
            <sz val="12"/>
            <color indexed="81"/>
            <rFont val="Tahoma"/>
            <family val="2"/>
          </rPr>
          <t>Rencana direalisasikan di bulan Okt</t>
        </r>
      </text>
    </comment>
    <comment ref="W48" authorId="2" shapeId="0">
      <text>
        <r>
          <rPr>
            <b/>
            <sz val="12"/>
            <color indexed="81"/>
            <rFont val="Tahoma"/>
            <family val="2"/>
          </rPr>
          <t>Rencana direalisasikan di bulan Okt</t>
        </r>
      </text>
    </comment>
  </commentList>
</comments>
</file>

<file path=xl/sharedStrings.xml><?xml version="1.0" encoding="utf-8"?>
<sst xmlns="http://schemas.openxmlformats.org/spreadsheetml/2006/main" count="449" uniqueCount="189">
  <si>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</si>
  <si>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</si>
  <si>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</si>
  <si>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</si>
  <si>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</si>
  <si>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</si>
  <si>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</si>
  <si>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</si>
  <si>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</si>
  <si>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</si>
  <si>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</si>
  <si>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</si>
  <si>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</si>
  <si>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</si>
  <si>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</si>
  <si>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</si>
  <si>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</si>
  <si>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</si>
  <si>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</si>
  <si>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</si>
  <si>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</si>
  <si>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</si>
  <si>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Rata-rata Capaian Kinerja (%)</t>
  </si>
  <si>
    <t>Predikat Kinerja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</si>
  <si>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</si>
  <si>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</si>
  <si>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</si>
  <si>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</si>
  <si>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</si>
  <si>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</si>
  <si>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</si>
  <si>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</si>
  <si>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</si>
  <si>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</si>
  <si>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</si>
  <si>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</si>
  <si>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</si>
  <si>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</si>
  <si>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</si>
  <si>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</si>
  <si>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</si>
  <si>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</si>
  <si>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</si>
  <si>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</si>
  <si>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Bln</t>
  </si>
  <si>
    <t>%</t>
  </si>
  <si>
    <t>DINAS PEMBERDAYAAN MASYARAKAT DAN DESA</t>
  </si>
  <si>
    <t>Dinas Pemberdayaan Masyarakat dan Desa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</si>
  <si>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</si>
  <si>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</si>
  <si>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</si>
  <si>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</si>
  <si>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</si>
  <si>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</si>
  <si>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</si>
  <si>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</si>
  <si>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</si>
  <si>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Pemberdayaan Masyarakat dan Desa</t>
  </si>
  <si>
    <t>SUSILO ADIANTO, S.STP,M.Si</t>
  </si>
  <si>
    <t>NIP. 19831221 200212 1 002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</si>
  <si>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</si>
  <si>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</si>
  <si>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</si>
  <si>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</si>
  <si>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</si>
  <si>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</si>
  <si>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</si>
  <si>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</si>
  <si>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</si>
  <si>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Koordinasi dan Penyusunan Laporan Keuangan Akhir Tahun SKPD</t>
  </si>
  <si>
    <t>Lap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</si>
  <si>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</si>
  <si>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</si>
  <si>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</si>
  <si>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Penyedian Komponen Instalasi Listrik/Penerangan Bangunan kantor</t>
  </si>
  <si>
    <t>Penyedian Peralatan dan Perlengkapan Kantor</t>
  </si>
  <si>
    <t>Penyedian Bahan Logistik Kantor</t>
  </si>
  <si>
    <t>Penyedian Barang Cetakan dan Penggandaan</t>
  </si>
  <si>
    <t>Penyediaan Bahan Bacaan dan Peraturan Perundang-undangan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</si>
  <si>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</si>
  <si>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</si>
  <si>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</si>
  <si>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</si>
  <si>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</si>
  <si>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</si>
  <si>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</si>
  <si>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</si>
  <si>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</si>
  <si>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Program Peningkatan Kerjasama Desa</t>
  </si>
  <si>
    <t>Fasilitasi Kerjasama antar Desa</t>
  </si>
  <si>
    <t>Program Administrasi Pemerintahan Desa</t>
  </si>
  <si>
    <t>Pembinaan dan Pengawasan Penyelenggaraan Administrasi Pemerintahan Desa</t>
  </si>
  <si>
    <t>Fasilitasi Penyusunan Perencanaan Pembangunan Desa</t>
  </si>
  <si>
    <t>Pembinaan Peningkatan Kapasitas Anggota BPD</t>
  </si>
  <si>
    <t>Fasilitasi Evaluasi Perkembangan Desa serta Lomba Desa dan Kelurahan</t>
  </si>
  <si>
    <t xml:space="preserve">Program Pemberdayaan Lembaga Kemasyarakatan, Lembaga Adat dan Masyarakat Hukum Adat </t>
  </si>
  <si>
    <t>Fasilitasi Tim Penggerak PKK dalam Penyelenggaraan Gerakan Pemberdayaan Masyarakat dan Kesejahteraan Keluarga</t>
  </si>
  <si>
    <t>Jumlah dokumen administrasi Keuangan sesuai standar</t>
  </si>
  <si>
    <t>Persentase Badan Usaha Milik Desa (BUMDesa) yang berkembang</t>
  </si>
  <si>
    <t>Fasilitasi Kerjasama Antar Desa dengan Pihak Ketiga dalam Kabupaten / Kota</t>
  </si>
  <si>
    <t>BUMDes</t>
  </si>
  <si>
    <t>Jumlah Anggota BPD yang terampil dalam penyusunan perencanaan pembangunan desa</t>
  </si>
  <si>
    <t>Desa</t>
  </si>
  <si>
    <t>Jumlah inovasi Teknologi Tepat Guna (TTG) yang disosialisasikan kepada masyarakat desa</t>
  </si>
  <si>
    <t>Inovasi</t>
  </si>
  <si>
    <t>Perencanaan, Pengangnggaran dan Evaluasi Kinerja Perangkat Daerah</t>
  </si>
  <si>
    <t>Jumlah dokumen Perencanaan dan Evaluasi Kinerja yang berkualitas</t>
  </si>
  <si>
    <t>Fasilitasi Pemerintah Desa dalam Pemanfaatan Teknologi Tepat Guna</t>
  </si>
  <si>
    <t>Jumlah dokumen perencanaan kinerja Dinas PMD yang berkualitas</t>
  </si>
  <si>
    <t>Jumlah Dokumen Evaluasi Kinerja Dinas PMD Yang Berkualitas</t>
  </si>
  <si>
    <t>Jumlah PNS Yang Menerima Gaji dan Tunjangan</t>
  </si>
  <si>
    <t>Jumlah Dokumen Laporan keuangan Akhir Tahun</t>
  </si>
  <si>
    <t>Jumlah Laporan keuangan sesuai kebutuhan</t>
  </si>
  <si>
    <t>Jumlah Laporan Administrasi Keuangan Sesuai Standar</t>
  </si>
  <si>
    <t>Jumlah  Penyediaan Komponen Instalasi Listrik/Penerangan Bangunan Kantor Sesuai Kebutuhan</t>
  </si>
  <si>
    <t>Jumlah Penyediaan Peralatan dan Perlengkapan kantor Sesuai Kebutuhan</t>
  </si>
  <si>
    <t>Jumlah Penyediaan Bahan Logistik Kantor Sesuai Kebutuhan</t>
  </si>
  <si>
    <t>Jumlah Penyediaan Barang Cetakan dan Penggandaan Sesuai Kebutuhan</t>
  </si>
  <si>
    <t>Jumlah Penyediaan Bahan Bacaan dan Peraturan Perundang-undangan Sesuai Kebutuhan</t>
  </si>
  <si>
    <t>Jumlah Rapat, Koordinasi dan konsultasi SKPD Yang Diikuti Sesuai Kebutuhan</t>
  </si>
  <si>
    <t>Jumlah Penyediaan Jasa Penunjang Urusan Pemerintahan Daerah Sesuai Kebutuhan</t>
  </si>
  <si>
    <t>Jumlah penyediaan Jasa Surat Menyurat Sesuai Kebutuhan</t>
  </si>
  <si>
    <t>Jumlah Penyediaan Jasa Komunikasi, Sumber Daya Air dan Listrik Sesuai Kebutuhan</t>
  </si>
  <si>
    <t>Jumlah Penyediaan Jasa Pelayanan Umum Kantor Sesuai Kebutuhan</t>
  </si>
  <si>
    <t>Persentase Pelayanan Administrasi Umum Sesuai Kebutuhan</t>
  </si>
  <si>
    <t>Penyediaan Jasa Pemeliharaan, Biaya Pemeliharaan, Pajak dan Perizinan Kendaraan Dinas Operasional atau Lapangan Sesuai Kebutuhan</t>
  </si>
  <si>
    <t>Jumlah Jasa Pemeliharaan, Biaya Pemeliharaan, Pajak dan Perizinan Kendaraan Dinas Operasional atau Lapangan Sesuai Kebutuhan</t>
  </si>
  <si>
    <t>Jumlah Pemeliharaan/ Rehabilitasi Gedung Kantor dan Bangunan Lainnya Sesuai Kebutuhan</t>
  </si>
  <si>
    <t>Jumlah Pemeliharaan / Rehabilitasi Sarana dan Prasarana gedung Kantor atau Bangunan Lainnya Sesuai Kebutuhan</t>
  </si>
  <si>
    <t>Persentase Pemerintahan Desa Kategori Cepat Berkembang</t>
  </si>
  <si>
    <t>Persentase Penyelenggaraan Pemerintah Desa Yang Tertib dalam Administrasi Desa</t>
  </si>
  <si>
    <t>Jumlah Peraturan Kepala Desa Tentang Penjabaran APBDes</t>
  </si>
  <si>
    <t>Jumlah Desa yang ber Prestasi</t>
  </si>
  <si>
    <t>Persentase Status Desa Maju</t>
  </si>
  <si>
    <t>Persentase Lembaga Kemasyarakatan Desa Yang aktif</t>
  </si>
  <si>
    <t>Jumlah  Program Kerja PKK yang Diselenggarakan</t>
  </si>
  <si>
    <t>Meningkatnya tata kelola administrasi perkantoran</t>
  </si>
  <si>
    <t xml:space="preserve">Meningkatnya kinerja  penyelenggaraan Pemerintahan Desa </t>
  </si>
  <si>
    <t>Meningkatnya pemberdayaan lembaga kemasyarakatan desa</t>
  </si>
  <si>
    <t>posyandu</t>
  </si>
  <si>
    <t>Program TP PKK</t>
  </si>
  <si>
    <t>-</t>
  </si>
  <si>
    <t>Perkades</t>
  </si>
  <si>
    <t>Anggota BPD</t>
  </si>
  <si>
    <t>Posyandu</t>
  </si>
  <si>
    <t>Program Kerja TP PKK</t>
  </si>
  <si>
    <t>Bidang Pemdes</t>
  </si>
  <si>
    <t>BPD</t>
  </si>
  <si>
    <t>faktor Pendorong</t>
  </si>
  <si>
    <t>Faktor Penghambat</t>
  </si>
  <si>
    <t>Rencana Tindak nya</t>
  </si>
  <si>
    <t>tidak ada hambatan</t>
  </si>
  <si>
    <t>Evaluasi</t>
  </si>
  <si>
    <t>Rencana Tindak lanjut nya</t>
  </si>
  <si>
    <t>Akan dilaksanakan kembali tahun berikut nya</t>
  </si>
  <si>
    <t>Kegiatan sosialisasi digunakan dengan menggunakan dana APBDes</t>
  </si>
  <si>
    <t>Dperlukan lagi untuk bimtek tingkat lanjutan untuk anggota BPD lainnya</t>
  </si>
  <si>
    <t>harus dilaksanakan secara bertahap karena adanya pandemi covid -19</t>
  </si>
  <si>
    <t>dilakukan koordinasi dan Kerjasama dengan TIM dan pihak terkait</t>
  </si>
  <si>
    <t>Kagiatan</t>
  </si>
  <si>
    <t>:</t>
  </si>
  <si>
    <t xml:space="preserve">Fasilitasi Pemerintah Desa dalam PemanfaatanTeknologi Guna </t>
  </si>
  <si>
    <t xml:space="preserve">     </t>
  </si>
  <si>
    <t>Faktor Pendorong  Pencapaian  Keberhasilan</t>
  </si>
  <si>
    <t>Kesiapan Inovator yang akan mensosialisasikan  Inovasi TTG hasil seleksi dari Bappelitbangda yang bisa diterapkan di Desa.</t>
  </si>
  <si>
    <t>Penghambat Pencapaian Keberhasilan</t>
  </si>
  <si>
    <t>Tindak Lanjut</t>
  </si>
  <si>
    <t>Inovator TTG hasil seleksi dari Bappelitbangda yang bisa diterapkan di Desa.</t>
  </si>
  <si>
    <t xml:space="preserve">Belum Siap mensosialisasikan  Inovasinya  </t>
  </si>
  <si>
    <t>Sudah didapat 3 Inovator yang akan mensosialisasikan Inovasi TTG dan akan dilaksanakan pada bulan Agustus 2022.</t>
  </si>
  <si>
    <t>Perencanaan Pemb  Desa</t>
  </si>
  <si>
    <t>Akan dilaksanakan sesuai jadawal pada tri III dan IV</t>
  </si>
  <si>
    <t>Bidang PPD</t>
  </si>
  <si>
    <t>Bidang PMD</t>
  </si>
  <si>
    <t>Fasilitasi Pemanfaatan Teknologi Tepat Guna</t>
  </si>
  <si>
    <t xml:space="preserve">Inovator TTG hasil seleksi dari Bappelitbangda yang bisa diterapkan di Desa. Belum Siap mensosialisasikan  Inovasinya </t>
  </si>
  <si>
    <t>Tingkat kepuasan pelayanan</t>
  </si>
  <si>
    <t>Meningkatnya Persentase Badan Usaha Milik Desa Kategori Berkembang</t>
  </si>
  <si>
    <t>Faktor pendorong keberhasilan pencapaian: Kegiatan dilaksanakan sesuai jadwal dan sebagian menggunakan dana APBDes</t>
  </si>
  <si>
    <t>Faktor penghambat pencapaian kinerja: Kegiatan yang dilaksanakan secara bertahap di masa pandemi dan Inovator Teknologi Tepat Guna yang belum siap melaksanakan sosialisasi inovasi</t>
  </si>
  <si>
    <t>Tindak lanjut yang diperlukan dalam triwulan berikutnya*): Sosialisasi Inovasi akan dilaksanakan bulan Agustus tahun 2022</t>
  </si>
  <si>
    <t>Peningkatan Kapasitas Kelembagaan Lembaga Kemasyarakatan Desa/Kelurahan (RT, RW, PKK, Posyandu, LPM, dan Karang Taruna) Lembaga Adat Desa/Kelurahan dan Masyarakat Hukum Adat</t>
  </si>
  <si>
    <t>Jumlah Posyandu Dengan Strata Purnama</t>
  </si>
  <si>
    <t>Pemberdayaan Lembaga Kemasyarakatan yang Bergerak di Bidang Pemberdayaan Desa dan Lembaga Adat Tingkat Daerah Kabupaten/Kota Serta Pemberdayaan Masyarakat Hukum Adat yang masyarakat Pelakunya Hukum Adat yang sama Dalam Daerah Kabupaten/Kota</t>
  </si>
  <si>
    <t>Jumlah Bumdes Yang Terfasilitasi Dengan Pihak Ketiga Dalam Menjalin Kerjasama</t>
  </si>
  <si>
    <t>Persentase BUMDes Yang Memperoleh Keuntungan/Laba untuk PADes</t>
  </si>
  <si>
    <t>PERIODE PELAKSANAAN TRIWULAN IV TAHUN 2021</t>
  </si>
  <si>
    <t>Kandangan,           Desember 2021</t>
  </si>
  <si>
    <t>Kandangan,    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</si>
</sst>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1"/>
      <name val="Tahoma"/>
      <family val="2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19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6" fontId="8" fillId="0" borderId="2" xfId="1" applyNumberFormat="1" applyFont="1" applyFill="1" applyBorder="1" applyAlignment="1">
      <alignment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6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0" fontId="8" fillId="4" borderId="13" xfId="0" applyFont="1" applyFill="1" applyBorder="1" applyAlignment="1">
      <alignment horizontal="center"/>
    </xf>
    <xf numFmtId="2" fontId="8" fillId="4" borderId="13" xfId="0" applyNumberFormat="1" applyFont="1" applyFill="1" applyBorder="1" applyAlignment="1">
      <alignment horizontal="right"/>
    </xf>
    <xf numFmtId="2" fontId="8" fillId="4" borderId="14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6" fontId="6" fillId="0" borderId="6" xfId="1" quotePrefix="1" applyNumberFormat="1" applyFont="1" applyFill="1" applyBorder="1" applyAlignment="1">
      <alignment vertical="top"/>
    </xf>
    <xf numFmtId="164" fontId="8" fillId="0" borderId="2" xfId="2" applyFont="1" applyFill="1" applyBorder="1" applyAlignment="1">
      <alignment horizontal="center" vertical="top"/>
    </xf>
    <xf numFmtId="164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8" fillId="0" borderId="15" xfId="0" applyNumberFormat="1" applyFont="1" applyFill="1" applyBorder="1" applyAlignment="1">
      <alignment horizontal="center" vertical="top" wrapText="1"/>
    </xf>
    <xf numFmtId="0" fontId="8" fillId="4" borderId="13" xfId="0" applyNumberFormat="1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wrapText="1"/>
    </xf>
    <xf numFmtId="0" fontId="8" fillId="0" borderId="0" xfId="0" applyNumberFormat="1" applyFont="1" applyFill="1" applyAlignment="1">
      <alignment wrapText="1"/>
    </xf>
    <xf numFmtId="0" fontId="4" fillId="0" borderId="0" xfId="0" applyNumberFormat="1" applyFont="1" applyFill="1" applyAlignment="1">
      <alignment horizontal="center" wrapText="1"/>
    </xf>
    <xf numFmtId="1" fontId="6" fillId="0" borderId="2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top" wrapText="1"/>
    </xf>
    <xf numFmtId="9" fontId="8" fillId="6" borderId="2" xfId="0" applyNumberFormat="1" applyFont="1" applyFill="1" applyBorder="1" applyAlignment="1">
      <alignment horizontal="center" vertical="top" wrapText="1"/>
    </xf>
    <xf numFmtId="164" fontId="8" fillId="6" borderId="2" xfId="2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 vertical="top" wrapText="1"/>
    </xf>
    <xf numFmtId="166" fontId="8" fillId="6" borderId="2" xfId="1" quotePrefix="1" applyNumberFormat="1" applyFont="1" applyFill="1" applyBorder="1" applyAlignment="1">
      <alignment vertical="top"/>
    </xf>
    <xf numFmtId="0" fontId="6" fillId="6" borderId="2" xfId="0" applyFont="1" applyFill="1" applyBorder="1" applyAlignment="1">
      <alignment horizontal="center" vertical="top" wrapText="1"/>
    </xf>
    <xf numFmtId="9" fontId="6" fillId="6" borderId="2" xfId="0" applyNumberFormat="1" applyFont="1" applyFill="1" applyBorder="1" applyAlignment="1">
      <alignment horizontal="center" vertical="top"/>
    </xf>
    <xf numFmtId="166" fontId="6" fillId="6" borderId="2" xfId="1" quotePrefix="1" applyNumberFormat="1" applyFont="1" applyFill="1" applyBorder="1" applyAlignment="1">
      <alignment vertical="top"/>
    </xf>
    <xf numFmtId="2" fontId="6" fillId="6" borderId="2" xfId="0" applyNumberFormat="1" applyFont="1" applyFill="1" applyBorder="1" applyAlignment="1">
      <alignment horizontal="center" vertical="top" wrapText="1"/>
    </xf>
    <xf numFmtId="0" fontId="8" fillId="6" borderId="2" xfId="0" applyNumberFormat="1" applyFont="1" applyFill="1" applyBorder="1" applyAlignment="1">
      <alignment horizontal="center" vertical="top" wrapText="1"/>
    </xf>
    <xf numFmtId="0" fontId="8" fillId="0" borderId="2" xfId="0" quotePrefix="1" applyFont="1" applyFill="1" applyBorder="1" applyAlignment="1">
      <alignment horizontal="center" vertical="top" wrapText="1"/>
    </xf>
    <xf numFmtId="0" fontId="17" fillId="7" borderId="0" xfId="0" applyFont="1" applyFill="1"/>
    <xf numFmtId="166" fontId="6" fillId="7" borderId="0" xfId="1" quotePrefix="1" applyNumberFormat="1" applyFont="1" applyFill="1" applyBorder="1" applyAlignment="1">
      <alignment vertical="top"/>
    </xf>
    <xf numFmtId="0" fontId="4" fillId="7" borderId="0" xfId="0" applyFont="1" applyFill="1"/>
    <xf numFmtId="166" fontId="8" fillId="7" borderId="0" xfId="1" quotePrefix="1" applyNumberFormat="1" applyFont="1" applyFill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0" fontId="18" fillId="0" borderId="18" xfId="0" applyFont="1" applyBorder="1" applyAlignment="1">
      <alignment vertical="center" wrapText="1"/>
    </xf>
    <xf numFmtId="0" fontId="0" fillId="0" borderId="19" xfId="0" applyBorder="1"/>
    <xf numFmtId="0" fontId="19" fillId="0" borderId="21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0" fillId="0" borderId="19" xfId="0" applyBorder="1" applyAlignment="1">
      <alignment vertical="top" wrapText="1"/>
    </xf>
    <xf numFmtId="0" fontId="18" fillId="0" borderId="22" xfId="0" applyFont="1" applyBorder="1" applyAlignment="1">
      <alignment vertical="center" wrapText="1"/>
    </xf>
    <xf numFmtId="0" fontId="0" fillId="0" borderId="22" xfId="0" applyBorder="1" applyAlignment="1">
      <alignment vertical="top" wrapText="1"/>
    </xf>
    <xf numFmtId="0" fontId="18" fillId="0" borderId="19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8" xfId="0" applyBorder="1"/>
    <xf numFmtId="0" fontId="0" fillId="0" borderId="23" xfId="0" applyBorder="1"/>
    <xf numFmtId="0" fontId="0" fillId="0" borderId="26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0" xfId="0" applyBorder="1" applyAlignment="1">
      <alignment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7" xfId="0" applyBorder="1"/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top"/>
    </xf>
    <xf numFmtId="0" fontId="17" fillId="0" borderId="11" xfId="0" applyFont="1" applyFill="1" applyBorder="1"/>
    <xf numFmtId="0" fontId="8" fillId="0" borderId="2" xfId="0" applyFont="1" applyFill="1" applyBorder="1" applyAlignment="1">
      <alignment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vertical="top" wrapText="1"/>
    </xf>
    <xf numFmtId="0" fontId="20" fillId="0" borderId="2" xfId="3" applyFont="1" applyBorder="1" applyAlignment="1">
      <alignment vertical="top" wrapText="1"/>
    </xf>
    <xf numFmtId="0" fontId="20" fillId="0" borderId="15" xfId="3" applyFont="1" applyBorder="1" applyAlignment="1">
      <alignment vertical="top" wrapText="1"/>
    </xf>
    <xf numFmtId="0" fontId="21" fillId="0" borderId="15" xfId="0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left" vertical="top" wrapText="1"/>
    </xf>
    <xf numFmtId="167" fontId="6" fillId="0" borderId="2" xfId="0" applyNumberFormat="1" applyFont="1" applyFill="1" applyBorder="1" applyAlignment="1">
      <alignment horizontal="center" vertical="top"/>
    </xf>
    <xf numFmtId="0" fontId="8" fillId="0" borderId="2" xfId="2" applyNumberFormat="1" applyFont="1" applyFill="1" applyBorder="1" applyAlignment="1">
      <alignment horizontal="center" vertical="top"/>
    </xf>
    <xf numFmtId="0" fontId="8" fillId="6" borderId="2" xfId="0" applyNumberFormat="1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1" fontId="6" fillId="6" borderId="2" xfId="0" applyNumberFormat="1" applyFont="1" applyFill="1" applyBorder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66"/>
  <sheetViews>
    <sheetView tabSelected="1" showRuler="0" view="pageBreakPreview" topLeftCell="B1" zoomScale="70" zoomScaleNormal="40" zoomScaleSheetLayoutView="70" zoomScalePageLayoutView="55" workbookViewId="0">
      <selection activeCell="W37" sqref="W37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9.42578125" style="2" bestFit="1" customWidth="1"/>
    <col min="8" max="8" width="8.57031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79" customWidth="1"/>
    <col min="28" max="28" width="10.85546875" style="2" customWidth="1"/>
    <col min="29" max="29" width="5.5703125" style="4" customWidth="1"/>
    <col min="30" max="30" width="18.7109375" style="2" customWidth="1"/>
    <col min="31" max="31" width="8.85546875" style="2" customWidth="1"/>
    <col min="32" max="32" width="5.5703125" style="4" customWidth="1"/>
    <col min="33" max="33" width="8.42578125" style="2" customWidth="1"/>
    <col min="34" max="34" width="5.5703125" style="79" customWidth="1"/>
    <col min="35" max="35" width="18" style="2" customWidth="1"/>
    <col min="36" max="36" width="8" style="2" customWidth="1"/>
    <col min="37" max="37" width="5.5703125" style="4" customWidth="1"/>
    <col min="38" max="38" width="10.28515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"/>
    </row>
    <row r="2" spans="1:45" ht="23.25" x14ac:dyDescent="0.3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3"/>
    </row>
    <row r="3" spans="1:45" ht="23.25" x14ac:dyDescent="0.35">
      <c r="A3" s="159" t="s">
        <v>46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3"/>
    </row>
    <row r="4" spans="1:45" ht="23.25" x14ac:dyDescent="0.35">
      <c r="A4" s="160" t="s">
        <v>186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"/>
    </row>
    <row r="5" spans="1:45" ht="18" x14ac:dyDescent="0.2">
      <c r="A5" s="161" t="s">
        <v>2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</row>
    <row r="6" spans="1:45" ht="18" x14ac:dyDescent="0.25">
      <c r="A6" s="155" t="s">
        <v>46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</row>
    <row r="7" spans="1:45" ht="81" customHeight="1" x14ac:dyDescent="0.2">
      <c r="A7" s="162" t="s">
        <v>3</v>
      </c>
      <c r="B7" s="162" t="s">
        <v>4</v>
      </c>
      <c r="C7" s="163" t="s">
        <v>5</v>
      </c>
      <c r="D7" s="163" t="s">
        <v>6</v>
      </c>
      <c r="E7" s="146" t="s">
        <v>7</v>
      </c>
      <c r="F7" s="147"/>
      <c r="G7" s="148"/>
      <c r="H7" s="146" t="s">
        <v>60</v>
      </c>
      <c r="I7" s="147"/>
      <c r="J7" s="148"/>
      <c r="K7" s="146" t="s">
        <v>61</v>
      </c>
      <c r="L7" s="147"/>
      <c r="M7" s="147"/>
      <c r="N7" s="146" t="s">
        <v>8</v>
      </c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8"/>
      <c r="Z7" s="146" t="s">
        <v>48</v>
      </c>
      <c r="AA7" s="147"/>
      <c r="AB7" s="147"/>
      <c r="AC7" s="147"/>
      <c r="AD7" s="147"/>
      <c r="AE7" s="147"/>
      <c r="AF7" s="148"/>
      <c r="AG7" s="146" t="s">
        <v>62</v>
      </c>
      <c r="AH7" s="147"/>
      <c r="AI7" s="148"/>
      <c r="AJ7" s="146" t="s">
        <v>63</v>
      </c>
      <c r="AK7" s="147"/>
      <c r="AL7" s="147"/>
      <c r="AM7" s="164" t="s">
        <v>9</v>
      </c>
      <c r="AO7" s="4"/>
      <c r="AP7" s="4"/>
      <c r="AQ7" s="4"/>
      <c r="AR7" s="4"/>
      <c r="AS7" s="4"/>
    </row>
    <row r="8" spans="1:45" ht="18" customHeight="1" x14ac:dyDescent="0.2">
      <c r="A8" s="162"/>
      <c r="B8" s="162"/>
      <c r="C8" s="163"/>
      <c r="D8" s="163"/>
      <c r="E8" s="149"/>
      <c r="F8" s="150"/>
      <c r="G8" s="151"/>
      <c r="H8" s="149"/>
      <c r="I8" s="150"/>
      <c r="J8" s="151"/>
      <c r="K8" s="152"/>
      <c r="L8" s="153"/>
      <c r="M8" s="153"/>
      <c r="N8" s="152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4"/>
      <c r="Z8" s="152"/>
      <c r="AA8" s="153"/>
      <c r="AB8" s="153"/>
      <c r="AC8" s="153"/>
      <c r="AD8" s="153"/>
      <c r="AE8" s="153"/>
      <c r="AF8" s="154"/>
      <c r="AG8" s="152"/>
      <c r="AH8" s="153"/>
      <c r="AI8" s="154"/>
      <c r="AJ8" s="152"/>
      <c r="AK8" s="153"/>
      <c r="AL8" s="153"/>
      <c r="AM8" s="165"/>
    </row>
    <row r="9" spans="1:45" ht="15.75" customHeight="1" x14ac:dyDescent="0.2">
      <c r="A9" s="162"/>
      <c r="B9" s="162"/>
      <c r="C9" s="163"/>
      <c r="D9" s="163"/>
      <c r="E9" s="152"/>
      <c r="F9" s="153"/>
      <c r="G9" s="154"/>
      <c r="H9" s="152"/>
      <c r="I9" s="153"/>
      <c r="J9" s="154"/>
      <c r="K9" s="166">
        <v>2021</v>
      </c>
      <c r="L9" s="167"/>
      <c r="M9" s="168"/>
      <c r="N9" s="156" t="s">
        <v>10</v>
      </c>
      <c r="O9" s="157"/>
      <c r="P9" s="158"/>
      <c r="Q9" s="156" t="s">
        <v>11</v>
      </c>
      <c r="R9" s="157"/>
      <c r="S9" s="158"/>
      <c r="T9" s="156" t="s">
        <v>12</v>
      </c>
      <c r="U9" s="157"/>
      <c r="V9" s="158"/>
      <c r="W9" s="156" t="s">
        <v>13</v>
      </c>
      <c r="X9" s="157"/>
      <c r="Y9" s="158"/>
      <c r="Z9" s="156">
        <v>2021</v>
      </c>
      <c r="AA9" s="157"/>
      <c r="AB9" s="157"/>
      <c r="AC9" s="157"/>
      <c r="AD9" s="157"/>
      <c r="AE9" s="157"/>
      <c r="AF9" s="158"/>
      <c r="AG9" s="156">
        <v>2021</v>
      </c>
      <c r="AH9" s="157"/>
      <c r="AI9" s="158"/>
      <c r="AJ9" s="156">
        <v>2021</v>
      </c>
      <c r="AK9" s="157"/>
      <c r="AL9" s="158"/>
      <c r="AM9" s="5"/>
    </row>
    <row r="10" spans="1:45" s="7" customFormat="1" ht="15.75" x14ac:dyDescent="0.25">
      <c r="A10" s="185">
        <v>1</v>
      </c>
      <c r="B10" s="185">
        <v>2</v>
      </c>
      <c r="C10" s="185">
        <v>3</v>
      </c>
      <c r="D10" s="185">
        <v>4</v>
      </c>
      <c r="E10" s="169">
        <v>5</v>
      </c>
      <c r="F10" s="171"/>
      <c r="G10" s="170"/>
      <c r="H10" s="169">
        <v>6</v>
      </c>
      <c r="I10" s="171"/>
      <c r="J10" s="170"/>
      <c r="K10" s="175">
        <v>7</v>
      </c>
      <c r="L10" s="176"/>
      <c r="M10" s="177"/>
      <c r="N10" s="175">
        <v>8</v>
      </c>
      <c r="O10" s="176"/>
      <c r="P10" s="177"/>
      <c r="Q10" s="175">
        <v>9</v>
      </c>
      <c r="R10" s="176"/>
      <c r="S10" s="177"/>
      <c r="T10" s="175">
        <v>10</v>
      </c>
      <c r="U10" s="176"/>
      <c r="V10" s="177"/>
      <c r="W10" s="175">
        <v>11</v>
      </c>
      <c r="X10" s="176"/>
      <c r="Y10" s="177"/>
      <c r="Z10" s="172">
        <v>12</v>
      </c>
      <c r="AA10" s="173"/>
      <c r="AB10" s="173"/>
      <c r="AC10" s="173"/>
      <c r="AD10" s="173"/>
      <c r="AE10" s="173"/>
      <c r="AF10" s="174"/>
      <c r="AG10" s="172">
        <v>13</v>
      </c>
      <c r="AH10" s="173"/>
      <c r="AI10" s="174"/>
      <c r="AJ10" s="172">
        <v>14</v>
      </c>
      <c r="AK10" s="173"/>
      <c r="AL10" s="174"/>
      <c r="AM10" s="6">
        <v>15</v>
      </c>
    </row>
    <row r="11" spans="1:45" s="7" customFormat="1" ht="87" customHeight="1" x14ac:dyDescent="0.2">
      <c r="A11" s="189"/>
      <c r="B11" s="189"/>
      <c r="C11" s="189"/>
      <c r="D11" s="189"/>
      <c r="E11" s="179" t="s">
        <v>14</v>
      </c>
      <c r="F11" s="180"/>
      <c r="G11" s="183" t="s">
        <v>15</v>
      </c>
      <c r="H11" s="179" t="s">
        <v>14</v>
      </c>
      <c r="I11" s="180"/>
      <c r="J11" s="183" t="s">
        <v>15</v>
      </c>
      <c r="K11" s="179" t="s">
        <v>14</v>
      </c>
      <c r="L11" s="180"/>
      <c r="M11" s="185" t="s">
        <v>15</v>
      </c>
      <c r="N11" s="179" t="s">
        <v>14</v>
      </c>
      <c r="O11" s="180"/>
      <c r="P11" s="185" t="s">
        <v>15</v>
      </c>
      <c r="Q11" s="179" t="s">
        <v>14</v>
      </c>
      <c r="R11" s="180"/>
      <c r="S11" s="185" t="s">
        <v>15</v>
      </c>
      <c r="T11" s="179" t="s">
        <v>14</v>
      </c>
      <c r="U11" s="180"/>
      <c r="V11" s="185" t="s">
        <v>15</v>
      </c>
      <c r="W11" s="179" t="s">
        <v>14</v>
      </c>
      <c r="X11" s="180"/>
      <c r="Y11" s="185" t="s">
        <v>15</v>
      </c>
      <c r="Z11" s="169" t="s">
        <v>16</v>
      </c>
      <c r="AA11" s="170"/>
      <c r="AB11" s="169" t="s">
        <v>49</v>
      </c>
      <c r="AC11" s="170"/>
      <c r="AD11" s="8" t="s">
        <v>17</v>
      </c>
      <c r="AE11" s="169" t="s">
        <v>50</v>
      </c>
      <c r="AF11" s="170"/>
      <c r="AG11" s="169" t="s">
        <v>18</v>
      </c>
      <c r="AH11" s="170"/>
      <c r="AI11" s="8" t="s">
        <v>19</v>
      </c>
      <c r="AJ11" s="169" t="s">
        <v>20</v>
      </c>
      <c r="AK11" s="170"/>
      <c r="AL11" s="8" t="s">
        <v>21</v>
      </c>
      <c r="AM11" s="9"/>
    </row>
    <row r="12" spans="1:45" s="7" customFormat="1" ht="15.75" x14ac:dyDescent="0.2">
      <c r="A12" s="183"/>
      <c r="B12" s="183"/>
      <c r="C12" s="183"/>
      <c r="D12" s="183"/>
      <c r="E12" s="181"/>
      <c r="F12" s="182"/>
      <c r="G12" s="184"/>
      <c r="H12" s="181"/>
      <c r="I12" s="182"/>
      <c r="J12" s="184"/>
      <c r="K12" s="181"/>
      <c r="L12" s="182"/>
      <c r="M12" s="183"/>
      <c r="N12" s="181"/>
      <c r="O12" s="182"/>
      <c r="P12" s="183"/>
      <c r="Q12" s="181"/>
      <c r="R12" s="182"/>
      <c r="S12" s="183"/>
      <c r="T12" s="181"/>
      <c r="U12" s="182"/>
      <c r="V12" s="183"/>
      <c r="W12" s="181"/>
      <c r="X12" s="182"/>
      <c r="Y12" s="183"/>
      <c r="Z12" s="181" t="s">
        <v>14</v>
      </c>
      <c r="AA12" s="182"/>
      <c r="AB12" s="181" t="s">
        <v>14</v>
      </c>
      <c r="AC12" s="182"/>
      <c r="AD12" s="10" t="s">
        <v>15</v>
      </c>
      <c r="AE12" s="181" t="s">
        <v>15</v>
      </c>
      <c r="AF12" s="182"/>
      <c r="AG12" s="181" t="s">
        <v>14</v>
      </c>
      <c r="AH12" s="182"/>
      <c r="AI12" s="10" t="s">
        <v>15</v>
      </c>
      <c r="AJ12" s="181" t="s">
        <v>14</v>
      </c>
      <c r="AK12" s="182"/>
      <c r="AL12" s="10" t="s">
        <v>15</v>
      </c>
      <c r="AM12" s="67"/>
    </row>
    <row r="13" spans="1:45" ht="123.75" customHeight="1" x14ac:dyDescent="0.2">
      <c r="A13" s="44">
        <v>1</v>
      </c>
      <c r="B13" s="15" t="s">
        <v>136</v>
      </c>
      <c r="C13" s="15" t="s">
        <v>64</v>
      </c>
      <c r="D13" s="15" t="s">
        <v>176</v>
      </c>
      <c r="E13" s="41">
        <v>100</v>
      </c>
      <c r="F13" s="42" t="s">
        <v>45</v>
      </c>
      <c r="G13" s="60">
        <f>G14+G17+G22+G29+G33</f>
        <v>15906852200</v>
      </c>
      <c r="H13" s="41">
        <v>100</v>
      </c>
      <c r="I13" s="42" t="s">
        <v>45</v>
      </c>
      <c r="J13" s="60"/>
      <c r="K13" s="41">
        <v>100</v>
      </c>
      <c r="L13" s="42" t="s">
        <v>45</v>
      </c>
      <c r="M13" s="60">
        <f>M14+M17+M22+M29+M33</f>
        <v>4258234136</v>
      </c>
      <c r="N13" s="41">
        <v>25</v>
      </c>
      <c r="O13" s="42" t="str">
        <f>L13</f>
        <v>%</v>
      </c>
      <c r="P13" s="60">
        <f>P14+P17+P22+P29+P33</f>
        <v>849172404</v>
      </c>
      <c r="Q13" s="41">
        <v>25</v>
      </c>
      <c r="R13" s="42" t="str">
        <f>L13</f>
        <v>%</v>
      </c>
      <c r="S13" s="60">
        <f>S14+S17+S22+S29+S33</f>
        <v>1046002018</v>
      </c>
      <c r="T13" s="41">
        <v>25</v>
      </c>
      <c r="U13" s="42" t="str">
        <f>L13</f>
        <v>%</v>
      </c>
      <c r="V13" s="60">
        <f>V14+V17+V22+V29+V33</f>
        <v>925380382</v>
      </c>
      <c r="W13" s="41">
        <v>25</v>
      </c>
      <c r="X13" s="42" t="str">
        <f>O13</f>
        <v>%</v>
      </c>
      <c r="Y13" s="60">
        <f>Y14+Y17+Y22+Y29+Y33</f>
        <v>921017058</v>
      </c>
      <c r="Z13" s="51">
        <f>SUM(N13,Q13,T13,W13)</f>
        <v>100</v>
      </c>
      <c r="AA13" s="74" t="str">
        <f>L13</f>
        <v>%</v>
      </c>
      <c r="AB13" s="51">
        <f>Z13/K13*100</f>
        <v>100</v>
      </c>
      <c r="AC13" s="49" t="s">
        <v>45</v>
      </c>
      <c r="AD13" s="62">
        <f>SUM(P13,S13,V13,Y13)</f>
        <v>3741571862</v>
      </c>
      <c r="AE13" s="63">
        <f>AD13/M13*100</f>
        <v>87.866748104994286</v>
      </c>
      <c r="AF13" s="44" t="s">
        <v>45</v>
      </c>
      <c r="AG13" s="51">
        <f>SUM(H13,Z13)</f>
        <v>200</v>
      </c>
      <c r="AH13" s="80" t="str">
        <f>O13</f>
        <v>%</v>
      </c>
      <c r="AI13" s="62">
        <f>SUM(J13,AD13)</f>
        <v>3741571862</v>
      </c>
      <c r="AJ13" s="52"/>
      <c r="AK13" s="49" t="s">
        <v>45</v>
      </c>
      <c r="AL13" s="63"/>
      <c r="AM13" s="20" t="s">
        <v>47</v>
      </c>
      <c r="AP13" s="21">
        <f t="shared" ref="AP13:AP22" si="0">P13+S13+V13+Y13</f>
        <v>3741571862</v>
      </c>
    </row>
    <row r="14" spans="1:45" s="94" customFormat="1" ht="128.25" customHeight="1" x14ac:dyDescent="0.25">
      <c r="A14" s="44"/>
      <c r="B14" s="45"/>
      <c r="C14" s="14" t="s">
        <v>105</v>
      </c>
      <c r="D14" s="15" t="s">
        <v>106</v>
      </c>
      <c r="E14" s="41">
        <v>15</v>
      </c>
      <c r="F14" s="42" t="s">
        <v>43</v>
      </c>
      <c r="G14" s="38">
        <v>28062500</v>
      </c>
      <c r="H14" s="41">
        <v>15</v>
      </c>
      <c r="I14" s="42" t="s">
        <v>43</v>
      </c>
      <c r="J14" s="38"/>
      <c r="K14" s="41">
        <v>15</v>
      </c>
      <c r="L14" s="42" t="s">
        <v>43</v>
      </c>
      <c r="M14" s="38">
        <f>SUM(M15:M16)</f>
        <v>9500000</v>
      </c>
      <c r="N14" s="41">
        <f>SUM(N15:N16)</f>
        <v>1</v>
      </c>
      <c r="O14" s="42" t="str">
        <f>L14</f>
        <v>Dok</v>
      </c>
      <c r="P14" s="38">
        <f>SUM(P15:P16)</f>
        <v>4612300</v>
      </c>
      <c r="Q14" s="41">
        <f>SUM(Q15:Q16)</f>
        <v>3</v>
      </c>
      <c r="R14" s="42" t="str">
        <f t="shared" ref="R14:R49" si="1">L14</f>
        <v>Dok</v>
      </c>
      <c r="S14" s="38">
        <f>SUM(S15:S16)</f>
        <v>1775000</v>
      </c>
      <c r="T14" s="41">
        <f>SUM(T15:T16)</f>
        <v>3</v>
      </c>
      <c r="U14" s="42" t="str">
        <f t="shared" ref="U14:U49" si="2">L14</f>
        <v>Dok</v>
      </c>
      <c r="V14" s="38">
        <f>SUM(V15:V16)</f>
        <v>0</v>
      </c>
      <c r="W14" s="41">
        <f>SUM(W15:W16)</f>
        <v>8</v>
      </c>
      <c r="X14" s="42" t="str">
        <f t="shared" ref="X14:X49" si="3">O14</f>
        <v>Dok</v>
      </c>
      <c r="Y14" s="38">
        <f>SUM(Y15:Y16)</f>
        <v>2499700</v>
      </c>
      <c r="Z14" s="51">
        <f t="shared" ref="Z14" si="4">SUM(N14,Q14,T14,W14)</f>
        <v>15</v>
      </c>
      <c r="AA14" s="42" t="str">
        <f t="shared" ref="AA14" si="5">L14</f>
        <v>Dok</v>
      </c>
      <c r="AB14" s="52">
        <f t="shared" ref="AB14" si="6">Z14/K14*100</f>
        <v>100</v>
      </c>
      <c r="AC14" s="42" t="s">
        <v>45</v>
      </c>
      <c r="AD14" s="62">
        <f t="shared" ref="AD14" si="7">SUM(P14,S14,V14,Y14)</f>
        <v>8887000</v>
      </c>
      <c r="AE14" s="63">
        <f t="shared" ref="AE14" si="8">AD14/M14*100</f>
        <v>93.547368421052639</v>
      </c>
      <c r="AF14" s="42" t="s">
        <v>45</v>
      </c>
      <c r="AG14" s="51">
        <f t="shared" ref="AG14" si="9">SUM(H14,Z14)</f>
        <v>30</v>
      </c>
      <c r="AH14" s="42" t="str">
        <f t="shared" ref="AH14" si="10">O14</f>
        <v>Dok</v>
      </c>
      <c r="AI14" s="48">
        <f t="shared" ref="AI14" si="11">SUM(J14,AD14)</f>
        <v>8887000</v>
      </c>
      <c r="AJ14" s="52"/>
      <c r="AK14" s="42" t="s">
        <v>45</v>
      </c>
      <c r="AL14" s="52"/>
      <c r="AM14" s="133"/>
      <c r="AP14" s="95"/>
    </row>
    <row r="15" spans="1:45" s="96" customFormat="1" ht="90" x14ac:dyDescent="0.2">
      <c r="A15" s="12"/>
      <c r="B15" s="13"/>
      <c r="C15" s="22" t="s">
        <v>65</v>
      </c>
      <c r="D15" s="134" t="s">
        <v>108</v>
      </c>
      <c r="E15" s="16">
        <v>15</v>
      </c>
      <c r="F15" s="17" t="s">
        <v>43</v>
      </c>
      <c r="G15" s="19">
        <v>23462500</v>
      </c>
      <c r="H15" s="16">
        <v>5</v>
      </c>
      <c r="I15" s="17" t="s">
        <v>43</v>
      </c>
      <c r="J15" s="19"/>
      <c r="K15" s="16">
        <v>5</v>
      </c>
      <c r="L15" s="17" t="s">
        <v>43</v>
      </c>
      <c r="M15" s="19">
        <v>8000000</v>
      </c>
      <c r="N15" s="16">
        <v>0</v>
      </c>
      <c r="O15" s="17" t="str">
        <f t="shared" ref="O15:O49" si="12">L15</f>
        <v>Dok</v>
      </c>
      <c r="P15" s="19">
        <v>4612300</v>
      </c>
      <c r="Q15" s="16">
        <v>1</v>
      </c>
      <c r="R15" s="17" t="str">
        <f t="shared" si="1"/>
        <v>Dok</v>
      </c>
      <c r="S15" s="19">
        <v>1025000</v>
      </c>
      <c r="T15" s="16">
        <v>1</v>
      </c>
      <c r="U15" s="17" t="str">
        <f t="shared" si="2"/>
        <v>Dok</v>
      </c>
      <c r="V15" s="19">
        <v>0</v>
      </c>
      <c r="W15" s="16">
        <v>3</v>
      </c>
      <c r="X15" s="17" t="str">
        <f t="shared" si="3"/>
        <v>Dok</v>
      </c>
      <c r="Y15" s="19">
        <v>1758200</v>
      </c>
      <c r="Z15" s="50">
        <f t="shared" ref="Z15:Z49" si="13">SUM(N15,Q15,T15,W15)</f>
        <v>5</v>
      </c>
      <c r="AA15" s="64" t="str">
        <f t="shared" ref="AA15:AA49" si="14">L15</f>
        <v>Dok</v>
      </c>
      <c r="AB15" s="50">
        <f t="shared" ref="AB15:AB49" si="15">Z15/K15*100</f>
        <v>100</v>
      </c>
      <c r="AC15" s="31" t="s">
        <v>45</v>
      </c>
      <c r="AD15" s="37">
        <f t="shared" ref="AD15:AD49" si="16">SUM(P15,S15,V15,Y15)</f>
        <v>7395500</v>
      </c>
      <c r="AE15" s="53">
        <f t="shared" ref="AE15:AE49" si="17">AD15/M15*100</f>
        <v>92.443750000000009</v>
      </c>
      <c r="AF15" s="31" t="s">
        <v>45</v>
      </c>
      <c r="AG15" s="50">
        <f t="shared" ref="AG15:AG49" si="18">SUM(H15,Z15)</f>
        <v>10</v>
      </c>
      <c r="AH15" s="64" t="str">
        <f t="shared" ref="AH15:AH49" si="19">O15</f>
        <v>Dok</v>
      </c>
      <c r="AI15" s="37">
        <f t="shared" ref="AI15:AI49" si="20">SUM(J15,AD15)</f>
        <v>7395500</v>
      </c>
      <c r="AJ15" s="53"/>
      <c r="AK15" s="31" t="s">
        <v>45</v>
      </c>
      <c r="AL15" s="53"/>
      <c r="AM15" s="11"/>
      <c r="AP15" s="97"/>
    </row>
    <row r="16" spans="1:45" s="96" customFormat="1" ht="90" x14ac:dyDescent="0.2">
      <c r="A16" s="12"/>
      <c r="B16" s="13"/>
      <c r="C16" s="22" t="s">
        <v>66</v>
      </c>
      <c r="D16" s="134" t="s">
        <v>109</v>
      </c>
      <c r="E16" s="16">
        <v>30</v>
      </c>
      <c r="F16" s="17" t="s">
        <v>43</v>
      </c>
      <c r="G16" s="24">
        <v>4600000</v>
      </c>
      <c r="H16" s="16">
        <v>10</v>
      </c>
      <c r="I16" s="17" t="s">
        <v>43</v>
      </c>
      <c r="J16" s="98"/>
      <c r="K16" s="16">
        <v>10</v>
      </c>
      <c r="L16" s="17" t="s">
        <v>43</v>
      </c>
      <c r="M16" s="24">
        <v>1500000</v>
      </c>
      <c r="N16" s="16">
        <v>1</v>
      </c>
      <c r="O16" s="17" t="str">
        <f t="shared" si="12"/>
        <v>Dok</v>
      </c>
      <c r="P16" s="24">
        <v>0</v>
      </c>
      <c r="Q16" s="16">
        <v>2</v>
      </c>
      <c r="R16" s="17" t="str">
        <f t="shared" si="1"/>
        <v>Dok</v>
      </c>
      <c r="S16" s="24">
        <v>750000</v>
      </c>
      <c r="T16" s="16">
        <v>2</v>
      </c>
      <c r="U16" s="17" t="str">
        <f t="shared" si="2"/>
        <v>Dok</v>
      </c>
      <c r="V16" s="24">
        <v>0</v>
      </c>
      <c r="W16" s="16">
        <v>5</v>
      </c>
      <c r="X16" s="17" t="str">
        <f t="shared" si="3"/>
        <v>Dok</v>
      </c>
      <c r="Y16" s="24">
        <v>741500</v>
      </c>
      <c r="Z16" s="50">
        <f t="shared" si="13"/>
        <v>10</v>
      </c>
      <c r="AA16" s="64" t="str">
        <f t="shared" si="14"/>
        <v>Dok</v>
      </c>
      <c r="AB16" s="50">
        <f t="shared" si="15"/>
        <v>100</v>
      </c>
      <c r="AC16" s="31" t="s">
        <v>45</v>
      </c>
      <c r="AD16" s="37">
        <f t="shared" si="16"/>
        <v>1491500</v>
      </c>
      <c r="AE16" s="53">
        <f t="shared" si="17"/>
        <v>99.433333333333323</v>
      </c>
      <c r="AF16" s="31" t="s">
        <v>45</v>
      </c>
      <c r="AG16" s="50">
        <f t="shared" si="18"/>
        <v>20</v>
      </c>
      <c r="AH16" s="64" t="str">
        <f t="shared" si="19"/>
        <v>Dok</v>
      </c>
      <c r="AI16" s="37">
        <f t="shared" si="20"/>
        <v>1491500</v>
      </c>
      <c r="AJ16" s="53"/>
      <c r="AK16" s="31" t="s">
        <v>45</v>
      </c>
      <c r="AL16" s="53"/>
      <c r="AM16" s="11"/>
      <c r="AP16" s="97"/>
    </row>
    <row r="17" spans="1:42" ht="94.5" x14ac:dyDescent="0.2">
      <c r="A17" s="12"/>
      <c r="B17" s="13"/>
      <c r="C17" s="14" t="s">
        <v>67</v>
      </c>
      <c r="D17" s="15" t="s">
        <v>97</v>
      </c>
      <c r="E17" s="69">
        <v>14</v>
      </c>
      <c r="F17" s="70" t="s">
        <v>43</v>
      </c>
      <c r="G17" s="98">
        <v>10314643500</v>
      </c>
      <c r="H17" s="69">
        <f>SUM(H19:H21)</f>
        <v>14</v>
      </c>
      <c r="I17" s="70" t="s">
        <v>43</v>
      </c>
      <c r="J17" s="24"/>
      <c r="K17" s="69">
        <f>SUM(K19:K21)</f>
        <v>14</v>
      </c>
      <c r="L17" s="70" t="s">
        <v>43</v>
      </c>
      <c r="M17" s="38">
        <f>SUM(M18:M21)</f>
        <v>2524440500</v>
      </c>
      <c r="N17" s="69">
        <f>SUM(N19:N21)</f>
        <v>3</v>
      </c>
      <c r="O17" s="70" t="str">
        <f t="shared" si="12"/>
        <v>Dok</v>
      </c>
      <c r="P17" s="38">
        <f>SUM(P18:P21)</f>
        <v>497942890</v>
      </c>
      <c r="Q17" s="69">
        <f>SUM(Q19:Q21)</f>
        <v>4</v>
      </c>
      <c r="R17" s="70" t="str">
        <f t="shared" si="1"/>
        <v>Dok</v>
      </c>
      <c r="S17" s="38">
        <f>SUM(S18:S21)</f>
        <v>660616716</v>
      </c>
      <c r="T17" s="69">
        <f>SUM(T19:T21)</f>
        <v>3</v>
      </c>
      <c r="U17" s="70" t="str">
        <f t="shared" si="2"/>
        <v>Dok</v>
      </c>
      <c r="V17" s="38">
        <f>SUM(V18:V21)</f>
        <v>567254196</v>
      </c>
      <c r="W17" s="69">
        <f>SUM(W19:W21)</f>
        <v>4</v>
      </c>
      <c r="X17" s="70" t="str">
        <f t="shared" si="3"/>
        <v>Dok</v>
      </c>
      <c r="Y17" s="38">
        <f>SUM(Y18:Y21)</f>
        <v>448895544</v>
      </c>
      <c r="Z17" s="51">
        <f t="shared" si="13"/>
        <v>14</v>
      </c>
      <c r="AA17" s="81" t="str">
        <f t="shared" si="14"/>
        <v>Dok</v>
      </c>
      <c r="AB17" s="52">
        <f t="shared" si="15"/>
        <v>100</v>
      </c>
      <c r="AC17" s="49" t="s">
        <v>45</v>
      </c>
      <c r="AD17" s="48">
        <f t="shared" si="16"/>
        <v>2174709346</v>
      </c>
      <c r="AE17" s="52">
        <f t="shared" si="17"/>
        <v>86.146191443212857</v>
      </c>
      <c r="AF17" s="49" t="s">
        <v>45</v>
      </c>
      <c r="AG17" s="51">
        <f t="shared" si="18"/>
        <v>28</v>
      </c>
      <c r="AH17" s="81" t="str">
        <f t="shared" si="19"/>
        <v>Dok</v>
      </c>
      <c r="AI17" s="48">
        <f t="shared" si="20"/>
        <v>2174709346</v>
      </c>
      <c r="AJ17" s="52"/>
      <c r="AK17" s="49" t="s">
        <v>45</v>
      </c>
      <c r="AL17" s="52"/>
      <c r="AM17" s="26"/>
      <c r="AP17" s="21">
        <f t="shared" si="0"/>
        <v>2174709346</v>
      </c>
    </row>
    <row r="18" spans="1:42" ht="75" x14ac:dyDescent="0.2">
      <c r="A18" s="12"/>
      <c r="B18" s="13"/>
      <c r="C18" s="22" t="s">
        <v>68</v>
      </c>
      <c r="D18" s="136" t="s">
        <v>110</v>
      </c>
      <c r="E18" s="39">
        <v>36</v>
      </c>
      <c r="F18" s="23" t="s">
        <v>44</v>
      </c>
      <c r="G18" s="19">
        <v>10298256000</v>
      </c>
      <c r="H18" s="39">
        <v>12</v>
      </c>
      <c r="I18" s="23" t="s">
        <v>44</v>
      </c>
      <c r="J18" s="19"/>
      <c r="K18" s="39">
        <v>12</v>
      </c>
      <c r="L18" s="23" t="s">
        <v>44</v>
      </c>
      <c r="M18" s="19">
        <v>2519440500</v>
      </c>
      <c r="N18" s="39">
        <v>3</v>
      </c>
      <c r="O18" s="23" t="str">
        <f t="shared" si="12"/>
        <v>Bln</v>
      </c>
      <c r="P18" s="19">
        <v>496161490</v>
      </c>
      <c r="Q18" s="39">
        <v>3</v>
      </c>
      <c r="R18" s="23" t="str">
        <f t="shared" si="1"/>
        <v>Bln</v>
      </c>
      <c r="S18" s="19">
        <v>660335616</v>
      </c>
      <c r="T18" s="39">
        <v>3</v>
      </c>
      <c r="U18" s="23" t="str">
        <f t="shared" si="2"/>
        <v>Bln</v>
      </c>
      <c r="V18" s="19">
        <v>567254196</v>
      </c>
      <c r="W18" s="39">
        <v>3</v>
      </c>
      <c r="X18" s="23" t="str">
        <f t="shared" si="3"/>
        <v>Bln</v>
      </c>
      <c r="Y18" s="19">
        <v>446488044</v>
      </c>
      <c r="Z18" s="50">
        <f t="shared" si="13"/>
        <v>12</v>
      </c>
      <c r="AA18" s="75" t="str">
        <f t="shared" si="14"/>
        <v>Bln</v>
      </c>
      <c r="AB18" s="50">
        <f t="shared" si="15"/>
        <v>100</v>
      </c>
      <c r="AC18" s="31" t="s">
        <v>45</v>
      </c>
      <c r="AD18" s="37">
        <f t="shared" si="16"/>
        <v>2170239346</v>
      </c>
      <c r="AE18" s="53">
        <f t="shared" si="17"/>
        <v>86.139734040156938</v>
      </c>
      <c r="AF18" s="31" t="s">
        <v>45</v>
      </c>
      <c r="AG18" s="50">
        <f t="shared" si="18"/>
        <v>24</v>
      </c>
      <c r="AH18" s="75" t="str">
        <f t="shared" si="19"/>
        <v>Bln</v>
      </c>
      <c r="AI18" s="37">
        <f t="shared" si="20"/>
        <v>2170239346</v>
      </c>
      <c r="AJ18" s="53"/>
      <c r="AK18" s="31" t="s">
        <v>45</v>
      </c>
      <c r="AL18" s="53"/>
      <c r="AM18" s="11"/>
      <c r="AP18" s="21">
        <f t="shared" si="0"/>
        <v>2170239346</v>
      </c>
    </row>
    <row r="19" spans="1:42" ht="105" x14ac:dyDescent="0.2">
      <c r="A19" s="12"/>
      <c r="B19" s="13"/>
      <c r="C19" s="22" t="s">
        <v>69</v>
      </c>
      <c r="D19" s="137" t="s">
        <v>111</v>
      </c>
      <c r="E19" s="39">
        <v>3</v>
      </c>
      <c r="F19" s="23" t="s">
        <v>43</v>
      </c>
      <c r="G19" s="19">
        <v>6562500</v>
      </c>
      <c r="H19" s="39">
        <v>1</v>
      </c>
      <c r="I19" s="23" t="s">
        <v>43</v>
      </c>
      <c r="J19" s="19"/>
      <c r="K19" s="39">
        <v>1</v>
      </c>
      <c r="L19" s="23" t="s">
        <v>43</v>
      </c>
      <c r="M19" s="19">
        <v>2000000</v>
      </c>
      <c r="N19" s="39">
        <v>0</v>
      </c>
      <c r="O19" s="23" t="str">
        <f t="shared" si="12"/>
        <v>Dok</v>
      </c>
      <c r="P19" s="19">
        <v>1312500</v>
      </c>
      <c r="Q19" s="39">
        <v>0</v>
      </c>
      <c r="R19" s="23" t="str">
        <f t="shared" si="1"/>
        <v>Dok</v>
      </c>
      <c r="S19" s="19">
        <v>0</v>
      </c>
      <c r="T19" s="39">
        <v>0</v>
      </c>
      <c r="U19" s="23" t="str">
        <f t="shared" si="2"/>
        <v>Dok</v>
      </c>
      <c r="V19" s="19">
        <v>0</v>
      </c>
      <c r="W19" s="39">
        <v>1</v>
      </c>
      <c r="X19" s="23" t="str">
        <f t="shared" si="3"/>
        <v>Dok</v>
      </c>
      <c r="Y19" s="19">
        <v>500000</v>
      </c>
      <c r="Z19" s="50">
        <f t="shared" si="13"/>
        <v>1</v>
      </c>
      <c r="AA19" s="75" t="str">
        <f t="shared" si="14"/>
        <v>Dok</v>
      </c>
      <c r="AB19" s="50">
        <f t="shared" si="15"/>
        <v>100</v>
      </c>
      <c r="AC19" s="31" t="s">
        <v>45</v>
      </c>
      <c r="AD19" s="37">
        <f t="shared" si="16"/>
        <v>1812500</v>
      </c>
      <c r="AE19" s="53">
        <f t="shared" si="17"/>
        <v>90.625</v>
      </c>
      <c r="AF19" s="31" t="s">
        <v>45</v>
      </c>
      <c r="AG19" s="50">
        <f t="shared" si="18"/>
        <v>2</v>
      </c>
      <c r="AH19" s="75" t="str">
        <f t="shared" si="19"/>
        <v>Dok</v>
      </c>
      <c r="AI19" s="37">
        <f t="shared" si="20"/>
        <v>1812500</v>
      </c>
      <c r="AJ19" s="53"/>
      <c r="AK19" s="31" t="s">
        <v>45</v>
      </c>
      <c r="AL19" s="53"/>
      <c r="AM19" s="11"/>
      <c r="AP19" s="21">
        <f t="shared" si="0"/>
        <v>1812500</v>
      </c>
    </row>
    <row r="20" spans="1:42" ht="120" x14ac:dyDescent="0.2">
      <c r="A20" s="12"/>
      <c r="B20" s="13"/>
      <c r="C20" s="22" t="s">
        <v>71</v>
      </c>
      <c r="D20" s="137" t="s">
        <v>112</v>
      </c>
      <c r="E20" s="39">
        <v>36</v>
      </c>
      <c r="F20" s="23" t="s">
        <v>70</v>
      </c>
      <c r="G20" s="19">
        <v>5025000</v>
      </c>
      <c r="H20" s="39">
        <v>12</v>
      </c>
      <c r="I20" s="23" t="s">
        <v>70</v>
      </c>
      <c r="J20" s="19"/>
      <c r="K20" s="39">
        <v>12</v>
      </c>
      <c r="L20" s="23" t="s">
        <v>70</v>
      </c>
      <c r="M20" s="19">
        <v>1500000</v>
      </c>
      <c r="N20" s="39">
        <v>3</v>
      </c>
      <c r="O20" s="23" t="str">
        <f t="shared" si="12"/>
        <v>Lap</v>
      </c>
      <c r="P20" s="19">
        <v>468900</v>
      </c>
      <c r="Q20" s="39">
        <v>3</v>
      </c>
      <c r="R20" s="23" t="str">
        <f t="shared" si="1"/>
        <v>Lap</v>
      </c>
      <c r="S20" s="19">
        <v>281100</v>
      </c>
      <c r="T20" s="39">
        <v>3</v>
      </c>
      <c r="U20" s="23" t="str">
        <f t="shared" si="2"/>
        <v>Lap</v>
      </c>
      <c r="V20" s="19">
        <v>0</v>
      </c>
      <c r="W20" s="39">
        <v>3</v>
      </c>
      <c r="X20" s="23" t="str">
        <f t="shared" si="3"/>
        <v>Lap</v>
      </c>
      <c r="Y20" s="19">
        <v>457500</v>
      </c>
      <c r="Z20" s="50">
        <f t="shared" si="13"/>
        <v>12</v>
      </c>
      <c r="AA20" s="75" t="str">
        <f t="shared" si="14"/>
        <v>Lap</v>
      </c>
      <c r="AB20" s="50">
        <f t="shared" si="15"/>
        <v>100</v>
      </c>
      <c r="AC20" s="31" t="s">
        <v>45</v>
      </c>
      <c r="AD20" s="37">
        <f t="shared" si="16"/>
        <v>1207500</v>
      </c>
      <c r="AE20" s="53">
        <f t="shared" si="17"/>
        <v>80.5</v>
      </c>
      <c r="AF20" s="31" t="s">
        <v>45</v>
      </c>
      <c r="AG20" s="50">
        <f t="shared" si="18"/>
        <v>24</v>
      </c>
      <c r="AH20" s="75" t="str">
        <f t="shared" si="19"/>
        <v>Lap</v>
      </c>
      <c r="AI20" s="37">
        <f t="shared" si="20"/>
        <v>1207500</v>
      </c>
      <c r="AJ20" s="53"/>
      <c r="AK20" s="31" t="s">
        <v>45</v>
      </c>
      <c r="AL20" s="53"/>
      <c r="AM20" s="11"/>
      <c r="AP20" s="21">
        <f t="shared" si="0"/>
        <v>1207500</v>
      </c>
    </row>
    <row r="21" spans="1:42" ht="103.5" customHeight="1" x14ac:dyDescent="0.2">
      <c r="A21" s="12"/>
      <c r="B21" s="13"/>
      <c r="C21" s="22" t="s">
        <v>72</v>
      </c>
      <c r="D21" s="138" t="s">
        <v>113</v>
      </c>
      <c r="E21" s="39">
        <v>3</v>
      </c>
      <c r="F21" s="23" t="s">
        <v>70</v>
      </c>
      <c r="G21" s="19">
        <v>4800000</v>
      </c>
      <c r="H21" s="39">
        <v>1</v>
      </c>
      <c r="I21" s="23" t="s">
        <v>70</v>
      </c>
      <c r="J21" s="19"/>
      <c r="K21" s="39">
        <v>1</v>
      </c>
      <c r="L21" s="23" t="s">
        <v>70</v>
      </c>
      <c r="M21" s="19">
        <v>1500000</v>
      </c>
      <c r="N21" s="39">
        <v>0</v>
      </c>
      <c r="O21" s="23" t="str">
        <f t="shared" si="12"/>
        <v>Lap</v>
      </c>
      <c r="P21" s="19">
        <v>0</v>
      </c>
      <c r="Q21" s="39">
        <v>1</v>
      </c>
      <c r="R21" s="23" t="str">
        <f t="shared" si="1"/>
        <v>Lap</v>
      </c>
      <c r="S21" s="19">
        <v>0</v>
      </c>
      <c r="T21" s="39">
        <v>0</v>
      </c>
      <c r="U21" s="23" t="str">
        <f t="shared" si="2"/>
        <v>Lap</v>
      </c>
      <c r="V21" s="19">
        <v>0</v>
      </c>
      <c r="W21" s="39">
        <v>0</v>
      </c>
      <c r="X21" s="23" t="str">
        <f t="shared" si="3"/>
        <v>Lap</v>
      </c>
      <c r="Y21" s="19">
        <v>1450000</v>
      </c>
      <c r="Z21" s="50">
        <f t="shared" si="13"/>
        <v>1</v>
      </c>
      <c r="AA21" s="75" t="str">
        <f t="shared" si="14"/>
        <v>Lap</v>
      </c>
      <c r="AB21" s="50">
        <f t="shared" si="15"/>
        <v>100</v>
      </c>
      <c r="AC21" s="31" t="s">
        <v>45</v>
      </c>
      <c r="AD21" s="37">
        <f t="shared" si="16"/>
        <v>1450000</v>
      </c>
      <c r="AE21" s="53">
        <f t="shared" si="17"/>
        <v>96.666666666666671</v>
      </c>
      <c r="AF21" s="31" t="s">
        <v>45</v>
      </c>
      <c r="AG21" s="50">
        <f t="shared" si="18"/>
        <v>2</v>
      </c>
      <c r="AH21" s="75" t="str">
        <f t="shared" si="19"/>
        <v>Lap</v>
      </c>
      <c r="AI21" s="37">
        <f t="shared" si="20"/>
        <v>1450000</v>
      </c>
      <c r="AJ21" s="53"/>
      <c r="AK21" s="31" t="s">
        <v>45</v>
      </c>
      <c r="AL21" s="53"/>
      <c r="AM21" s="11"/>
      <c r="AP21" s="21">
        <f t="shared" si="0"/>
        <v>1450000</v>
      </c>
    </row>
    <row r="22" spans="1:42" ht="94.5" x14ac:dyDescent="0.2">
      <c r="A22" s="12"/>
      <c r="B22" s="13"/>
      <c r="C22" s="13" t="s">
        <v>73</v>
      </c>
      <c r="D22" s="144" t="s">
        <v>124</v>
      </c>
      <c r="E22" s="69">
        <v>100</v>
      </c>
      <c r="F22" s="70" t="s">
        <v>45</v>
      </c>
      <c r="G22" s="98">
        <v>1057787800</v>
      </c>
      <c r="H22" s="69">
        <v>100</v>
      </c>
      <c r="I22" s="70" t="s">
        <v>45</v>
      </c>
      <c r="J22" s="24"/>
      <c r="K22" s="69">
        <v>100</v>
      </c>
      <c r="L22" s="70" t="s">
        <v>45</v>
      </c>
      <c r="M22" s="38">
        <f>SUM(M23:M28)</f>
        <v>270805636</v>
      </c>
      <c r="N22" s="69">
        <v>25</v>
      </c>
      <c r="O22" s="70" t="str">
        <f t="shared" si="12"/>
        <v>%</v>
      </c>
      <c r="P22" s="38">
        <f>SUM(P23:P28)</f>
        <v>26968700</v>
      </c>
      <c r="Q22" s="69">
        <v>25</v>
      </c>
      <c r="R22" s="70" t="str">
        <f t="shared" si="1"/>
        <v>%</v>
      </c>
      <c r="S22" s="38">
        <f>SUM(S23:S28)</f>
        <v>50404808</v>
      </c>
      <c r="T22" s="69">
        <v>25</v>
      </c>
      <c r="U22" s="70" t="str">
        <f t="shared" si="2"/>
        <v>%</v>
      </c>
      <c r="V22" s="38">
        <f>SUM(V23:V28)</f>
        <v>39565949</v>
      </c>
      <c r="W22" s="69">
        <v>25</v>
      </c>
      <c r="X22" s="70" t="str">
        <f t="shared" si="3"/>
        <v>%</v>
      </c>
      <c r="Y22" s="38">
        <f>SUM(Y23:Y28)</f>
        <v>137896868</v>
      </c>
      <c r="Z22" s="51">
        <f t="shared" si="13"/>
        <v>100</v>
      </c>
      <c r="AA22" s="81" t="str">
        <f t="shared" si="14"/>
        <v>%</v>
      </c>
      <c r="AB22" s="51">
        <f t="shared" si="15"/>
        <v>100</v>
      </c>
      <c r="AC22" s="49" t="s">
        <v>45</v>
      </c>
      <c r="AD22" s="48">
        <f t="shared" si="16"/>
        <v>254836325</v>
      </c>
      <c r="AE22" s="52">
        <f t="shared" si="17"/>
        <v>94.10303595010852</v>
      </c>
      <c r="AF22" s="49" t="s">
        <v>45</v>
      </c>
      <c r="AG22" s="51">
        <f t="shared" si="18"/>
        <v>200</v>
      </c>
      <c r="AH22" s="81" t="str">
        <f t="shared" si="19"/>
        <v>%</v>
      </c>
      <c r="AI22" s="48">
        <f t="shared" si="20"/>
        <v>254836325</v>
      </c>
      <c r="AJ22" s="52"/>
      <c r="AK22" s="49" t="s">
        <v>45</v>
      </c>
      <c r="AL22" s="52"/>
      <c r="AM22" s="11"/>
      <c r="AP22" s="21">
        <f t="shared" si="0"/>
        <v>254836325</v>
      </c>
    </row>
    <row r="23" spans="1:42" ht="108" customHeight="1" x14ac:dyDescent="0.2">
      <c r="A23" s="12"/>
      <c r="B23" s="13"/>
      <c r="C23" s="25" t="s">
        <v>74</v>
      </c>
      <c r="D23" s="135" t="s">
        <v>114</v>
      </c>
      <c r="E23" s="39">
        <v>36</v>
      </c>
      <c r="F23" s="23" t="s">
        <v>44</v>
      </c>
      <c r="G23" s="19">
        <v>10794000</v>
      </c>
      <c r="H23" s="39">
        <v>12</v>
      </c>
      <c r="I23" s="23" t="s">
        <v>44</v>
      </c>
      <c r="J23" s="38"/>
      <c r="K23" s="39">
        <v>12</v>
      </c>
      <c r="L23" s="23" t="s">
        <v>44</v>
      </c>
      <c r="M23" s="19">
        <v>3434000</v>
      </c>
      <c r="N23" s="39">
        <v>3</v>
      </c>
      <c r="O23" s="23" t="str">
        <f t="shared" si="12"/>
        <v>Bln</v>
      </c>
      <c r="P23" s="19">
        <v>943000</v>
      </c>
      <c r="Q23" s="39">
        <v>3</v>
      </c>
      <c r="R23" s="23" t="str">
        <f t="shared" si="1"/>
        <v>Bln</v>
      </c>
      <c r="S23" s="19">
        <v>853500</v>
      </c>
      <c r="T23" s="39">
        <v>3</v>
      </c>
      <c r="U23" s="23" t="str">
        <f t="shared" si="2"/>
        <v>Bln</v>
      </c>
      <c r="V23" s="19">
        <v>0</v>
      </c>
      <c r="W23" s="39">
        <v>3</v>
      </c>
      <c r="X23" s="23" t="str">
        <f t="shared" si="3"/>
        <v>Bln</v>
      </c>
      <c r="Y23" s="19">
        <v>1637500</v>
      </c>
      <c r="Z23" s="50">
        <f t="shared" si="13"/>
        <v>12</v>
      </c>
      <c r="AA23" s="64" t="str">
        <f t="shared" si="14"/>
        <v>Bln</v>
      </c>
      <c r="AB23" s="50">
        <f t="shared" si="15"/>
        <v>100</v>
      </c>
      <c r="AC23" s="31" t="s">
        <v>45</v>
      </c>
      <c r="AD23" s="37">
        <f t="shared" si="16"/>
        <v>3434000</v>
      </c>
      <c r="AE23" s="53">
        <f t="shared" si="17"/>
        <v>100</v>
      </c>
      <c r="AF23" s="31" t="s">
        <v>45</v>
      </c>
      <c r="AG23" s="50">
        <f t="shared" si="18"/>
        <v>24</v>
      </c>
      <c r="AH23" s="64" t="str">
        <f t="shared" si="19"/>
        <v>Bln</v>
      </c>
      <c r="AI23" s="37">
        <f t="shared" si="20"/>
        <v>3434000</v>
      </c>
      <c r="AJ23" s="53"/>
      <c r="AK23" s="31" t="s">
        <v>45</v>
      </c>
      <c r="AL23" s="53"/>
      <c r="AM23" s="11"/>
      <c r="AP23" s="21"/>
    </row>
    <row r="24" spans="1:42" ht="98.25" customHeight="1" x14ac:dyDescent="0.2">
      <c r="A24" s="12"/>
      <c r="B24" s="13"/>
      <c r="C24" s="25" t="s">
        <v>75</v>
      </c>
      <c r="D24" s="135" t="s">
        <v>115</v>
      </c>
      <c r="E24" s="39">
        <v>36</v>
      </c>
      <c r="F24" s="23" t="s">
        <v>44</v>
      </c>
      <c r="G24" s="19">
        <v>249080600</v>
      </c>
      <c r="H24" s="39">
        <v>12</v>
      </c>
      <c r="I24" s="23" t="s">
        <v>44</v>
      </c>
      <c r="J24" s="19"/>
      <c r="K24" s="39">
        <v>12</v>
      </c>
      <c r="L24" s="23" t="s">
        <v>44</v>
      </c>
      <c r="M24" s="19">
        <v>73359136</v>
      </c>
      <c r="N24" s="39">
        <v>3</v>
      </c>
      <c r="O24" s="23" t="str">
        <f t="shared" si="12"/>
        <v>Bln</v>
      </c>
      <c r="P24" s="19">
        <v>7449700</v>
      </c>
      <c r="Q24" s="39">
        <v>3</v>
      </c>
      <c r="R24" s="23" t="str">
        <f t="shared" si="1"/>
        <v>Bln</v>
      </c>
      <c r="S24" s="19">
        <v>6959108</v>
      </c>
      <c r="T24" s="39">
        <v>3</v>
      </c>
      <c r="U24" s="23" t="str">
        <f t="shared" si="2"/>
        <v>Bln</v>
      </c>
      <c r="V24" s="19">
        <v>5393149</v>
      </c>
      <c r="W24" s="39">
        <v>3</v>
      </c>
      <c r="X24" s="23" t="str">
        <f t="shared" si="3"/>
        <v>Bln</v>
      </c>
      <c r="Y24" s="19">
        <v>52115768</v>
      </c>
      <c r="Z24" s="50">
        <f t="shared" si="13"/>
        <v>12</v>
      </c>
      <c r="AA24" s="75" t="str">
        <f t="shared" si="14"/>
        <v>Bln</v>
      </c>
      <c r="AB24" s="50">
        <f t="shared" si="15"/>
        <v>100</v>
      </c>
      <c r="AC24" s="31" t="s">
        <v>45</v>
      </c>
      <c r="AD24" s="37">
        <f t="shared" si="16"/>
        <v>71917725</v>
      </c>
      <c r="AE24" s="53">
        <f t="shared" si="17"/>
        <v>98.035130893580856</v>
      </c>
      <c r="AF24" s="31" t="s">
        <v>45</v>
      </c>
      <c r="AG24" s="50">
        <f t="shared" si="18"/>
        <v>24</v>
      </c>
      <c r="AH24" s="75" t="str">
        <f t="shared" si="19"/>
        <v>Bln</v>
      </c>
      <c r="AI24" s="37">
        <f t="shared" si="20"/>
        <v>71917725</v>
      </c>
      <c r="AJ24" s="53"/>
      <c r="AK24" s="31" t="s">
        <v>45</v>
      </c>
      <c r="AL24" s="53"/>
      <c r="AM24" s="11"/>
      <c r="AP24" s="21"/>
    </row>
    <row r="25" spans="1:42" ht="64.5" customHeight="1" x14ac:dyDescent="0.2">
      <c r="A25" s="12"/>
      <c r="B25" s="13"/>
      <c r="C25" s="25" t="s">
        <v>76</v>
      </c>
      <c r="D25" s="135" t="s">
        <v>116</v>
      </c>
      <c r="E25" s="39">
        <v>36</v>
      </c>
      <c r="F25" s="23" t="s">
        <v>44</v>
      </c>
      <c r="G25" s="19">
        <v>139178500</v>
      </c>
      <c r="H25" s="39">
        <v>12</v>
      </c>
      <c r="I25" s="23" t="s">
        <v>44</v>
      </c>
      <c r="J25" s="19"/>
      <c r="K25" s="39">
        <v>12</v>
      </c>
      <c r="L25" s="23" t="s">
        <v>44</v>
      </c>
      <c r="M25" s="19">
        <v>28462500</v>
      </c>
      <c r="N25" s="39">
        <v>3</v>
      </c>
      <c r="O25" s="23" t="str">
        <f t="shared" si="12"/>
        <v>Bln</v>
      </c>
      <c r="P25" s="19">
        <v>2450000</v>
      </c>
      <c r="Q25" s="39">
        <v>3</v>
      </c>
      <c r="R25" s="23" t="str">
        <f t="shared" si="1"/>
        <v>Bln</v>
      </c>
      <c r="S25" s="19">
        <v>2450000</v>
      </c>
      <c r="T25" s="39">
        <v>3</v>
      </c>
      <c r="U25" s="23" t="str">
        <f t="shared" si="2"/>
        <v>Bln</v>
      </c>
      <c r="V25" s="19">
        <v>2150000</v>
      </c>
      <c r="W25" s="39">
        <v>3</v>
      </c>
      <c r="X25" s="23" t="str">
        <f t="shared" si="3"/>
        <v>Bln</v>
      </c>
      <c r="Y25" s="19">
        <v>12823000</v>
      </c>
      <c r="Z25" s="50">
        <f t="shared" si="13"/>
        <v>12</v>
      </c>
      <c r="AA25" s="75" t="str">
        <f t="shared" si="14"/>
        <v>Bln</v>
      </c>
      <c r="AB25" s="50">
        <f t="shared" si="15"/>
        <v>100</v>
      </c>
      <c r="AC25" s="31" t="s">
        <v>45</v>
      </c>
      <c r="AD25" s="37">
        <f t="shared" si="16"/>
        <v>19873000</v>
      </c>
      <c r="AE25" s="53">
        <f t="shared" si="17"/>
        <v>69.821695212999558</v>
      </c>
      <c r="AF25" s="31" t="s">
        <v>45</v>
      </c>
      <c r="AG25" s="50">
        <f t="shared" si="18"/>
        <v>24</v>
      </c>
      <c r="AH25" s="75" t="str">
        <f t="shared" si="19"/>
        <v>Bln</v>
      </c>
      <c r="AI25" s="37">
        <f t="shared" si="20"/>
        <v>19873000</v>
      </c>
      <c r="AJ25" s="53"/>
      <c r="AK25" s="31" t="s">
        <v>45</v>
      </c>
      <c r="AL25" s="53"/>
      <c r="AM25" s="11"/>
      <c r="AP25" s="21"/>
    </row>
    <row r="26" spans="1:42" ht="105" x14ac:dyDescent="0.2">
      <c r="A26" s="12"/>
      <c r="B26" s="13"/>
      <c r="C26" s="25" t="s">
        <v>77</v>
      </c>
      <c r="D26" s="135" t="s">
        <v>117</v>
      </c>
      <c r="E26" s="39">
        <v>36</v>
      </c>
      <c r="F26" s="23" t="s">
        <v>44</v>
      </c>
      <c r="G26" s="19">
        <v>83454700</v>
      </c>
      <c r="H26" s="39">
        <v>12</v>
      </c>
      <c r="I26" s="23" t="s">
        <v>44</v>
      </c>
      <c r="J26" s="19"/>
      <c r="K26" s="39">
        <v>12</v>
      </c>
      <c r="L26" s="23" t="s">
        <v>44</v>
      </c>
      <c r="M26" s="19">
        <v>21620000</v>
      </c>
      <c r="N26" s="39">
        <v>3</v>
      </c>
      <c r="O26" s="23" t="str">
        <f t="shared" si="12"/>
        <v>Bln</v>
      </c>
      <c r="P26" s="19">
        <v>2760000</v>
      </c>
      <c r="Q26" s="39">
        <v>3</v>
      </c>
      <c r="R26" s="23" t="str">
        <f t="shared" si="1"/>
        <v>Bln</v>
      </c>
      <c r="S26" s="19">
        <v>4320000</v>
      </c>
      <c r="T26" s="39">
        <v>3</v>
      </c>
      <c r="U26" s="23" t="str">
        <f t="shared" si="2"/>
        <v>Bln</v>
      </c>
      <c r="V26" s="19">
        <v>3970000</v>
      </c>
      <c r="W26" s="39">
        <v>3</v>
      </c>
      <c r="X26" s="23" t="str">
        <f t="shared" si="3"/>
        <v>Bln</v>
      </c>
      <c r="Y26" s="19">
        <v>8740000</v>
      </c>
      <c r="Z26" s="50">
        <f t="shared" si="13"/>
        <v>12</v>
      </c>
      <c r="AA26" s="75" t="str">
        <f t="shared" si="14"/>
        <v>Bln</v>
      </c>
      <c r="AB26" s="50">
        <f t="shared" si="15"/>
        <v>100</v>
      </c>
      <c r="AC26" s="31" t="s">
        <v>45</v>
      </c>
      <c r="AD26" s="37">
        <f t="shared" si="16"/>
        <v>19790000</v>
      </c>
      <c r="AE26" s="53">
        <f t="shared" si="17"/>
        <v>91.535615171137835</v>
      </c>
      <c r="AF26" s="31" t="s">
        <v>45</v>
      </c>
      <c r="AG26" s="50">
        <f t="shared" si="18"/>
        <v>24</v>
      </c>
      <c r="AH26" s="75" t="str">
        <f t="shared" si="19"/>
        <v>Bln</v>
      </c>
      <c r="AI26" s="37">
        <f t="shared" si="20"/>
        <v>19790000</v>
      </c>
      <c r="AJ26" s="53"/>
      <c r="AK26" s="31" t="s">
        <v>45</v>
      </c>
      <c r="AL26" s="53"/>
      <c r="AM26" s="11"/>
      <c r="AP26" s="21"/>
    </row>
    <row r="27" spans="1:42" ht="138.75" customHeight="1" x14ac:dyDescent="0.2">
      <c r="A27" s="12"/>
      <c r="B27" s="13"/>
      <c r="C27" s="25" t="s">
        <v>78</v>
      </c>
      <c r="D27" s="135" t="s">
        <v>118</v>
      </c>
      <c r="E27" s="39">
        <v>36</v>
      </c>
      <c r="F27" s="23" t="s">
        <v>44</v>
      </c>
      <c r="G27" s="19">
        <v>5280000</v>
      </c>
      <c r="H27" s="39">
        <v>12</v>
      </c>
      <c r="I27" s="23" t="s">
        <v>44</v>
      </c>
      <c r="J27" s="38"/>
      <c r="K27" s="39">
        <v>12</v>
      </c>
      <c r="L27" s="23" t="s">
        <v>44</v>
      </c>
      <c r="M27" s="19">
        <v>5280000</v>
      </c>
      <c r="N27" s="39">
        <v>3</v>
      </c>
      <c r="O27" s="23" t="str">
        <f t="shared" si="12"/>
        <v>Bln</v>
      </c>
      <c r="P27" s="19">
        <v>0</v>
      </c>
      <c r="Q27" s="39">
        <v>3</v>
      </c>
      <c r="R27" s="23" t="str">
        <f t="shared" si="1"/>
        <v>Bln</v>
      </c>
      <c r="S27" s="19">
        <v>0</v>
      </c>
      <c r="T27" s="39">
        <v>3</v>
      </c>
      <c r="U27" s="23" t="str">
        <f t="shared" si="2"/>
        <v>Bln</v>
      </c>
      <c r="V27" s="19">
        <v>0</v>
      </c>
      <c r="W27" s="39">
        <v>3</v>
      </c>
      <c r="X27" s="23" t="str">
        <f t="shared" si="3"/>
        <v>Bln</v>
      </c>
      <c r="Y27" s="19">
        <v>1240000</v>
      </c>
      <c r="Z27" s="50">
        <f t="shared" si="13"/>
        <v>12</v>
      </c>
      <c r="AA27" s="64" t="str">
        <f t="shared" si="14"/>
        <v>Bln</v>
      </c>
      <c r="AB27" s="50">
        <f t="shared" si="15"/>
        <v>100</v>
      </c>
      <c r="AC27" s="31" t="s">
        <v>45</v>
      </c>
      <c r="AD27" s="37">
        <f t="shared" si="16"/>
        <v>1240000</v>
      </c>
      <c r="AE27" s="53">
        <f t="shared" si="17"/>
        <v>23.484848484848484</v>
      </c>
      <c r="AF27" s="31" t="s">
        <v>45</v>
      </c>
      <c r="AG27" s="50">
        <f t="shared" si="18"/>
        <v>24</v>
      </c>
      <c r="AH27" s="64" t="str">
        <f t="shared" si="19"/>
        <v>Bln</v>
      </c>
      <c r="AI27" s="37">
        <f t="shared" si="20"/>
        <v>1240000</v>
      </c>
      <c r="AJ27" s="53"/>
      <c r="AK27" s="31" t="s">
        <v>45</v>
      </c>
      <c r="AL27" s="53"/>
      <c r="AM27" s="11"/>
      <c r="AP27" s="21"/>
    </row>
    <row r="28" spans="1:42" ht="102.75" customHeight="1" x14ac:dyDescent="0.2">
      <c r="A28" s="12"/>
      <c r="B28" s="13"/>
      <c r="C28" s="25" t="s">
        <v>79</v>
      </c>
      <c r="D28" s="135" t="s">
        <v>119</v>
      </c>
      <c r="E28" s="39">
        <v>36</v>
      </c>
      <c r="F28" s="23" t="s">
        <v>44</v>
      </c>
      <c r="G28" s="19">
        <v>570000000</v>
      </c>
      <c r="H28" s="39">
        <v>12</v>
      </c>
      <c r="I28" s="23" t="s">
        <v>44</v>
      </c>
      <c r="J28" s="38"/>
      <c r="K28" s="39">
        <v>12</v>
      </c>
      <c r="L28" s="23" t="s">
        <v>44</v>
      </c>
      <c r="M28" s="19">
        <v>138650000</v>
      </c>
      <c r="N28" s="39">
        <v>3</v>
      </c>
      <c r="O28" s="23" t="str">
        <f t="shared" si="12"/>
        <v>Bln</v>
      </c>
      <c r="P28" s="19">
        <v>13366000</v>
      </c>
      <c r="Q28" s="39">
        <v>3</v>
      </c>
      <c r="R28" s="23" t="str">
        <f t="shared" si="1"/>
        <v>Bln</v>
      </c>
      <c r="S28" s="19">
        <v>35822200</v>
      </c>
      <c r="T28" s="39">
        <v>3</v>
      </c>
      <c r="U28" s="23" t="str">
        <f t="shared" si="2"/>
        <v>Bln</v>
      </c>
      <c r="V28" s="19">
        <v>28052800</v>
      </c>
      <c r="W28" s="39">
        <v>3</v>
      </c>
      <c r="X28" s="23" t="str">
        <f t="shared" si="3"/>
        <v>Bln</v>
      </c>
      <c r="Y28" s="19">
        <v>61340600</v>
      </c>
      <c r="Z28" s="50">
        <f t="shared" si="13"/>
        <v>12</v>
      </c>
      <c r="AA28" s="75" t="str">
        <f t="shared" si="14"/>
        <v>Bln</v>
      </c>
      <c r="AB28" s="50">
        <f t="shared" si="15"/>
        <v>100</v>
      </c>
      <c r="AC28" s="31" t="s">
        <v>45</v>
      </c>
      <c r="AD28" s="37">
        <f t="shared" si="16"/>
        <v>138581600</v>
      </c>
      <c r="AE28" s="53">
        <f t="shared" si="17"/>
        <v>99.950667147493689</v>
      </c>
      <c r="AF28" s="31" t="s">
        <v>45</v>
      </c>
      <c r="AG28" s="50">
        <f t="shared" si="18"/>
        <v>24</v>
      </c>
      <c r="AH28" s="75" t="str">
        <f t="shared" si="19"/>
        <v>Bln</v>
      </c>
      <c r="AI28" s="37">
        <f t="shared" si="20"/>
        <v>138581600</v>
      </c>
      <c r="AJ28" s="53"/>
      <c r="AK28" s="31" t="s">
        <v>45</v>
      </c>
      <c r="AL28" s="53"/>
      <c r="AM28" s="11"/>
      <c r="AP28" s="21"/>
    </row>
    <row r="29" spans="1:42" ht="141.75" x14ac:dyDescent="0.2">
      <c r="A29" s="12"/>
      <c r="B29" s="13"/>
      <c r="C29" s="15" t="s">
        <v>80</v>
      </c>
      <c r="D29" s="139" t="s">
        <v>120</v>
      </c>
      <c r="E29" s="69">
        <v>100</v>
      </c>
      <c r="F29" s="70" t="s">
        <v>45</v>
      </c>
      <c r="G29" s="98">
        <v>4267382000</v>
      </c>
      <c r="H29" s="69">
        <v>100</v>
      </c>
      <c r="I29" s="70" t="s">
        <v>45</v>
      </c>
      <c r="J29" s="24"/>
      <c r="K29" s="69">
        <v>100</v>
      </c>
      <c r="L29" s="70" t="s">
        <v>45</v>
      </c>
      <c r="M29" s="38">
        <f>SUM(M30:M32)</f>
        <v>1388894000</v>
      </c>
      <c r="N29" s="69">
        <v>25</v>
      </c>
      <c r="O29" s="70" t="str">
        <f t="shared" si="12"/>
        <v>%</v>
      </c>
      <c r="P29" s="38">
        <f>SUM(P30:P32)</f>
        <v>312414413</v>
      </c>
      <c r="Q29" s="69">
        <v>25</v>
      </c>
      <c r="R29" s="70" t="str">
        <f t="shared" si="1"/>
        <v>%</v>
      </c>
      <c r="S29" s="38">
        <f>SUM(S30:S32)</f>
        <v>328261894</v>
      </c>
      <c r="T29" s="69">
        <v>25</v>
      </c>
      <c r="U29" s="70" t="str">
        <f t="shared" si="2"/>
        <v>%</v>
      </c>
      <c r="V29" s="38">
        <f>SUM(V30:V32)</f>
        <v>314060237</v>
      </c>
      <c r="W29" s="69">
        <v>25</v>
      </c>
      <c r="X29" s="70" t="str">
        <f t="shared" si="3"/>
        <v>%</v>
      </c>
      <c r="Y29" s="38">
        <f>SUM(Y30:Y32)</f>
        <v>302475696</v>
      </c>
      <c r="Z29" s="51">
        <f t="shared" si="13"/>
        <v>100</v>
      </c>
      <c r="AA29" s="74" t="str">
        <f t="shared" si="14"/>
        <v>%</v>
      </c>
      <c r="AB29" s="51">
        <f t="shared" si="15"/>
        <v>100</v>
      </c>
      <c r="AC29" s="49" t="s">
        <v>45</v>
      </c>
      <c r="AD29" s="48">
        <f t="shared" si="16"/>
        <v>1257212240</v>
      </c>
      <c r="AE29" s="52">
        <f t="shared" si="17"/>
        <v>90.518948170270733</v>
      </c>
      <c r="AF29" s="49" t="s">
        <v>45</v>
      </c>
      <c r="AG29" s="51">
        <f t="shared" si="18"/>
        <v>200</v>
      </c>
      <c r="AH29" s="74" t="str">
        <f t="shared" si="19"/>
        <v>%</v>
      </c>
      <c r="AI29" s="48">
        <f t="shared" si="20"/>
        <v>1257212240</v>
      </c>
      <c r="AJ29" s="52"/>
      <c r="AK29" s="49" t="s">
        <v>45</v>
      </c>
      <c r="AL29" s="52"/>
      <c r="AM29" s="11"/>
      <c r="AP29" s="21"/>
    </row>
    <row r="30" spans="1:42" ht="90" x14ac:dyDescent="0.2">
      <c r="A30" s="12"/>
      <c r="B30" s="13"/>
      <c r="C30" s="25" t="s">
        <v>81</v>
      </c>
      <c r="D30" s="135" t="s">
        <v>121</v>
      </c>
      <c r="E30" s="40">
        <v>36</v>
      </c>
      <c r="F30" s="17" t="s">
        <v>44</v>
      </c>
      <c r="G30" s="19">
        <v>800000</v>
      </c>
      <c r="H30" s="40">
        <v>12</v>
      </c>
      <c r="I30" s="17" t="s">
        <v>44</v>
      </c>
      <c r="J30" s="38"/>
      <c r="K30" s="40">
        <v>12</v>
      </c>
      <c r="L30" s="17" t="s">
        <v>44</v>
      </c>
      <c r="M30" s="19">
        <v>300000</v>
      </c>
      <c r="N30" s="40">
        <v>3</v>
      </c>
      <c r="O30" s="17" t="str">
        <f t="shared" si="12"/>
        <v>Bln</v>
      </c>
      <c r="P30" s="19">
        <v>25000</v>
      </c>
      <c r="Q30" s="40">
        <v>3</v>
      </c>
      <c r="R30" s="17" t="str">
        <f t="shared" si="1"/>
        <v>Bln</v>
      </c>
      <c r="S30" s="19">
        <v>0</v>
      </c>
      <c r="T30" s="40">
        <v>3</v>
      </c>
      <c r="U30" s="17" t="str">
        <f t="shared" si="2"/>
        <v>Bln</v>
      </c>
      <c r="V30" s="19">
        <v>229000</v>
      </c>
      <c r="W30" s="40">
        <v>3</v>
      </c>
      <c r="X30" s="17" t="str">
        <f t="shared" si="3"/>
        <v>Bln</v>
      </c>
      <c r="Y30" s="19">
        <v>0</v>
      </c>
      <c r="Z30" s="50">
        <f t="shared" si="13"/>
        <v>12</v>
      </c>
      <c r="AA30" s="64" t="str">
        <f t="shared" si="14"/>
        <v>Bln</v>
      </c>
      <c r="AB30" s="50">
        <f t="shared" si="15"/>
        <v>100</v>
      </c>
      <c r="AC30" s="31" t="s">
        <v>45</v>
      </c>
      <c r="AD30" s="37">
        <f t="shared" si="16"/>
        <v>254000</v>
      </c>
      <c r="AE30" s="53">
        <f t="shared" si="17"/>
        <v>84.666666666666671</v>
      </c>
      <c r="AF30" s="31" t="s">
        <v>45</v>
      </c>
      <c r="AG30" s="50">
        <f t="shared" si="18"/>
        <v>24</v>
      </c>
      <c r="AH30" s="64" t="str">
        <f t="shared" si="19"/>
        <v>Bln</v>
      </c>
      <c r="AI30" s="37">
        <f t="shared" si="20"/>
        <v>254000</v>
      </c>
      <c r="AJ30" s="53"/>
      <c r="AK30" s="31" t="s">
        <v>45</v>
      </c>
      <c r="AL30" s="53"/>
      <c r="AM30" s="11"/>
      <c r="AP30" s="21"/>
    </row>
    <row r="31" spans="1:42" ht="120" x14ac:dyDescent="0.2">
      <c r="A31" s="12"/>
      <c r="B31" s="13"/>
      <c r="C31" s="25" t="s">
        <v>82</v>
      </c>
      <c r="D31" s="135" t="s">
        <v>122</v>
      </c>
      <c r="E31" s="40">
        <v>36</v>
      </c>
      <c r="F31" s="17" t="s">
        <v>44</v>
      </c>
      <c r="G31" s="19">
        <v>101400000</v>
      </c>
      <c r="H31" s="40">
        <v>12</v>
      </c>
      <c r="I31" s="17" t="s">
        <v>44</v>
      </c>
      <c r="J31" s="38"/>
      <c r="K31" s="40">
        <v>12</v>
      </c>
      <c r="L31" s="17" t="s">
        <v>44</v>
      </c>
      <c r="M31" s="19">
        <v>40200000</v>
      </c>
      <c r="N31" s="40">
        <v>3</v>
      </c>
      <c r="O31" s="17" t="str">
        <f t="shared" si="12"/>
        <v>Bln</v>
      </c>
      <c r="P31" s="19">
        <v>6659021</v>
      </c>
      <c r="Q31" s="40">
        <v>3</v>
      </c>
      <c r="R31" s="17" t="str">
        <f t="shared" si="1"/>
        <v>Bln</v>
      </c>
      <c r="S31" s="19">
        <v>6181744</v>
      </c>
      <c r="T31" s="40">
        <v>3</v>
      </c>
      <c r="U31" s="17" t="str">
        <f t="shared" si="2"/>
        <v>Bln</v>
      </c>
      <c r="V31" s="19">
        <v>2064397</v>
      </c>
      <c r="W31" s="40">
        <v>3</v>
      </c>
      <c r="X31" s="17" t="str">
        <f t="shared" si="3"/>
        <v>Bln</v>
      </c>
      <c r="Y31" s="19">
        <v>9963588</v>
      </c>
      <c r="Z31" s="50">
        <f t="shared" si="13"/>
        <v>12</v>
      </c>
      <c r="AA31" s="64" t="str">
        <f t="shared" si="14"/>
        <v>Bln</v>
      </c>
      <c r="AB31" s="50">
        <f t="shared" si="15"/>
        <v>100</v>
      </c>
      <c r="AC31" s="31" t="s">
        <v>45</v>
      </c>
      <c r="AD31" s="37">
        <f t="shared" si="16"/>
        <v>24868750</v>
      </c>
      <c r="AE31" s="53">
        <f t="shared" si="17"/>
        <v>61.862562189054728</v>
      </c>
      <c r="AF31" s="31" t="s">
        <v>45</v>
      </c>
      <c r="AG31" s="50">
        <f t="shared" si="18"/>
        <v>24</v>
      </c>
      <c r="AH31" s="64" t="str">
        <f t="shared" si="19"/>
        <v>Bln</v>
      </c>
      <c r="AI31" s="37">
        <f t="shared" si="20"/>
        <v>24868750</v>
      </c>
      <c r="AJ31" s="53"/>
      <c r="AK31" s="31" t="s">
        <v>45</v>
      </c>
      <c r="AL31" s="53"/>
      <c r="AM31" s="11"/>
      <c r="AP31" s="21"/>
    </row>
    <row r="32" spans="1:42" ht="105" x14ac:dyDescent="0.2">
      <c r="A32" s="12"/>
      <c r="B32" s="13"/>
      <c r="C32" s="25" t="s">
        <v>83</v>
      </c>
      <c r="D32" s="135" t="s">
        <v>123</v>
      </c>
      <c r="E32" s="40">
        <v>36</v>
      </c>
      <c r="F32" s="17" t="s">
        <v>44</v>
      </c>
      <c r="G32" s="19">
        <v>4165182000</v>
      </c>
      <c r="H32" s="40">
        <v>12</v>
      </c>
      <c r="I32" s="17" t="s">
        <v>44</v>
      </c>
      <c r="J32" s="38"/>
      <c r="K32" s="40">
        <v>12</v>
      </c>
      <c r="L32" s="17" t="s">
        <v>44</v>
      </c>
      <c r="M32" s="19">
        <v>1348394000</v>
      </c>
      <c r="N32" s="40">
        <v>3</v>
      </c>
      <c r="O32" s="17" t="str">
        <f t="shared" si="12"/>
        <v>Bln</v>
      </c>
      <c r="P32" s="19">
        <v>305730392</v>
      </c>
      <c r="Q32" s="40">
        <v>3</v>
      </c>
      <c r="R32" s="17" t="str">
        <f t="shared" si="1"/>
        <v>Bln</v>
      </c>
      <c r="S32" s="19">
        <v>322080150</v>
      </c>
      <c r="T32" s="40">
        <v>3</v>
      </c>
      <c r="U32" s="17" t="str">
        <f t="shared" si="2"/>
        <v>Bln</v>
      </c>
      <c r="V32" s="19">
        <v>311766840</v>
      </c>
      <c r="W32" s="40">
        <v>3</v>
      </c>
      <c r="X32" s="17" t="str">
        <f t="shared" si="3"/>
        <v>Bln</v>
      </c>
      <c r="Y32" s="19">
        <v>292512108</v>
      </c>
      <c r="Z32" s="50">
        <f>SUM(N32,Q32,T32,W32)</f>
        <v>12</v>
      </c>
      <c r="AA32" s="64" t="str">
        <f t="shared" si="14"/>
        <v>Bln</v>
      </c>
      <c r="AB32" s="50">
        <f t="shared" si="15"/>
        <v>100</v>
      </c>
      <c r="AC32" s="31" t="s">
        <v>45</v>
      </c>
      <c r="AD32" s="37">
        <f t="shared" si="16"/>
        <v>1232089490</v>
      </c>
      <c r="AE32" s="53">
        <f t="shared" si="17"/>
        <v>91.374590067888178</v>
      </c>
      <c r="AF32" s="31" t="s">
        <v>45</v>
      </c>
      <c r="AG32" s="50">
        <f t="shared" si="18"/>
        <v>24</v>
      </c>
      <c r="AH32" s="64" t="str">
        <f t="shared" si="19"/>
        <v>Bln</v>
      </c>
      <c r="AI32" s="37">
        <f t="shared" si="20"/>
        <v>1232089490</v>
      </c>
      <c r="AJ32" s="53"/>
      <c r="AK32" s="31" t="s">
        <v>45</v>
      </c>
      <c r="AL32" s="53"/>
      <c r="AM32" s="11"/>
      <c r="AP32" s="21"/>
    </row>
    <row r="33" spans="1:42" ht="220.5" x14ac:dyDescent="0.2">
      <c r="A33" s="12"/>
      <c r="B33" s="13"/>
      <c r="C33" s="15" t="s">
        <v>84</v>
      </c>
      <c r="D33" s="15" t="s">
        <v>125</v>
      </c>
      <c r="E33" s="69">
        <v>100</v>
      </c>
      <c r="F33" s="70" t="s">
        <v>45</v>
      </c>
      <c r="G33" s="98">
        <v>238976400</v>
      </c>
      <c r="H33" s="69">
        <v>100</v>
      </c>
      <c r="I33" s="70" t="s">
        <v>45</v>
      </c>
      <c r="J33" s="24"/>
      <c r="K33" s="69">
        <v>100</v>
      </c>
      <c r="L33" s="70" t="s">
        <v>45</v>
      </c>
      <c r="M33" s="38">
        <f>SUM(M34:M36)</f>
        <v>64594000</v>
      </c>
      <c r="N33" s="69">
        <v>25</v>
      </c>
      <c r="O33" s="70" t="str">
        <f t="shared" si="12"/>
        <v>%</v>
      </c>
      <c r="P33" s="38">
        <f>SUM(P34:P36)</f>
        <v>7234101</v>
      </c>
      <c r="Q33" s="69">
        <v>25</v>
      </c>
      <c r="R33" s="70" t="str">
        <f t="shared" si="1"/>
        <v>%</v>
      </c>
      <c r="S33" s="38">
        <f>SUM(S34:S36)</f>
        <v>4943600</v>
      </c>
      <c r="T33" s="69">
        <v>25</v>
      </c>
      <c r="U33" s="70" t="str">
        <f t="shared" si="2"/>
        <v>%</v>
      </c>
      <c r="V33" s="38">
        <f>SUM(V34:V36)</f>
        <v>4500000</v>
      </c>
      <c r="W33" s="69">
        <v>25</v>
      </c>
      <c r="X33" s="70" t="str">
        <f t="shared" si="3"/>
        <v>%</v>
      </c>
      <c r="Y33" s="38">
        <f>SUM(Y34:Y36)</f>
        <v>29249250</v>
      </c>
      <c r="Z33" s="51">
        <f t="shared" si="13"/>
        <v>100</v>
      </c>
      <c r="AA33" s="74" t="str">
        <f t="shared" si="14"/>
        <v>%</v>
      </c>
      <c r="AB33" s="51">
        <f t="shared" si="15"/>
        <v>100</v>
      </c>
      <c r="AC33" s="49" t="s">
        <v>45</v>
      </c>
      <c r="AD33" s="48">
        <f t="shared" si="16"/>
        <v>45926951</v>
      </c>
      <c r="AE33" s="52">
        <f t="shared" si="17"/>
        <v>71.100955197077127</v>
      </c>
      <c r="AF33" s="49" t="s">
        <v>45</v>
      </c>
      <c r="AG33" s="51">
        <f t="shared" si="18"/>
        <v>200</v>
      </c>
      <c r="AH33" s="74" t="str">
        <f t="shared" si="19"/>
        <v>%</v>
      </c>
      <c r="AI33" s="48">
        <f t="shared" si="20"/>
        <v>45926951</v>
      </c>
      <c r="AJ33" s="52"/>
      <c r="AK33" s="49" t="s">
        <v>45</v>
      </c>
      <c r="AL33" s="52"/>
      <c r="AM33" s="11"/>
      <c r="AP33" s="21"/>
    </row>
    <row r="34" spans="1:42" ht="195" x14ac:dyDescent="0.2">
      <c r="A34" s="12"/>
      <c r="B34" s="13"/>
      <c r="C34" s="25" t="s">
        <v>85</v>
      </c>
      <c r="D34" s="135" t="s">
        <v>126</v>
      </c>
      <c r="E34" s="40">
        <v>36</v>
      </c>
      <c r="F34" s="17" t="s">
        <v>44</v>
      </c>
      <c r="G34" s="19">
        <v>120550000</v>
      </c>
      <c r="H34" s="40">
        <v>12</v>
      </c>
      <c r="I34" s="17" t="s">
        <v>44</v>
      </c>
      <c r="J34" s="19"/>
      <c r="K34" s="40">
        <v>12</v>
      </c>
      <c r="L34" s="17" t="s">
        <v>44</v>
      </c>
      <c r="M34" s="19">
        <v>37850000</v>
      </c>
      <c r="N34" s="40">
        <v>3</v>
      </c>
      <c r="O34" s="17" t="str">
        <f t="shared" si="12"/>
        <v>Bln</v>
      </c>
      <c r="P34" s="19">
        <v>2624101</v>
      </c>
      <c r="Q34" s="40">
        <v>3</v>
      </c>
      <c r="R34" s="17" t="str">
        <f t="shared" si="1"/>
        <v>Bln</v>
      </c>
      <c r="S34" s="19">
        <v>0</v>
      </c>
      <c r="T34" s="40">
        <v>3</v>
      </c>
      <c r="U34" s="17" t="str">
        <f t="shared" si="2"/>
        <v>Bln</v>
      </c>
      <c r="V34" s="19">
        <v>0</v>
      </c>
      <c r="W34" s="40">
        <v>3</v>
      </c>
      <c r="X34" s="17" t="str">
        <f t="shared" si="3"/>
        <v>Bln</v>
      </c>
      <c r="Y34" s="19">
        <v>23663750</v>
      </c>
      <c r="Z34" s="50">
        <f t="shared" si="13"/>
        <v>12</v>
      </c>
      <c r="AA34" s="64" t="str">
        <f t="shared" si="14"/>
        <v>Bln</v>
      </c>
      <c r="AB34" s="50">
        <f t="shared" si="15"/>
        <v>100</v>
      </c>
      <c r="AC34" s="31" t="s">
        <v>45</v>
      </c>
      <c r="AD34" s="37">
        <f t="shared" si="16"/>
        <v>26287851</v>
      </c>
      <c r="AE34" s="53">
        <f t="shared" si="17"/>
        <v>69.452710700132101</v>
      </c>
      <c r="AF34" s="31" t="s">
        <v>45</v>
      </c>
      <c r="AG34" s="50">
        <f t="shared" si="18"/>
        <v>24</v>
      </c>
      <c r="AH34" s="64" t="str">
        <f t="shared" si="19"/>
        <v>Bln</v>
      </c>
      <c r="AI34" s="37">
        <f t="shared" si="20"/>
        <v>26287851</v>
      </c>
      <c r="AJ34" s="53"/>
      <c r="AK34" s="31" t="s">
        <v>45</v>
      </c>
      <c r="AL34" s="53"/>
      <c r="AM34" s="11"/>
      <c r="AP34" s="21"/>
    </row>
    <row r="35" spans="1:42" ht="150" x14ac:dyDescent="0.2">
      <c r="A35" s="12"/>
      <c r="B35" s="13"/>
      <c r="C35" s="22" t="s">
        <v>86</v>
      </c>
      <c r="D35" s="140" t="s">
        <v>127</v>
      </c>
      <c r="E35" s="40">
        <v>36</v>
      </c>
      <c r="F35" s="17" t="s">
        <v>44</v>
      </c>
      <c r="G35" s="19">
        <v>94644000</v>
      </c>
      <c r="H35" s="40">
        <v>12</v>
      </c>
      <c r="I35" s="17" t="s">
        <v>44</v>
      </c>
      <c r="J35" s="19"/>
      <c r="K35" s="40">
        <v>12</v>
      </c>
      <c r="L35" s="17" t="s">
        <v>44</v>
      </c>
      <c r="M35" s="19">
        <v>19644000</v>
      </c>
      <c r="N35" s="40">
        <v>3</v>
      </c>
      <c r="O35" s="17" t="str">
        <f t="shared" si="12"/>
        <v>Bln</v>
      </c>
      <c r="P35" s="19">
        <v>4500000</v>
      </c>
      <c r="Q35" s="40">
        <v>3</v>
      </c>
      <c r="R35" s="17" t="str">
        <f t="shared" si="1"/>
        <v>Bln</v>
      </c>
      <c r="S35" s="19">
        <v>4548600</v>
      </c>
      <c r="T35" s="40">
        <v>3</v>
      </c>
      <c r="U35" s="17" t="str">
        <f t="shared" si="2"/>
        <v>Bln</v>
      </c>
      <c r="V35" s="19">
        <v>4500000</v>
      </c>
      <c r="W35" s="40">
        <v>3</v>
      </c>
      <c r="X35" s="17" t="str">
        <f t="shared" si="3"/>
        <v>Bln</v>
      </c>
      <c r="Y35" s="19">
        <v>4540500</v>
      </c>
      <c r="Z35" s="50">
        <f t="shared" si="13"/>
        <v>12</v>
      </c>
      <c r="AA35" s="64" t="str">
        <f t="shared" si="14"/>
        <v>Bln</v>
      </c>
      <c r="AB35" s="50">
        <f t="shared" si="15"/>
        <v>100</v>
      </c>
      <c r="AC35" s="31" t="s">
        <v>45</v>
      </c>
      <c r="AD35" s="37">
        <f t="shared" si="16"/>
        <v>18089100</v>
      </c>
      <c r="AE35" s="53">
        <f t="shared" si="17"/>
        <v>92.084605986560788</v>
      </c>
      <c r="AF35" s="31" t="s">
        <v>45</v>
      </c>
      <c r="AG35" s="50">
        <f t="shared" si="18"/>
        <v>24</v>
      </c>
      <c r="AH35" s="64" t="str">
        <f t="shared" si="19"/>
        <v>Bln</v>
      </c>
      <c r="AI35" s="37">
        <f t="shared" si="20"/>
        <v>18089100</v>
      </c>
      <c r="AJ35" s="53"/>
      <c r="AK35" s="31" t="s">
        <v>45</v>
      </c>
      <c r="AL35" s="53"/>
      <c r="AM35" s="11"/>
      <c r="AP35" s="21"/>
    </row>
    <row r="36" spans="1:42" ht="180" x14ac:dyDescent="0.2">
      <c r="A36" s="12"/>
      <c r="B36" s="13"/>
      <c r="C36" s="22" t="s">
        <v>87</v>
      </c>
      <c r="D36" s="135" t="s">
        <v>128</v>
      </c>
      <c r="E36" s="40">
        <v>36</v>
      </c>
      <c r="F36" s="17" t="s">
        <v>44</v>
      </c>
      <c r="G36" s="19">
        <v>23782400</v>
      </c>
      <c r="H36" s="40">
        <v>12</v>
      </c>
      <c r="I36" s="17" t="s">
        <v>44</v>
      </c>
      <c r="J36" s="19"/>
      <c r="K36" s="40">
        <v>12</v>
      </c>
      <c r="L36" s="17" t="s">
        <v>44</v>
      </c>
      <c r="M36" s="19">
        <v>7100000</v>
      </c>
      <c r="N36" s="40">
        <v>3</v>
      </c>
      <c r="O36" s="17" t="str">
        <f t="shared" si="12"/>
        <v>Bln</v>
      </c>
      <c r="P36" s="19">
        <v>110000</v>
      </c>
      <c r="Q36" s="40">
        <v>3</v>
      </c>
      <c r="R36" s="17" t="str">
        <f t="shared" si="1"/>
        <v>Bln</v>
      </c>
      <c r="S36" s="19">
        <v>395000</v>
      </c>
      <c r="T36" s="40">
        <v>3</v>
      </c>
      <c r="U36" s="17" t="str">
        <f t="shared" si="2"/>
        <v>Bln</v>
      </c>
      <c r="V36" s="19">
        <v>0</v>
      </c>
      <c r="W36" s="40">
        <v>3</v>
      </c>
      <c r="X36" s="17" t="str">
        <f t="shared" si="3"/>
        <v>Bln</v>
      </c>
      <c r="Y36" s="19">
        <v>1045000</v>
      </c>
      <c r="Z36" s="50">
        <f t="shared" si="13"/>
        <v>12</v>
      </c>
      <c r="AA36" s="64" t="str">
        <f t="shared" si="14"/>
        <v>Bln</v>
      </c>
      <c r="AB36" s="50">
        <f t="shared" si="15"/>
        <v>100</v>
      </c>
      <c r="AC36" s="31" t="s">
        <v>45</v>
      </c>
      <c r="AD36" s="37">
        <f t="shared" si="16"/>
        <v>1550000</v>
      </c>
      <c r="AE36" s="53">
        <f t="shared" si="17"/>
        <v>21.830985915492956</v>
      </c>
      <c r="AF36" s="31" t="s">
        <v>45</v>
      </c>
      <c r="AG36" s="50">
        <f t="shared" si="18"/>
        <v>24</v>
      </c>
      <c r="AH36" s="64" t="str">
        <f t="shared" si="19"/>
        <v>Bln</v>
      </c>
      <c r="AI36" s="37">
        <f t="shared" si="20"/>
        <v>1550000</v>
      </c>
      <c r="AJ36" s="53"/>
      <c r="AK36" s="31" t="s">
        <v>45</v>
      </c>
      <c r="AL36" s="52"/>
      <c r="AM36" s="11"/>
      <c r="AP36" s="21"/>
    </row>
    <row r="37" spans="1:42" ht="126" x14ac:dyDescent="0.2">
      <c r="A37" s="44">
        <v>2</v>
      </c>
      <c r="B37" s="45" t="s">
        <v>177</v>
      </c>
      <c r="C37" s="14" t="s">
        <v>88</v>
      </c>
      <c r="D37" s="15" t="s">
        <v>98</v>
      </c>
      <c r="E37" s="41">
        <f>64/144*100</f>
        <v>44.444444444444443</v>
      </c>
      <c r="F37" s="42" t="s">
        <v>45</v>
      </c>
      <c r="G37" s="38">
        <f>G38</f>
        <v>54854872</v>
      </c>
      <c r="H37" s="141">
        <f>31/144*100</f>
        <v>21.527777777777779</v>
      </c>
      <c r="I37" s="42" t="s">
        <v>45</v>
      </c>
      <c r="J37" s="38">
        <f>J38</f>
        <v>0</v>
      </c>
      <c r="K37" s="46">
        <f>42/144*100</f>
        <v>29.166666666666668</v>
      </c>
      <c r="L37" s="42" t="s">
        <v>45</v>
      </c>
      <c r="M37" s="38">
        <f>M38</f>
        <v>20239936</v>
      </c>
      <c r="N37" s="46">
        <f>2/144*100</f>
        <v>1.3888888888888888</v>
      </c>
      <c r="O37" s="42" t="str">
        <f t="shared" si="12"/>
        <v>%</v>
      </c>
      <c r="P37" s="38">
        <f>P38</f>
        <v>0</v>
      </c>
      <c r="Q37" s="46">
        <f>3/144*100</f>
        <v>2.083333333333333</v>
      </c>
      <c r="R37" s="42" t="str">
        <f t="shared" si="1"/>
        <v>%</v>
      </c>
      <c r="S37" s="38">
        <f>S38</f>
        <v>18433900</v>
      </c>
      <c r="T37" s="46">
        <f>3/144*100</f>
        <v>2.083333333333333</v>
      </c>
      <c r="U37" s="42" t="str">
        <f t="shared" si="2"/>
        <v>%</v>
      </c>
      <c r="V37" s="38">
        <f>V38</f>
        <v>0</v>
      </c>
      <c r="W37" s="46">
        <f>3/144*100</f>
        <v>2.083333333333333</v>
      </c>
      <c r="X37" s="42" t="str">
        <f t="shared" si="3"/>
        <v>%</v>
      </c>
      <c r="Y37" s="38">
        <f>Y38</f>
        <v>0</v>
      </c>
      <c r="Z37" s="52">
        <f t="shared" si="13"/>
        <v>7.6388888888888884</v>
      </c>
      <c r="AA37" s="74" t="str">
        <f t="shared" si="14"/>
        <v>%</v>
      </c>
      <c r="AB37" s="52">
        <f>AG37/K37*100</f>
        <v>100</v>
      </c>
      <c r="AC37" s="49" t="s">
        <v>45</v>
      </c>
      <c r="AD37" s="48">
        <f t="shared" si="16"/>
        <v>18433900</v>
      </c>
      <c r="AE37" s="52">
        <f t="shared" si="17"/>
        <v>91.076869017767649</v>
      </c>
      <c r="AF37" s="49" t="s">
        <v>45</v>
      </c>
      <c r="AG37" s="52">
        <f t="shared" si="18"/>
        <v>29.166666666666668</v>
      </c>
      <c r="AH37" s="74" t="str">
        <f t="shared" si="19"/>
        <v>%</v>
      </c>
      <c r="AI37" s="48">
        <f t="shared" si="20"/>
        <v>18433900</v>
      </c>
      <c r="AJ37" s="52"/>
      <c r="AK37" s="49" t="s">
        <v>45</v>
      </c>
      <c r="AL37" s="53"/>
      <c r="AM37" s="11"/>
      <c r="AP37" s="21"/>
    </row>
    <row r="38" spans="1:42" ht="110.25" x14ac:dyDescent="0.2">
      <c r="A38" s="12"/>
      <c r="B38" s="13"/>
      <c r="C38" s="14" t="s">
        <v>89</v>
      </c>
      <c r="D38" s="15" t="s">
        <v>185</v>
      </c>
      <c r="E38" s="41">
        <f>17/144*100</f>
        <v>11.805555555555555</v>
      </c>
      <c r="F38" s="47" t="s">
        <v>45</v>
      </c>
      <c r="G38" s="38">
        <f>SUM(G39)</f>
        <v>54854872</v>
      </c>
      <c r="H38" s="52">
        <f>8/144*100</f>
        <v>5.5555555555555554</v>
      </c>
      <c r="I38" s="47" t="s">
        <v>45</v>
      </c>
      <c r="J38" s="38">
        <f>SUM(J39)</f>
        <v>0</v>
      </c>
      <c r="K38" s="52">
        <f>11/144*100</f>
        <v>7.6388888888888893</v>
      </c>
      <c r="L38" s="42" t="s">
        <v>45</v>
      </c>
      <c r="M38" s="38">
        <f>SUM(M39)</f>
        <v>20239936</v>
      </c>
      <c r="N38" s="41">
        <v>0</v>
      </c>
      <c r="O38" s="47" t="str">
        <f t="shared" si="12"/>
        <v>%</v>
      </c>
      <c r="P38" s="38">
        <f>SUM(P39)</f>
        <v>0</v>
      </c>
      <c r="Q38" s="41">
        <v>0</v>
      </c>
      <c r="R38" s="47" t="str">
        <f t="shared" si="1"/>
        <v>%</v>
      </c>
      <c r="S38" s="38">
        <f>SUM(S39)</f>
        <v>18433900</v>
      </c>
      <c r="T38" s="41">
        <v>0</v>
      </c>
      <c r="U38" s="47" t="str">
        <f t="shared" si="2"/>
        <v>%</v>
      </c>
      <c r="V38" s="38">
        <f>SUM(V39)</f>
        <v>0</v>
      </c>
      <c r="W38" s="41">
        <v>0</v>
      </c>
      <c r="X38" s="47" t="str">
        <f t="shared" si="3"/>
        <v>%</v>
      </c>
      <c r="Y38" s="38">
        <f>SUM(Y39)</f>
        <v>0</v>
      </c>
      <c r="Z38" s="51">
        <f t="shared" si="13"/>
        <v>0</v>
      </c>
      <c r="AA38" s="74" t="s">
        <v>45</v>
      </c>
      <c r="AB38" s="52">
        <f>AG38/K38*100</f>
        <v>72.72727272727272</v>
      </c>
      <c r="AC38" s="49" t="s">
        <v>45</v>
      </c>
      <c r="AD38" s="48">
        <f t="shared" si="16"/>
        <v>18433900</v>
      </c>
      <c r="AE38" s="52">
        <f t="shared" si="17"/>
        <v>91.076869017767649</v>
      </c>
      <c r="AF38" s="49" t="s">
        <v>45</v>
      </c>
      <c r="AG38" s="52">
        <f t="shared" si="18"/>
        <v>5.5555555555555554</v>
      </c>
      <c r="AH38" s="74" t="str">
        <f t="shared" si="19"/>
        <v>%</v>
      </c>
      <c r="AI38" s="48">
        <f t="shared" si="20"/>
        <v>18433900</v>
      </c>
      <c r="AJ38" s="52"/>
      <c r="AK38" s="49" t="s">
        <v>45</v>
      </c>
      <c r="AL38" s="52"/>
      <c r="AM38" s="11"/>
      <c r="AP38" s="21"/>
    </row>
    <row r="39" spans="1:42" ht="135" x14ac:dyDescent="0.2">
      <c r="A39" s="12"/>
      <c r="B39" s="13"/>
      <c r="C39" s="71" t="s">
        <v>99</v>
      </c>
      <c r="D39" s="72" t="s">
        <v>184</v>
      </c>
      <c r="E39" s="16">
        <v>17</v>
      </c>
      <c r="F39" s="43" t="s">
        <v>100</v>
      </c>
      <c r="G39" s="85">
        <f>20239936+14375000+20239936</f>
        <v>54854872</v>
      </c>
      <c r="H39" s="93" t="s">
        <v>141</v>
      </c>
      <c r="I39" s="43" t="s">
        <v>100</v>
      </c>
      <c r="J39" s="18"/>
      <c r="K39" s="143">
        <v>3</v>
      </c>
      <c r="L39" s="84" t="s">
        <v>100</v>
      </c>
      <c r="M39" s="85">
        <v>20239936</v>
      </c>
      <c r="N39" s="86">
        <v>0</v>
      </c>
      <c r="O39" s="84" t="str">
        <f t="shared" si="12"/>
        <v>BUMDes</v>
      </c>
      <c r="P39" s="87">
        <v>0</v>
      </c>
      <c r="Q39" s="86">
        <v>1</v>
      </c>
      <c r="R39" s="84" t="str">
        <f t="shared" si="1"/>
        <v>BUMDes</v>
      </c>
      <c r="S39" s="19">
        <v>18433900</v>
      </c>
      <c r="T39" s="86">
        <v>2</v>
      </c>
      <c r="U39" s="84" t="str">
        <f t="shared" si="2"/>
        <v>BUMDes</v>
      </c>
      <c r="V39" s="19">
        <v>0</v>
      </c>
      <c r="W39" s="86">
        <v>0</v>
      </c>
      <c r="X39" s="84" t="str">
        <f t="shared" si="3"/>
        <v>BUMDes</v>
      </c>
      <c r="Y39" s="19">
        <v>0</v>
      </c>
      <c r="Z39" s="50">
        <f t="shared" si="13"/>
        <v>3</v>
      </c>
      <c r="AA39" s="64" t="str">
        <f t="shared" si="14"/>
        <v>BUMDes</v>
      </c>
      <c r="AB39" s="50">
        <f t="shared" si="15"/>
        <v>100</v>
      </c>
      <c r="AC39" s="31" t="s">
        <v>45</v>
      </c>
      <c r="AD39" s="37">
        <f t="shared" si="16"/>
        <v>18433900</v>
      </c>
      <c r="AE39" s="53">
        <f t="shared" si="17"/>
        <v>91.076869017767649</v>
      </c>
      <c r="AF39" s="31" t="s">
        <v>45</v>
      </c>
      <c r="AG39" s="50">
        <f t="shared" si="18"/>
        <v>3</v>
      </c>
      <c r="AH39" s="64" t="str">
        <f t="shared" si="19"/>
        <v>BUMDes</v>
      </c>
      <c r="AI39" s="37">
        <f t="shared" si="20"/>
        <v>18433900</v>
      </c>
      <c r="AJ39" s="53"/>
      <c r="AK39" s="31" t="s">
        <v>45</v>
      </c>
      <c r="AL39" s="53"/>
      <c r="AM39" s="11"/>
      <c r="AP39" s="21"/>
    </row>
    <row r="40" spans="1:42" ht="117.75" customHeight="1" x14ac:dyDescent="0.2">
      <c r="A40" s="82">
        <v>3</v>
      </c>
      <c r="B40" s="45" t="s">
        <v>137</v>
      </c>
      <c r="C40" s="83" t="s">
        <v>90</v>
      </c>
      <c r="D40" s="15" t="s">
        <v>129</v>
      </c>
      <c r="E40" s="41">
        <f>58/144*100</f>
        <v>40.277777777777779</v>
      </c>
      <c r="F40" s="42" t="s">
        <v>45</v>
      </c>
      <c r="G40" s="38">
        <f>G41</f>
        <v>270062300</v>
      </c>
      <c r="H40" s="141">
        <f>30/144*100</f>
        <v>20.833333333333336</v>
      </c>
      <c r="I40" s="42" t="s">
        <v>45</v>
      </c>
      <c r="J40" s="38">
        <f>J41</f>
        <v>0</v>
      </c>
      <c r="K40" s="88">
        <f>36/144*100</f>
        <v>25</v>
      </c>
      <c r="L40" s="89" t="s">
        <v>45</v>
      </c>
      <c r="M40" s="90">
        <f>M41</f>
        <v>117582400</v>
      </c>
      <c r="N40" s="91">
        <v>0</v>
      </c>
      <c r="O40" s="89" t="str">
        <f t="shared" si="12"/>
        <v>%</v>
      </c>
      <c r="P40" s="90">
        <f>P41</f>
        <v>3187500</v>
      </c>
      <c r="Q40" s="91">
        <f>6/144*100</f>
        <v>4.1666666666666661</v>
      </c>
      <c r="R40" s="89" t="str">
        <f t="shared" si="1"/>
        <v>%</v>
      </c>
      <c r="S40" s="38">
        <f>S41</f>
        <v>11092500</v>
      </c>
      <c r="T40" s="91">
        <v>0</v>
      </c>
      <c r="U40" s="89" t="str">
        <f t="shared" si="2"/>
        <v>%</v>
      </c>
      <c r="V40" s="38">
        <f>V41</f>
        <v>29000000</v>
      </c>
      <c r="W40" s="91">
        <v>0</v>
      </c>
      <c r="X40" s="89" t="str">
        <f t="shared" si="3"/>
        <v>%</v>
      </c>
      <c r="Y40" s="38">
        <f>Y41</f>
        <v>65510850</v>
      </c>
      <c r="Z40" s="52">
        <f>SUM(N40,Q40,T40,W40)</f>
        <v>4.1666666666666661</v>
      </c>
      <c r="AA40" s="74" t="str">
        <f t="shared" si="14"/>
        <v>%</v>
      </c>
      <c r="AB40" s="51">
        <f>AG40/K40*100</f>
        <v>100</v>
      </c>
      <c r="AC40" s="49" t="s">
        <v>45</v>
      </c>
      <c r="AD40" s="48">
        <f t="shared" si="16"/>
        <v>108790850</v>
      </c>
      <c r="AE40" s="52">
        <f t="shared" si="17"/>
        <v>92.523073181020294</v>
      </c>
      <c r="AF40" s="49" t="s">
        <v>45</v>
      </c>
      <c r="AG40" s="52">
        <f t="shared" si="18"/>
        <v>25</v>
      </c>
      <c r="AH40" s="74" t="str">
        <f t="shared" si="19"/>
        <v>%</v>
      </c>
      <c r="AI40" s="48">
        <f t="shared" si="20"/>
        <v>108790850</v>
      </c>
      <c r="AJ40" s="52"/>
      <c r="AK40" s="49" t="s">
        <v>45</v>
      </c>
      <c r="AL40" s="53"/>
      <c r="AM40" s="11"/>
      <c r="AP40" s="21"/>
    </row>
    <row r="41" spans="1:42" ht="162.75" customHeight="1" x14ac:dyDescent="0.2">
      <c r="A41" s="12"/>
      <c r="B41" s="13"/>
      <c r="C41" s="14" t="s">
        <v>91</v>
      </c>
      <c r="D41" s="15" t="s">
        <v>130</v>
      </c>
      <c r="E41" s="41">
        <f>58/144*100</f>
        <v>40.277777777777779</v>
      </c>
      <c r="F41" s="47" t="s">
        <v>45</v>
      </c>
      <c r="G41" s="38">
        <f>G42+G43+G44</f>
        <v>270062300</v>
      </c>
      <c r="H41" s="141">
        <f>25/144*100</f>
        <v>17.361111111111111</v>
      </c>
      <c r="I41" s="42" t="s">
        <v>45</v>
      </c>
      <c r="J41" s="38">
        <f>J42+J43+J44</f>
        <v>0</v>
      </c>
      <c r="K41" s="197">
        <f>36/144*100</f>
        <v>25</v>
      </c>
      <c r="L41" s="47" t="s">
        <v>45</v>
      </c>
      <c r="M41" s="38">
        <f>SUM(M42:M44)</f>
        <v>117582400</v>
      </c>
      <c r="N41" s="41">
        <f>N42</f>
        <v>0</v>
      </c>
      <c r="O41" s="47" t="str">
        <f t="shared" si="12"/>
        <v>%</v>
      </c>
      <c r="P41" s="38">
        <f>SUM(P42:P44)</f>
        <v>3187500</v>
      </c>
      <c r="Q41" s="46">
        <f>6/144*100</f>
        <v>4.1666666666666661</v>
      </c>
      <c r="R41" s="47" t="str">
        <f t="shared" si="1"/>
        <v>%</v>
      </c>
      <c r="S41" s="38">
        <f>SUM(S42:S44)</f>
        <v>11092500</v>
      </c>
      <c r="T41" s="46">
        <f>3/144*100</f>
        <v>2.083333333333333</v>
      </c>
      <c r="U41" s="47" t="str">
        <f t="shared" si="2"/>
        <v>%</v>
      </c>
      <c r="V41" s="38">
        <f>SUM(V42:V44)</f>
        <v>29000000</v>
      </c>
      <c r="W41" s="46">
        <f>2/144*100</f>
        <v>1.3888888888888888</v>
      </c>
      <c r="X41" s="47" t="str">
        <f t="shared" si="3"/>
        <v>%</v>
      </c>
      <c r="Y41" s="38">
        <f>SUM(Y42:Y44)</f>
        <v>65510850</v>
      </c>
      <c r="Z41" s="52">
        <f t="shared" si="13"/>
        <v>7.6388888888888875</v>
      </c>
      <c r="AA41" s="74" t="str">
        <f t="shared" si="14"/>
        <v>%</v>
      </c>
      <c r="AB41" s="51">
        <f>AG41/K41*100</f>
        <v>100</v>
      </c>
      <c r="AC41" s="49" t="s">
        <v>45</v>
      </c>
      <c r="AD41" s="48">
        <f t="shared" si="16"/>
        <v>108790850</v>
      </c>
      <c r="AE41" s="52">
        <f t="shared" si="17"/>
        <v>92.523073181020294</v>
      </c>
      <c r="AF41" s="49" t="s">
        <v>45</v>
      </c>
      <c r="AG41" s="52">
        <f t="shared" si="18"/>
        <v>25</v>
      </c>
      <c r="AH41" s="74" t="str">
        <f t="shared" si="19"/>
        <v>%</v>
      </c>
      <c r="AI41" s="48">
        <f t="shared" si="20"/>
        <v>108790850</v>
      </c>
      <c r="AJ41" s="52"/>
      <c r="AK41" s="49" t="s">
        <v>45</v>
      </c>
      <c r="AL41" s="52"/>
      <c r="AM41" s="11"/>
      <c r="AP41" s="21"/>
    </row>
    <row r="42" spans="1:42" ht="90" x14ac:dyDescent="0.2">
      <c r="A42" s="12"/>
      <c r="B42" s="13"/>
      <c r="C42" s="71" t="s">
        <v>92</v>
      </c>
      <c r="D42" s="72" t="s">
        <v>131</v>
      </c>
      <c r="E42" s="16">
        <v>288</v>
      </c>
      <c r="F42" s="43" t="s">
        <v>142</v>
      </c>
      <c r="G42" s="61">
        <f>51782400+19137500+51782400</f>
        <v>122702300</v>
      </c>
      <c r="H42" s="16">
        <v>288</v>
      </c>
      <c r="I42" s="43" t="s">
        <v>142</v>
      </c>
      <c r="J42" s="18"/>
      <c r="K42" s="64">
        <v>288</v>
      </c>
      <c r="L42" s="43" t="s">
        <v>142</v>
      </c>
      <c r="M42" s="61">
        <v>51782400</v>
      </c>
      <c r="N42" s="16">
        <v>0</v>
      </c>
      <c r="O42" s="43" t="str">
        <f t="shared" si="12"/>
        <v>Perkades</v>
      </c>
      <c r="P42" s="19">
        <v>1500000</v>
      </c>
      <c r="Q42" s="64">
        <v>0</v>
      </c>
      <c r="R42" s="43" t="str">
        <f t="shared" si="1"/>
        <v>Perkades</v>
      </c>
      <c r="S42" s="19">
        <v>0</v>
      </c>
      <c r="T42" s="64">
        <v>0</v>
      </c>
      <c r="U42" s="43" t="str">
        <f t="shared" si="2"/>
        <v>Perkades</v>
      </c>
      <c r="V42" s="19">
        <v>0</v>
      </c>
      <c r="W42" s="64">
        <v>288</v>
      </c>
      <c r="X42" s="43" t="str">
        <f t="shared" si="3"/>
        <v>Perkades</v>
      </c>
      <c r="Y42" s="19">
        <v>49929600</v>
      </c>
      <c r="Z42" s="50">
        <f t="shared" si="13"/>
        <v>288</v>
      </c>
      <c r="AA42" s="64" t="str">
        <f t="shared" si="14"/>
        <v>Perkades</v>
      </c>
      <c r="AB42" s="50">
        <f t="shared" si="15"/>
        <v>100</v>
      </c>
      <c r="AC42" s="31" t="s">
        <v>45</v>
      </c>
      <c r="AD42" s="37">
        <f t="shared" si="16"/>
        <v>51429600</v>
      </c>
      <c r="AE42" s="53">
        <f t="shared" si="17"/>
        <v>99.31868743047832</v>
      </c>
      <c r="AF42" s="31" t="s">
        <v>45</v>
      </c>
      <c r="AG42" s="142">
        <f t="shared" si="18"/>
        <v>576</v>
      </c>
      <c r="AH42" s="64" t="str">
        <f t="shared" si="19"/>
        <v>Perkades</v>
      </c>
      <c r="AI42" s="37">
        <f t="shared" si="20"/>
        <v>51429600</v>
      </c>
      <c r="AJ42" s="53"/>
      <c r="AK42" s="31" t="s">
        <v>45</v>
      </c>
      <c r="AL42" s="53"/>
      <c r="AM42" s="11"/>
      <c r="AP42" s="21"/>
    </row>
    <row r="43" spans="1:42" ht="127.5" customHeight="1" x14ac:dyDescent="0.2">
      <c r="A43" s="12"/>
      <c r="B43" s="13"/>
      <c r="C43" s="71" t="s">
        <v>93</v>
      </c>
      <c r="D43" s="72" t="s">
        <v>101</v>
      </c>
      <c r="E43" s="16">
        <v>288</v>
      </c>
      <c r="F43" s="43" t="s">
        <v>143</v>
      </c>
      <c r="G43" s="61">
        <v>17720000</v>
      </c>
      <c r="H43" s="16">
        <v>288</v>
      </c>
      <c r="I43" s="43" t="s">
        <v>143</v>
      </c>
      <c r="J43" s="18"/>
      <c r="K43" s="64">
        <v>288</v>
      </c>
      <c r="L43" s="43" t="s">
        <v>143</v>
      </c>
      <c r="M43" s="61">
        <v>17720000</v>
      </c>
      <c r="N43" s="16">
        <v>0</v>
      </c>
      <c r="O43" s="43" t="str">
        <f t="shared" si="12"/>
        <v>Anggota BPD</v>
      </c>
      <c r="P43" s="19">
        <v>1687500</v>
      </c>
      <c r="Q43" s="64">
        <v>288</v>
      </c>
      <c r="R43" s="43" t="str">
        <f t="shared" si="1"/>
        <v>Anggota BPD</v>
      </c>
      <c r="S43" s="19">
        <v>1312500</v>
      </c>
      <c r="T43" s="64">
        <v>0</v>
      </c>
      <c r="U43" s="43" t="str">
        <f t="shared" si="2"/>
        <v>Anggota BPD</v>
      </c>
      <c r="V43" s="19">
        <v>0</v>
      </c>
      <c r="W43" s="64">
        <v>0</v>
      </c>
      <c r="X43" s="43" t="str">
        <f t="shared" si="3"/>
        <v>Anggota BPD</v>
      </c>
      <c r="Y43" s="19">
        <v>11941250</v>
      </c>
      <c r="Z43" s="50">
        <f t="shared" si="13"/>
        <v>288</v>
      </c>
      <c r="AA43" s="64" t="str">
        <f t="shared" si="14"/>
        <v>Anggota BPD</v>
      </c>
      <c r="AB43" s="50">
        <f t="shared" si="15"/>
        <v>100</v>
      </c>
      <c r="AC43" s="31" t="s">
        <v>45</v>
      </c>
      <c r="AD43" s="37">
        <f t="shared" si="16"/>
        <v>14941250</v>
      </c>
      <c r="AE43" s="53">
        <f t="shared" si="17"/>
        <v>84.318566591422112</v>
      </c>
      <c r="AF43" s="31" t="s">
        <v>45</v>
      </c>
      <c r="AG43" s="142">
        <f t="shared" si="18"/>
        <v>576</v>
      </c>
      <c r="AH43" s="64" t="str">
        <f t="shared" si="19"/>
        <v>Anggota BPD</v>
      </c>
      <c r="AI43" s="37">
        <f t="shared" si="20"/>
        <v>14941250</v>
      </c>
      <c r="AJ43" s="53"/>
      <c r="AK43" s="31" t="s">
        <v>45</v>
      </c>
      <c r="AL43" s="53"/>
      <c r="AM43" s="11"/>
      <c r="AP43" s="21"/>
    </row>
    <row r="44" spans="1:42" ht="105" x14ac:dyDescent="0.2">
      <c r="A44" s="12"/>
      <c r="B44" s="13"/>
      <c r="C44" s="71" t="s">
        <v>94</v>
      </c>
      <c r="D44" s="145" t="s">
        <v>132</v>
      </c>
      <c r="E44" s="16">
        <v>33</v>
      </c>
      <c r="F44" s="43" t="s">
        <v>102</v>
      </c>
      <c r="G44" s="19">
        <f>48080000+33480000+48080000</f>
        <v>129640000</v>
      </c>
      <c r="H44" s="16">
        <v>11</v>
      </c>
      <c r="I44" s="43" t="s">
        <v>102</v>
      </c>
      <c r="J44" s="18"/>
      <c r="K44" s="64">
        <v>11</v>
      </c>
      <c r="L44" s="17" t="s">
        <v>102</v>
      </c>
      <c r="M44" s="61">
        <v>48080000</v>
      </c>
      <c r="N44" s="16">
        <v>0</v>
      </c>
      <c r="O44" s="17" t="str">
        <f t="shared" si="12"/>
        <v>Desa</v>
      </c>
      <c r="P44" s="19">
        <v>0</v>
      </c>
      <c r="Q44" s="64">
        <v>11</v>
      </c>
      <c r="R44" s="17" t="str">
        <f t="shared" si="1"/>
        <v>Desa</v>
      </c>
      <c r="S44" s="19">
        <v>9780000</v>
      </c>
      <c r="T44" s="64">
        <v>0</v>
      </c>
      <c r="U44" s="17" t="str">
        <f t="shared" si="2"/>
        <v>Desa</v>
      </c>
      <c r="V44" s="19">
        <v>29000000</v>
      </c>
      <c r="W44" s="64">
        <v>0</v>
      </c>
      <c r="X44" s="17" t="str">
        <f t="shared" si="3"/>
        <v>Desa</v>
      </c>
      <c r="Y44" s="19">
        <v>3640000</v>
      </c>
      <c r="Z44" s="50">
        <f t="shared" si="13"/>
        <v>11</v>
      </c>
      <c r="AA44" s="64" t="str">
        <f t="shared" si="14"/>
        <v>Desa</v>
      </c>
      <c r="AB44" s="50">
        <f t="shared" si="15"/>
        <v>100</v>
      </c>
      <c r="AC44" s="31" t="s">
        <v>45</v>
      </c>
      <c r="AD44" s="37">
        <f t="shared" si="16"/>
        <v>42420000</v>
      </c>
      <c r="AE44" s="53">
        <f t="shared" si="17"/>
        <v>88.227953410981698</v>
      </c>
      <c r="AF44" s="31" t="s">
        <v>45</v>
      </c>
      <c r="AG44" s="142">
        <f t="shared" si="18"/>
        <v>22</v>
      </c>
      <c r="AH44" s="64" t="str">
        <f t="shared" si="19"/>
        <v>Desa</v>
      </c>
      <c r="AI44" s="37">
        <f t="shared" si="20"/>
        <v>42420000</v>
      </c>
      <c r="AJ44" s="53"/>
      <c r="AK44" s="31" t="s">
        <v>45</v>
      </c>
      <c r="AL44" s="53"/>
      <c r="AM44" s="11"/>
      <c r="AP44" s="21"/>
    </row>
    <row r="45" spans="1:42" ht="157.5" x14ac:dyDescent="0.2">
      <c r="A45" s="12">
        <v>4</v>
      </c>
      <c r="B45" s="45" t="s">
        <v>138</v>
      </c>
      <c r="C45" s="14" t="s">
        <v>95</v>
      </c>
      <c r="D45" s="15" t="s">
        <v>133</v>
      </c>
      <c r="E45" s="41">
        <f>65/144*100</f>
        <v>45.138888888888893</v>
      </c>
      <c r="F45" s="42" t="s">
        <v>45</v>
      </c>
      <c r="G45" s="38">
        <v>2271995600</v>
      </c>
      <c r="H45" s="52">
        <f>20/144*100</f>
        <v>13.888888888888889</v>
      </c>
      <c r="I45" s="42" t="s">
        <v>45</v>
      </c>
      <c r="J45" s="38">
        <v>2271995600</v>
      </c>
      <c r="K45" s="46">
        <f>35/144*100</f>
        <v>24.305555555555554</v>
      </c>
      <c r="L45" s="42" t="s">
        <v>45</v>
      </c>
      <c r="M45" s="38">
        <f>SUM(M46:M48)</f>
        <v>826781738</v>
      </c>
      <c r="N45" s="46">
        <v>0</v>
      </c>
      <c r="O45" s="42" t="str">
        <f t="shared" si="12"/>
        <v>%</v>
      </c>
      <c r="P45" s="38">
        <f>P46</f>
        <v>59490000</v>
      </c>
      <c r="Q45" s="46">
        <f>24/144*100</f>
        <v>16.666666666666664</v>
      </c>
      <c r="R45" s="42" t="str">
        <f t="shared" si="1"/>
        <v>%</v>
      </c>
      <c r="S45" s="38">
        <f>S46</f>
        <v>110330000</v>
      </c>
      <c r="T45" s="46">
        <v>0</v>
      </c>
      <c r="U45" s="42" t="str">
        <f t="shared" si="2"/>
        <v>%</v>
      </c>
      <c r="V45" s="38">
        <f>V46</f>
        <v>49651000</v>
      </c>
      <c r="W45" s="46">
        <v>0</v>
      </c>
      <c r="X45" s="42" t="str">
        <f t="shared" si="3"/>
        <v>%</v>
      </c>
      <c r="Y45" s="38">
        <f>Y46</f>
        <v>340986500</v>
      </c>
      <c r="Z45" s="52">
        <f t="shared" si="13"/>
        <v>16.666666666666664</v>
      </c>
      <c r="AA45" s="74" t="str">
        <f t="shared" si="14"/>
        <v>%</v>
      </c>
      <c r="AB45" s="52">
        <f>AG45/K45*100</f>
        <v>125.71428571428571</v>
      </c>
      <c r="AC45" s="49" t="s">
        <v>45</v>
      </c>
      <c r="AD45" s="48">
        <f t="shared" si="16"/>
        <v>560457500</v>
      </c>
      <c r="AE45" s="52">
        <f t="shared" si="17"/>
        <v>67.787842212838029</v>
      </c>
      <c r="AF45" s="49" t="s">
        <v>45</v>
      </c>
      <c r="AG45" s="52">
        <f t="shared" si="18"/>
        <v>30.555555555555554</v>
      </c>
      <c r="AH45" s="74" t="str">
        <f t="shared" si="19"/>
        <v>%</v>
      </c>
      <c r="AI45" s="48">
        <f t="shared" si="20"/>
        <v>2832453100</v>
      </c>
      <c r="AJ45" s="52"/>
      <c r="AK45" s="49" t="s">
        <v>45</v>
      </c>
      <c r="AL45" s="53"/>
      <c r="AM45" s="11"/>
      <c r="AP45" s="21"/>
    </row>
    <row r="46" spans="1:42" ht="339" customHeight="1" x14ac:dyDescent="0.2">
      <c r="A46" s="12"/>
      <c r="B46" s="13"/>
      <c r="C46" s="73" t="s">
        <v>183</v>
      </c>
      <c r="D46" s="15" t="s">
        <v>134</v>
      </c>
      <c r="E46" s="41">
        <f>1438/1627*100</f>
        <v>88.383527965580825</v>
      </c>
      <c r="F46" s="47" t="s">
        <v>45</v>
      </c>
      <c r="G46" s="38">
        <f>SUM(G47:G49)</f>
        <v>2149518676</v>
      </c>
      <c r="H46" s="132">
        <f>1258/1627*100</f>
        <v>77.320221266133998</v>
      </c>
      <c r="I46" s="42" t="s">
        <v>45</v>
      </c>
      <c r="J46" s="38">
        <f>SUM(J47:J49)</f>
        <v>0</v>
      </c>
      <c r="K46" s="46">
        <f>1318/1627*100</f>
        <v>81.007990165949607</v>
      </c>
      <c r="L46" s="42" t="s">
        <v>45</v>
      </c>
      <c r="M46" s="38">
        <f>SUM(M47:M49)</f>
        <v>728892438</v>
      </c>
      <c r="N46" s="46">
        <f>5/1627*100</f>
        <v>0.30731407498463426</v>
      </c>
      <c r="O46" s="42" t="str">
        <f t="shared" si="12"/>
        <v>%</v>
      </c>
      <c r="P46" s="38">
        <f>SUM(P47:P49)</f>
        <v>59490000</v>
      </c>
      <c r="Q46" s="46">
        <f>20/1627*100</f>
        <v>1.229256299938537</v>
      </c>
      <c r="R46" s="42" t="str">
        <f t="shared" si="1"/>
        <v>%</v>
      </c>
      <c r="S46" s="38">
        <f>SUM(S47:S49)</f>
        <v>110330000</v>
      </c>
      <c r="T46" s="46">
        <f>20/1627*100</f>
        <v>1.229256299938537</v>
      </c>
      <c r="U46" s="42" t="str">
        <f t="shared" si="2"/>
        <v>%</v>
      </c>
      <c r="V46" s="38">
        <f>SUM(V47:V49)</f>
        <v>49651000</v>
      </c>
      <c r="W46" s="46">
        <f>15/1627*100</f>
        <v>0.92194222495390299</v>
      </c>
      <c r="X46" s="42" t="str">
        <f t="shared" si="3"/>
        <v>%</v>
      </c>
      <c r="Y46" s="38">
        <f>SUM(Y47:Y49)</f>
        <v>340986500</v>
      </c>
      <c r="Z46" s="52">
        <f t="shared" si="13"/>
        <v>3.6877688998156115</v>
      </c>
      <c r="AA46" s="74" t="str">
        <f t="shared" si="14"/>
        <v>%</v>
      </c>
      <c r="AB46" s="52">
        <f>AG46/K46*100</f>
        <v>100</v>
      </c>
      <c r="AC46" s="49" t="s">
        <v>45</v>
      </c>
      <c r="AD46" s="48">
        <f t="shared" si="16"/>
        <v>560457500</v>
      </c>
      <c r="AE46" s="52">
        <f t="shared" si="17"/>
        <v>76.891660659538914</v>
      </c>
      <c r="AF46" s="49" t="s">
        <v>45</v>
      </c>
      <c r="AG46" s="52">
        <f t="shared" si="18"/>
        <v>81.007990165949607</v>
      </c>
      <c r="AH46" s="74" t="str">
        <f t="shared" si="19"/>
        <v>%</v>
      </c>
      <c r="AI46" s="48">
        <f t="shared" si="20"/>
        <v>560457500</v>
      </c>
      <c r="AJ46" s="52"/>
      <c r="AK46" s="49" t="s">
        <v>45</v>
      </c>
      <c r="AL46" s="52"/>
      <c r="AM46" s="11"/>
      <c r="AP46" s="21"/>
    </row>
    <row r="47" spans="1:42" ht="288" customHeight="1" x14ac:dyDescent="0.2">
      <c r="A47" s="12"/>
      <c r="B47" s="13"/>
      <c r="C47" s="71" t="s">
        <v>181</v>
      </c>
      <c r="D47" s="72" t="s">
        <v>182</v>
      </c>
      <c r="E47" s="16">
        <v>148</v>
      </c>
      <c r="F47" s="43" t="s">
        <v>144</v>
      </c>
      <c r="G47" s="19">
        <f>75008800+54875000+75008800</f>
        <v>204892600</v>
      </c>
      <c r="H47" s="93">
        <v>126</v>
      </c>
      <c r="I47" s="84" t="s">
        <v>139</v>
      </c>
      <c r="J47" s="18"/>
      <c r="K47" s="92">
        <v>286</v>
      </c>
      <c r="L47" s="84" t="s">
        <v>139</v>
      </c>
      <c r="M47" s="85">
        <v>75008800</v>
      </c>
      <c r="N47" s="86">
        <v>0</v>
      </c>
      <c r="O47" s="84" t="str">
        <f t="shared" si="12"/>
        <v>posyandu</v>
      </c>
      <c r="P47" s="87">
        <v>0</v>
      </c>
      <c r="Q47" s="86">
        <v>286</v>
      </c>
      <c r="R47" s="84" t="str">
        <f t="shared" si="1"/>
        <v>posyandu</v>
      </c>
      <c r="S47" s="19">
        <v>10562500</v>
      </c>
      <c r="T47" s="86">
        <v>0</v>
      </c>
      <c r="U47" s="84" t="str">
        <f t="shared" si="2"/>
        <v>posyandu</v>
      </c>
      <c r="V47" s="19">
        <v>4312500</v>
      </c>
      <c r="W47" s="86">
        <v>0</v>
      </c>
      <c r="X47" s="84" t="str">
        <f t="shared" si="3"/>
        <v>posyandu</v>
      </c>
      <c r="Y47" s="19">
        <v>35250000</v>
      </c>
      <c r="Z47" s="50">
        <f t="shared" si="13"/>
        <v>286</v>
      </c>
      <c r="AA47" s="64" t="str">
        <f t="shared" si="14"/>
        <v>posyandu</v>
      </c>
      <c r="AB47" s="50">
        <f t="shared" si="15"/>
        <v>100</v>
      </c>
      <c r="AC47" s="31" t="s">
        <v>45</v>
      </c>
      <c r="AD47" s="37">
        <f t="shared" si="16"/>
        <v>50125000</v>
      </c>
      <c r="AE47" s="53">
        <f t="shared" si="17"/>
        <v>66.825492475549524</v>
      </c>
      <c r="AF47" s="31" t="s">
        <v>45</v>
      </c>
      <c r="AG47" s="50">
        <f t="shared" si="18"/>
        <v>412</v>
      </c>
      <c r="AH47" s="64" t="str">
        <f t="shared" si="19"/>
        <v>posyandu</v>
      </c>
      <c r="AI47" s="37">
        <f t="shared" si="20"/>
        <v>50125000</v>
      </c>
      <c r="AJ47" s="53"/>
      <c r="AK47" s="31" t="s">
        <v>45</v>
      </c>
      <c r="AL47" s="53"/>
      <c r="AM47" s="11"/>
      <c r="AP47" s="21"/>
    </row>
    <row r="48" spans="1:42" ht="135" x14ac:dyDescent="0.2">
      <c r="A48" s="12"/>
      <c r="B48" s="13"/>
      <c r="C48" s="71" t="s">
        <v>107</v>
      </c>
      <c r="D48" s="72" t="s">
        <v>103</v>
      </c>
      <c r="E48" s="16">
        <v>9</v>
      </c>
      <c r="F48" s="43" t="s">
        <v>104</v>
      </c>
      <c r="G48" s="19">
        <f>22880500+5877500+22880500</f>
        <v>51638500</v>
      </c>
      <c r="H48" s="16">
        <v>0</v>
      </c>
      <c r="I48" s="43" t="s">
        <v>104</v>
      </c>
      <c r="J48" s="18"/>
      <c r="K48" s="64">
        <v>3</v>
      </c>
      <c r="L48" s="17" t="s">
        <v>104</v>
      </c>
      <c r="M48" s="61">
        <v>22880500</v>
      </c>
      <c r="N48" s="16">
        <v>0</v>
      </c>
      <c r="O48" s="17" t="str">
        <f t="shared" si="12"/>
        <v>Inovasi</v>
      </c>
      <c r="P48" s="19">
        <v>0</v>
      </c>
      <c r="Q48" s="16">
        <v>0</v>
      </c>
      <c r="R48" s="17" t="str">
        <f t="shared" si="1"/>
        <v>Inovasi</v>
      </c>
      <c r="S48" s="19">
        <v>0</v>
      </c>
      <c r="T48" s="16">
        <v>0</v>
      </c>
      <c r="U48" s="17" t="str">
        <f t="shared" si="2"/>
        <v>Inovasi</v>
      </c>
      <c r="V48" s="19">
        <v>0</v>
      </c>
      <c r="W48" s="16">
        <v>3</v>
      </c>
      <c r="X48" s="17" t="str">
        <f t="shared" si="3"/>
        <v>Inovasi</v>
      </c>
      <c r="Y48" s="19">
        <v>19240000</v>
      </c>
      <c r="Z48" s="50">
        <f t="shared" si="13"/>
        <v>3</v>
      </c>
      <c r="AA48" s="64" t="str">
        <f t="shared" si="14"/>
        <v>Inovasi</v>
      </c>
      <c r="AB48" s="50">
        <f t="shared" si="15"/>
        <v>100</v>
      </c>
      <c r="AC48" s="31" t="s">
        <v>45</v>
      </c>
      <c r="AD48" s="37">
        <f t="shared" si="16"/>
        <v>19240000</v>
      </c>
      <c r="AE48" s="53">
        <f t="shared" si="17"/>
        <v>84.089071480081287</v>
      </c>
      <c r="AF48" s="31" t="s">
        <v>45</v>
      </c>
      <c r="AG48" s="50">
        <f t="shared" si="18"/>
        <v>3</v>
      </c>
      <c r="AH48" s="64" t="str">
        <f t="shared" si="19"/>
        <v>Inovasi</v>
      </c>
      <c r="AI48" s="37">
        <f t="shared" si="20"/>
        <v>19240000</v>
      </c>
      <c r="AJ48" s="53"/>
      <c r="AK48" s="31" t="s">
        <v>45</v>
      </c>
      <c r="AL48" s="53"/>
      <c r="AM48" s="11"/>
      <c r="AP48" s="21"/>
    </row>
    <row r="49" spans="1:42" ht="211.5" customHeight="1" x14ac:dyDescent="0.2">
      <c r="A49" s="12"/>
      <c r="B49" s="13"/>
      <c r="C49" s="71" t="s">
        <v>96</v>
      </c>
      <c r="D49" s="72" t="s">
        <v>135</v>
      </c>
      <c r="E49" s="16">
        <v>13</v>
      </c>
      <c r="F49" s="43" t="s">
        <v>145</v>
      </c>
      <c r="G49" s="19">
        <f>631003138+630981300+631003138</f>
        <v>1892987576</v>
      </c>
      <c r="H49" s="16">
        <v>13</v>
      </c>
      <c r="I49" s="43" t="s">
        <v>145</v>
      </c>
      <c r="J49" s="18"/>
      <c r="K49" s="92">
        <v>13</v>
      </c>
      <c r="L49" s="84" t="s">
        <v>140</v>
      </c>
      <c r="M49" s="85">
        <v>631003138</v>
      </c>
      <c r="N49" s="86">
        <v>0</v>
      </c>
      <c r="O49" s="84" t="str">
        <f t="shared" si="12"/>
        <v>Program TP PKK</v>
      </c>
      <c r="P49" s="87">
        <v>59490000</v>
      </c>
      <c r="Q49" s="86">
        <v>12</v>
      </c>
      <c r="R49" s="84" t="str">
        <f t="shared" si="1"/>
        <v>Program TP PKK</v>
      </c>
      <c r="S49" s="19">
        <v>99767500</v>
      </c>
      <c r="T49" s="86">
        <v>0</v>
      </c>
      <c r="U49" s="84" t="str">
        <f t="shared" si="2"/>
        <v>Program TP PKK</v>
      </c>
      <c r="V49" s="19">
        <v>45338500</v>
      </c>
      <c r="W49" s="86">
        <v>1</v>
      </c>
      <c r="X49" s="84" t="str">
        <f t="shared" si="3"/>
        <v>Program TP PKK</v>
      </c>
      <c r="Y49" s="19">
        <v>286496500</v>
      </c>
      <c r="Z49" s="50">
        <f t="shared" si="13"/>
        <v>13</v>
      </c>
      <c r="AA49" s="64" t="str">
        <f t="shared" si="14"/>
        <v>Program TP PKK</v>
      </c>
      <c r="AB49" s="50">
        <f t="shared" si="15"/>
        <v>100</v>
      </c>
      <c r="AC49" s="31" t="s">
        <v>45</v>
      </c>
      <c r="AD49" s="37">
        <f t="shared" si="16"/>
        <v>491092500</v>
      </c>
      <c r="AE49" s="53">
        <f t="shared" si="17"/>
        <v>77.827267477075523</v>
      </c>
      <c r="AF49" s="31" t="s">
        <v>45</v>
      </c>
      <c r="AG49" s="50">
        <f t="shared" si="18"/>
        <v>26</v>
      </c>
      <c r="AH49" s="64" t="str">
        <f t="shared" si="19"/>
        <v>Program TP PKK</v>
      </c>
      <c r="AI49" s="37">
        <f t="shared" si="20"/>
        <v>491092500</v>
      </c>
      <c r="AJ49" s="53"/>
      <c r="AK49" s="31" t="s">
        <v>45</v>
      </c>
      <c r="AL49" s="53"/>
      <c r="AM49" s="11"/>
      <c r="AP49" s="21"/>
    </row>
    <row r="50" spans="1:42" ht="15" x14ac:dyDescent="0.2">
      <c r="A50" s="186" t="s">
        <v>22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8"/>
      <c r="AB50" s="68">
        <f>AVERAGE(AB13:AB49)</f>
        <v>99.957879957879953</v>
      </c>
      <c r="AC50" s="65"/>
      <c r="AD50" s="55"/>
      <c r="AE50" s="68">
        <f>AVERAGE(AE13,AE37,AE40,AE45)</f>
        <v>84.813633129155065</v>
      </c>
      <c r="AF50" s="66"/>
      <c r="AG50" s="55"/>
      <c r="AH50" s="76"/>
      <c r="AI50" s="55"/>
      <c r="AJ50" s="55"/>
      <c r="AK50" s="54"/>
      <c r="AL50" s="56"/>
      <c r="AM50" s="11"/>
    </row>
    <row r="51" spans="1:42" ht="15" x14ac:dyDescent="0.2">
      <c r="A51" s="186" t="s">
        <v>23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8"/>
      <c r="AB51" s="27" t="str">
        <f>IF(AB50&gt;=91,"Sangat Tinggi",IF(AB50&gt;=76,"Tinggi",IF(AB50&gt;=66,"Sedang",IF(AB50&gt;=51,"Rendah",IF(AB50&lt;=50,"Sangat Rendah")))))</f>
        <v>Sangat Tinggi</v>
      </c>
      <c r="AC51" s="65"/>
      <c r="AD51" s="58"/>
      <c r="AE51" s="27" t="str">
        <f>IF(AE50&gt;=91,"Sangat Tinggi",IF(AE50&gt;=76,"Tinggi",IF(AE50&gt;=66,"Sedang",IF(AE50&gt;=51,"Rendah",IF(AE50&lt;=50,"Sangat Rendah")))))</f>
        <v>Tinggi</v>
      </c>
      <c r="AF51" s="66"/>
      <c r="AG51" s="57"/>
      <c r="AH51" s="76"/>
      <c r="AI51" s="58"/>
      <c r="AJ51" s="57"/>
      <c r="AK51" s="54"/>
      <c r="AL51" s="59"/>
      <c r="AM51" s="11"/>
    </row>
    <row r="52" spans="1:42" ht="15" x14ac:dyDescent="0.2">
      <c r="A52" s="178" t="s">
        <v>178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1"/>
    </row>
    <row r="53" spans="1:42" ht="15" x14ac:dyDescent="0.2">
      <c r="A53" s="178" t="s">
        <v>179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1"/>
    </row>
    <row r="54" spans="1:42" ht="15" x14ac:dyDescent="0.2">
      <c r="A54" s="178" t="s">
        <v>180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1"/>
    </row>
    <row r="55" spans="1:42" ht="15" x14ac:dyDescent="0.2">
      <c r="A55" s="178" t="s">
        <v>24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28"/>
    </row>
    <row r="56" spans="1:42" ht="15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77"/>
      <c r="AB56" s="29"/>
      <c r="AC56" s="30"/>
      <c r="AD56" s="29"/>
      <c r="AE56" s="29"/>
      <c r="AF56" s="30"/>
      <c r="AG56" s="29"/>
      <c r="AH56" s="77"/>
      <c r="AI56" s="29"/>
      <c r="AJ56" s="29"/>
      <c r="AK56" s="30"/>
      <c r="AL56" s="29"/>
    </row>
    <row r="57" spans="1:42" ht="15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190" t="s">
        <v>51</v>
      </c>
      <c r="AA57" s="190"/>
      <c r="AB57" s="190"/>
      <c r="AC57" s="190"/>
      <c r="AD57" s="190"/>
      <c r="AE57" s="190"/>
      <c r="AF57" s="30"/>
      <c r="AG57" s="29"/>
      <c r="AH57" s="190" t="s">
        <v>52</v>
      </c>
      <c r="AI57" s="190"/>
      <c r="AJ57" s="190"/>
      <c r="AK57" s="190"/>
      <c r="AL57" s="190"/>
      <c r="AM57" s="190"/>
    </row>
    <row r="58" spans="1:42" ht="15.75" x14ac:dyDescent="0.25">
      <c r="A58" s="35"/>
      <c r="B58" s="36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190" t="s">
        <v>187</v>
      </c>
      <c r="AA58" s="190"/>
      <c r="AB58" s="190"/>
      <c r="AC58" s="190"/>
      <c r="AD58" s="190"/>
      <c r="AE58" s="190"/>
      <c r="AF58" s="30"/>
      <c r="AG58" s="29"/>
      <c r="AH58" s="190" t="s">
        <v>188</v>
      </c>
      <c r="AI58" s="190"/>
      <c r="AJ58" s="190"/>
      <c r="AK58" s="190"/>
      <c r="AL58" s="190"/>
      <c r="AM58" s="190"/>
    </row>
    <row r="59" spans="1:42" ht="15" x14ac:dyDescent="0.2">
      <c r="Z59" s="190" t="s">
        <v>57</v>
      </c>
      <c r="AA59" s="190"/>
      <c r="AB59" s="190"/>
      <c r="AC59" s="190"/>
      <c r="AD59" s="190"/>
      <c r="AE59" s="190"/>
      <c r="AH59" s="190" t="s">
        <v>53</v>
      </c>
      <c r="AI59" s="190"/>
      <c r="AJ59" s="190"/>
      <c r="AK59" s="190"/>
      <c r="AL59" s="190"/>
      <c r="AM59" s="190"/>
    </row>
    <row r="60" spans="1:42" ht="15" x14ac:dyDescent="0.2">
      <c r="Z60" s="190" t="s">
        <v>54</v>
      </c>
      <c r="AA60" s="190"/>
      <c r="AB60" s="190"/>
      <c r="AC60" s="190"/>
      <c r="AD60" s="190"/>
      <c r="AE60" s="190"/>
      <c r="AH60" s="190" t="s">
        <v>54</v>
      </c>
      <c r="AI60" s="190"/>
      <c r="AJ60" s="190"/>
      <c r="AK60" s="190"/>
      <c r="AL60" s="190"/>
      <c r="AM60" s="190"/>
    </row>
    <row r="61" spans="1:42" ht="51" x14ac:dyDescent="0.2">
      <c r="A61" s="32" t="s">
        <v>25</v>
      </c>
      <c r="B61" s="32" t="s">
        <v>26</v>
      </c>
      <c r="C61" s="32" t="s">
        <v>27</v>
      </c>
      <c r="Z61" s="29"/>
      <c r="AA61" s="77"/>
      <c r="AB61" s="29"/>
      <c r="AC61" s="30"/>
      <c r="AD61" s="29"/>
      <c r="AH61" s="78"/>
      <c r="AI61" s="30"/>
      <c r="AJ61" s="29"/>
      <c r="AK61" s="30"/>
      <c r="AL61" s="29"/>
    </row>
    <row r="62" spans="1:42" ht="25.5" x14ac:dyDescent="0.25">
      <c r="A62" s="33" t="s">
        <v>28</v>
      </c>
      <c r="B62" s="33" t="s">
        <v>29</v>
      </c>
      <c r="C62" s="33" t="s">
        <v>30</v>
      </c>
      <c r="Z62" s="191" t="s">
        <v>58</v>
      </c>
      <c r="AA62" s="191"/>
      <c r="AB62" s="191"/>
      <c r="AC62" s="191"/>
      <c r="AD62" s="191"/>
      <c r="AE62" s="191"/>
      <c r="AH62" s="191" t="s">
        <v>55</v>
      </c>
      <c r="AI62" s="191"/>
      <c r="AJ62" s="191"/>
      <c r="AK62" s="191"/>
      <c r="AL62" s="191"/>
      <c r="AM62" s="191"/>
    </row>
    <row r="63" spans="1:42" ht="25.5" x14ac:dyDescent="0.2">
      <c r="A63" s="33" t="s">
        <v>31</v>
      </c>
      <c r="B63" s="33" t="s">
        <v>32</v>
      </c>
      <c r="C63" s="33" t="s">
        <v>33</v>
      </c>
      <c r="Z63" s="192" t="s">
        <v>59</v>
      </c>
      <c r="AA63" s="192"/>
      <c r="AB63" s="192"/>
      <c r="AC63" s="192"/>
      <c r="AD63" s="192"/>
      <c r="AE63" s="192"/>
      <c r="AH63" s="192" t="s">
        <v>56</v>
      </c>
      <c r="AI63" s="192"/>
      <c r="AJ63" s="192"/>
      <c r="AK63" s="192"/>
      <c r="AL63" s="192"/>
      <c r="AM63" s="192"/>
    </row>
    <row r="64" spans="1:42" ht="25.5" x14ac:dyDescent="0.2">
      <c r="A64" s="33" t="s">
        <v>34</v>
      </c>
      <c r="B64" s="33" t="s">
        <v>35</v>
      </c>
      <c r="C64" s="33" t="s">
        <v>36</v>
      </c>
    </row>
    <row r="65" spans="1:3" ht="25.5" x14ac:dyDescent="0.2">
      <c r="A65" s="33" t="s">
        <v>37</v>
      </c>
      <c r="B65" s="33" t="s">
        <v>38</v>
      </c>
      <c r="C65" s="33" t="s">
        <v>39</v>
      </c>
    </row>
    <row r="66" spans="1:3" ht="25.5" x14ac:dyDescent="0.2">
      <c r="A66" s="33" t="s">
        <v>40</v>
      </c>
      <c r="B66" s="34" t="s">
        <v>41</v>
      </c>
      <c r="C66" s="33" t="s">
        <v>42</v>
      </c>
    </row>
  </sheetData>
  <mergeCells count="82">
    <mergeCell ref="Z60:AE60"/>
    <mergeCell ref="AH60:AM60"/>
    <mergeCell ref="Z62:AE62"/>
    <mergeCell ref="AH62:AM62"/>
    <mergeCell ref="Z63:AE63"/>
    <mergeCell ref="AH63:AM63"/>
    <mergeCell ref="Z57:AE57"/>
    <mergeCell ref="AH57:AM57"/>
    <mergeCell ref="Z58:AE58"/>
    <mergeCell ref="AH58:AM58"/>
    <mergeCell ref="Z59:AE59"/>
    <mergeCell ref="AH59:AM59"/>
    <mergeCell ref="A51:AA51"/>
    <mergeCell ref="A53:AL53"/>
    <mergeCell ref="A54:AL54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  <mergeCell ref="A55:AL55"/>
    <mergeCell ref="A52:AL52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50:AA50"/>
    <mergeCell ref="AJ11:AK11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workbookViewId="0">
      <selection activeCell="C23" sqref="C23"/>
    </sheetView>
  </sheetViews>
  <sheetFormatPr defaultRowHeight="15" x14ac:dyDescent="0.25"/>
  <cols>
    <col min="1" max="1" width="14.7109375" bestFit="1" customWidth="1"/>
    <col min="2" max="2" width="24.28515625" customWidth="1"/>
    <col min="3" max="3" width="53" bestFit="1" customWidth="1"/>
    <col min="4" max="4" width="61.140625" bestFit="1" customWidth="1"/>
  </cols>
  <sheetData>
    <row r="2" spans="1:3" x14ac:dyDescent="0.25">
      <c r="A2" t="s">
        <v>146</v>
      </c>
    </row>
    <row r="3" spans="1:3" x14ac:dyDescent="0.25">
      <c r="A3" t="s">
        <v>147</v>
      </c>
      <c r="B3" t="s">
        <v>148</v>
      </c>
      <c r="C3" t="s">
        <v>155</v>
      </c>
    </row>
    <row r="4" spans="1:3" ht="26.25" customHeight="1" x14ac:dyDescent="0.25">
      <c r="B4" t="s">
        <v>149</v>
      </c>
      <c r="C4" t="s">
        <v>157</v>
      </c>
    </row>
    <row r="5" spans="1:3" x14ac:dyDescent="0.25">
      <c r="B5" t="s">
        <v>150</v>
      </c>
      <c r="C5" t="s">
        <v>156</v>
      </c>
    </row>
    <row r="7" spans="1:3" x14ac:dyDescent="0.25">
      <c r="A7" t="s">
        <v>152</v>
      </c>
      <c r="B7" t="s">
        <v>148</v>
      </c>
      <c r="C7" t="s">
        <v>158</v>
      </c>
    </row>
    <row r="8" spans="1:3" x14ac:dyDescent="0.25">
      <c r="B8" t="s">
        <v>149</v>
      </c>
      <c r="C8" t="s">
        <v>151</v>
      </c>
    </row>
    <row r="9" spans="1:3" x14ac:dyDescent="0.25">
      <c r="B9" t="s">
        <v>153</v>
      </c>
      <c r="C9" t="s">
        <v>154</v>
      </c>
    </row>
    <row r="11" spans="1:3" x14ac:dyDescent="0.25">
      <c r="A11" t="s">
        <v>152</v>
      </c>
      <c r="B11" t="s">
        <v>148</v>
      </c>
    </row>
    <row r="12" spans="1:3" x14ac:dyDescent="0.25">
      <c r="B12" t="s">
        <v>149</v>
      </c>
    </row>
    <row r="13" spans="1:3" x14ac:dyDescent="0.25">
      <c r="B13" t="s">
        <v>153</v>
      </c>
    </row>
    <row r="15" spans="1:3" ht="15.75" thickBot="1" x14ac:dyDescent="0.3"/>
    <row r="16" spans="1:3" ht="31.5" x14ac:dyDescent="0.25">
      <c r="A16" s="99" t="s">
        <v>159</v>
      </c>
      <c r="B16" s="99" t="s">
        <v>160</v>
      </c>
      <c r="C16" s="101" t="s">
        <v>161</v>
      </c>
    </row>
    <row r="17" spans="1:3" ht="16.5" thickBot="1" x14ac:dyDescent="0.3">
      <c r="A17" s="109"/>
      <c r="B17" s="109"/>
      <c r="C17" s="102" t="s">
        <v>162</v>
      </c>
    </row>
    <row r="18" spans="1:3" ht="47.25" customHeight="1" x14ac:dyDescent="0.25">
      <c r="A18" s="193" t="s">
        <v>163</v>
      </c>
      <c r="B18" s="195" t="s">
        <v>160</v>
      </c>
      <c r="C18" s="193" t="s">
        <v>164</v>
      </c>
    </row>
    <row r="19" spans="1:3" ht="15.75" thickBot="1" x14ac:dyDescent="0.3">
      <c r="A19" s="194"/>
      <c r="B19" s="196"/>
      <c r="C19" s="194"/>
    </row>
    <row r="20" spans="1:3" ht="47.25" x14ac:dyDescent="0.25">
      <c r="A20" s="103" t="s">
        <v>165</v>
      </c>
      <c r="B20" s="104" t="s">
        <v>160</v>
      </c>
      <c r="C20" s="105" t="s">
        <v>167</v>
      </c>
    </row>
    <row r="21" spans="1:3" ht="15.75" x14ac:dyDescent="0.25">
      <c r="A21" s="103"/>
      <c r="B21" s="104"/>
      <c r="C21" s="105" t="s">
        <v>168</v>
      </c>
    </row>
    <row r="22" spans="1:3" ht="15.75" x14ac:dyDescent="0.25">
      <c r="A22" s="103"/>
      <c r="B22" s="104"/>
      <c r="C22" s="105"/>
    </row>
    <row r="23" spans="1:3" ht="47.25" x14ac:dyDescent="0.25">
      <c r="A23" s="103" t="s">
        <v>166</v>
      </c>
      <c r="B23" s="104"/>
      <c r="C23" s="105" t="s">
        <v>169</v>
      </c>
    </row>
    <row r="24" spans="1:3" ht="16.5" thickBot="1" x14ac:dyDescent="0.3">
      <c r="A24" s="106"/>
      <c r="B24" s="107" t="s">
        <v>160</v>
      </c>
      <c r="C24" s="108"/>
    </row>
  </sheetData>
  <mergeCells count="3">
    <mergeCell ref="A18:A19"/>
    <mergeCell ref="B18:B19"/>
    <mergeCell ref="C18:C19"/>
  </mergeCells>
  <pageMargins left="0.7" right="0.7" top="0.75" bottom="0.75" header="0.3" footer="0.3"/>
  <pageSetup paperSize="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4" sqref="C14"/>
    </sheetView>
  </sheetViews>
  <sheetFormatPr defaultRowHeight="15" x14ac:dyDescent="0.25"/>
  <cols>
    <col min="1" max="1" width="13.42578125" customWidth="1"/>
    <col min="2" max="2" width="30.85546875" style="110" customWidth="1"/>
    <col min="3" max="3" width="40.42578125" customWidth="1"/>
    <col min="4" max="4" width="51.85546875" style="110" customWidth="1"/>
  </cols>
  <sheetData>
    <row r="1" spans="1:4" ht="15.75" thickBot="1" x14ac:dyDescent="0.3"/>
    <row r="2" spans="1:4" ht="40.5" customHeight="1" thickBot="1" x14ac:dyDescent="0.3">
      <c r="A2" s="115" t="s">
        <v>172</v>
      </c>
      <c r="B2" s="125" t="s">
        <v>147</v>
      </c>
      <c r="C2" s="129" t="s">
        <v>148</v>
      </c>
      <c r="D2" s="130" t="s">
        <v>155</v>
      </c>
    </row>
    <row r="3" spans="1:4" ht="40.5" customHeight="1" thickBot="1" x14ac:dyDescent="0.3">
      <c r="A3" s="116"/>
      <c r="B3" s="126"/>
      <c r="C3" s="131" t="s">
        <v>149</v>
      </c>
      <c r="D3" s="122" t="s">
        <v>157</v>
      </c>
    </row>
    <row r="4" spans="1:4" ht="40.5" customHeight="1" thickBot="1" x14ac:dyDescent="0.3">
      <c r="A4" s="116"/>
      <c r="B4" s="127"/>
      <c r="C4" s="123" t="s">
        <v>150</v>
      </c>
      <c r="D4" s="124" t="s">
        <v>156</v>
      </c>
    </row>
    <row r="5" spans="1:4" ht="30" customHeight="1" thickBot="1" x14ac:dyDescent="0.3">
      <c r="A5" s="116"/>
      <c r="B5" s="125" t="s">
        <v>152</v>
      </c>
      <c r="C5" s="115" t="s">
        <v>148</v>
      </c>
      <c r="D5" s="112" t="s">
        <v>158</v>
      </c>
    </row>
    <row r="6" spans="1:4" ht="30" customHeight="1" thickBot="1" x14ac:dyDescent="0.3">
      <c r="A6" s="116"/>
      <c r="B6" s="126"/>
      <c r="C6" s="128" t="s">
        <v>149</v>
      </c>
      <c r="D6" s="119" t="s">
        <v>151</v>
      </c>
    </row>
    <row r="7" spans="1:4" ht="30" customHeight="1" thickBot="1" x14ac:dyDescent="0.3">
      <c r="A7" s="116"/>
      <c r="B7" s="127"/>
      <c r="C7" s="100" t="s">
        <v>153</v>
      </c>
      <c r="D7" s="114" t="s">
        <v>154</v>
      </c>
    </row>
    <row r="8" spans="1:4" x14ac:dyDescent="0.25">
      <c r="A8" s="116"/>
      <c r="B8" s="111"/>
      <c r="C8" s="116"/>
      <c r="D8" s="113"/>
    </row>
    <row r="9" spans="1:4" x14ac:dyDescent="0.25">
      <c r="A9" s="116"/>
      <c r="B9" s="111" t="s">
        <v>170</v>
      </c>
      <c r="C9" s="116"/>
      <c r="D9" s="113" t="s">
        <v>171</v>
      </c>
    </row>
    <row r="10" spans="1:4" ht="15.75" thickBot="1" x14ac:dyDescent="0.3">
      <c r="A10" s="100"/>
      <c r="B10" s="118"/>
      <c r="C10" s="100"/>
      <c r="D10" s="114"/>
    </row>
    <row r="12" spans="1:4" ht="15.75" thickBot="1" x14ac:dyDescent="0.3"/>
    <row r="13" spans="1:4" ht="60.75" customHeight="1" thickBot="1" x14ac:dyDescent="0.3">
      <c r="A13" s="115" t="s">
        <v>173</v>
      </c>
      <c r="B13" s="117" t="s">
        <v>174</v>
      </c>
      <c r="C13" s="121" t="s">
        <v>163</v>
      </c>
      <c r="D13" s="122" t="s">
        <v>164</v>
      </c>
    </row>
    <row r="14" spans="1:4" ht="57" customHeight="1" thickBot="1" x14ac:dyDescent="0.3">
      <c r="A14" s="116"/>
      <c r="B14" s="111"/>
      <c r="C14" s="120" t="s">
        <v>165</v>
      </c>
      <c r="D14" s="122" t="s">
        <v>175</v>
      </c>
    </row>
    <row r="15" spans="1:4" ht="57" customHeight="1" thickBot="1" x14ac:dyDescent="0.3">
      <c r="A15" s="100"/>
      <c r="B15" s="118"/>
      <c r="C15" s="123" t="s">
        <v>166</v>
      </c>
      <c r="D15" s="124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Dinas PMD</vt:lpstr>
      <vt:lpstr>Sheet1</vt:lpstr>
      <vt:lpstr>Sheet2</vt:lpstr>
      <vt:lpstr>'Dinas PMD'!Print_Area</vt:lpstr>
      <vt:lpstr>'Dinas PMD'!Print_Titles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2021-12-27T02:49:21Z</dcterms:modified>
</cp:coreProperties>
</file>