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-120" yWindow="-120" windowWidth="20730" windowHeight="11160" firstSheet="1" activeTab="1"/>
  </bookViews>
  <sheets>
    <sheet name="Chart1" sheetId="2" r:id="rId1"/>
    <sheet name="Dinas Perhubungan" sheetId="1" r:id="rId2"/>
  </sheets>
  <definedNames>
    <definedName name="_xlnm.Print_Area" localSheetId="1">'Dinas Perhubungan'!$A$1:$AM$78</definedName>
    <definedName name="_xlnm.Print_Titles" localSheetId="1">'Dinas Perhubungan'!$7:$12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8" i="1" l="1"/>
  <c r="T38" i="1"/>
  <c r="Q38" i="1"/>
  <c r="N38" i="1"/>
  <c r="K38" i="1"/>
  <c r="H38" i="1"/>
  <c r="E38" i="1"/>
  <c r="AB35" i="1" l="1"/>
  <c r="Z18" i="1"/>
  <c r="Y54" i="1" l="1"/>
  <c r="Y51" i="1"/>
  <c r="Y33" i="1"/>
  <c r="Y17" i="1"/>
  <c r="X57" i="1"/>
  <c r="Y56" i="1"/>
  <c r="X56" i="1"/>
  <c r="X55" i="1"/>
  <c r="X53" i="1"/>
  <c r="X52" i="1"/>
  <c r="X51" i="1"/>
  <c r="X50" i="1"/>
  <c r="X49" i="1"/>
  <c r="X48" i="1"/>
  <c r="Y47" i="1"/>
  <c r="X47" i="1"/>
  <c r="X46" i="1"/>
  <c r="Y45" i="1"/>
  <c r="X45" i="1"/>
  <c r="X44" i="1"/>
  <c r="Y43" i="1"/>
  <c r="X43" i="1"/>
  <c r="X42" i="1"/>
  <c r="X41" i="1"/>
  <c r="Y40" i="1"/>
  <c r="X40" i="1"/>
  <c r="X39" i="1"/>
  <c r="Y38" i="1"/>
  <c r="X37" i="1"/>
  <c r="X36" i="1"/>
  <c r="X35" i="1"/>
  <c r="X34" i="1"/>
  <c r="X33" i="1"/>
  <c r="X32" i="1"/>
  <c r="X31" i="1"/>
  <c r="X30" i="1"/>
  <c r="Y29" i="1"/>
  <c r="X29" i="1"/>
  <c r="X28" i="1"/>
  <c r="X27" i="1"/>
  <c r="X26" i="1"/>
  <c r="X25" i="1"/>
  <c r="X24" i="1"/>
  <c r="X23" i="1"/>
  <c r="Y22" i="1"/>
  <c r="X22" i="1"/>
  <c r="X21" i="1"/>
  <c r="X20" i="1"/>
  <c r="X19" i="1"/>
  <c r="X18" i="1"/>
  <c r="X17" i="1"/>
  <c r="X16" i="1"/>
  <c r="X15" i="1"/>
  <c r="Y14" i="1"/>
  <c r="X14" i="1"/>
  <c r="W14" i="1"/>
  <c r="X13" i="1"/>
  <c r="Y53" i="1" l="1"/>
  <c r="Y36" i="1"/>
  <c r="Y13" i="1"/>
  <c r="H17" i="1"/>
  <c r="H14" i="1"/>
  <c r="J47" i="1" l="1"/>
  <c r="Q47" i="1"/>
  <c r="K47" i="1"/>
  <c r="N47" i="1"/>
  <c r="Q40" i="1"/>
  <c r="N40" i="1"/>
  <c r="K40" i="1"/>
  <c r="U35" i="1"/>
  <c r="V29" i="1"/>
  <c r="S22" i="1"/>
  <c r="P22" i="1"/>
  <c r="G22" i="1"/>
  <c r="M22" i="1"/>
  <c r="J40" i="1"/>
  <c r="S38" i="1"/>
  <c r="P38" i="1"/>
  <c r="M38" i="1"/>
  <c r="G38" i="1"/>
  <c r="G43" i="1"/>
  <c r="G41" i="1"/>
  <c r="G42" i="1"/>
  <c r="G46" i="1"/>
  <c r="G45" i="1" s="1"/>
  <c r="G54" i="1"/>
  <c r="G48" i="1"/>
  <c r="G49" i="1"/>
  <c r="G50" i="1"/>
  <c r="G52" i="1"/>
  <c r="G51" i="1" s="1"/>
  <c r="G57" i="1"/>
  <c r="G56" i="1" s="1"/>
  <c r="V57" i="1"/>
  <c r="J54" i="1"/>
  <c r="V45" i="1"/>
  <c r="J45" i="1"/>
  <c r="E45" i="1"/>
  <c r="K45" i="1"/>
  <c r="N45" i="1"/>
  <c r="J43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4" i="1"/>
  <c r="U33" i="1"/>
  <c r="U32" i="1"/>
  <c r="U31" i="1"/>
  <c r="U30" i="1"/>
  <c r="U29" i="1"/>
  <c r="U28" i="1"/>
  <c r="U24" i="1"/>
  <c r="U25" i="1"/>
  <c r="U23" i="1"/>
  <c r="U26" i="1"/>
  <c r="U27" i="1"/>
  <c r="U22" i="1"/>
  <c r="U21" i="1"/>
  <c r="U20" i="1"/>
  <c r="U19" i="1"/>
  <c r="U18" i="1"/>
  <c r="U17" i="1"/>
  <c r="U16" i="1"/>
  <c r="U15" i="1"/>
  <c r="U14" i="1"/>
  <c r="U13" i="1"/>
  <c r="V43" i="1"/>
  <c r="V40" i="1"/>
  <c r="V38" i="1"/>
  <c r="T17" i="1"/>
  <c r="V14" i="1"/>
  <c r="T14" i="1"/>
  <c r="AA36" i="1"/>
  <c r="V22" i="1" l="1"/>
  <c r="G47" i="1"/>
  <c r="J53" i="1"/>
  <c r="G40" i="1"/>
  <c r="G36" i="1" s="1"/>
  <c r="J36" i="1"/>
  <c r="G53" i="1"/>
  <c r="M54" i="1"/>
  <c r="M51" i="1"/>
  <c r="Z46" i="1"/>
  <c r="AB46" i="1" s="1"/>
  <c r="AD23" i="1" l="1"/>
  <c r="AD27" i="1"/>
  <c r="AI27" i="1" s="1"/>
  <c r="Z37" i="1"/>
  <c r="AB37" i="1" s="1"/>
  <c r="AA37" i="1"/>
  <c r="AG36" i="1"/>
  <c r="E35" i="1"/>
  <c r="E34" i="1"/>
  <c r="E32" i="1"/>
  <c r="E31" i="1"/>
  <c r="E30" i="1"/>
  <c r="E28" i="1"/>
  <c r="E24" i="1"/>
  <c r="E25" i="1"/>
  <c r="E23" i="1"/>
  <c r="E26" i="1"/>
  <c r="E27" i="1"/>
  <c r="E22" i="1"/>
  <c r="E20" i="1"/>
  <c r="E21" i="1"/>
  <c r="E19" i="1"/>
  <c r="G21" i="1"/>
  <c r="G20" i="1"/>
  <c r="G19" i="1"/>
  <c r="G16" i="1"/>
  <c r="G15" i="1"/>
  <c r="E14" i="1"/>
  <c r="E17" i="1" l="1"/>
  <c r="AG37" i="1"/>
  <c r="G33" i="1"/>
  <c r="G29" i="1"/>
  <c r="G13" i="1" l="1"/>
  <c r="S55" i="1"/>
  <c r="S52" i="1"/>
  <c r="S48" i="1"/>
  <c r="S45" i="1"/>
  <c r="S43" i="1"/>
  <c r="S42" i="1"/>
  <c r="S40" i="1" s="1"/>
  <c r="S54" i="1" l="1"/>
  <c r="V54" i="1"/>
  <c r="S56" i="1"/>
  <c r="V56" i="1"/>
  <c r="S47" i="1"/>
  <c r="V47" i="1"/>
  <c r="S51" i="1"/>
  <c r="V51" i="1"/>
  <c r="P26" i="1"/>
  <c r="AD26" i="1" s="1"/>
  <c r="V33" i="1"/>
  <c r="S29" i="1"/>
  <c r="S25" i="1"/>
  <c r="S24" i="1"/>
  <c r="S28" i="1"/>
  <c r="S18" i="1"/>
  <c r="S14" i="1"/>
  <c r="V36" i="1" l="1"/>
  <c r="V53" i="1"/>
  <c r="S36" i="1"/>
  <c r="S53" i="1"/>
  <c r="S17" i="1"/>
  <c r="V17" i="1"/>
  <c r="S33" i="1"/>
  <c r="Q17" i="1"/>
  <c r="Q14" i="1"/>
  <c r="R31" i="1"/>
  <c r="R32" i="1"/>
  <c r="R33" i="1"/>
  <c r="R34" i="1"/>
  <c r="R35" i="1"/>
  <c r="R20" i="1"/>
  <c r="R21" i="1"/>
  <c r="R22" i="1"/>
  <c r="R27" i="1"/>
  <c r="R26" i="1"/>
  <c r="R23" i="1"/>
  <c r="R25" i="1"/>
  <c r="R24" i="1"/>
  <c r="R28" i="1"/>
  <c r="R29" i="1"/>
  <c r="R30" i="1"/>
  <c r="R14" i="1"/>
  <c r="R15" i="1"/>
  <c r="R16" i="1"/>
  <c r="R17" i="1"/>
  <c r="R18" i="1"/>
  <c r="R19" i="1"/>
  <c r="R13" i="1"/>
  <c r="O31" i="1"/>
  <c r="O32" i="1"/>
  <c r="O33" i="1"/>
  <c r="O34" i="1"/>
  <c r="O35" i="1"/>
  <c r="O20" i="1"/>
  <c r="O21" i="1"/>
  <c r="O22" i="1"/>
  <c r="O27" i="1"/>
  <c r="O26" i="1"/>
  <c r="O23" i="1"/>
  <c r="O25" i="1"/>
  <c r="O24" i="1"/>
  <c r="O28" i="1"/>
  <c r="O29" i="1"/>
  <c r="O30" i="1"/>
  <c r="O14" i="1"/>
  <c r="O15" i="1"/>
  <c r="O16" i="1"/>
  <c r="O17" i="1"/>
  <c r="O18" i="1"/>
  <c r="O19" i="1"/>
  <c r="O13" i="1"/>
  <c r="V13" i="1" l="1"/>
  <c r="S13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O38" i="1"/>
  <c r="X38" i="1" s="1"/>
  <c r="O39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X54" i="1" s="1"/>
  <c r="O55" i="1"/>
  <c r="O56" i="1"/>
  <c r="O57" i="1"/>
  <c r="R37" i="1"/>
  <c r="O37" i="1"/>
  <c r="AH37" i="1" s="1"/>
  <c r="AH57" i="1" l="1"/>
  <c r="AD57" i="1"/>
  <c r="AI57" i="1" s="1"/>
  <c r="AA57" i="1"/>
  <c r="Z57" i="1"/>
  <c r="AB57" i="1" s="1"/>
  <c r="AH56" i="1"/>
  <c r="AA56" i="1"/>
  <c r="Z56" i="1"/>
  <c r="AB56" i="1" s="1"/>
  <c r="AH55" i="1"/>
  <c r="AD55" i="1"/>
  <c r="AI55" i="1" s="1"/>
  <c r="AA55" i="1"/>
  <c r="Z55" i="1"/>
  <c r="AB55" i="1" s="1"/>
  <c r="AH54" i="1"/>
  <c r="AA54" i="1"/>
  <c r="Z54" i="1"/>
  <c r="AB54" i="1" s="1"/>
  <c r="AH53" i="1"/>
  <c r="AA53" i="1"/>
  <c r="Z53" i="1"/>
  <c r="AB53" i="1" s="1"/>
  <c r="AH52" i="1"/>
  <c r="AD52" i="1"/>
  <c r="AI52" i="1" s="1"/>
  <c r="AA52" i="1"/>
  <c r="Z52" i="1"/>
  <c r="AB52" i="1" s="1"/>
  <c r="AH51" i="1"/>
  <c r="AA51" i="1"/>
  <c r="Z51" i="1"/>
  <c r="AB51" i="1" s="1"/>
  <c r="AH50" i="1"/>
  <c r="AD50" i="1"/>
  <c r="AI50" i="1" s="1"/>
  <c r="AA50" i="1"/>
  <c r="Z50" i="1"/>
  <c r="AB50" i="1" s="1"/>
  <c r="AH49" i="1"/>
  <c r="AD49" i="1"/>
  <c r="AI49" i="1" s="1"/>
  <c r="AA49" i="1"/>
  <c r="Z49" i="1"/>
  <c r="AB49" i="1" s="1"/>
  <c r="AH48" i="1"/>
  <c r="AD48" i="1"/>
  <c r="AI48" i="1" s="1"/>
  <c r="AA48" i="1"/>
  <c r="Z48" i="1"/>
  <c r="AB48" i="1" s="1"/>
  <c r="AH47" i="1"/>
  <c r="AA47" i="1"/>
  <c r="Z47" i="1"/>
  <c r="AB47" i="1" s="1"/>
  <c r="AH46" i="1"/>
  <c r="AD46" i="1"/>
  <c r="AI46" i="1" s="1"/>
  <c r="AA46" i="1"/>
  <c r="AH45" i="1"/>
  <c r="AA45" i="1"/>
  <c r="Z45" i="1"/>
  <c r="AB45" i="1" s="1"/>
  <c r="AH44" i="1"/>
  <c r="AD44" i="1"/>
  <c r="AI44" i="1" s="1"/>
  <c r="AA44" i="1"/>
  <c r="Z44" i="1"/>
  <c r="AB44" i="1" s="1"/>
  <c r="AH43" i="1"/>
  <c r="AA43" i="1"/>
  <c r="Z43" i="1"/>
  <c r="AB43" i="1" s="1"/>
  <c r="AH42" i="1"/>
  <c r="AD42" i="1"/>
  <c r="AI42" i="1" s="1"/>
  <c r="AA42" i="1"/>
  <c r="Z42" i="1"/>
  <c r="AB42" i="1" s="1"/>
  <c r="AH41" i="1"/>
  <c r="AD41" i="1"/>
  <c r="AA41" i="1"/>
  <c r="Z41" i="1"/>
  <c r="AB41" i="1" s="1"/>
  <c r="AH40" i="1"/>
  <c r="AA40" i="1"/>
  <c r="Z40" i="1"/>
  <c r="AB40" i="1" s="1"/>
  <c r="AH39" i="1"/>
  <c r="AD39" i="1"/>
  <c r="AI39" i="1" s="1"/>
  <c r="AA39" i="1"/>
  <c r="Z39" i="1"/>
  <c r="AB39" i="1" s="1"/>
  <c r="AH38" i="1"/>
  <c r="AA38" i="1"/>
  <c r="Z38" i="1"/>
  <c r="AB38" i="1" s="1"/>
  <c r="AH36" i="1"/>
  <c r="AH35" i="1"/>
  <c r="AD35" i="1"/>
  <c r="AI35" i="1" s="1"/>
  <c r="AA35" i="1"/>
  <c r="Z35" i="1"/>
  <c r="AH34" i="1"/>
  <c r="AD34" i="1"/>
  <c r="AI34" i="1" s="1"/>
  <c r="AA34" i="1"/>
  <c r="Z34" i="1"/>
  <c r="AB34" i="1" s="1"/>
  <c r="AH33" i="1"/>
  <c r="AA33" i="1"/>
  <c r="Z33" i="1"/>
  <c r="AB33" i="1" s="1"/>
  <c r="AH32" i="1"/>
  <c r="AD32" i="1"/>
  <c r="AI32" i="1" s="1"/>
  <c r="AA32" i="1"/>
  <c r="Z32" i="1"/>
  <c r="AB32" i="1" s="1"/>
  <c r="AH31" i="1"/>
  <c r="AD31" i="1"/>
  <c r="AI31" i="1" s="1"/>
  <c r="AA31" i="1"/>
  <c r="Z31" i="1"/>
  <c r="AB31" i="1" s="1"/>
  <c r="AH30" i="1"/>
  <c r="AD30" i="1"/>
  <c r="AI30" i="1" s="1"/>
  <c r="AA30" i="1"/>
  <c r="Z30" i="1"/>
  <c r="AB30" i="1" s="1"/>
  <c r="AH29" i="1"/>
  <c r="AA29" i="1"/>
  <c r="Z29" i="1"/>
  <c r="AB29" i="1" s="1"/>
  <c r="AH28" i="1"/>
  <c r="AD28" i="1"/>
  <c r="AI28" i="1" s="1"/>
  <c r="AA28" i="1"/>
  <c r="Z28" i="1"/>
  <c r="AB28" i="1" s="1"/>
  <c r="AH24" i="1"/>
  <c r="AD24" i="1"/>
  <c r="AI24" i="1" s="1"/>
  <c r="AA24" i="1"/>
  <c r="Z24" i="1"/>
  <c r="AB24" i="1" s="1"/>
  <c r="AH25" i="1"/>
  <c r="AD25" i="1"/>
  <c r="AE25" i="1" s="1"/>
  <c r="AA25" i="1"/>
  <c r="Z25" i="1"/>
  <c r="AB25" i="1" s="1"/>
  <c r="AH23" i="1"/>
  <c r="AE23" i="1"/>
  <c r="AA23" i="1"/>
  <c r="Z23" i="1"/>
  <c r="AB23" i="1" s="1"/>
  <c r="AH26" i="1"/>
  <c r="AE26" i="1"/>
  <c r="AA26" i="1"/>
  <c r="Z26" i="1"/>
  <c r="AB26" i="1" s="1"/>
  <c r="AH27" i="1"/>
  <c r="AA27" i="1"/>
  <c r="Z27" i="1"/>
  <c r="AB27" i="1" s="1"/>
  <c r="AH22" i="1"/>
  <c r="AA22" i="1"/>
  <c r="Z22" i="1"/>
  <c r="AB22" i="1" s="1"/>
  <c r="AH21" i="1"/>
  <c r="AD21" i="1"/>
  <c r="AI21" i="1" s="1"/>
  <c r="AA21" i="1"/>
  <c r="Z21" i="1"/>
  <c r="AB21" i="1" s="1"/>
  <c r="AH20" i="1"/>
  <c r="AD20" i="1"/>
  <c r="AI20" i="1" s="1"/>
  <c r="AA20" i="1"/>
  <c r="Z20" i="1"/>
  <c r="AB20" i="1" s="1"/>
  <c r="AH19" i="1"/>
  <c r="AD19" i="1"/>
  <c r="AE19" i="1" s="1"/>
  <c r="AA19" i="1"/>
  <c r="Z19" i="1"/>
  <c r="AB19" i="1" s="1"/>
  <c r="AH18" i="1"/>
  <c r="AD18" i="1"/>
  <c r="AA18" i="1"/>
  <c r="AB18" i="1"/>
  <c r="AH17" i="1"/>
  <c r="AA17" i="1"/>
  <c r="AH16" i="1"/>
  <c r="AD16" i="1"/>
  <c r="AE16" i="1" s="1"/>
  <c r="AA16" i="1"/>
  <c r="Z16" i="1"/>
  <c r="AB16" i="1" s="1"/>
  <c r="AH15" i="1"/>
  <c r="AD15" i="1"/>
  <c r="AE15" i="1" s="1"/>
  <c r="AA15" i="1"/>
  <c r="Z15" i="1"/>
  <c r="AB15" i="1" s="1"/>
  <c r="AA14" i="1"/>
  <c r="AH14" i="1"/>
  <c r="AH13" i="1"/>
  <c r="AA13" i="1"/>
  <c r="Z13" i="1"/>
  <c r="AG13" i="1" s="1"/>
  <c r="AI41" i="1" l="1"/>
  <c r="AE41" i="1"/>
  <c r="AG39" i="1"/>
  <c r="AG15" i="1"/>
  <c r="AG25" i="1"/>
  <c r="AG32" i="1"/>
  <c r="AG34" i="1"/>
  <c r="AG55" i="1"/>
  <c r="AG30" i="1"/>
  <c r="AG26" i="1"/>
  <c r="AG28" i="1"/>
  <c r="AG22" i="1"/>
  <c r="AG20" i="1"/>
  <c r="AG18" i="1"/>
  <c r="AG57" i="1"/>
  <c r="AG16" i="1"/>
  <c r="AG19" i="1"/>
  <c r="AG21" i="1"/>
  <c r="AG27" i="1"/>
  <c r="AG23" i="1"/>
  <c r="AG24" i="1"/>
  <c r="AG29" i="1"/>
  <c r="AG31" i="1"/>
  <c r="AG33" i="1"/>
  <c r="AG35" i="1"/>
  <c r="AG54" i="1"/>
  <c r="AG56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8" i="1"/>
  <c r="AE18" i="1"/>
  <c r="AI18" i="1"/>
  <c r="AI19" i="1"/>
  <c r="AI26" i="1"/>
  <c r="AI23" i="1"/>
  <c r="AI25" i="1"/>
  <c r="AE20" i="1"/>
  <c r="AE21" i="1"/>
  <c r="AE27" i="1"/>
  <c r="AE24" i="1"/>
  <c r="AE28" i="1"/>
  <c r="AE30" i="1"/>
  <c r="AE31" i="1"/>
  <c r="AE32" i="1"/>
  <c r="AE34" i="1"/>
  <c r="AE35" i="1"/>
  <c r="AE39" i="1"/>
  <c r="AE42" i="1"/>
  <c r="AE44" i="1"/>
  <c r="AE46" i="1"/>
  <c r="AE48" i="1"/>
  <c r="AE49" i="1"/>
  <c r="AE50" i="1"/>
  <c r="AE52" i="1"/>
  <c r="AE55" i="1"/>
  <c r="AE57" i="1"/>
  <c r="AI15" i="1"/>
  <c r="AI16" i="1"/>
  <c r="AB13" i="1"/>
  <c r="P43" i="1"/>
  <c r="AD43" i="1" s="1"/>
  <c r="AI43" i="1" s="1"/>
  <c r="P40" i="1"/>
  <c r="AD38" i="1"/>
  <c r="AI38" i="1" s="1"/>
  <c r="P51" i="1"/>
  <c r="AD51" i="1" s="1"/>
  <c r="AI51" i="1" s="1"/>
  <c r="P47" i="1"/>
  <c r="AD47" i="1" s="1"/>
  <c r="AI47" i="1" s="1"/>
  <c r="M47" i="1"/>
  <c r="M45" i="1"/>
  <c r="M40" i="1"/>
  <c r="N17" i="1"/>
  <c r="Z17" i="1" s="1"/>
  <c r="K17" i="1"/>
  <c r="P14" i="1"/>
  <c r="AD14" i="1" s="1"/>
  <c r="AD40" i="1" l="1"/>
  <c r="AI40" i="1" s="1"/>
  <c r="AE38" i="1"/>
  <c r="AI14" i="1"/>
  <c r="AB17" i="1"/>
  <c r="AG17" i="1"/>
  <c r="AE47" i="1"/>
  <c r="P56" i="1"/>
  <c r="AD56" i="1" s="1"/>
  <c r="P54" i="1"/>
  <c r="P45" i="1"/>
  <c r="AD45" i="1" s="1"/>
  <c r="P33" i="1"/>
  <c r="AD33" i="1" s="1"/>
  <c r="P29" i="1"/>
  <c r="AD29" i="1" s="1"/>
  <c r="P17" i="1"/>
  <c r="AD17" i="1" s="1"/>
  <c r="N14" i="1"/>
  <c r="Z14" i="1" s="1"/>
  <c r="M29" i="1"/>
  <c r="K14" i="1"/>
  <c r="M56" i="1"/>
  <c r="M53" i="1" s="1"/>
  <c r="M43" i="1"/>
  <c r="AE43" i="1" s="1"/>
  <c r="M33" i="1"/>
  <c r="M17" i="1"/>
  <c r="M14" i="1"/>
  <c r="AE14" i="1" s="1"/>
  <c r="AE40" i="1" l="1"/>
  <c r="P53" i="1"/>
  <c r="P36" i="1"/>
  <c r="AD36" i="1" s="1"/>
  <c r="AI36" i="1" s="1"/>
  <c r="M36" i="1"/>
  <c r="AE17" i="1"/>
  <c r="AI17" i="1"/>
  <c r="AI29" i="1"/>
  <c r="AE29" i="1"/>
  <c r="AI45" i="1"/>
  <c r="AE45" i="1"/>
  <c r="AI56" i="1"/>
  <c r="AE56" i="1"/>
  <c r="M13" i="1"/>
  <c r="AG14" i="1"/>
  <c r="AB14" i="1"/>
  <c r="AB58" i="1" s="1"/>
  <c r="AD22" i="1"/>
  <c r="P13" i="1"/>
  <c r="AD13" i="1" s="1"/>
  <c r="AI33" i="1"/>
  <c r="AE33" i="1"/>
  <c r="AD54" i="1"/>
  <c r="AD53" i="1"/>
  <c r="AE51" i="1"/>
  <c r="AE36" i="1" l="1"/>
  <c r="AI54" i="1"/>
  <c r="AE54" i="1"/>
  <c r="AI22" i="1"/>
  <c r="AE22" i="1"/>
  <c r="AI53" i="1"/>
  <c r="AE53" i="1"/>
  <c r="AI13" i="1"/>
  <c r="AE13" i="1"/>
  <c r="AP29" i="1"/>
  <c r="AP20" i="1"/>
  <c r="AP19" i="1"/>
  <c r="AP18" i="1"/>
  <c r="AP13" i="1"/>
  <c r="AE58" i="1" l="1"/>
  <c r="AE59" i="1" s="1"/>
  <c r="AB59" i="1" l="1"/>
</calcChain>
</file>

<file path=xl/comments1.xml><?xml version="1.0" encoding="utf-8"?>
<comments xmlns="http://schemas.openxmlformats.org/spreadsheetml/2006/main">
  <authors>
    <author>Ultimate</author>
  </authors>
  <commentList>
    <comment ref="K37" authorId="0" shapeId="0">
      <text>
        <r>
          <rPr>
            <sz val="14"/>
            <color indexed="81"/>
            <rFont val="Tahoma"/>
            <family val="2"/>
          </rPr>
          <t>Jumlah kendaraan yg lolos uji dibagi jumlah kendaraan yg wajib uji</t>
        </r>
      </text>
    </comment>
    <comment ref="N37" authorId="0" shapeId="0">
      <text>
        <r>
          <rPr>
            <sz val="14"/>
            <color indexed="81"/>
            <rFont val="Tahoma"/>
            <family val="2"/>
          </rPr>
          <t>Jumlah kendaraan yg lulus uji dibagi jumlah kendaraan yg wajib uji</t>
        </r>
      </text>
    </comment>
    <comment ref="Q37" authorId="0" shapeId="0">
      <text>
        <r>
          <rPr>
            <sz val="14"/>
            <color indexed="81"/>
            <rFont val="Tahoma"/>
            <family val="2"/>
          </rPr>
          <t>Jumlah kendaraan yg lulus uji dibagi jumlah kendaraan yg wajib uji</t>
        </r>
      </text>
    </comment>
    <comment ref="T37" authorId="0" shapeId="0">
      <text>
        <r>
          <rPr>
            <sz val="14"/>
            <color indexed="81"/>
            <rFont val="Tahoma"/>
            <family val="2"/>
          </rPr>
          <t>Jumlah kendaraan yg lulus uji dibagi jumlah kendaraan yg wajib uji</t>
        </r>
      </text>
    </comment>
    <comment ref="W37" authorId="0" shapeId="0">
      <text>
        <r>
          <rPr>
            <sz val="14"/>
            <color indexed="81"/>
            <rFont val="Tahoma"/>
            <family val="2"/>
          </rPr>
          <t>Jumlah kendaraan yg lulus uji dibagi jumlah kendaraan yg wajib uji</t>
        </r>
      </text>
    </comment>
    <comment ref="K53" authorId="0" shapeId="0">
      <text>
        <r>
          <rPr>
            <b/>
            <sz val="14"/>
            <color indexed="81"/>
            <rFont val="Tahoma"/>
            <family val="2"/>
          </rPr>
          <t>Jumlah kapal yg mendapat surat rekomendasi ijin pelayaran dibagi jumlah kapal yg wajib mendapatkan ijin pelayaran*100%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<sst xmlns="http://schemas.openxmlformats.org/spreadsheetml/2006/main" count="452" uniqueCount="158">
  <si>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</si>
  <si>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</si>
  <si>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</si>
  <si>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</si>
  <si>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</si>
  <si>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</si>
  <si>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</si>
  <si>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</si>
  <si>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</si>
  <si>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</si>
  <si>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</si>
  <si>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</si>
  <si>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</si>
  <si>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</si>
  <si>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</si>
  <si>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</si>
  <si>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</si>
  <si>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</si>
  <si>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</si>
  <si>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</si>
  <si>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</si>
  <si>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</si>
  <si>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</si>
  <si>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</si>
  <si>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</si>
  <si>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</si>
  <si>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</si>
  <si>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</si>
  <si>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</si>
  <si>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</si>
  <si>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</si>
  <si>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</si>
  <si>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</si>
  <si>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</si>
  <si>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</si>
  <si>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</si>
  <si>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</si>
  <si>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</si>
  <si>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</si>
  <si>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</si>
  <si>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</si>
  <si>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</si>
  <si>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</si>
  <si>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</si>
  <si>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</si>
  <si>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</si>
  <si>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</si>
  <si>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</si>
  <si>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DINAS PERHUBUNGAN</t>
  </si>
  <si>
    <t>Dinas Perhubungan</t>
  </si>
  <si>
    <t>Meningkatnya Infrastruktur Ekonomi dan Sosial Yang Berkualitas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</si>
  <si>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</si>
  <si>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</si>
  <si>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</si>
  <si>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</si>
  <si>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</si>
  <si>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</si>
  <si>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</si>
  <si>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</si>
  <si>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</si>
  <si>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Perhubungan</t>
  </si>
  <si>
    <t>Drs. TAFRINSYAH, M.Si</t>
  </si>
  <si>
    <t>NIP. 19631012 198503 1 012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</si>
  <si>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</si>
  <si>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</si>
  <si>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</si>
  <si>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</si>
  <si>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Penunjang Urusan Pemerintahan Daerah Kabupaten/Kota</t>
  </si>
  <si>
    <t>Administrasi Umum Perangkat Daerah</t>
  </si>
  <si>
    <t>Penyediaan Bahan Bacaan dan Peraturan Perundang‑undangan</t>
  </si>
  <si>
    <t>Penyediaan Barang Cetakan dan Penggandaan</t>
  </si>
  <si>
    <t>Penyediaan Gaji dan Tunjangan ASN</t>
  </si>
  <si>
    <t>Administrasi Keuangan Perangkat Daerah</t>
  </si>
  <si>
    <t>Penyediaan Komponen Instalasi Listrik/Penerangan Bangunan Kantor</t>
  </si>
  <si>
    <t>Koordinasi dan Penyusunan Laporan Keuangan Akhir Tahun SKPD</t>
  </si>
  <si>
    <t>Koordinasi dan Penyusunan Laporan Keuangan Bulanan/Triwulanan/Semesteran SKPD</t>
  </si>
  <si>
    <t>Penyediaan Jasa Penunjang Urusan Pemerintahan Daerah</t>
  </si>
  <si>
    <t>Penyediaan Jasa Komunikasi, Sumber Daya Air dan Listrik</t>
  </si>
  <si>
    <t>Penyediaan Bahan Logistik Kantor</t>
  </si>
  <si>
    <t>Program Penyelenggaraan Lalu Lintas Dan Angkutan Jalan (LLAJ)</t>
  </si>
  <si>
    <t>Pelaksanaan Manajemen dan Rekayasa Lalu Lintas untuk Jaringan Jalan Kabupaten/Kota</t>
  </si>
  <si>
    <t>Penataan Manajemen dan Rekayasa Lalu Lintas Untuk Jaringan Jalan Kabupaten/Kota</t>
  </si>
  <si>
    <t>Pengujian Berkala Kendaraan Bermotor</t>
  </si>
  <si>
    <t>Monitoring dan Evaluasi Penyelenggaraan Pengujian Berkala Kendaraan Bermotor</t>
  </si>
  <si>
    <t>Penerbitan Izin Penyelenggaraan dan Pembangunan Fasilitas Parkir</t>
  </si>
  <si>
    <t>Fasilitasi Pemenuhan Persyaratan Perolehan Izin Penyelenggaraan dan Pembangunan Fasilitas Parkir Kewenangan Kabupaten/Kota dalam Sistem Pelayanan Perizinan Berusaha Terintegrasi secara Elektronik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</si>
  <si>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</si>
  <si>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</si>
  <si>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</si>
  <si>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Sarana dan Prasarana Gedung Kantor atau Bangunan Lainnya</t>
  </si>
  <si>
    <t>Pemeliharaan Sarana dan Prasarana Pengujian Berkala Kendaraan Bermotor</t>
  </si>
  <si>
    <t>Penyediaan Perlengkapan Jalan di Jalan Kabupaten/Kota</t>
  </si>
  <si>
    <t>Penyediaan Peralatan dan Perlengkapan Kantor</t>
  </si>
  <si>
    <t>Perencanaan, Penganggaran, dan Evaluasi Kinerja Perangkat Daerah</t>
  </si>
  <si>
    <t>Penyusunan Dokumen Perencanaan Perangkat Daerah</t>
  </si>
  <si>
    <t>Evaluasi Kinerja Perangkat Daerah</t>
  </si>
  <si>
    <t>Penyusunan Pelaporan dan Analisis Prognosis Realisasi Anggaran</t>
  </si>
  <si>
    <t>Rehabilitasi dan Pemeliharaan Prasarana Jalan</t>
  </si>
  <si>
    <t>Penetapan Rencana Induk Jaringan LLAJ Kabupaten/Kota</t>
  </si>
  <si>
    <t>Penetapan Kebijakan dan Sosialisasi Rencana Induk Jaringan LLAJ Kabupaten/Kota</t>
  </si>
  <si>
    <t>Penyelenggaraan Rapat Koordinasi dan Konsultasi SKPD</t>
  </si>
  <si>
    <t>Program Pengelolaan Pelayaran</t>
  </si>
  <si>
    <t>Penetapan Tarif Angkutan Penyeberangan Penumpang Kelas Ekonomi dan Kendaraan beserta Muatannya pada Lintas Penyeberangan dalam Daerah Kabupaten/Kota</t>
  </si>
  <si>
    <t>Pengendalian dan Pengawasan Tarif Angkutan Penyeberangan Penumpang Kelas Ekonomi dan Kendaraan beserta Muatannya pada Lintas Penyeberangan Antar Daerah Kabupaten/Kota</t>
  </si>
  <si>
    <t>Pembangunan dan Penerbitan Izin Pembangunan dan Pengoperasian Pelabuhan Sungai dan Danau</t>
  </si>
  <si>
    <t>Penyediaan Jasa Surat Menyurat</t>
  </si>
  <si>
    <t>Pengelolaan Terminal Penumpang Tipe C</t>
  </si>
  <si>
    <t>Rehabilitasi dan Pemeliharaan Terminal (Fasilitas Utama dan Pendukung)</t>
  </si>
  <si>
    <t>Dok</t>
  </si>
  <si>
    <t>Bln</t>
  </si>
  <si>
    <t>%</t>
  </si>
  <si>
    <t>Jumlah Dokumen Perencanaan dan Evaluasi Kinerja yang berkualitas</t>
  </si>
  <si>
    <t>Dokumen Perencanaan yang Memenuhi Aspek Kualitas</t>
  </si>
  <si>
    <t>Dokumen Evaluasi yang Memenuhi Aspek Kualitas</t>
  </si>
  <si>
    <t>Jumlah dokumen administrasi Keuangan sesuai standar</t>
  </si>
  <si>
    <t>Pelayanan Administrasi Sesuai Standar</t>
  </si>
  <si>
    <t xml:space="preserve">Laporan Keuangan Yang Memenuhi Aspek Kualitas </t>
  </si>
  <si>
    <t>Jumlah dokumen administrasi umum sesuai standar</t>
  </si>
  <si>
    <t>Peralatan dan Perlengkapan Kantor Dalam Kondisi Baik</t>
  </si>
  <si>
    <t>Tingkat Pelayanan Adminstrasi Umum sesuai Standar</t>
  </si>
  <si>
    <t>Kendaraan Dinas Operasional Dalam Kondisi Baik</t>
  </si>
  <si>
    <t>Penyediaan Sarana dan
Prasarana Pengujian Berkala Kendaraan Bermotor</t>
  </si>
  <si>
    <t>Tingkat kepuasan pelayanan</t>
  </si>
  <si>
    <t>Bulan</t>
  </si>
  <si>
    <t>Titik</t>
  </si>
  <si>
    <t>Paket</t>
  </si>
  <si>
    <t>Buah</t>
  </si>
  <si>
    <t>kali</t>
  </si>
  <si>
    <t>Org</t>
  </si>
  <si>
    <t>Lap</t>
  </si>
  <si>
    <t>Fasilitas Parkir</t>
  </si>
  <si>
    <t>Persentase cakupan pengelolaan Terminal Penumpang Tipe C</t>
  </si>
  <si>
    <t>Jumlah Terminal yang terpelihara</t>
  </si>
  <si>
    <t>Jumlah Fasilitas Parkir yang dikelola</t>
  </si>
  <si>
    <t>Jumlah Sarana dan Prasarana Pengujian Berkala Kendaraan Bermotor yang dipelihara</t>
  </si>
  <si>
    <t>Persentase Cakupan Manajemen dan Rekayasa Lalu Lintas sesuai Standar</t>
  </si>
  <si>
    <t>Jumlah Titik Pantau Pengamanan Jalan</t>
  </si>
  <si>
    <t>buah</t>
  </si>
  <si>
    <t>Ratio Kejadiaan Kecelakaan Per 10.000 Keberangkatan Dalam 1 Tahun</t>
  </si>
  <si>
    <t>Persentase Cakupan Pengelolaan Angkutan Jalan</t>
  </si>
  <si>
    <t>Jumlah Perlengkapan Jalan Yang Terpasang</t>
  </si>
  <si>
    <t>Jumlah Perlengkapan Jalan Yang Terpelihara</t>
  </si>
  <si>
    <t>Persentase Perlengkapan Jalan di Jalan Kabupaten yang tersedia</t>
  </si>
  <si>
    <t>Persentasi Cakupan Izin Penyelenggaraan dan Pembangunan Fasilitas Parkir</t>
  </si>
  <si>
    <t>Pesentase Jumlah Kendaraan Laik Jalan Yang Lolos Uji Emisi</t>
  </si>
  <si>
    <t>Jumlah Sarana dan Prasarana Pengujian Berkala Kendaraan Bermotor yang terpasang</t>
  </si>
  <si>
    <t>Jumlah Monitoring dan Evaluasi Penyelenggaraan PKB</t>
  </si>
  <si>
    <t>Jumlah Pengawasan Tarif Angkutan Penyeberangan</t>
  </si>
  <si>
    <t>Persentase Cakupan Pengelolaan Angkutan Sungai dan Danau</t>
  </si>
  <si>
    <t>Pengoperasian dan Pemeliharaan Pelabuhan Sungai dan Danau</t>
  </si>
  <si>
    <t>Jumlah Tersedianya Angkutan Penyeberangan Untuk Umum Dan Pelajar</t>
  </si>
  <si>
    <t>Persentase Cakupan Pembangunan Dan Penerbitan Izin Pembangunan Dan Pengoperasian Pelabuhan Sungai Dan Danau</t>
  </si>
  <si>
    <t>PERIODE PELAKSANAAN TRIWULAN IV TAHUN 2021</t>
  </si>
  <si>
    <t>Kandangan,           Desember 2021</t>
  </si>
  <si>
    <t>Penetapan rencana induk jaringan LLAJ yang ditetapkan</t>
  </si>
  <si>
    <t>Jumlah kegiatan sosialisasi yang rencana induk</t>
  </si>
  <si>
    <t>Jumlah Tarif Angkutan Penyeberangan yang ditetapkan</t>
  </si>
  <si>
    <t>Keg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</si>
</sst>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20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6" fontId="8" fillId="0" borderId="2" xfId="1" applyNumberFormat="1" applyFont="1" applyFill="1" applyBorder="1" applyAlignment="1">
      <alignment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6" fontId="8" fillId="0" borderId="15" xfId="1" applyNumberFormat="1" applyFont="1" applyFill="1" applyBorder="1" applyAlignment="1">
      <alignment vertical="top"/>
    </xf>
    <xf numFmtId="166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4" fontId="8" fillId="0" borderId="2" xfId="2" applyFont="1" applyFill="1" applyBorder="1" applyAlignment="1">
      <alignment vertical="top"/>
    </xf>
    <xf numFmtId="2" fontId="6" fillId="0" borderId="2" xfId="0" applyNumberFormat="1" applyFont="1" applyFill="1" applyBorder="1" applyAlignment="1">
      <alignment vertical="top"/>
    </xf>
    <xf numFmtId="164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64" fontId="8" fillId="0" borderId="15" xfId="2" applyFont="1" applyFill="1" applyBorder="1" applyAlignment="1">
      <alignment vertical="top"/>
    </xf>
    <xf numFmtId="9" fontId="8" fillId="0" borderId="2" xfId="0" applyNumberFormat="1" applyFont="1" applyFill="1" applyBorder="1" applyAlignment="1">
      <alignment horizontal="center" vertical="top" wrapText="1"/>
    </xf>
    <xf numFmtId="1" fontId="8" fillId="0" borderId="15" xfId="0" applyNumberFormat="1" applyFont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67" fontId="8" fillId="0" borderId="2" xfId="0" applyNumberFormat="1" applyFont="1" applyFill="1" applyBorder="1" applyAlignment="1">
      <alignment horizontal="center" vertical="top"/>
    </xf>
    <xf numFmtId="166" fontId="8" fillId="0" borderId="2" xfId="0" applyNumberFormat="1" applyFont="1" applyFill="1" applyBorder="1" applyAlignment="1">
      <alignment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4" fontId="6" fillId="0" borderId="15" xfId="0" applyNumberFormat="1" applyFont="1" applyFill="1" applyBorder="1" applyAlignment="1">
      <alignment vertical="top"/>
    </xf>
    <xf numFmtId="0" fontId="6" fillId="0" borderId="15" xfId="0" applyNumberFormat="1" applyFont="1" applyFill="1" applyBorder="1" applyAlignment="1">
      <alignment vertical="top"/>
    </xf>
    <xf numFmtId="0" fontId="4" fillId="3" borderId="15" xfId="0" applyFont="1" applyFill="1" applyBorder="1"/>
    <xf numFmtId="0" fontId="6" fillId="0" borderId="15" xfId="0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2" fontId="8" fillId="4" borderId="2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 wrapText="1"/>
    </xf>
    <xf numFmtId="2" fontId="6" fillId="0" borderId="15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vertical="top" wrapText="1"/>
    </xf>
    <xf numFmtId="164" fontId="6" fillId="0" borderId="15" xfId="2" applyFont="1" applyFill="1" applyBorder="1" applyAlignment="1">
      <alignment vertical="top"/>
    </xf>
    <xf numFmtId="164" fontId="6" fillId="0" borderId="2" xfId="2" applyFont="1" applyFill="1" applyBorder="1" applyAlignment="1">
      <alignment vertical="top"/>
    </xf>
    <xf numFmtId="3" fontId="8" fillId="0" borderId="2" xfId="0" applyNumberFormat="1" applyFont="1" applyFill="1" applyBorder="1" applyAlignment="1">
      <alignment vertical="top"/>
    </xf>
    <xf numFmtId="166" fontId="6" fillId="0" borderId="2" xfId="0" applyNumberFormat="1" applyFont="1" applyFill="1" applyBorder="1" applyAlignment="1">
      <alignment vertical="top"/>
    </xf>
    <xf numFmtId="0" fontId="4" fillId="0" borderId="8" xfId="0" applyFont="1" applyFill="1" applyBorder="1"/>
    <xf numFmtId="3" fontId="6" fillId="0" borderId="15" xfId="0" applyNumberFormat="1" applyFont="1" applyFill="1" applyBorder="1" applyAlignment="1">
      <alignment vertical="top"/>
    </xf>
    <xf numFmtId="3" fontId="6" fillId="0" borderId="2" xfId="0" applyNumberFormat="1" applyFont="1" applyFill="1" applyBorder="1" applyAlignment="1">
      <alignment vertical="top"/>
    </xf>
    <xf numFmtId="1" fontId="6" fillId="0" borderId="15" xfId="0" applyNumberFormat="1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8" fillId="0" borderId="15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Alignment="1">
      <alignment horizontal="center" wrapText="1"/>
    </xf>
    <xf numFmtId="0" fontId="4" fillId="0" borderId="0" xfId="0" applyNumberFormat="1" applyFont="1" applyFill="1" applyAlignment="1">
      <alignment horizontal="center" wrapText="1"/>
    </xf>
    <xf numFmtId="1" fontId="6" fillId="0" borderId="15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vertical="top"/>
    </xf>
    <xf numFmtId="0" fontId="8" fillId="0" borderId="11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left" vertical="top" wrapText="1"/>
    </xf>
    <xf numFmtId="166" fontId="6" fillId="0" borderId="2" xfId="1" applyNumberFormat="1" applyFont="1" applyFill="1" applyBorder="1" applyAlignment="1">
      <alignment vertical="top"/>
    </xf>
    <xf numFmtId="1" fontId="6" fillId="0" borderId="15" xfId="0" applyNumberFormat="1" applyFont="1" applyBorder="1" applyAlignment="1">
      <alignment horizontal="center" vertical="top"/>
    </xf>
    <xf numFmtId="0" fontId="14" fillId="0" borderId="11" xfId="0" applyFont="1" applyFill="1" applyBorder="1"/>
    <xf numFmtId="0" fontId="14" fillId="0" borderId="0" xfId="0" applyFont="1" applyFill="1"/>
    <xf numFmtId="166" fontId="6" fillId="0" borderId="0" xfId="1" quotePrefix="1" applyNumberFormat="1" applyFont="1" applyFill="1" applyBorder="1" applyAlignment="1">
      <alignment vertical="top"/>
    </xf>
    <xf numFmtId="1" fontId="6" fillId="0" borderId="2" xfId="0" applyNumberFormat="1" applyFont="1" applyFill="1" applyBorder="1" applyAlignment="1">
      <alignment horizontal="center" vertical="top" wrapText="1"/>
    </xf>
    <xf numFmtId="0" fontId="8" fillId="0" borderId="2" xfId="2" applyNumberFormat="1" applyFont="1" applyFill="1" applyBorder="1" applyAlignment="1">
      <alignment horizontal="center" vertical="top" wrapText="1"/>
    </xf>
    <xf numFmtId="166" fontId="8" fillId="0" borderId="6" xfId="1" quotePrefix="1" applyNumberFormat="1" applyFont="1" applyFill="1" applyBorder="1" applyAlignment="1">
      <alignment vertical="top"/>
    </xf>
    <xf numFmtId="1" fontId="8" fillId="0" borderId="6" xfId="0" applyNumberFormat="1" applyFont="1" applyFill="1" applyBorder="1" applyAlignment="1">
      <alignment horizontal="center" vertical="top" wrapText="1"/>
    </xf>
    <xf numFmtId="9" fontId="8" fillId="0" borderId="6" xfId="0" applyNumberFormat="1" applyFont="1" applyFill="1" applyBorder="1" applyAlignment="1">
      <alignment horizontal="center" vertical="top"/>
    </xf>
    <xf numFmtId="1" fontId="8" fillId="0" borderId="6" xfId="0" applyNumberFormat="1" applyFont="1" applyFill="1" applyBorder="1" applyAlignment="1">
      <alignment horizontal="center" vertical="top"/>
    </xf>
    <xf numFmtId="0" fontId="8" fillId="0" borderId="6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vertical="top"/>
    </xf>
    <xf numFmtId="2" fontId="8" fillId="0" borderId="6" xfId="0" applyNumberFormat="1" applyFont="1" applyFill="1" applyBorder="1" applyAlignment="1">
      <alignment horizontal="center" vertical="top"/>
    </xf>
    <xf numFmtId="1" fontId="8" fillId="0" borderId="6" xfId="0" applyNumberFormat="1" applyFont="1" applyFill="1" applyBorder="1" applyAlignment="1">
      <alignment vertical="top"/>
    </xf>
    <xf numFmtId="2" fontId="8" fillId="0" borderId="6" xfId="0" applyNumberFormat="1" applyFont="1" applyFill="1" applyBorder="1" applyAlignment="1">
      <alignment vertical="top"/>
    </xf>
    <xf numFmtId="9" fontId="6" fillId="0" borderId="15" xfId="0" applyNumberFormat="1" applyFont="1" applyFill="1" applyBorder="1" applyAlignment="1">
      <alignment horizontal="center" vertical="top" wrapText="1"/>
    </xf>
    <xf numFmtId="9" fontId="8" fillId="0" borderId="15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167" fontId="6" fillId="0" borderId="2" xfId="0" applyNumberFormat="1" applyFont="1" applyFill="1" applyBorder="1" applyAlignment="1">
      <alignment horizontal="center" vertical="top"/>
    </xf>
    <xf numFmtId="0" fontId="6" fillId="0" borderId="2" xfId="2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 wrapText="1"/>
    </xf>
    <xf numFmtId="2" fontId="6" fillId="0" borderId="14" xfId="0" applyNumberFormat="1" applyFont="1" applyFill="1" applyBorder="1" applyAlignment="1">
      <alignment horizontal="center" vertical="top"/>
    </xf>
    <xf numFmtId="166" fontId="8" fillId="0" borderId="6" xfId="1" applyNumberFormat="1" applyFont="1" applyFill="1" applyBorder="1" applyAlignment="1">
      <alignment vertical="top"/>
    </xf>
    <xf numFmtId="164" fontId="8" fillId="0" borderId="6" xfId="2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8" fillId="6" borderId="2" xfId="0" applyFont="1" applyFill="1" applyBorder="1" applyAlignment="1">
      <alignment horizontal="left" vertical="top" wrapText="1"/>
    </xf>
    <xf numFmtId="164" fontId="8" fillId="6" borderId="2" xfId="2" applyFont="1" applyFill="1" applyBorder="1" applyAlignment="1">
      <alignment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11" xfId="0" applyFont="1" applyFill="1" applyBorder="1" applyAlignment="1">
      <alignment horizontal="left" vertical="top" wrapText="1"/>
    </xf>
    <xf numFmtId="9" fontId="6" fillId="6" borderId="2" xfId="0" applyNumberFormat="1" applyFont="1" applyFill="1" applyBorder="1" applyAlignment="1">
      <alignment horizontal="center" vertical="top"/>
    </xf>
    <xf numFmtId="41" fontId="6" fillId="0" borderId="2" xfId="0" applyNumberFormat="1" applyFont="1" applyFill="1" applyBorder="1" applyAlignment="1">
      <alignment vertical="top"/>
    </xf>
    <xf numFmtId="41" fontId="8" fillId="0" borderId="2" xfId="0" applyNumberFormat="1" applyFont="1" applyFill="1" applyBorder="1" applyAlignment="1">
      <alignment vertical="top"/>
    </xf>
    <xf numFmtId="41" fontId="8" fillId="0" borderId="6" xfId="0" applyNumberFormat="1" applyFont="1" applyFill="1" applyBorder="1" applyAlignment="1">
      <alignment vertical="top"/>
    </xf>
    <xf numFmtId="41" fontId="6" fillId="0" borderId="15" xfId="0" applyNumberFormat="1" applyFont="1" applyFill="1" applyBorder="1" applyAlignment="1">
      <alignment vertical="top"/>
    </xf>
    <xf numFmtId="41" fontId="8" fillId="6" borderId="2" xfId="0" applyNumberFormat="1" applyFont="1" applyFill="1" applyBorder="1" applyAlignment="1">
      <alignment vertical="top"/>
    </xf>
    <xf numFmtId="41" fontId="6" fillId="6" borderId="2" xfId="0" applyNumberFormat="1" applyFont="1" applyFill="1" applyBorder="1" applyAlignment="1">
      <alignment vertical="top"/>
    </xf>
    <xf numFmtId="164" fontId="6" fillId="0" borderId="6" xfId="2" applyFont="1" applyFill="1" applyBorder="1" applyAlignment="1">
      <alignment vertical="top"/>
    </xf>
    <xf numFmtId="164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1" xfId="0" applyNumberFormat="1" applyFont="1" applyFill="1" applyBorder="1" applyAlignment="1">
      <alignment horizontal="center" vertical="top"/>
    </xf>
    <xf numFmtId="1" fontId="8" fillId="0" borderId="2" xfId="2" applyNumberFormat="1" applyFont="1" applyFill="1" applyBorder="1" applyAlignment="1">
      <alignment horizontal="center" vertical="top"/>
    </xf>
    <xf numFmtId="1" fontId="8" fillId="0" borderId="2" xfId="2" applyNumberFormat="1" applyFont="1" applyFill="1" applyBorder="1" applyAlignment="1">
      <alignment horizontal="center" vertical="top" wrapText="1"/>
    </xf>
    <xf numFmtId="1" fontId="6" fillId="0" borderId="2" xfId="2" applyNumberFormat="1" applyFont="1" applyFill="1" applyBorder="1" applyAlignment="1">
      <alignment horizontal="center" vertical="top" wrapText="1"/>
    </xf>
    <xf numFmtId="3" fontId="6" fillId="0" borderId="15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0" fontId="6" fillId="6" borderId="15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vertical="top" wrapText="1"/>
    </xf>
    <xf numFmtId="0" fontId="6" fillId="6" borderId="2" xfId="0" applyFont="1" applyFill="1" applyBorder="1" applyAlignment="1">
      <alignment horizontal="left" vertical="top" wrapText="1"/>
    </xf>
    <xf numFmtId="0" fontId="19" fillId="6" borderId="15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vertical="top" wrapText="1"/>
    </xf>
    <xf numFmtId="0" fontId="19" fillId="6" borderId="6" xfId="0" applyFont="1" applyFill="1" applyBorder="1" applyAlignment="1">
      <alignment vertical="top" wrapText="1"/>
    </xf>
    <xf numFmtId="0" fontId="18" fillId="6" borderId="2" xfId="0" applyFont="1" applyFill="1" applyBorder="1" applyAlignment="1">
      <alignment horizontal="left" vertical="top" wrapText="1"/>
    </xf>
    <xf numFmtId="0" fontId="6" fillId="0" borderId="15" xfId="0" applyFont="1" applyFill="1" applyBorder="1"/>
    <xf numFmtId="1" fontId="6" fillId="0" borderId="2" xfId="2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vertical="top" wrapText="1"/>
    </xf>
    <xf numFmtId="0" fontId="8" fillId="0" borderId="2" xfId="2" applyNumberFormat="1" applyFont="1" applyFill="1" applyBorder="1" applyAlignment="1">
      <alignment horizontal="center" vertical="top"/>
    </xf>
    <xf numFmtId="167" fontId="6" fillId="0" borderId="2" xfId="0" applyNumberFormat="1" applyFont="1" applyFill="1" applyBorder="1" applyAlignment="1">
      <alignment vertical="top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top" wrapTex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'Dinas Perhubungan'!$B$1:$B$13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Sasaran</c:v>
                </c:pt>
                <c:pt idx="9">
                  <c:v>2</c:v>
                </c:pt>
                <c:pt idx="12">
                  <c:v>Meningkatnya akuntabilitas Instansi Pemerintah dan Kualitas Pelayanan Publik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Perhubungan'!$B$14:$B$63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0-4A33-AE8A-00ACDBC16E57}"/>
            </c:ext>
          </c:extLst>
        </c:ser>
        <c:ser>
          <c:idx val="1"/>
          <c:order val="1"/>
          <c:tx>
            <c:strRef>
              <c:f>'Dinas Perhubungan'!$C$1:$C$13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Program/Kegiatan</c:v>
                </c:pt>
                <c:pt idx="9">
                  <c:v>3</c:v>
                </c:pt>
                <c:pt idx="12">
                  <c:v>Program Penunjang Urusan Pemerintahan Daerah Kabupaten/Kota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Perhubungan'!$C$14:$C$63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0-4A33-AE8A-00ACDBC16E57}"/>
            </c:ext>
          </c:extLst>
        </c:ser>
        <c:ser>
          <c:idx val="2"/>
          <c:order val="2"/>
          <c:tx>
            <c:strRef>
              <c:f>'Dinas Perhubungan'!$D$1:$D$13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Indikator Kinerja Program (Outcome)/Kegiatan (Output)</c:v>
                </c:pt>
                <c:pt idx="9">
                  <c:v>4</c:v>
                </c:pt>
                <c:pt idx="12">
                  <c:v>Tingkat kepuasan pelayanan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Perhubungan'!$D$14:$D$63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B0-4A33-AE8A-00ACDBC16E57}"/>
            </c:ext>
          </c:extLst>
        </c:ser>
        <c:ser>
          <c:idx val="3"/>
          <c:order val="3"/>
          <c:tx>
            <c:strRef>
              <c:f>'Dinas Perhubungan'!$E$1:$E$13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Target Renstra Perangkat Daerah Pada Tahun 2023</c:v>
                </c:pt>
                <c:pt idx="9">
                  <c:v>5</c:v>
                </c:pt>
                <c:pt idx="10">
                  <c:v>K</c:v>
                </c:pt>
                <c:pt idx="12">
                  <c:v>100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Perhubungan'!$E$14:$E$63</c:f>
              <c:numCache>
                <c:formatCode>General</c:formatCode>
                <c:ptCount val="50"/>
                <c:pt idx="0">
                  <c:v>45</c:v>
                </c:pt>
                <c:pt idx="1">
                  <c:v>15</c:v>
                </c:pt>
                <c:pt idx="2">
                  <c:v>30</c:v>
                </c:pt>
                <c:pt idx="3" formatCode="0">
                  <c:v>42</c:v>
                </c:pt>
                <c:pt idx="4" formatCode="0">
                  <c:v>28</c:v>
                </c:pt>
                <c:pt idx="5" formatCode="0">
                  <c:v>3</c:v>
                </c:pt>
                <c:pt idx="6" formatCode="0">
                  <c:v>36</c:v>
                </c:pt>
                <c:pt idx="7" formatCode="0">
                  <c:v>3</c:v>
                </c:pt>
                <c:pt idx="8">
                  <c:v>3</c:v>
                </c:pt>
                <c:pt idx="9">
                  <c:v>36</c:v>
                </c:pt>
                <c:pt idx="10">
                  <c:v>36</c:v>
                </c:pt>
                <c:pt idx="11">
                  <c:v>36</c:v>
                </c:pt>
                <c:pt idx="12">
                  <c:v>36</c:v>
                </c:pt>
                <c:pt idx="13">
                  <c:v>36</c:v>
                </c:pt>
                <c:pt idx="14">
                  <c:v>36</c:v>
                </c:pt>
                <c:pt idx="15" formatCode="0">
                  <c:v>100</c:v>
                </c:pt>
                <c:pt idx="16" formatCode="0">
                  <c:v>36</c:v>
                </c:pt>
                <c:pt idx="17" formatCode="0">
                  <c:v>36</c:v>
                </c:pt>
                <c:pt idx="18" formatCode="0">
                  <c:v>36</c:v>
                </c:pt>
                <c:pt idx="19" formatCode="0">
                  <c:v>100</c:v>
                </c:pt>
                <c:pt idx="20" formatCode="0">
                  <c:v>36</c:v>
                </c:pt>
                <c:pt idx="21" formatCode="0">
                  <c:v>36</c:v>
                </c:pt>
                <c:pt idx="22" formatCode="0">
                  <c:v>0</c:v>
                </c:pt>
                <c:pt idx="23" formatCode="0">
                  <c:v>100</c:v>
                </c:pt>
                <c:pt idx="24" formatCode="0">
                  <c:v>1</c:v>
                </c:pt>
                <c:pt idx="25">
                  <c:v>1</c:v>
                </c:pt>
                <c:pt idx="26">
                  <c:v>100</c:v>
                </c:pt>
                <c:pt idx="27">
                  <c:v>60</c:v>
                </c:pt>
                <c:pt idx="28">
                  <c:v>70</c:v>
                </c:pt>
                <c:pt idx="29" formatCode="0">
                  <c:v>100</c:v>
                </c:pt>
                <c:pt idx="30" formatCode="0">
                  <c:v>1</c:v>
                </c:pt>
                <c:pt idx="31">
                  <c:v>100</c:v>
                </c:pt>
                <c:pt idx="32">
                  <c:v>2</c:v>
                </c:pt>
                <c:pt idx="33" formatCode="#,##0">
                  <c:v>100</c:v>
                </c:pt>
                <c:pt idx="34" formatCode="0">
                  <c:v>1</c:v>
                </c:pt>
                <c:pt idx="35" formatCode="0">
                  <c:v>8</c:v>
                </c:pt>
                <c:pt idx="36" formatCode="0">
                  <c:v>4</c:v>
                </c:pt>
                <c:pt idx="37">
                  <c:v>100</c:v>
                </c:pt>
                <c:pt idx="38">
                  <c:v>9</c:v>
                </c:pt>
                <c:pt idx="39">
                  <c:v>100</c:v>
                </c:pt>
                <c:pt idx="40">
                  <c:v>100</c:v>
                </c:pt>
                <c:pt idx="41">
                  <c:v>12</c:v>
                </c:pt>
                <c:pt idx="42">
                  <c:v>100</c:v>
                </c:pt>
                <c:pt idx="4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B0-4A33-AE8A-00ACDBC16E57}"/>
            </c:ext>
          </c:extLst>
        </c:ser>
        <c:ser>
          <c:idx val="4"/>
          <c:order val="4"/>
          <c:tx>
            <c:strRef>
              <c:f>'Dinas Perhubungan'!$F$1:$F$13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Target Renstra Perangkat Daerah Pada Tahun 2023</c:v>
                </c:pt>
                <c:pt idx="9">
                  <c:v>5</c:v>
                </c:pt>
                <c:pt idx="10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Perhubungan'!$F$14:$F$63</c:f>
              <c:numCache>
                <c:formatCode>0%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B0-4A33-AE8A-00ACDBC16E57}"/>
            </c:ext>
          </c:extLst>
        </c:ser>
        <c:ser>
          <c:idx val="5"/>
          <c:order val="5"/>
          <c:tx>
            <c:strRef>
              <c:f>'Dinas Perhubungan'!$G$1:$G$13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Target Renstra Perangkat Daerah Pada Tahun 2023</c:v>
                </c:pt>
                <c:pt idx="9">
                  <c:v>5</c:v>
                </c:pt>
                <c:pt idx="10">
                  <c:v>Rp</c:v>
                </c:pt>
                <c:pt idx="12">
                  <c:v> 5.021.920.350 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Perhubungan'!$G$14:$G$63</c:f>
              <c:numCache>
                <c:formatCode>_(* #,##0_);_(* \(#,##0\);_(* "-"_);_(@_)</c:formatCode>
                <c:ptCount val="50"/>
                <c:pt idx="0">
                  <c:v>9000000</c:v>
                </c:pt>
                <c:pt idx="1">
                  <c:v>23000000</c:v>
                </c:pt>
                <c:pt idx="2">
                  <c:v>4500000</c:v>
                </c:pt>
                <c:pt idx="3">
                  <c:v>3867486000</c:v>
                </c:pt>
                <c:pt idx="4">
                  <c:v>3860986000</c:v>
                </c:pt>
                <c:pt idx="5">
                  <c:v>7000000</c:v>
                </c:pt>
                <c:pt idx="6">
                  <c:v>5500000</c:v>
                </c:pt>
                <c:pt idx="7">
                  <c:v>5500000</c:v>
                </c:pt>
                <c:pt idx="8" formatCode="#,##0">
                  <c:v>718108350</c:v>
                </c:pt>
                <c:pt idx="9">
                  <c:v>33062000</c:v>
                </c:pt>
                <c:pt idx="10">
                  <c:v>121340750</c:v>
                </c:pt>
                <c:pt idx="11">
                  <c:v>80100000</c:v>
                </c:pt>
                <c:pt idx="12">
                  <c:v>41200000</c:v>
                </c:pt>
                <c:pt idx="13">
                  <c:v>2400000</c:v>
                </c:pt>
                <c:pt idx="14">
                  <c:v>440005600</c:v>
                </c:pt>
                <c:pt idx="15">
                  <c:v>154544000</c:v>
                </c:pt>
                <c:pt idx="16">
                  <c:v>1200000</c:v>
                </c:pt>
                <c:pt idx="17">
                  <c:v>127200000</c:v>
                </c:pt>
                <c:pt idx="18">
                  <c:v>26144000</c:v>
                </c:pt>
                <c:pt idx="19">
                  <c:v>272782000</c:v>
                </c:pt>
                <c:pt idx="20">
                  <c:v>200282000</c:v>
                </c:pt>
                <c:pt idx="21">
                  <c:v>72500000</c:v>
                </c:pt>
                <c:pt idx="22" formatCode="_(* #,##0_);_(* \(#,##0\);_(* &quot;-&quot;_);_(@_)">
                  <c:v>4244152612</c:v>
                </c:pt>
                <c:pt idx="24">
                  <c:v>25950000</c:v>
                </c:pt>
                <c:pt idx="25" formatCode="#,##0">
                  <c:v>25950000</c:v>
                </c:pt>
                <c:pt idx="26">
                  <c:v>855573100</c:v>
                </c:pt>
                <c:pt idx="27" formatCode="_(* #,##0_);_(* \(#,##0\);_(* &quot;-&quot;_);_(@_)">
                  <c:v>119456000</c:v>
                </c:pt>
                <c:pt idx="28" formatCode="_(* #,##0_);_(* \(#,##0\);_(* &quot;-&quot;??_);_(@_)">
                  <c:v>736117100</c:v>
                </c:pt>
                <c:pt idx="29">
                  <c:v>111900000</c:v>
                </c:pt>
                <c:pt idx="30" formatCode="_(* #,##0_);_(* \(#,##0\);_(* &quot;-&quot;??_);_(@_)">
                  <c:v>111900000</c:v>
                </c:pt>
                <c:pt idx="31">
                  <c:v>654625000</c:v>
                </c:pt>
                <c:pt idx="32" formatCode="_(* #,##0_);_(* \(#,##0\);_(* &quot;-&quot;??_);_(@_)">
                  <c:v>654625000</c:v>
                </c:pt>
                <c:pt idx="33">
                  <c:v>1484086512</c:v>
                </c:pt>
                <c:pt idx="34" formatCode="_(* #,##0_);_(* \(#,##0\);_(* &quot;-&quot;_);_(@_)">
                  <c:v>947274512</c:v>
                </c:pt>
                <c:pt idx="35" formatCode="_(* #,##0_);_(* \(#,##0\);_(* &quot;-&quot;_);_(@_)">
                  <c:v>486856000</c:v>
                </c:pt>
                <c:pt idx="36">
                  <c:v>49956000</c:v>
                </c:pt>
                <c:pt idx="37">
                  <c:v>1112018000</c:v>
                </c:pt>
                <c:pt idx="38" formatCode="_(* #,##0_);_(* \(#,##0\);_(* &quot;-&quot;??_);_(@_)">
                  <c:v>1112018000</c:v>
                </c:pt>
                <c:pt idx="39" formatCode="#,##0">
                  <c:v>927317300</c:v>
                </c:pt>
                <c:pt idx="40">
                  <c:v>26000000</c:v>
                </c:pt>
                <c:pt idx="41" formatCode="#,##0">
                  <c:v>26000000</c:v>
                </c:pt>
                <c:pt idx="42">
                  <c:v>901317300</c:v>
                </c:pt>
                <c:pt idx="43" formatCode="#,##0">
                  <c:v>901317300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B0-4A33-AE8A-00ACDBC16E57}"/>
            </c:ext>
          </c:extLst>
        </c:ser>
        <c:ser>
          <c:idx val="6"/>
          <c:order val="6"/>
          <c:tx>
            <c:strRef>
              <c:f>'Dinas Perhubungan'!$H$1:$H$13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Capaian Kinerja Renstra Perangkat Daerah sampai dengan Renja Perangkat Daerah Tahun Lalu (2020)</c:v>
                </c:pt>
                <c:pt idx="9">
                  <c:v>6</c:v>
                </c:pt>
                <c:pt idx="10">
                  <c:v>K</c:v>
                </c:pt>
                <c:pt idx="12">
                  <c:v>100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Perhubungan'!$H$14:$H$63</c:f>
              <c:numCache>
                <c:formatCode>General</c:formatCode>
                <c:ptCount val="50"/>
                <c:pt idx="0">
                  <c:v>15</c:v>
                </c:pt>
                <c:pt idx="1">
                  <c:v>5</c:v>
                </c:pt>
                <c:pt idx="2">
                  <c:v>10</c:v>
                </c:pt>
                <c:pt idx="3" formatCode="0">
                  <c:v>14</c:v>
                </c:pt>
                <c:pt idx="4">
                  <c:v>28</c:v>
                </c:pt>
                <c:pt idx="5">
                  <c:v>1</c:v>
                </c:pt>
                <c:pt idx="6">
                  <c:v>12</c:v>
                </c:pt>
                <c:pt idx="7">
                  <c:v>1</c:v>
                </c:pt>
                <c:pt idx="8" formatCode="0">
                  <c:v>1</c:v>
                </c:pt>
                <c:pt idx="9" formatCode="0">
                  <c:v>12</c:v>
                </c:pt>
                <c:pt idx="10" formatCode="0">
                  <c:v>12</c:v>
                </c:pt>
                <c:pt idx="11" formatCode="0">
                  <c:v>12</c:v>
                </c:pt>
                <c:pt idx="12" formatCode="0">
                  <c:v>12</c:v>
                </c:pt>
                <c:pt idx="13" formatCode="0">
                  <c:v>12</c:v>
                </c:pt>
                <c:pt idx="14" formatCode="0">
                  <c:v>12</c:v>
                </c:pt>
                <c:pt idx="15" formatCode="0">
                  <c:v>100</c:v>
                </c:pt>
                <c:pt idx="16" formatCode="0">
                  <c:v>12</c:v>
                </c:pt>
                <c:pt idx="17" formatCode="0">
                  <c:v>12</c:v>
                </c:pt>
                <c:pt idx="18" formatCode="0">
                  <c:v>12</c:v>
                </c:pt>
                <c:pt idx="19" formatCode="0">
                  <c:v>100</c:v>
                </c:pt>
                <c:pt idx="20" formatCode="0">
                  <c:v>12</c:v>
                </c:pt>
                <c:pt idx="21" formatCode="0">
                  <c:v>12</c:v>
                </c:pt>
                <c:pt idx="22" formatCode="0">
                  <c:v>0</c:v>
                </c:pt>
                <c:pt idx="23" formatCode="0">
                  <c:v>0</c:v>
                </c:pt>
                <c:pt idx="24" formatCode="0">
                  <c:v>0</c:v>
                </c:pt>
                <c:pt idx="25" formatCode="0">
                  <c:v>0</c:v>
                </c:pt>
                <c:pt idx="26">
                  <c:v>0</c:v>
                </c:pt>
                <c:pt idx="27">
                  <c:v>15</c:v>
                </c:pt>
                <c:pt idx="28">
                  <c:v>5</c:v>
                </c:pt>
                <c:pt idx="29" formatCode="0">
                  <c:v>0</c:v>
                </c:pt>
                <c:pt idx="30" formatCode="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">
                  <c:v>0</c:v>
                </c:pt>
                <c:pt idx="34" formatCode="0">
                  <c:v>0</c:v>
                </c:pt>
                <c:pt idx="35" formatCode="0">
                  <c:v>0</c:v>
                </c:pt>
                <c:pt idx="36" formatCode="0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B0-4A33-AE8A-00ACDBC16E57}"/>
            </c:ext>
          </c:extLst>
        </c:ser>
        <c:ser>
          <c:idx val="7"/>
          <c:order val="7"/>
          <c:tx>
            <c:strRef>
              <c:f>'Dinas Perhubungan'!$I$1:$I$13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Capaian Kinerja Renstra Perangkat Daerah sampai dengan Renja Perangkat Daerah Tahun Lalu (2020)</c:v>
                </c:pt>
                <c:pt idx="9">
                  <c:v>6</c:v>
                </c:pt>
                <c:pt idx="10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Perhubungan'!$I$14:$I$63</c:f>
              <c:numCache>
                <c:formatCode>0%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B0-4A33-AE8A-00ACDBC16E57}"/>
            </c:ext>
          </c:extLst>
        </c:ser>
        <c:ser>
          <c:idx val="8"/>
          <c:order val="8"/>
          <c:tx>
            <c:strRef>
              <c:f>'Dinas Perhubungan'!$J$1:$J$13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Capaian Kinerja Renstra Perangkat Daerah sampai dengan Renja Perangkat Daerah Tahun Lalu (2020)</c:v>
                </c:pt>
                <c:pt idx="9">
                  <c:v>6</c:v>
                </c:pt>
                <c:pt idx="10">
                  <c:v>Rp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Perhubungan'!$J$14:$J$63</c:f>
              <c:numCache>
                <c:formatCode>_(* #,##0_);_(* \(#,##0\);_(* "-"??_);_(@_)</c:formatCode>
                <c:ptCount val="50"/>
                <c:pt idx="10">
                  <c:v>40843000</c:v>
                </c:pt>
                <c:pt idx="14">
                  <c:v>176887540</c:v>
                </c:pt>
                <c:pt idx="17">
                  <c:v>58910767</c:v>
                </c:pt>
                <c:pt idx="22" formatCode="_(* #,##0_);_(* \(#,##0\);_(* &quot;-&quot;_);_(@_)">
                  <c:v>76608000</c:v>
                </c:pt>
                <c:pt idx="26" formatCode="_(* #,##0_);_(* \(#,##0\);_(* &quot;-&quot;_);_(@_)">
                  <c:v>76608000</c:v>
                </c:pt>
                <c:pt idx="27">
                  <c:v>28800000</c:v>
                </c:pt>
                <c:pt idx="28">
                  <c:v>47808000</c:v>
                </c:pt>
                <c:pt idx="29" formatCode="_(* #,##0_);_(* \(#,##0\);_(* &quot;-&quot;_);_(@_)">
                  <c:v>0</c:v>
                </c:pt>
                <c:pt idx="31" formatCode="_(* #,##0_);_(* \(#,##0\);_(* &quot;-&quot;_);_(@_)">
                  <c:v>0</c:v>
                </c:pt>
                <c:pt idx="33" formatCode="_(* #,##0_);_(* \(#,##0\);_(* &quot;-&quot;_);_(@_)">
                  <c:v>0</c:v>
                </c:pt>
                <c:pt idx="34">
                  <c:v>0</c:v>
                </c:pt>
                <c:pt idx="39" formatCode="_(* #,##0.00_);_(* \(#,##0.00\);_(* &quot;-&quot;_);_(@_)">
                  <c:v>0</c:v>
                </c:pt>
                <c:pt idx="40" formatCode="_(* #,##0_);_(* \(#,##0\);_(* &quot;-&quot;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B0-4A33-AE8A-00ACDBC16E57}"/>
            </c:ext>
          </c:extLst>
        </c:ser>
        <c:ser>
          <c:idx val="9"/>
          <c:order val="9"/>
          <c:tx>
            <c:strRef>
              <c:f>'Dinas Perhubungan'!$K$1:$K$13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Target Kinerja dan Anggaran Renja Perangkat Daerah Tahun Berjalan (Tahun 2021) yang Dievaluasi</c:v>
                </c:pt>
                <c:pt idx="8">
                  <c:v>2021</c:v>
                </c:pt>
                <c:pt idx="9">
                  <c:v>7</c:v>
                </c:pt>
                <c:pt idx="10">
                  <c:v>K</c:v>
                </c:pt>
                <c:pt idx="12">
                  <c:v>100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Perhubungan'!$K$14:$K$63</c:f>
              <c:numCache>
                <c:formatCode>General</c:formatCode>
                <c:ptCount val="50"/>
                <c:pt idx="0">
                  <c:v>15</c:v>
                </c:pt>
                <c:pt idx="1">
                  <c:v>5</c:v>
                </c:pt>
                <c:pt idx="2">
                  <c:v>10</c:v>
                </c:pt>
                <c:pt idx="3" formatCode="0">
                  <c:v>14</c:v>
                </c:pt>
                <c:pt idx="4">
                  <c:v>28</c:v>
                </c:pt>
                <c:pt idx="5">
                  <c:v>1</c:v>
                </c:pt>
                <c:pt idx="6">
                  <c:v>12</c:v>
                </c:pt>
                <c:pt idx="7">
                  <c:v>1</c:v>
                </c:pt>
                <c:pt idx="8" formatCode="0">
                  <c:v>1</c:v>
                </c:pt>
                <c:pt idx="9" formatCode="0">
                  <c:v>12</c:v>
                </c:pt>
                <c:pt idx="10" formatCode="0">
                  <c:v>12</c:v>
                </c:pt>
                <c:pt idx="11" formatCode="0">
                  <c:v>12</c:v>
                </c:pt>
                <c:pt idx="12" formatCode="0">
                  <c:v>12</c:v>
                </c:pt>
                <c:pt idx="13" formatCode="0">
                  <c:v>12</c:v>
                </c:pt>
                <c:pt idx="14" formatCode="0">
                  <c:v>12</c:v>
                </c:pt>
                <c:pt idx="15" formatCode="0">
                  <c:v>100</c:v>
                </c:pt>
                <c:pt idx="16" formatCode="0">
                  <c:v>12</c:v>
                </c:pt>
                <c:pt idx="17" formatCode="0">
                  <c:v>12</c:v>
                </c:pt>
                <c:pt idx="18" formatCode="0">
                  <c:v>12</c:v>
                </c:pt>
                <c:pt idx="19" formatCode="0">
                  <c:v>100</c:v>
                </c:pt>
                <c:pt idx="20" formatCode="0">
                  <c:v>12</c:v>
                </c:pt>
                <c:pt idx="21" formatCode="0">
                  <c:v>12</c:v>
                </c:pt>
                <c:pt idx="22" formatCode="0">
                  <c:v>0</c:v>
                </c:pt>
                <c:pt idx="23" formatCode="0">
                  <c:v>85</c:v>
                </c:pt>
                <c:pt idx="24" formatCode="0">
                  <c:v>1</c:v>
                </c:pt>
                <c:pt idx="25">
                  <c:v>1</c:v>
                </c:pt>
                <c:pt idx="26">
                  <c:v>100</c:v>
                </c:pt>
                <c:pt idx="27">
                  <c:v>27</c:v>
                </c:pt>
                <c:pt idx="28" formatCode="0">
                  <c:v>5</c:v>
                </c:pt>
                <c:pt idx="29">
                  <c:v>100</c:v>
                </c:pt>
                <c:pt idx="30">
                  <c:v>1</c:v>
                </c:pt>
                <c:pt idx="31">
                  <c:v>100</c:v>
                </c:pt>
                <c:pt idx="32">
                  <c:v>2</c:v>
                </c:pt>
                <c:pt idx="33" formatCode="#,##0">
                  <c:v>100</c:v>
                </c:pt>
                <c:pt idx="34">
                  <c:v>1</c:v>
                </c:pt>
                <c:pt idx="35">
                  <c:v>8</c:v>
                </c:pt>
                <c:pt idx="36" formatCode="0">
                  <c:v>4</c:v>
                </c:pt>
                <c:pt idx="37">
                  <c:v>100</c:v>
                </c:pt>
                <c:pt idx="38">
                  <c:v>9</c:v>
                </c:pt>
                <c:pt idx="39">
                  <c:v>85</c:v>
                </c:pt>
                <c:pt idx="40">
                  <c:v>1</c:v>
                </c:pt>
                <c:pt idx="41">
                  <c:v>12</c:v>
                </c:pt>
                <c:pt idx="42">
                  <c:v>100</c:v>
                </c:pt>
                <c:pt idx="4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B0-4A33-AE8A-00ACDBC16E57}"/>
            </c:ext>
          </c:extLst>
        </c:ser>
        <c:ser>
          <c:idx val="10"/>
          <c:order val="10"/>
          <c:tx>
            <c:strRef>
              <c:f>'Dinas Perhubungan'!$L$1:$L$13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Target Kinerja dan Anggaran Renja Perangkat Daerah Tahun Berjalan (Tahun 2021) yang Dievaluasi</c:v>
                </c:pt>
                <c:pt idx="8">
                  <c:v>2021</c:v>
                </c:pt>
                <c:pt idx="9">
                  <c:v>7</c:v>
                </c:pt>
                <c:pt idx="10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Perhubungan'!$L$14:$L$63</c:f>
              <c:numCache>
                <c:formatCode>0%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B0-4A33-AE8A-00ACDBC16E57}"/>
            </c:ext>
          </c:extLst>
        </c:ser>
        <c:ser>
          <c:idx val="11"/>
          <c:order val="11"/>
          <c:tx>
            <c:strRef>
              <c:f>'Dinas Perhubungan'!$M$1:$M$13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Target Kinerja dan Anggaran Renja Perangkat Daerah Tahun Berjalan (Tahun 2021) yang Dievaluasi</c:v>
                </c:pt>
                <c:pt idx="8">
                  <c:v>2021</c:v>
                </c:pt>
                <c:pt idx="9">
                  <c:v>7</c:v>
                </c:pt>
                <c:pt idx="10">
                  <c:v>Rp</c:v>
                </c:pt>
                <c:pt idx="12">
                  <c:v> 4.526.204.382 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Perhubungan'!$M$14:$M$63</c:f>
              <c:numCache>
                <c:formatCode>_(* #,##0_);_(* \(#,##0\);_(* "-"_);_(@_)</c:formatCode>
                <c:ptCount val="50"/>
                <c:pt idx="0">
                  <c:v>9500000</c:v>
                </c:pt>
                <c:pt idx="1">
                  <c:v>8000000</c:v>
                </c:pt>
                <c:pt idx="2">
                  <c:v>1500000</c:v>
                </c:pt>
                <c:pt idx="3" formatCode="_(* #,##0_);_(* \(#,##0\);_(* &quot;-&quot;??_);_(@_)">
                  <c:v>3312798000</c:v>
                </c:pt>
                <c:pt idx="4">
                  <c:v>3307798000</c:v>
                </c:pt>
                <c:pt idx="5">
                  <c:v>2000000</c:v>
                </c:pt>
                <c:pt idx="6">
                  <c:v>1500000</c:v>
                </c:pt>
                <c:pt idx="7">
                  <c:v>1500000</c:v>
                </c:pt>
                <c:pt idx="8" formatCode="#,##0">
                  <c:v>591270382</c:v>
                </c:pt>
                <c:pt idx="9">
                  <c:v>33060660</c:v>
                </c:pt>
                <c:pt idx="10">
                  <c:v>127009722</c:v>
                </c:pt>
                <c:pt idx="11">
                  <c:v>42600000</c:v>
                </c:pt>
                <c:pt idx="12">
                  <c:v>41200000</c:v>
                </c:pt>
                <c:pt idx="13">
                  <c:v>2400000</c:v>
                </c:pt>
                <c:pt idx="14">
                  <c:v>345000000</c:v>
                </c:pt>
                <c:pt idx="15">
                  <c:v>122283500</c:v>
                </c:pt>
                <c:pt idx="16">
                  <c:v>1200000</c:v>
                </c:pt>
                <c:pt idx="17">
                  <c:v>95000000</c:v>
                </c:pt>
                <c:pt idx="18">
                  <c:v>26083500</c:v>
                </c:pt>
                <c:pt idx="19">
                  <c:v>490352500</c:v>
                </c:pt>
                <c:pt idx="20">
                  <c:v>232052500</c:v>
                </c:pt>
                <c:pt idx="21">
                  <c:v>258300000</c:v>
                </c:pt>
                <c:pt idx="22">
                  <c:v>1424382306</c:v>
                </c:pt>
                <c:pt idx="24" formatCode="_(* #,##0_);_(* \(#,##0\);_(* &quot;-&quot;_);_(@_)">
                  <c:v>25950000</c:v>
                </c:pt>
                <c:pt idx="25" formatCode="#,##0">
                  <c:v>25950000</c:v>
                </c:pt>
                <c:pt idx="26">
                  <c:v>295208550</c:v>
                </c:pt>
                <c:pt idx="27">
                  <c:v>41550000</c:v>
                </c:pt>
                <c:pt idx="28" formatCode="_(* #,##0_);_(* \(#,##0\);_(* &quot;-&quot;??_);_(@_)">
                  <c:v>253658550</c:v>
                </c:pt>
                <c:pt idx="29" formatCode="_(* #,##0_);_(* \(#,##0\);_(* &quot;-&quot;??_);_(@_)">
                  <c:v>111900000</c:v>
                </c:pt>
                <c:pt idx="30" formatCode="_(* #,##0_);_(* \(#,##0\);_(* &quot;-&quot;??_);_(@_)">
                  <c:v>111900000</c:v>
                </c:pt>
                <c:pt idx="31">
                  <c:v>218380500</c:v>
                </c:pt>
                <c:pt idx="32" formatCode="_(* #,##0_);_(* \(#,##0\);_(* &quot;-&quot;??_);_(@_)">
                  <c:v>218380500</c:v>
                </c:pt>
                <c:pt idx="33">
                  <c:v>467655256</c:v>
                </c:pt>
                <c:pt idx="34">
                  <c:v>393755256</c:v>
                </c:pt>
                <c:pt idx="35">
                  <c:v>53000000</c:v>
                </c:pt>
                <c:pt idx="36">
                  <c:v>20900000</c:v>
                </c:pt>
                <c:pt idx="37">
                  <c:v>305288000</c:v>
                </c:pt>
                <c:pt idx="38" formatCode="_(* #,##0_);_(* \(#,##0\);_(* &quot;-&quot;??_);_(@_)">
                  <c:v>305288000</c:v>
                </c:pt>
                <c:pt idx="39" formatCode="#,##0">
                  <c:v>360550000</c:v>
                </c:pt>
                <c:pt idx="40" formatCode="#,##0">
                  <c:v>26000000</c:v>
                </c:pt>
                <c:pt idx="41" formatCode="#,##0">
                  <c:v>26000000</c:v>
                </c:pt>
                <c:pt idx="42" formatCode="#,##0">
                  <c:v>334550000</c:v>
                </c:pt>
                <c:pt idx="43" formatCode="#,##0">
                  <c:v>334550000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0-4A33-AE8A-00ACDBC16E57}"/>
            </c:ext>
          </c:extLst>
        </c:ser>
        <c:ser>
          <c:idx val="12"/>
          <c:order val="12"/>
          <c:tx>
            <c:strRef>
              <c:f>'Dinas Perhubungan'!$N$1:$N$13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</c:v>
                </c:pt>
                <c:pt idx="9">
                  <c:v>8</c:v>
                </c:pt>
                <c:pt idx="10">
                  <c:v>K</c:v>
                </c:pt>
                <c:pt idx="12">
                  <c:v>25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Perhubungan'!$N$14:$N$63</c:f>
              <c:numCache>
                <c:formatCode>General</c:formatCode>
                <c:ptCount val="5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 formatCode="0">
                  <c:v>3</c:v>
                </c:pt>
                <c:pt idx="4">
                  <c:v>28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 formatCode="0">
                  <c:v>0</c:v>
                </c:pt>
                <c:pt idx="9" formatCode="0">
                  <c:v>3</c:v>
                </c:pt>
                <c:pt idx="10" formatCode="0">
                  <c:v>3</c:v>
                </c:pt>
                <c:pt idx="11" formatCode="0">
                  <c:v>3</c:v>
                </c:pt>
                <c:pt idx="12" formatCode="0">
                  <c:v>3</c:v>
                </c:pt>
                <c:pt idx="13" formatCode="0">
                  <c:v>3</c:v>
                </c:pt>
                <c:pt idx="14" formatCode="0">
                  <c:v>3</c:v>
                </c:pt>
                <c:pt idx="15" formatCode="0">
                  <c:v>25</c:v>
                </c:pt>
                <c:pt idx="16" formatCode="0">
                  <c:v>3</c:v>
                </c:pt>
                <c:pt idx="17" formatCode="0">
                  <c:v>3</c:v>
                </c:pt>
                <c:pt idx="18" formatCode="0">
                  <c:v>3</c:v>
                </c:pt>
                <c:pt idx="19" formatCode="0">
                  <c:v>25</c:v>
                </c:pt>
                <c:pt idx="20" formatCode="0">
                  <c:v>3</c:v>
                </c:pt>
                <c:pt idx="21" formatCode="0">
                  <c:v>3</c:v>
                </c:pt>
                <c:pt idx="22" formatCode="0">
                  <c:v>0</c:v>
                </c:pt>
                <c:pt idx="23" formatCode="0">
                  <c:v>25</c:v>
                </c:pt>
                <c:pt idx="24" formatCode="0">
                  <c:v>0</c:v>
                </c:pt>
                <c:pt idx="25">
                  <c:v>0</c:v>
                </c:pt>
                <c:pt idx="26" formatCode="0.00">
                  <c:v>12.5</c:v>
                </c:pt>
                <c:pt idx="27">
                  <c:v>0</c:v>
                </c:pt>
                <c:pt idx="28" formatCode="0">
                  <c:v>4</c:v>
                </c:pt>
                <c:pt idx="29">
                  <c:v>0</c:v>
                </c:pt>
                <c:pt idx="30">
                  <c:v>0</c:v>
                </c:pt>
                <c:pt idx="31">
                  <c:v>100</c:v>
                </c:pt>
                <c:pt idx="32">
                  <c:v>2</c:v>
                </c:pt>
                <c:pt idx="33">
                  <c:v>28.955797565663037</c:v>
                </c:pt>
                <c:pt idx="34">
                  <c:v>0</c:v>
                </c:pt>
                <c:pt idx="35">
                  <c:v>8</c:v>
                </c:pt>
                <c:pt idx="36">
                  <c:v>1</c:v>
                </c:pt>
                <c:pt idx="37">
                  <c:v>100</c:v>
                </c:pt>
                <c:pt idx="38">
                  <c:v>9</c:v>
                </c:pt>
                <c:pt idx="39">
                  <c:v>20</c:v>
                </c:pt>
                <c:pt idx="40">
                  <c:v>1</c:v>
                </c:pt>
                <c:pt idx="41">
                  <c:v>3</c:v>
                </c:pt>
                <c:pt idx="42">
                  <c:v>100</c:v>
                </c:pt>
                <c:pt idx="4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B0-4A33-AE8A-00ACDBC16E57}"/>
            </c:ext>
          </c:extLst>
        </c:ser>
        <c:ser>
          <c:idx val="13"/>
          <c:order val="13"/>
          <c:tx>
            <c:strRef>
              <c:f>'Dinas Perhubungan'!$O$1:$O$13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</c:v>
                </c:pt>
                <c:pt idx="9">
                  <c:v>8</c:v>
                </c:pt>
                <c:pt idx="10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Perhubungan'!$O$14:$O$63</c:f>
              <c:numCache>
                <c:formatCode>0%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B0-4A33-AE8A-00ACDBC16E57}"/>
            </c:ext>
          </c:extLst>
        </c:ser>
        <c:ser>
          <c:idx val="14"/>
          <c:order val="14"/>
          <c:tx>
            <c:strRef>
              <c:f>'Dinas Perhubungan'!$P$1:$P$13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</c:v>
                </c:pt>
                <c:pt idx="9">
                  <c:v>8</c:v>
                </c:pt>
                <c:pt idx="10">
                  <c:v>Rp</c:v>
                </c:pt>
                <c:pt idx="12">
                  <c:v> 756.377.273 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Perhubungan'!$P$14:$P$63</c:f>
              <c:numCache>
                <c:formatCode>_(* #,##0_);_(* \(#,##0\);_(* "-"_);_(@_)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_(* #,##0_);_(* \(#,##0\);_(* &quot;-&quot;??_);_(@_)">
                  <c:v>648494673</c:v>
                </c:pt>
                <c:pt idx="4">
                  <c:v>648494673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#,##0">
                  <c:v>64036664</c:v>
                </c:pt>
                <c:pt idx="9" formatCode="_(* #,##0_);_(* \(#,##0\);_(* &quot;-&quot;??_);_(@_)">
                  <c:v>1176000</c:v>
                </c:pt>
                <c:pt idx="10">
                  <c:v>410000</c:v>
                </c:pt>
                <c:pt idx="11">
                  <c:v>1229000</c:v>
                </c:pt>
                <c:pt idx="12" formatCode="_(* #,##0_);_(* \(#,##0\);_(* &quot;-&quot;??_);_(@_)">
                  <c:v>2747500</c:v>
                </c:pt>
                <c:pt idx="13" formatCode="_(* #,##0_);_(* \(#,##0\);_(* &quot;-&quot;??_);_(@_)">
                  <c:v>820000</c:v>
                </c:pt>
                <c:pt idx="14">
                  <c:v>57654164</c:v>
                </c:pt>
                <c:pt idx="15">
                  <c:v>20837463</c:v>
                </c:pt>
                <c:pt idx="16">
                  <c:v>0</c:v>
                </c:pt>
                <c:pt idx="17">
                  <c:v>16087463</c:v>
                </c:pt>
                <c:pt idx="18">
                  <c:v>4750000</c:v>
                </c:pt>
                <c:pt idx="19">
                  <c:v>23008473</c:v>
                </c:pt>
                <c:pt idx="20">
                  <c:v>21633473</c:v>
                </c:pt>
                <c:pt idx="21">
                  <c:v>1375000</c:v>
                </c:pt>
                <c:pt idx="22">
                  <c:v>127277500</c:v>
                </c:pt>
                <c:pt idx="24" formatCode="_(* #,##0_);_(* \(#,##0\);_(* &quot;-&quot;_);_(@_)">
                  <c:v>0</c:v>
                </c:pt>
                <c:pt idx="25">
                  <c:v>0</c:v>
                </c:pt>
                <c:pt idx="26">
                  <c:v>5120000</c:v>
                </c:pt>
                <c:pt idx="27">
                  <c:v>0</c:v>
                </c:pt>
                <c:pt idx="28" formatCode="_(* #,##0_);_(* \(#,##0\);_(* &quot;-&quot;??_);_(@_)">
                  <c:v>5120000</c:v>
                </c:pt>
                <c:pt idx="29" formatCode="_(* #,##0_);_(* \(#,##0\);_(* &quot;-&quot;??_);_(@_)">
                  <c:v>0</c:v>
                </c:pt>
                <c:pt idx="30" formatCode="_(* #,##0_);_(* \(#,##0\);_(* &quot;-&quot;??_);_(@_)">
                  <c:v>0</c:v>
                </c:pt>
                <c:pt idx="31">
                  <c:v>55365000</c:v>
                </c:pt>
                <c:pt idx="32" formatCode="_(* #,##0_);_(* \(#,##0\);_(* &quot;-&quot;??_);_(@_)">
                  <c:v>55365000</c:v>
                </c:pt>
                <c:pt idx="33">
                  <c:v>35587500</c:v>
                </c:pt>
                <c:pt idx="34" formatCode="_(* #,##0_);_(* \(#,##0\);_(* &quot;-&quot;??_);_(@_)">
                  <c:v>35587500</c:v>
                </c:pt>
                <c:pt idx="35" formatCode="_(* #,##0_);_(* \(#,##0\);_(* &quot;-&quot;??_);_(@_)">
                  <c:v>0</c:v>
                </c:pt>
                <c:pt idx="36" formatCode="_(* #,##0_);_(* \(#,##0\);_(* &quot;-&quot;??_);_(@_)">
                  <c:v>0</c:v>
                </c:pt>
                <c:pt idx="37">
                  <c:v>31205000</c:v>
                </c:pt>
                <c:pt idx="38" formatCode="_(* #,##0_);_(* \(#,##0\);_(* &quot;-&quot;??_);_(@_)">
                  <c:v>31205000</c:v>
                </c:pt>
                <c:pt idx="39" formatCode="#,##0">
                  <c:v>75317000</c:v>
                </c:pt>
                <c:pt idx="40" formatCode="#,##0">
                  <c:v>2000000</c:v>
                </c:pt>
                <c:pt idx="41" formatCode="#,##0">
                  <c:v>2000000</c:v>
                </c:pt>
                <c:pt idx="42" formatCode="#,##0">
                  <c:v>73317000</c:v>
                </c:pt>
                <c:pt idx="43" formatCode="#,##0">
                  <c:v>73317000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B0-4A33-AE8A-00ACDBC16E57}"/>
            </c:ext>
          </c:extLst>
        </c:ser>
        <c:ser>
          <c:idx val="15"/>
          <c:order val="15"/>
          <c:tx>
            <c:strRef>
              <c:f>'Dinas Perhubungan'!$Q$1:$Q$13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II</c:v>
                </c:pt>
                <c:pt idx="9">
                  <c:v>9</c:v>
                </c:pt>
                <c:pt idx="10">
                  <c:v>K</c:v>
                </c:pt>
                <c:pt idx="12">
                  <c:v>25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Perhubungan'!$Q$14:$Q$63</c:f>
              <c:numCache>
                <c:formatCode>General</c:formatCode>
                <c:ptCount val="50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 formatCode="0">
                  <c:v>4</c:v>
                </c:pt>
                <c:pt idx="4" formatCode="0">
                  <c:v>28</c:v>
                </c:pt>
                <c:pt idx="5" formatCode="0">
                  <c:v>0</c:v>
                </c:pt>
                <c:pt idx="6" formatCode="0">
                  <c:v>3</c:v>
                </c:pt>
                <c:pt idx="7" formatCode="0">
                  <c:v>1</c:v>
                </c:pt>
                <c:pt idx="8" formatCode="0.00">
                  <c:v>0</c:v>
                </c:pt>
                <c:pt idx="9" formatCode="0">
                  <c:v>3</c:v>
                </c:pt>
                <c:pt idx="10" formatCode="0">
                  <c:v>3</c:v>
                </c:pt>
                <c:pt idx="11" formatCode="0">
                  <c:v>3</c:v>
                </c:pt>
                <c:pt idx="12" formatCode="0">
                  <c:v>3</c:v>
                </c:pt>
                <c:pt idx="13" formatCode="0">
                  <c:v>3</c:v>
                </c:pt>
                <c:pt idx="14" formatCode="0">
                  <c:v>3</c:v>
                </c:pt>
                <c:pt idx="15" formatCode="0">
                  <c:v>25</c:v>
                </c:pt>
                <c:pt idx="16" formatCode="0">
                  <c:v>3</c:v>
                </c:pt>
                <c:pt idx="17" formatCode="0">
                  <c:v>3</c:v>
                </c:pt>
                <c:pt idx="18" formatCode="0">
                  <c:v>3</c:v>
                </c:pt>
                <c:pt idx="19" formatCode="0">
                  <c:v>25</c:v>
                </c:pt>
                <c:pt idx="20" formatCode="0">
                  <c:v>3</c:v>
                </c:pt>
                <c:pt idx="21" formatCode="0">
                  <c:v>3</c:v>
                </c:pt>
                <c:pt idx="22" formatCode="0">
                  <c:v>0</c:v>
                </c:pt>
                <c:pt idx="23" formatCode="0">
                  <c:v>25</c:v>
                </c:pt>
                <c:pt idx="24" formatCode="0">
                  <c:v>0</c:v>
                </c:pt>
                <c:pt idx="25">
                  <c:v>0</c:v>
                </c:pt>
                <c:pt idx="26" formatCode="0.00">
                  <c:v>87.5</c:v>
                </c:pt>
                <c:pt idx="27">
                  <c:v>27</c:v>
                </c:pt>
                <c:pt idx="28" formatCode="0">
                  <c:v>1</c:v>
                </c:pt>
                <c:pt idx="29">
                  <c:v>100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 formatCode="0.00">
                  <c:v>26.905829596412556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 formatCode="0">
                  <c:v>0</c:v>
                </c:pt>
                <c:pt idx="38">
                  <c:v>0</c:v>
                </c:pt>
                <c:pt idx="39">
                  <c:v>50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9B0-4A33-AE8A-00ACDBC16E57}"/>
            </c:ext>
          </c:extLst>
        </c:ser>
        <c:ser>
          <c:idx val="16"/>
          <c:order val="16"/>
          <c:tx>
            <c:strRef>
              <c:f>'Dinas Perhubungan'!$R$1:$R$13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II</c:v>
                </c:pt>
                <c:pt idx="9">
                  <c:v>9</c:v>
                </c:pt>
                <c:pt idx="10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Perhubungan'!$R$14:$R$63</c:f>
              <c:numCache>
                <c:formatCode>0%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9B0-4A33-AE8A-00ACDBC16E57}"/>
            </c:ext>
          </c:extLst>
        </c:ser>
        <c:ser>
          <c:idx val="17"/>
          <c:order val="17"/>
          <c:tx>
            <c:strRef>
              <c:f>'Dinas Perhubungan'!$S$1:$S$13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II</c:v>
                </c:pt>
                <c:pt idx="9">
                  <c:v>9</c:v>
                </c:pt>
                <c:pt idx="10">
                  <c:v>Rp</c:v>
                </c:pt>
                <c:pt idx="12">
                  <c:v> 1.278.496.146 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Perhubungan'!$S$14:$S$63</c:f>
              <c:numCache>
                <c:formatCode>_(* #,##0_);_(* \(#,##0\);_(* "-"??_);_(@_)</c:formatCode>
                <c:ptCount val="50"/>
                <c:pt idx="0" formatCode="_(* #,##0_);_(* \(#,##0\);_(* &quot;-&quot;_);_(@_)">
                  <c:v>2125000</c:v>
                </c:pt>
                <c:pt idx="1">
                  <c:v>1125000</c:v>
                </c:pt>
                <c:pt idx="2">
                  <c:v>1000000</c:v>
                </c:pt>
                <c:pt idx="3">
                  <c:v>1034907563</c:v>
                </c:pt>
                <c:pt idx="4">
                  <c:v>1034907563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#,##0">
                  <c:v>118217962</c:v>
                </c:pt>
                <c:pt idx="9">
                  <c:v>0</c:v>
                </c:pt>
                <c:pt idx="10">
                  <c:v>79696930</c:v>
                </c:pt>
                <c:pt idx="11">
                  <c:v>9971000</c:v>
                </c:pt>
                <c:pt idx="12">
                  <c:v>0</c:v>
                </c:pt>
                <c:pt idx="13">
                  <c:v>0</c:v>
                </c:pt>
                <c:pt idx="14">
                  <c:v>28550032</c:v>
                </c:pt>
                <c:pt idx="15" formatCode="_(* #,##0_);_(* \(#,##0\);_(* &quot;-&quot;_);_(@_)">
                  <c:v>44081094</c:v>
                </c:pt>
                <c:pt idx="16">
                  <c:v>0</c:v>
                </c:pt>
                <c:pt idx="17">
                  <c:v>33331094</c:v>
                </c:pt>
                <c:pt idx="18">
                  <c:v>10750000</c:v>
                </c:pt>
                <c:pt idx="19" formatCode="_(* #,##0_);_(* \(#,##0\);_(* &quot;-&quot;_);_(@_)">
                  <c:v>79164527</c:v>
                </c:pt>
                <c:pt idx="20">
                  <c:v>29383527</c:v>
                </c:pt>
                <c:pt idx="21">
                  <c:v>49781000</c:v>
                </c:pt>
                <c:pt idx="22" formatCode="_(* #,##0_);_(* \(#,##0\);_(* &quot;-&quot;_);_(@_)">
                  <c:v>463029000</c:v>
                </c:pt>
                <c:pt idx="24" formatCode="_(* #,##0_);_(* \(#,##0\);_(* &quot;-&quot;_);_(@_)">
                  <c:v>7891000</c:v>
                </c:pt>
                <c:pt idx="25">
                  <c:v>7891000</c:v>
                </c:pt>
                <c:pt idx="26" formatCode="_(* #,##0_);_(* \(#,##0\);_(* &quot;-&quot;_);_(@_)">
                  <c:v>199313650</c:v>
                </c:pt>
                <c:pt idx="27">
                  <c:v>40475750</c:v>
                </c:pt>
                <c:pt idx="28">
                  <c:v>158837900</c:v>
                </c:pt>
                <c:pt idx="29">
                  <c:v>107719850</c:v>
                </c:pt>
                <c:pt idx="30">
                  <c:v>107719850</c:v>
                </c:pt>
                <c:pt idx="31" formatCode="_(* #,##0_);_(* \(#,##0\);_(* &quot;-&quot;_);_(@_)">
                  <c:v>68987000</c:v>
                </c:pt>
                <c:pt idx="32">
                  <c:v>68987000</c:v>
                </c:pt>
                <c:pt idx="33" formatCode="_(* #,##0_);_(* \(#,##0\);_(* &quot;-&quot;_);_(@_)">
                  <c:v>27857500</c:v>
                </c:pt>
                <c:pt idx="34">
                  <c:v>27857500</c:v>
                </c:pt>
                <c:pt idx="35">
                  <c:v>0</c:v>
                </c:pt>
                <c:pt idx="36">
                  <c:v>0</c:v>
                </c:pt>
                <c:pt idx="37" formatCode="_(* #,##0_);_(* \(#,##0\);_(* &quot;-&quot;_);_(@_)">
                  <c:v>51260000</c:v>
                </c:pt>
                <c:pt idx="38">
                  <c:v>51260000</c:v>
                </c:pt>
                <c:pt idx="39" formatCode="#,##0">
                  <c:v>97430000</c:v>
                </c:pt>
                <c:pt idx="40" formatCode="#,##0">
                  <c:v>6950000</c:v>
                </c:pt>
                <c:pt idx="41">
                  <c:v>6950000</c:v>
                </c:pt>
                <c:pt idx="42" formatCode="#,##0">
                  <c:v>90480000</c:v>
                </c:pt>
                <c:pt idx="43">
                  <c:v>90480000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9B0-4A33-AE8A-00ACDBC16E57}"/>
            </c:ext>
          </c:extLst>
        </c:ser>
        <c:ser>
          <c:idx val="18"/>
          <c:order val="18"/>
          <c:tx>
            <c:strRef>
              <c:f>'Dinas Perhubungan'!$T$1:$T$13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III</c:v>
                </c:pt>
                <c:pt idx="9">
                  <c:v>10</c:v>
                </c:pt>
                <c:pt idx="10">
                  <c:v>K</c:v>
                </c:pt>
                <c:pt idx="12">
                  <c:v>25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Perhubungan'!$T$14:$T$63</c:f>
              <c:numCache>
                <c:formatCode>General</c:formatCode>
                <c:ptCount val="50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 formatCode="0">
                  <c:v>3</c:v>
                </c:pt>
                <c:pt idx="4" formatCode="0">
                  <c:v>28</c:v>
                </c:pt>
                <c:pt idx="5" formatCode="0">
                  <c:v>0</c:v>
                </c:pt>
                <c:pt idx="6" formatCode="0">
                  <c:v>3</c:v>
                </c:pt>
                <c:pt idx="7" formatCode="0">
                  <c:v>0</c:v>
                </c:pt>
                <c:pt idx="8" formatCode="0.00">
                  <c:v>0</c:v>
                </c:pt>
                <c:pt idx="9" formatCode="0">
                  <c:v>3</c:v>
                </c:pt>
                <c:pt idx="10" formatCode="0">
                  <c:v>3</c:v>
                </c:pt>
                <c:pt idx="11" formatCode="0">
                  <c:v>3</c:v>
                </c:pt>
                <c:pt idx="12" formatCode="0">
                  <c:v>3</c:v>
                </c:pt>
                <c:pt idx="13" formatCode="0">
                  <c:v>3</c:v>
                </c:pt>
                <c:pt idx="14" formatCode="0">
                  <c:v>3</c:v>
                </c:pt>
                <c:pt idx="15" formatCode="0">
                  <c:v>25</c:v>
                </c:pt>
                <c:pt idx="16" formatCode="0">
                  <c:v>3</c:v>
                </c:pt>
                <c:pt idx="17" formatCode="0">
                  <c:v>3</c:v>
                </c:pt>
                <c:pt idx="18" formatCode="0">
                  <c:v>3</c:v>
                </c:pt>
                <c:pt idx="19" formatCode="0">
                  <c:v>25</c:v>
                </c:pt>
                <c:pt idx="20" formatCode="0">
                  <c:v>3</c:v>
                </c:pt>
                <c:pt idx="21" formatCode="0">
                  <c:v>3</c:v>
                </c:pt>
                <c:pt idx="22" formatCode="0">
                  <c:v>0</c:v>
                </c:pt>
                <c:pt idx="23" formatCode="0">
                  <c:v>25</c:v>
                </c:pt>
                <c:pt idx="24" formatCode="0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 formatCode="0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44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 formatCode="0">
                  <c:v>0</c:v>
                </c:pt>
                <c:pt idx="38">
                  <c:v>0</c:v>
                </c:pt>
                <c:pt idx="39">
                  <c:v>15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9B0-4A33-AE8A-00ACDBC16E57}"/>
            </c:ext>
          </c:extLst>
        </c:ser>
        <c:ser>
          <c:idx val="19"/>
          <c:order val="19"/>
          <c:tx>
            <c:strRef>
              <c:f>'Dinas Perhubungan'!$U$1:$U$13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III</c:v>
                </c:pt>
                <c:pt idx="9">
                  <c:v>10</c:v>
                </c:pt>
                <c:pt idx="10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Perhubungan'!$U$14:$U$63</c:f>
              <c:numCache>
                <c:formatCode>0%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9B0-4A33-AE8A-00ACDBC16E57}"/>
            </c:ext>
          </c:extLst>
        </c:ser>
        <c:ser>
          <c:idx val="20"/>
          <c:order val="20"/>
          <c:tx>
            <c:strRef>
              <c:f>'Dinas Perhubungan'!$V$1:$V$13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III</c:v>
                </c:pt>
                <c:pt idx="9">
                  <c:v>10</c:v>
                </c:pt>
                <c:pt idx="10">
                  <c:v>Rp</c:v>
                </c:pt>
                <c:pt idx="12">
                  <c:v> 740.769.695 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Perhubungan'!$V$14:$V$63</c:f>
              <c:numCache>
                <c:formatCode>_(* #,##0_);_(* \(#,##0\);_(* "-"??_);_(@_)</c:formatCode>
                <c:ptCount val="50"/>
                <c:pt idx="0" formatCode="_(* #,##0_);_(* \(#,##0\);_(* &quot;-&quot;_);_(@_)">
                  <c:v>4500000</c:v>
                </c:pt>
                <c:pt idx="1">
                  <c:v>4000000</c:v>
                </c:pt>
                <c:pt idx="2">
                  <c:v>500000</c:v>
                </c:pt>
                <c:pt idx="3">
                  <c:v>668106956</c:v>
                </c:pt>
                <c:pt idx="4">
                  <c:v>668106956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#,##0">
                  <c:v>39320096</c:v>
                </c:pt>
                <c:pt idx="9">
                  <c:v>321800</c:v>
                </c:pt>
                <c:pt idx="10">
                  <c:v>178000</c:v>
                </c:pt>
                <c:pt idx="11">
                  <c:v>5200000</c:v>
                </c:pt>
                <c:pt idx="12">
                  <c:v>1095000</c:v>
                </c:pt>
                <c:pt idx="13">
                  <c:v>615000</c:v>
                </c:pt>
                <c:pt idx="14">
                  <c:v>31910296</c:v>
                </c:pt>
                <c:pt idx="15" formatCode="_(* #,##0_);_(* \(#,##0\);_(* &quot;-&quot;_);_(@_)">
                  <c:v>1340061</c:v>
                </c:pt>
                <c:pt idx="16">
                  <c:v>0</c:v>
                </c:pt>
                <c:pt idx="17">
                  <c:v>1090061</c:v>
                </c:pt>
                <c:pt idx="18">
                  <c:v>250000</c:v>
                </c:pt>
                <c:pt idx="19" formatCode="_(* #,##0_);_(* \(#,##0\);_(* &quot;-&quot;_);_(@_)">
                  <c:v>27502582</c:v>
                </c:pt>
                <c:pt idx="20">
                  <c:v>25712582</c:v>
                </c:pt>
                <c:pt idx="21">
                  <c:v>1790000</c:v>
                </c:pt>
                <c:pt idx="22" formatCode="_(* #,##0_);_(* \(#,##0\);_(* &quot;-&quot;_);_(@_)">
                  <c:v>112067760</c:v>
                </c:pt>
                <c:pt idx="24" formatCode="_(* #,##0_);_(* \(#,##0\);_(* &quot;-&quot;_);_(@_)">
                  <c:v>4250000</c:v>
                </c:pt>
                <c:pt idx="25">
                  <c:v>4250000</c:v>
                </c:pt>
                <c:pt idx="26" formatCode="_(* #,##0_);_(* \(#,##0\);_(* &quot;-&quot;_);_(@_)">
                  <c:v>17055000</c:v>
                </c:pt>
                <c:pt idx="27">
                  <c:v>0</c:v>
                </c:pt>
                <c:pt idx="28">
                  <c:v>17055000</c:v>
                </c:pt>
                <c:pt idx="29">
                  <c:v>1500000</c:v>
                </c:pt>
                <c:pt idx="30">
                  <c:v>1500000</c:v>
                </c:pt>
                <c:pt idx="31" formatCode="_(* #,##0_);_(* \(#,##0\);_(* &quot;-&quot;_);_(@_)">
                  <c:v>0</c:v>
                </c:pt>
                <c:pt idx="32">
                  <c:v>0</c:v>
                </c:pt>
                <c:pt idx="33" formatCode="_(* #,##0_);_(* \(#,##0\);_(* &quot;-&quot;_);_(@_)">
                  <c:v>47062760</c:v>
                </c:pt>
                <c:pt idx="34">
                  <c:v>47062760</c:v>
                </c:pt>
                <c:pt idx="35">
                  <c:v>0</c:v>
                </c:pt>
                <c:pt idx="36">
                  <c:v>0</c:v>
                </c:pt>
                <c:pt idx="37" formatCode="_(* #,##0_);_(* \(#,##0\);_(* &quot;-&quot;_);_(@_)">
                  <c:v>42200000</c:v>
                </c:pt>
                <c:pt idx="38">
                  <c:v>42200000</c:v>
                </c:pt>
                <c:pt idx="39" formatCode="#,##0">
                  <c:v>49920500</c:v>
                </c:pt>
                <c:pt idx="40" formatCode="#,##0">
                  <c:v>5900000</c:v>
                </c:pt>
                <c:pt idx="41">
                  <c:v>5900000</c:v>
                </c:pt>
                <c:pt idx="42" formatCode="#,##0">
                  <c:v>44020500</c:v>
                </c:pt>
                <c:pt idx="43">
                  <c:v>44020500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9B0-4A33-AE8A-00ACDBC16E57}"/>
            </c:ext>
          </c:extLst>
        </c:ser>
        <c:ser>
          <c:idx val="21"/>
          <c:order val="21"/>
          <c:tx>
            <c:strRef>
              <c:f>'Dinas Perhubungan'!$W$1:$W$13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IV</c:v>
                </c:pt>
                <c:pt idx="9">
                  <c:v>11</c:v>
                </c:pt>
                <c:pt idx="10">
                  <c:v>K</c:v>
                </c:pt>
                <c:pt idx="12">
                  <c:v>25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Perhubungan'!$W$14:$W$63</c:f>
              <c:numCache>
                <c:formatCode>General</c:formatCode>
                <c:ptCount val="50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 formatCode="0">
                  <c:v>5</c:v>
                </c:pt>
                <c:pt idx="4" formatCode="0">
                  <c:v>28</c:v>
                </c:pt>
                <c:pt idx="5" formatCode="0">
                  <c:v>1</c:v>
                </c:pt>
                <c:pt idx="6" formatCode="0">
                  <c:v>3</c:v>
                </c:pt>
                <c:pt idx="7" formatCode="0">
                  <c:v>0</c:v>
                </c:pt>
                <c:pt idx="8" formatCode="0">
                  <c:v>1</c:v>
                </c:pt>
                <c:pt idx="9" formatCode="0">
                  <c:v>3</c:v>
                </c:pt>
                <c:pt idx="10" formatCode="0">
                  <c:v>3</c:v>
                </c:pt>
                <c:pt idx="11" formatCode="0">
                  <c:v>3</c:v>
                </c:pt>
                <c:pt idx="12" formatCode="0">
                  <c:v>3</c:v>
                </c:pt>
                <c:pt idx="13" formatCode="0">
                  <c:v>3</c:v>
                </c:pt>
                <c:pt idx="14" formatCode="0">
                  <c:v>3</c:v>
                </c:pt>
                <c:pt idx="15" formatCode="0">
                  <c:v>25</c:v>
                </c:pt>
                <c:pt idx="16" formatCode="0">
                  <c:v>3</c:v>
                </c:pt>
                <c:pt idx="17" formatCode="0">
                  <c:v>3</c:v>
                </c:pt>
                <c:pt idx="18" formatCode="0">
                  <c:v>3</c:v>
                </c:pt>
                <c:pt idx="19" formatCode="0">
                  <c:v>25</c:v>
                </c:pt>
                <c:pt idx="20" formatCode="0">
                  <c:v>3</c:v>
                </c:pt>
                <c:pt idx="21" formatCode="0">
                  <c:v>3</c:v>
                </c:pt>
                <c:pt idx="22" formatCode="0">
                  <c:v>0</c:v>
                </c:pt>
                <c:pt idx="23" formatCode="0">
                  <c:v>25</c:v>
                </c:pt>
                <c:pt idx="24" formatCode="0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 formatCode="0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 formatCode="0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9B0-4A33-AE8A-00ACDBC16E57}"/>
            </c:ext>
          </c:extLst>
        </c:ser>
        <c:ser>
          <c:idx val="22"/>
          <c:order val="22"/>
          <c:tx>
            <c:strRef>
              <c:f>'Dinas Perhubungan'!$X$1:$X$13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IV</c:v>
                </c:pt>
                <c:pt idx="9">
                  <c:v>11</c:v>
                </c:pt>
                <c:pt idx="10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Perhubungan'!$X$14:$X$63</c:f>
              <c:numCache>
                <c:formatCode>0%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9B0-4A33-AE8A-00ACDBC16E57}"/>
            </c:ext>
          </c:extLst>
        </c:ser>
        <c:ser>
          <c:idx val="23"/>
          <c:order val="23"/>
          <c:tx>
            <c:strRef>
              <c:f>'Dinas Perhubungan'!$Y$1:$Y$13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Pada Triwulan</c:v>
                </c:pt>
                <c:pt idx="8">
                  <c:v>IV</c:v>
                </c:pt>
                <c:pt idx="9">
                  <c:v>11</c:v>
                </c:pt>
                <c:pt idx="10">
                  <c:v>Rp</c:v>
                </c:pt>
                <c:pt idx="12">
                  <c:v> 1.240.189.483 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Perhubungan'!$Y$14:$Y$63</c:f>
              <c:numCache>
                <c:formatCode>_(* #,##0_);_(* \(#,##0\);_(* "-"??_);_(@_)</c:formatCode>
                <c:ptCount val="50"/>
                <c:pt idx="0" formatCode="_(* #,##0_);_(* \(#,##0\);_(* &quot;-&quot;_);_(@_)">
                  <c:v>2875000</c:v>
                </c:pt>
                <c:pt idx="1">
                  <c:v>2875000</c:v>
                </c:pt>
                <c:pt idx="2">
                  <c:v>0</c:v>
                </c:pt>
                <c:pt idx="3">
                  <c:v>585577075</c:v>
                </c:pt>
                <c:pt idx="4">
                  <c:v>580577075</c:v>
                </c:pt>
                <c:pt idx="5" formatCode="_(* #,##0_);_(* \(#,##0\);_(* &quot;-&quot;_);_(@_)">
                  <c:v>2000000</c:v>
                </c:pt>
                <c:pt idx="6" formatCode="_(* #,##0_);_(* \(#,##0\);_(* &quot;-&quot;_);_(@_)">
                  <c:v>1500000</c:v>
                </c:pt>
                <c:pt idx="7" formatCode="_(* #,##0_);_(* \(#,##0\);_(* &quot;-&quot;_);_(@_)">
                  <c:v>1500000</c:v>
                </c:pt>
                <c:pt idx="8" formatCode="#,##0">
                  <c:v>326282025</c:v>
                </c:pt>
                <c:pt idx="9">
                  <c:v>24558000</c:v>
                </c:pt>
                <c:pt idx="10">
                  <c:v>46336517</c:v>
                </c:pt>
                <c:pt idx="11">
                  <c:v>9700000</c:v>
                </c:pt>
                <c:pt idx="12">
                  <c:v>17837000</c:v>
                </c:pt>
                <c:pt idx="13" formatCode="_(* #,##0_);_(* \(#,##0\);_(* &quot;-&quot;_);_(@_)">
                  <c:v>965000</c:v>
                </c:pt>
                <c:pt idx="14">
                  <c:v>226885508</c:v>
                </c:pt>
                <c:pt idx="15" formatCode="_(* #,##0_);_(* \(#,##0\);_(* &quot;-&quot;_);_(@_)">
                  <c:v>24026727</c:v>
                </c:pt>
                <c:pt idx="16">
                  <c:v>0</c:v>
                </c:pt>
                <c:pt idx="17">
                  <c:v>18211927</c:v>
                </c:pt>
                <c:pt idx="18">
                  <c:v>5814800</c:v>
                </c:pt>
                <c:pt idx="19" formatCode="_(* #,##0_);_(* \(#,##0\);_(* &quot;-&quot;_);_(@_)">
                  <c:v>301428656</c:v>
                </c:pt>
                <c:pt idx="20">
                  <c:v>99899456</c:v>
                </c:pt>
                <c:pt idx="21">
                  <c:v>201529200</c:v>
                </c:pt>
                <c:pt idx="22" formatCode="_(* #,##0_);_(* \(#,##0\);_(* &quot;-&quot;_);_(@_)">
                  <c:v>569747446</c:v>
                </c:pt>
                <c:pt idx="24" formatCode="_(* #,##0_);_(* \(#,##0\);_(* &quot;-&quot;_);_(@_)">
                  <c:v>13809000</c:v>
                </c:pt>
                <c:pt idx="25">
                  <c:v>13809000</c:v>
                </c:pt>
                <c:pt idx="26" formatCode="_(* #,##0_);_(* \(#,##0\);_(* &quot;-&quot;_);_(@_)">
                  <c:v>60423000</c:v>
                </c:pt>
                <c:pt idx="27">
                  <c:v>585000</c:v>
                </c:pt>
                <c:pt idx="28">
                  <c:v>59838000</c:v>
                </c:pt>
                <c:pt idx="29">
                  <c:v>500000</c:v>
                </c:pt>
                <c:pt idx="30">
                  <c:v>500000</c:v>
                </c:pt>
                <c:pt idx="31" formatCode="_(* #,##0_);_(* \(#,##0\);_(* &quot;-&quot;_);_(@_)">
                  <c:v>70036500</c:v>
                </c:pt>
                <c:pt idx="32">
                  <c:v>70036500</c:v>
                </c:pt>
                <c:pt idx="33" formatCode="_(* #,##0_);_(* \(#,##0\);_(* &quot;-&quot;_);_(@_)">
                  <c:v>330366446</c:v>
                </c:pt>
                <c:pt idx="34">
                  <c:v>259466446</c:v>
                </c:pt>
                <c:pt idx="35">
                  <c:v>50000000</c:v>
                </c:pt>
                <c:pt idx="36">
                  <c:v>20900000</c:v>
                </c:pt>
                <c:pt idx="37" formatCode="_(* #,##0_);_(* \(#,##0\);_(* &quot;-&quot;_);_(@_)">
                  <c:v>94612500</c:v>
                </c:pt>
                <c:pt idx="38">
                  <c:v>94612500</c:v>
                </c:pt>
                <c:pt idx="39" formatCode="#,##0">
                  <c:v>110421000</c:v>
                </c:pt>
                <c:pt idx="40" formatCode="#,##0">
                  <c:v>11125000</c:v>
                </c:pt>
                <c:pt idx="41">
                  <c:v>11125000</c:v>
                </c:pt>
                <c:pt idx="42" formatCode="#,##0">
                  <c:v>99296000</c:v>
                </c:pt>
                <c:pt idx="43">
                  <c:v>99296000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9B0-4A33-AE8A-00ACDBC16E57}"/>
            </c:ext>
          </c:extLst>
        </c:ser>
        <c:ser>
          <c:idx val="24"/>
          <c:order val="24"/>
          <c:tx>
            <c:strRef>
              <c:f>'Dinas Perhubungan'!$Z$1:$Z$13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2021</c:v>
                </c:pt>
                <c:pt idx="9">
                  <c:v>12</c:v>
                </c:pt>
                <c:pt idx="10">
                  <c:v>[kolom (8-11)(K)]</c:v>
                </c:pt>
                <c:pt idx="11">
                  <c:v>K</c:v>
                </c:pt>
                <c:pt idx="12">
                  <c:v>100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Perhubungan'!$Z$14:$Z$63</c:f>
              <c:numCache>
                <c:formatCode>0</c:formatCode>
                <c:ptCount val="50"/>
                <c:pt idx="0">
                  <c:v>15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28</c:v>
                </c:pt>
                <c:pt idx="5">
                  <c:v>1</c:v>
                </c:pt>
                <c:pt idx="6">
                  <c:v>12</c:v>
                </c:pt>
                <c:pt idx="7">
                  <c:v>1</c:v>
                </c:pt>
                <c:pt idx="8">
                  <c:v>1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100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100</c:v>
                </c:pt>
                <c:pt idx="20">
                  <c:v>12</c:v>
                </c:pt>
                <c:pt idx="21">
                  <c:v>12</c:v>
                </c:pt>
                <c:pt idx="22">
                  <c:v>100</c:v>
                </c:pt>
                <c:pt idx="23">
                  <c:v>100</c:v>
                </c:pt>
                <c:pt idx="24">
                  <c:v>1</c:v>
                </c:pt>
                <c:pt idx="25">
                  <c:v>1</c:v>
                </c:pt>
                <c:pt idx="26">
                  <c:v>100</c:v>
                </c:pt>
                <c:pt idx="27">
                  <c:v>27</c:v>
                </c:pt>
                <c:pt idx="28">
                  <c:v>5</c:v>
                </c:pt>
                <c:pt idx="29">
                  <c:v>100</c:v>
                </c:pt>
                <c:pt idx="30" formatCode="General">
                  <c:v>1</c:v>
                </c:pt>
                <c:pt idx="31">
                  <c:v>100</c:v>
                </c:pt>
                <c:pt idx="32">
                  <c:v>2</c:v>
                </c:pt>
                <c:pt idx="33">
                  <c:v>99.861627162075592</c:v>
                </c:pt>
                <c:pt idx="34">
                  <c:v>1</c:v>
                </c:pt>
                <c:pt idx="35">
                  <c:v>8</c:v>
                </c:pt>
                <c:pt idx="36">
                  <c:v>4</c:v>
                </c:pt>
                <c:pt idx="37">
                  <c:v>100</c:v>
                </c:pt>
                <c:pt idx="38">
                  <c:v>9</c:v>
                </c:pt>
                <c:pt idx="39">
                  <c:v>85</c:v>
                </c:pt>
                <c:pt idx="40">
                  <c:v>1</c:v>
                </c:pt>
                <c:pt idx="41">
                  <c:v>12</c:v>
                </c:pt>
                <c:pt idx="42">
                  <c:v>100</c:v>
                </c:pt>
                <c:pt idx="4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9B0-4A33-AE8A-00ACDBC16E57}"/>
            </c:ext>
          </c:extLst>
        </c:ser>
        <c:ser>
          <c:idx val="25"/>
          <c:order val="25"/>
          <c:tx>
            <c:strRef>
              <c:f>'Dinas Perhubungan'!$AA$1:$AA$13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2021</c:v>
                </c:pt>
                <c:pt idx="9">
                  <c:v>12</c:v>
                </c:pt>
                <c:pt idx="10">
                  <c:v>[kolom (8-11)(K)]</c:v>
                </c:pt>
                <c:pt idx="11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Perhubungan'!$AA$14:$AA$63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0%">
                  <c:v>0</c:v>
                </c:pt>
                <c:pt idx="23" formatCode="0%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9B0-4A33-AE8A-00ACDBC16E57}"/>
            </c:ext>
          </c:extLst>
        </c:ser>
        <c:ser>
          <c:idx val="26"/>
          <c:order val="26"/>
          <c:tx>
            <c:strRef>
              <c:f>'Dinas Perhubungan'!$AB$1:$AB$13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2021</c:v>
                </c:pt>
                <c:pt idx="9">
                  <c:v>12</c:v>
                </c:pt>
                <c:pt idx="10">
                  <c:v>[kolom (12)(K) : kolom (7)(K)] x 100%</c:v>
                </c:pt>
                <c:pt idx="11">
                  <c:v>K</c:v>
                </c:pt>
                <c:pt idx="12">
                  <c:v>100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Perhubungan'!$AB$14:$AB$63</c:f>
              <c:numCache>
                <c:formatCode>0</c:formatCode>
                <c:ptCount val="5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 formatCode="0.00">
                  <c:v>107.14285714285714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 formatCode="0.00">
                  <c:v>117.64705882352942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99.861627162075592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 formatCode="0.00">
                  <c:v>100.54781206952137</c:v>
                </c:pt>
                <c:pt idx="4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9B0-4A33-AE8A-00ACDBC16E57}"/>
            </c:ext>
          </c:extLst>
        </c:ser>
        <c:ser>
          <c:idx val="27"/>
          <c:order val="27"/>
          <c:tx>
            <c:strRef>
              <c:f>'Dinas Perhubungan'!$AC$1:$AC$13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2021</c:v>
                </c:pt>
                <c:pt idx="9">
                  <c:v>12</c:v>
                </c:pt>
                <c:pt idx="10">
                  <c:v>[kolom (12)(K) : kolom (7)(K)] x 100%</c:v>
                </c:pt>
                <c:pt idx="11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Perhubungan'!$AC$14:$AC$63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9B0-4A33-AE8A-00ACDBC16E57}"/>
            </c:ext>
          </c:extLst>
        </c:ser>
        <c:ser>
          <c:idx val="28"/>
          <c:order val="28"/>
          <c:tx>
            <c:strRef>
              <c:f>'Dinas Perhubungan'!$AD$1:$AD$13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2021</c:v>
                </c:pt>
                <c:pt idx="9">
                  <c:v>12</c:v>
                </c:pt>
                <c:pt idx="10">
                  <c:v>[kolom (8-11)(Rp)]</c:v>
                </c:pt>
                <c:pt idx="11">
                  <c:v>Rp</c:v>
                </c:pt>
                <c:pt idx="12">
                  <c:v> 4.015.832.597 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Perhubungan'!$AD$14:$AD$63</c:f>
              <c:numCache>
                <c:formatCode>_(* #,##0_);_(* \(#,##0\);_(* "-"_);_(@_)</c:formatCode>
                <c:ptCount val="50"/>
                <c:pt idx="0">
                  <c:v>9500000</c:v>
                </c:pt>
                <c:pt idx="1">
                  <c:v>8000000</c:v>
                </c:pt>
                <c:pt idx="2">
                  <c:v>1500000</c:v>
                </c:pt>
                <c:pt idx="3">
                  <c:v>2937086267</c:v>
                </c:pt>
                <c:pt idx="4">
                  <c:v>2932086267</c:v>
                </c:pt>
                <c:pt idx="5">
                  <c:v>2000000</c:v>
                </c:pt>
                <c:pt idx="6">
                  <c:v>1500000</c:v>
                </c:pt>
                <c:pt idx="7">
                  <c:v>1500000</c:v>
                </c:pt>
                <c:pt idx="8">
                  <c:v>547856747</c:v>
                </c:pt>
                <c:pt idx="9">
                  <c:v>26055800</c:v>
                </c:pt>
                <c:pt idx="10">
                  <c:v>126621447</c:v>
                </c:pt>
                <c:pt idx="11">
                  <c:v>26100000</c:v>
                </c:pt>
                <c:pt idx="12">
                  <c:v>21679500</c:v>
                </c:pt>
                <c:pt idx="13">
                  <c:v>2400000</c:v>
                </c:pt>
                <c:pt idx="14">
                  <c:v>345000000</c:v>
                </c:pt>
                <c:pt idx="15">
                  <c:v>90285345</c:v>
                </c:pt>
                <c:pt idx="16">
                  <c:v>0</c:v>
                </c:pt>
                <c:pt idx="17">
                  <c:v>68720545</c:v>
                </c:pt>
                <c:pt idx="18">
                  <c:v>21564800</c:v>
                </c:pt>
                <c:pt idx="19">
                  <c:v>431104238</c:v>
                </c:pt>
                <c:pt idx="20">
                  <c:v>176629038</c:v>
                </c:pt>
                <c:pt idx="21">
                  <c:v>254475200</c:v>
                </c:pt>
                <c:pt idx="22">
                  <c:v>1272121706</c:v>
                </c:pt>
                <c:pt idx="24">
                  <c:v>25950000</c:v>
                </c:pt>
                <c:pt idx="25">
                  <c:v>25950000</c:v>
                </c:pt>
                <c:pt idx="26">
                  <c:v>281911650</c:v>
                </c:pt>
                <c:pt idx="27">
                  <c:v>41060750</c:v>
                </c:pt>
                <c:pt idx="28">
                  <c:v>240850900</c:v>
                </c:pt>
                <c:pt idx="29">
                  <c:v>109719850</c:v>
                </c:pt>
                <c:pt idx="30">
                  <c:v>109719850</c:v>
                </c:pt>
                <c:pt idx="31">
                  <c:v>194388500</c:v>
                </c:pt>
                <c:pt idx="32">
                  <c:v>194388500</c:v>
                </c:pt>
                <c:pt idx="33">
                  <c:v>440874206</c:v>
                </c:pt>
                <c:pt idx="34">
                  <c:v>369974206</c:v>
                </c:pt>
                <c:pt idx="35">
                  <c:v>50000000</c:v>
                </c:pt>
                <c:pt idx="36">
                  <c:v>20900000</c:v>
                </c:pt>
                <c:pt idx="37">
                  <c:v>219277500</c:v>
                </c:pt>
                <c:pt idx="38">
                  <c:v>219277500</c:v>
                </c:pt>
                <c:pt idx="39">
                  <c:v>333088500</c:v>
                </c:pt>
                <c:pt idx="40">
                  <c:v>25975000</c:v>
                </c:pt>
                <c:pt idx="41">
                  <c:v>25975000</c:v>
                </c:pt>
                <c:pt idx="42">
                  <c:v>307113500</c:v>
                </c:pt>
                <c:pt idx="43">
                  <c:v>307113500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D9B0-4A33-AE8A-00ACDBC16E57}"/>
            </c:ext>
          </c:extLst>
        </c:ser>
        <c:ser>
          <c:idx val="29"/>
          <c:order val="29"/>
          <c:tx>
            <c:strRef>
              <c:f>'Dinas Perhubungan'!$AE$1:$AE$13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2021</c:v>
                </c:pt>
                <c:pt idx="9">
                  <c:v>12</c:v>
                </c:pt>
                <c:pt idx="10">
                  <c:v>[kolom (12)(Rp) : kolom (7)(Rp)] x 100%</c:v>
                </c:pt>
                <c:pt idx="11">
                  <c:v>[kolom (12)(K) : kolom (7)(K)] x 100%</c:v>
                </c:pt>
                <c:pt idx="12">
                  <c:v>88,72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Perhubungan'!$AE$14:$AE$63</c:f>
              <c:numCache>
                <c:formatCode>0</c:formatCode>
                <c:ptCount val="5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 formatCode="0.00">
                  <c:v>88.658779285667279</c:v>
                </c:pt>
                <c:pt idx="4" formatCode="0.00">
                  <c:v>88.64163612772002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 formatCode="0.00">
                  <c:v>92.657566432948784</c:v>
                </c:pt>
                <c:pt idx="9" formatCode="0.00">
                  <c:v>78.812098730031394</c:v>
                </c:pt>
                <c:pt idx="10" formatCode="0.00">
                  <c:v>99.694295055617872</c:v>
                </c:pt>
                <c:pt idx="11" formatCode="0.00">
                  <c:v>61.267605633802816</c:v>
                </c:pt>
                <c:pt idx="12" formatCode="0.00">
                  <c:v>52.620145631067963</c:v>
                </c:pt>
                <c:pt idx="13" formatCode="0.00">
                  <c:v>100</c:v>
                </c:pt>
                <c:pt idx="14" formatCode="0.00">
                  <c:v>100</c:v>
                </c:pt>
                <c:pt idx="15" formatCode="0.00">
                  <c:v>73.832810640846873</c:v>
                </c:pt>
                <c:pt idx="16">
                  <c:v>0</c:v>
                </c:pt>
                <c:pt idx="17" formatCode="0.00">
                  <c:v>72.337415789473681</c:v>
                </c:pt>
                <c:pt idx="18" formatCode="0.00">
                  <c:v>82.676021239480903</c:v>
                </c:pt>
                <c:pt idx="19" formatCode="0.00">
                  <c:v>87.917210170234682</c:v>
                </c:pt>
                <c:pt idx="20" formatCode="0.00">
                  <c:v>76.115981512804211</c:v>
                </c:pt>
                <c:pt idx="21" formatCode="0.00">
                  <c:v>98.519241192411926</c:v>
                </c:pt>
                <c:pt idx="22" formatCode="0.00">
                  <c:v>89.31041200395255</c:v>
                </c:pt>
                <c:pt idx="24">
                  <c:v>100</c:v>
                </c:pt>
                <c:pt idx="25">
                  <c:v>100</c:v>
                </c:pt>
                <c:pt idx="26" formatCode="0.00">
                  <c:v>95.495760539455915</c:v>
                </c:pt>
                <c:pt idx="27">
                  <c:v>98.822503008423595</c:v>
                </c:pt>
                <c:pt idx="28" formatCode="0.00">
                  <c:v>94.950830555484927</c:v>
                </c:pt>
                <c:pt idx="29">
                  <c:v>98.051697944593386</c:v>
                </c:pt>
                <c:pt idx="30">
                  <c:v>98.051697944593386</c:v>
                </c:pt>
                <c:pt idx="31" formatCode="0.00">
                  <c:v>89.013671092428126</c:v>
                </c:pt>
                <c:pt idx="32" formatCode="0.00">
                  <c:v>89.013671092428126</c:v>
                </c:pt>
                <c:pt idx="33" formatCode="0.00">
                  <c:v>94.273334971349072</c:v>
                </c:pt>
                <c:pt idx="34" formatCode="0.00">
                  <c:v>93.960448873347872</c:v>
                </c:pt>
                <c:pt idx="35">
                  <c:v>94.339622641509436</c:v>
                </c:pt>
                <c:pt idx="36">
                  <c:v>100</c:v>
                </c:pt>
                <c:pt idx="37" formatCode="0.00">
                  <c:v>71.826439296664134</c:v>
                </c:pt>
                <c:pt idx="38" formatCode="0.00">
                  <c:v>71.826439296664134</c:v>
                </c:pt>
                <c:pt idx="39" formatCode="0.00">
                  <c:v>92.383441963666627</c:v>
                </c:pt>
                <c:pt idx="40" formatCode="0.00">
                  <c:v>99.90384615384616</c:v>
                </c:pt>
                <c:pt idx="41" formatCode="0.00">
                  <c:v>99.90384615384616</c:v>
                </c:pt>
                <c:pt idx="42" formatCode="0.00">
                  <c:v>91.798983709460472</c:v>
                </c:pt>
                <c:pt idx="43" formatCode="0.00">
                  <c:v>91.798983709460472</c:v>
                </c:pt>
                <c:pt idx="44" formatCode="0.00">
                  <c:v>90.139306904936987</c:v>
                </c:pt>
                <c:pt idx="4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9B0-4A33-AE8A-00ACDBC16E57}"/>
            </c:ext>
          </c:extLst>
        </c:ser>
        <c:ser>
          <c:idx val="30"/>
          <c:order val="30"/>
          <c:tx>
            <c:strRef>
              <c:f>'Dinas Perhubungan'!$AF$1:$AF$13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dan Tingkat Capaian Kinerja dan Anggaran Renja Perangkat Daerah yang Dievaluasi</c:v>
                </c:pt>
                <c:pt idx="8">
                  <c:v>2021</c:v>
                </c:pt>
                <c:pt idx="9">
                  <c:v>12</c:v>
                </c:pt>
                <c:pt idx="10">
                  <c:v>[kolom (12)(Rp) : kolom (7)(Rp)] x 100%</c:v>
                </c:pt>
                <c:pt idx="11">
                  <c:v>[kolom (12)(K) : kolom (7)(K)] x 100%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Perhubungan'!$AF$14:$AF$63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9B0-4A33-AE8A-00ACDBC16E57}"/>
            </c:ext>
          </c:extLst>
        </c:ser>
        <c:ser>
          <c:idx val="31"/>
          <c:order val="31"/>
          <c:tx>
            <c:strRef>
              <c:f>'Dinas Perhubungan'!$AG$1:$AG$13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dan Anggaran Renstra Perangkat Daerah s/d Tahun 2021</c:v>
                </c:pt>
                <c:pt idx="8">
                  <c:v>2021</c:v>
                </c:pt>
                <c:pt idx="9">
                  <c:v>13</c:v>
                </c:pt>
                <c:pt idx="10">
                  <c:v>[kolom (6)(K) + kolom (12)(K)]</c:v>
                </c:pt>
                <c:pt idx="11">
                  <c:v>K</c:v>
                </c:pt>
                <c:pt idx="12">
                  <c:v>200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Perhubungan'!$AG$14:$AG$63</c:f>
              <c:numCache>
                <c:formatCode>0</c:formatCode>
                <c:ptCount val="50"/>
                <c:pt idx="0">
                  <c:v>30</c:v>
                </c:pt>
                <c:pt idx="1">
                  <c:v>10</c:v>
                </c:pt>
                <c:pt idx="2">
                  <c:v>20</c:v>
                </c:pt>
                <c:pt idx="3">
                  <c:v>29</c:v>
                </c:pt>
                <c:pt idx="4">
                  <c:v>56</c:v>
                </c:pt>
                <c:pt idx="5">
                  <c:v>2</c:v>
                </c:pt>
                <c:pt idx="6">
                  <c:v>24</c:v>
                </c:pt>
                <c:pt idx="7">
                  <c:v>2</c:v>
                </c:pt>
                <c:pt idx="8">
                  <c:v>2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200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200</c:v>
                </c:pt>
                <c:pt idx="20">
                  <c:v>24</c:v>
                </c:pt>
                <c:pt idx="21">
                  <c:v>24</c:v>
                </c:pt>
                <c:pt idx="22">
                  <c:v>100</c:v>
                </c:pt>
                <c:pt idx="23">
                  <c:v>100</c:v>
                </c:pt>
                <c:pt idx="24">
                  <c:v>1</c:v>
                </c:pt>
                <c:pt idx="25">
                  <c:v>1</c:v>
                </c:pt>
                <c:pt idx="26">
                  <c:v>100</c:v>
                </c:pt>
                <c:pt idx="27">
                  <c:v>42</c:v>
                </c:pt>
                <c:pt idx="28">
                  <c:v>10</c:v>
                </c:pt>
                <c:pt idx="29">
                  <c:v>100</c:v>
                </c:pt>
                <c:pt idx="30">
                  <c:v>1</c:v>
                </c:pt>
                <c:pt idx="31">
                  <c:v>100</c:v>
                </c:pt>
                <c:pt idx="32">
                  <c:v>2</c:v>
                </c:pt>
                <c:pt idx="33">
                  <c:v>99.861627162075592</c:v>
                </c:pt>
                <c:pt idx="34">
                  <c:v>1</c:v>
                </c:pt>
                <c:pt idx="35">
                  <c:v>8</c:v>
                </c:pt>
                <c:pt idx="36">
                  <c:v>4</c:v>
                </c:pt>
                <c:pt idx="37">
                  <c:v>100</c:v>
                </c:pt>
                <c:pt idx="38">
                  <c:v>9</c:v>
                </c:pt>
                <c:pt idx="39">
                  <c:v>85</c:v>
                </c:pt>
                <c:pt idx="40">
                  <c:v>1</c:v>
                </c:pt>
                <c:pt idx="41">
                  <c:v>12</c:v>
                </c:pt>
                <c:pt idx="42">
                  <c:v>100</c:v>
                </c:pt>
                <c:pt idx="4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9B0-4A33-AE8A-00ACDBC16E57}"/>
            </c:ext>
          </c:extLst>
        </c:ser>
        <c:ser>
          <c:idx val="32"/>
          <c:order val="32"/>
          <c:tx>
            <c:strRef>
              <c:f>'Dinas Perhubungan'!$AH$1:$AH$13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dan Anggaran Renstra Perangkat Daerah s/d Tahun 2021</c:v>
                </c:pt>
                <c:pt idx="8">
                  <c:v>2021</c:v>
                </c:pt>
                <c:pt idx="9">
                  <c:v>13</c:v>
                </c:pt>
                <c:pt idx="10">
                  <c:v>[kolom (6)(K) + kolom (12)(K)]</c:v>
                </c:pt>
                <c:pt idx="11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Perhubungan'!$AH$14:$AH$63</c:f>
              <c:numCache>
                <c:formatCode>0%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9B0-4A33-AE8A-00ACDBC16E57}"/>
            </c:ext>
          </c:extLst>
        </c:ser>
        <c:ser>
          <c:idx val="33"/>
          <c:order val="33"/>
          <c:tx>
            <c:strRef>
              <c:f>'Dinas Perhubungan'!$AI$1:$AI$13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Realisasi Kinerja dan Anggaran Renstra Perangkat Daerah s/d Tahun 2021</c:v>
                </c:pt>
                <c:pt idx="8">
                  <c:v>2021</c:v>
                </c:pt>
                <c:pt idx="9">
                  <c:v>13</c:v>
                </c:pt>
                <c:pt idx="10">
                  <c:v>[kolom (6)(Rp) + kolom (12)(Rp)]</c:v>
                </c:pt>
                <c:pt idx="11">
                  <c:v>Rp</c:v>
                </c:pt>
                <c:pt idx="12">
                  <c:v> 4.015.832.597 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Perhubungan'!$AI$14:$AI$63</c:f>
              <c:numCache>
                <c:formatCode>_(* #,##0_);_(* \(#,##0\);_(* "-"_);_(@_)</c:formatCode>
                <c:ptCount val="50"/>
                <c:pt idx="0">
                  <c:v>9500000</c:v>
                </c:pt>
                <c:pt idx="1">
                  <c:v>8000000</c:v>
                </c:pt>
                <c:pt idx="2">
                  <c:v>1500000</c:v>
                </c:pt>
                <c:pt idx="3">
                  <c:v>2937086267</c:v>
                </c:pt>
                <c:pt idx="4">
                  <c:v>2932086267</c:v>
                </c:pt>
                <c:pt idx="5">
                  <c:v>2000000</c:v>
                </c:pt>
                <c:pt idx="6">
                  <c:v>1500000</c:v>
                </c:pt>
                <c:pt idx="7">
                  <c:v>1500000</c:v>
                </c:pt>
                <c:pt idx="8">
                  <c:v>547856747</c:v>
                </c:pt>
                <c:pt idx="9">
                  <c:v>26055800</c:v>
                </c:pt>
                <c:pt idx="10">
                  <c:v>167464447</c:v>
                </c:pt>
                <c:pt idx="11">
                  <c:v>26100000</c:v>
                </c:pt>
                <c:pt idx="12">
                  <c:v>21679500</c:v>
                </c:pt>
                <c:pt idx="13">
                  <c:v>2400000</c:v>
                </c:pt>
                <c:pt idx="14">
                  <c:v>521887540</c:v>
                </c:pt>
                <c:pt idx="15">
                  <c:v>90285345</c:v>
                </c:pt>
                <c:pt idx="16">
                  <c:v>0</c:v>
                </c:pt>
                <c:pt idx="17">
                  <c:v>127631312</c:v>
                </c:pt>
                <c:pt idx="18">
                  <c:v>21564800</c:v>
                </c:pt>
                <c:pt idx="19">
                  <c:v>431104238</c:v>
                </c:pt>
                <c:pt idx="20">
                  <c:v>176629038</c:v>
                </c:pt>
                <c:pt idx="21">
                  <c:v>254475200</c:v>
                </c:pt>
                <c:pt idx="22">
                  <c:v>1348729706</c:v>
                </c:pt>
                <c:pt idx="24">
                  <c:v>25950000</c:v>
                </c:pt>
                <c:pt idx="25">
                  <c:v>25950000</c:v>
                </c:pt>
                <c:pt idx="26">
                  <c:v>358519650</c:v>
                </c:pt>
                <c:pt idx="27">
                  <c:v>69860750</c:v>
                </c:pt>
                <c:pt idx="28">
                  <c:v>288658900</c:v>
                </c:pt>
                <c:pt idx="29">
                  <c:v>109719850</c:v>
                </c:pt>
                <c:pt idx="30">
                  <c:v>109719850</c:v>
                </c:pt>
                <c:pt idx="31">
                  <c:v>194388500</c:v>
                </c:pt>
                <c:pt idx="32">
                  <c:v>194388500</c:v>
                </c:pt>
                <c:pt idx="33">
                  <c:v>440874206</c:v>
                </c:pt>
                <c:pt idx="34">
                  <c:v>369974206</c:v>
                </c:pt>
                <c:pt idx="35">
                  <c:v>50000000</c:v>
                </c:pt>
                <c:pt idx="36">
                  <c:v>20900000</c:v>
                </c:pt>
                <c:pt idx="37">
                  <c:v>219277500</c:v>
                </c:pt>
                <c:pt idx="38">
                  <c:v>219277500</c:v>
                </c:pt>
                <c:pt idx="39">
                  <c:v>333088500</c:v>
                </c:pt>
                <c:pt idx="40">
                  <c:v>25975000</c:v>
                </c:pt>
                <c:pt idx="41">
                  <c:v>25975000</c:v>
                </c:pt>
                <c:pt idx="42">
                  <c:v>307113500</c:v>
                </c:pt>
                <c:pt idx="43">
                  <c:v>307113500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9B0-4A33-AE8A-00ACDBC16E57}"/>
            </c:ext>
          </c:extLst>
        </c:ser>
        <c:ser>
          <c:idx val="34"/>
          <c:order val="34"/>
          <c:tx>
            <c:strRef>
              <c:f>'Dinas Perhubungan'!$AJ$1:$AJ$13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Tingkat Capaian Kinerja dan Realisasi Anggaran Renstra Perangkat Daerah s/d Tahun 2021 (%)</c:v>
                </c:pt>
                <c:pt idx="8">
                  <c:v>2021</c:v>
                </c:pt>
                <c:pt idx="9">
                  <c:v>14</c:v>
                </c:pt>
                <c:pt idx="10">
                  <c:v>[kolom (13)(K) : kolom (5)(K)] x 100%</c:v>
                </c:pt>
                <c:pt idx="11">
                  <c:v>K</c:v>
                </c:pt>
                <c:pt idx="12">
                  <c:v> 4.015.832.597 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Perhubungan'!$AJ$14:$AJ$63</c:f>
              <c:numCache>
                <c:formatCode>0.00</c:formatCode>
                <c:ptCount val="50"/>
              </c:numCache>
            </c:numRef>
          </c:val>
          <c:extLst>
            <c:ext xmlns:c16="http://schemas.microsoft.com/office/drawing/2014/chart" uri="{C3380CC4-5D6E-409C-BE32-E72D297353CC}">
              <c16:uniqueId val="{00000022-D9B0-4A33-AE8A-00ACDBC16E57}"/>
            </c:ext>
          </c:extLst>
        </c:ser>
        <c:ser>
          <c:idx val="35"/>
          <c:order val="35"/>
          <c:tx>
            <c:strRef>
              <c:f>'Dinas Perhubungan'!$AK$1:$AK$13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Tingkat Capaian Kinerja dan Realisasi Anggaran Renstra Perangkat Daerah s/d Tahun 2021 (%)</c:v>
                </c:pt>
                <c:pt idx="8">
                  <c:v>2021</c:v>
                </c:pt>
                <c:pt idx="9">
                  <c:v>14</c:v>
                </c:pt>
                <c:pt idx="10">
                  <c:v>[kolom (13)(K) : kolom (5)(K)] x 100%</c:v>
                </c:pt>
                <c:pt idx="11">
                  <c:v>K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Perhubungan'!$AK$14:$AK$63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D9B0-4A33-AE8A-00ACDBC16E57}"/>
            </c:ext>
          </c:extLst>
        </c:ser>
        <c:ser>
          <c:idx val="36"/>
          <c:order val="36"/>
          <c:tx>
            <c:strRef>
              <c:f>'Dinas Perhubungan'!$AL$1:$AL$13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Tingkat Capaian Kinerja dan Realisasi Anggaran Renstra Perangkat Daerah s/d Tahun 2021 (%)</c:v>
                </c:pt>
                <c:pt idx="8">
                  <c:v>2021</c:v>
                </c:pt>
                <c:pt idx="9">
                  <c:v>14</c:v>
                </c:pt>
                <c:pt idx="10">
                  <c:v>[Kolom (13)(Rp) : Kolom (5)(Rp)] x 100%</c:v>
                </c:pt>
                <c:pt idx="11">
                  <c:v>Rp</c:v>
                </c:pt>
                <c:pt idx="12">
                  <c:v>%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Perhubungan'!$AL$14:$AL$63</c:f>
              <c:numCache>
                <c:formatCode>0.00</c:formatCode>
                <c:ptCount val="50"/>
              </c:numCache>
            </c:numRef>
          </c:val>
          <c:extLst>
            <c:ext xmlns:c16="http://schemas.microsoft.com/office/drawing/2014/chart" uri="{C3380CC4-5D6E-409C-BE32-E72D297353CC}">
              <c16:uniqueId val="{00000024-D9B0-4A33-AE8A-00ACDBC16E57}"/>
            </c:ext>
          </c:extLst>
        </c:ser>
        <c:ser>
          <c:idx val="37"/>
          <c:order val="37"/>
          <c:tx>
            <c:strRef>
              <c:f>'Dinas Perhubungan'!$AM$1:$AM$13</c:f>
              <c:strCache>
                <c:ptCount val="13"/>
                <c:pt idx="0">
                  <c:v>EVALUASI TERHADAP HASIL RENCANA KERJA PERANGKAT DAERAH LINGKUP KABUPATEN</c:v>
                </c:pt>
                <c:pt idx="1">
                  <c:v>RENCANA KERJA PERANGKAT DAERAH</c:v>
                </c:pt>
                <c:pt idx="2">
                  <c:v>DINAS PERHUBUNGAN</c:v>
                </c:pt>
                <c:pt idx="3">
                  <c:v>PERIODE PELAKSANAAN TRIWULAN IV TAHUN 2021</c:v>
                </c:pt>
                <c:pt idx="4">
                  <c:v>Indikator dan Target Kinerja Perangkat Daerah Kabupaten yang Mengacu Pada Sasaran RKPD Kabupaten</c:v>
                </c:pt>
                <c:pt idx="5">
                  <c:v>DINAS PERHUBUNGAN</c:v>
                </c:pt>
                <c:pt idx="6">
                  <c:v>SKPD Penanggung Jawab</c:v>
                </c:pt>
                <c:pt idx="8">
                  <c:v>2021</c:v>
                </c:pt>
                <c:pt idx="9">
                  <c:v>15</c:v>
                </c:pt>
                <c:pt idx="10">
                  <c:v>[Kolom (13)(Rp) : Kolom (5)(Rp)] x 100%</c:v>
                </c:pt>
                <c:pt idx="11">
                  <c:v>Rp</c:v>
                </c:pt>
                <c:pt idx="12">
                  <c:v>Dinas Perhubungan</c:v>
                </c:pt>
              </c:strCache>
            </c:strRef>
          </c:tx>
          <c:invertIfNegative val="0"/>
          <c:cat>
            <c:strRef>
              <c:f>'Dinas Perhubungan'!$A$14:$A$63</c:f>
              <c:strCache>
                <c:ptCount val="50"/>
                <c:pt idx="0">
                  <c:v>2</c:v>
                </c:pt>
                <c:pt idx="1">
                  <c:v>9</c:v>
                </c:pt>
                <c:pt idx="44">
                  <c:v>Rata-rata Capaian Kinerja (%)</c:v>
                </c:pt>
                <c:pt idx="45">
                  <c:v>Predikat Kinerja</c:v>
                </c:pt>
                <c:pt idx="46">
                  <c:v>Faktor pendorong keberhasilan pencapaian:</c:v>
                </c:pt>
                <c:pt idx="47">
                  <c:v>Faktor penghambat pencapaian kinerja:</c:v>
                </c:pt>
                <c:pt idx="48">
                  <c:v>Tindak lanjut yang diperlukan dalam triwulan berikutnya*):</c:v>
                </c:pt>
                <c:pt idx="49">
                  <c:v>Tindak lanjut yang diperlukan dalam Renja Perangkat Daerah Kabupaten berikutnya*):</c:v>
                </c:pt>
              </c:strCache>
            </c:strRef>
          </c:cat>
          <c:val>
            <c:numRef>
              <c:f>'Dinas Perhubungan'!$AM$14:$AM$63</c:f>
              <c:numCache>
                <c:formatCode>General</c:formatCode>
                <c:ptCount val="50"/>
              </c:numCache>
            </c:numRef>
          </c:val>
          <c:extLst>
            <c:ext xmlns:c16="http://schemas.microsoft.com/office/drawing/2014/chart" uri="{C3380CC4-5D6E-409C-BE32-E72D297353CC}">
              <c16:uniqueId val="{00000025-D9B0-4A33-AE8A-00ACDBC16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434816"/>
        <c:axId val="198436352"/>
      </c:barChart>
      <c:catAx>
        <c:axId val="19843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8436352"/>
        <c:crosses val="autoZero"/>
        <c:auto val="1"/>
        <c:lblAlgn val="ctr"/>
        <c:lblOffset val="100"/>
        <c:noMultiLvlLbl val="0"/>
      </c:catAx>
      <c:valAx>
        <c:axId val="198436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434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74"/>
  <sheetViews>
    <sheetView tabSelected="1" showRuler="0" view="pageBreakPreview" topLeftCell="E1" zoomScale="70" zoomScaleNormal="40" zoomScaleSheetLayoutView="70" zoomScalePageLayoutView="55" workbookViewId="0">
      <selection activeCell="AD55" sqref="AD55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24.7109375" style="2" customWidth="1"/>
    <col min="4" max="4" width="20.42578125" style="2" customWidth="1"/>
    <col min="5" max="5" width="7.7109375" style="2" customWidth="1"/>
    <col min="6" max="6" width="9.42578125" style="2" customWidth="1"/>
    <col min="7" max="7" width="21.140625" style="2" bestFit="1" customWidth="1"/>
    <col min="8" max="8" width="7.7109375" style="2" customWidth="1"/>
    <col min="9" max="9" width="9.42578125" style="2" customWidth="1"/>
    <col min="10" max="10" width="21.42578125" style="2" customWidth="1"/>
    <col min="11" max="11" width="9" style="2" customWidth="1"/>
    <col min="12" max="12" width="7.5703125" style="2" customWidth="1"/>
    <col min="13" max="13" width="22.140625" style="2" customWidth="1"/>
    <col min="14" max="14" width="7.7109375" style="2" customWidth="1"/>
    <col min="15" max="15" width="8" style="2" customWidth="1"/>
    <col min="16" max="16" width="21.140625" style="2" customWidth="1"/>
    <col min="17" max="18" width="7.7109375" style="2" customWidth="1"/>
    <col min="19" max="19" width="22.14062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.5703125" style="2" customWidth="1"/>
    <col min="27" max="27" width="9.7109375" style="93" customWidth="1"/>
    <col min="28" max="28" width="11.85546875" style="2" customWidth="1"/>
    <col min="29" max="29" width="5.5703125" style="4" customWidth="1"/>
    <col min="30" max="30" width="19" style="2" customWidth="1"/>
    <col min="31" max="31" width="9.28515625" style="2" customWidth="1"/>
    <col min="32" max="32" width="5.5703125" style="4" customWidth="1"/>
    <col min="33" max="33" width="8" style="2" customWidth="1"/>
    <col min="34" max="34" width="5.5703125" style="4" customWidth="1"/>
    <col min="35" max="35" width="18.5703125" style="2" bestFit="1" customWidth="1"/>
    <col min="36" max="36" width="8" style="2" customWidth="1"/>
    <col min="37" max="37" width="5.5703125" style="4" customWidth="1"/>
    <col min="38" max="38" width="10.8554687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"/>
    </row>
    <row r="2" spans="1:45" ht="23.25" x14ac:dyDescent="0.3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3"/>
    </row>
    <row r="3" spans="1:45" ht="23.25" x14ac:dyDescent="0.35">
      <c r="A3" s="194" t="s">
        <v>48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3"/>
    </row>
    <row r="4" spans="1:45" ht="23.25" x14ac:dyDescent="0.35">
      <c r="A4" s="195" t="s">
        <v>152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"/>
    </row>
    <row r="5" spans="1:45" ht="18" x14ac:dyDescent="0.2">
      <c r="A5" s="196" t="s">
        <v>2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</row>
    <row r="6" spans="1:45" ht="18" x14ac:dyDescent="0.25">
      <c r="A6" s="199" t="s">
        <v>48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</row>
    <row r="7" spans="1:45" ht="81" customHeight="1" x14ac:dyDescent="0.2">
      <c r="A7" s="200" t="s">
        <v>3</v>
      </c>
      <c r="B7" s="200" t="s">
        <v>4</v>
      </c>
      <c r="C7" s="201" t="s">
        <v>5</v>
      </c>
      <c r="D7" s="201" t="s">
        <v>6</v>
      </c>
      <c r="E7" s="188" t="s">
        <v>7</v>
      </c>
      <c r="F7" s="189"/>
      <c r="G7" s="192"/>
      <c r="H7" s="188" t="s">
        <v>63</v>
      </c>
      <c r="I7" s="189"/>
      <c r="J7" s="192"/>
      <c r="K7" s="188" t="s">
        <v>64</v>
      </c>
      <c r="L7" s="189"/>
      <c r="M7" s="189"/>
      <c r="N7" s="188" t="s">
        <v>8</v>
      </c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92"/>
      <c r="Z7" s="188" t="s">
        <v>51</v>
      </c>
      <c r="AA7" s="189"/>
      <c r="AB7" s="189"/>
      <c r="AC7" s="189"/>
      <c r="AD7" s="189"/>
      <c r="AE7" s="189"/>
      <c r="AF7" s="192"/>
      <c r="AG7" s="188" t="s">
        <v>65</v>
      </c>
      <c r="AH7" s="189"/>
      <c r="AI7" s="192"/>
      <c r="AJ7" s="188" t="s">
        <v>66</v>
      </c>
      <c r="AK7" s="189"/>
      <c r="AL7" s="189"/>
      <c r="AM7" s="180" t="s">
        <v>9</v>
      </c>
      <c r="AO7" s="4"/>
      <c r="AP7" s="4"/>
      <c r="AQ7" s="4"/>
      <c r="AR7" s="4"/>
      <c r="AS7" s="4"/>
    </row>
    <row r="8" spans="1:45" ht="18" customHeight="1" x14ac:dyDescent="0.2">
      <c r="A8" s="200"/>
      <c r="B8" s="200"/>
      <c r="C8" s="201"/>
      <c r="D8" s="201"/>
      <c r="E8" s="202"/>
      <c r="F8" s="203"/>
      <c r="G8" s="204"/>
      <c r="H8" s="202"/>
      <c r="I8" s="203"/>
      <c r="J8" s="204"/>
      <c r="K8" s="190"/>
      <c r="L8" s="191"/>
      <c r="M8" s="191"/>
      <c r="N8" s="190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3"/>
      <c r="Z8" s="190"/>
      <c r="AA8" s="191"/>
      <c r="AB8" s="191"/>
      <c r="AC8" s="191"/>
      <c r="AD8" s="191"/>
      <c r="AE8" s="191"/>
      <c r="AF8" s="193"/>
      <c r="AG8" s="190"/>
      <c r="AH8" s="191"/>
      <c r="AI8" s="193"/>
      <c r="AJ8" s="190"/>
      <c r="AK8" s="191"/>
      <c r="AL8" s="191"/>
      <c r="AM8" s="181"/>
    </row>
    <row r="9" spans="1:45" ht="15.75" customHeight="1" x14ac:dyDescent="0.2">
      <c r="A9" s="200"/>
      <c r="B9" s="200"/>
      <c r="C9" s="201"/>
      <c r="D9" s="201"/>
      <c r="E9" s="190"/>
      <c r="F9" s="191"/>
      <c r="G9" s="193"/>
      <c r="H9" s="190"/>
      <c r="I9" s="191"/>
      <c r="J9" s="193"/>
      <c r="K9" s="182">
        <v>2021</v>
      </c>
      <c r="L9" s="183"/>
      <c r="M9" s="184"/>
      <c r="N9" s="185" t="s">
        <v>10</v>
      </c>
      <c r="O9" s="186"/>
      <c r="P9" s="187"/>
      <c r="Q9" s="185" t="s">
        <v>11</v>
      </c>
      <c r="R9" s="186"/>
      <c r="S9" s="187"/>
      <c r="T9" s="185" t="s">
        <v>12</v>
      </c>
      <c r="U9" s="186"/>
      <c r="V9" s="187"/>
      <c r="W9" s="185" t="s">
        <v>13</v>
      </c>
      <c r="X9" s="186"/>
      <c r="Y9" s="187"/>
      <c r="Z9" s="185">
        <v>2021</v>
      </c>
      <c r="AA9" s="186"/>
      <c r="AB9" s="186"/>
      <c r="AC9" s="186"/>
      <c r="AD9" s="186"/>
      <c r="AE9" s="186"/>
      <c r="AF9" s="187"/>
      <c r="AG9" s="185">
        <v>2021</v>
      </c>
      <c r="AH9" s="186"/>
      <c r="AI9" s="187"/>
      <c r="AJ9" s="185">
        <v>2021</v>
      </c>
      <c r="AK9" s="186"/>
      <c r="AL9" s="187"/>
      <c r="AM9" s="5"/>
    </row>
    <row r="10" spans="1:45" s="7" customFormat="1" ht="15.75" x14ac:dyDescent="0.25">
      <c r="A10" s="164">
        <v>1</v>
      </c>
      <c r="B10" s="164">
        <v>2</v>
      </c>
      <c r="C10" s="164">
        <v>3</v>
      </c>
      <c r="D10" s="164">
        <v>4</v>
      </c>
      <c r="E10" s="178">
        <v>5</v>
      </c>
      <c r="F10" s="205"/>
      <c r="G10" s="179"/>
      <c r="H10" s="178">
        <v>6</v>
      </c>
      <c r="I10" s="205"/>
      <c r="J10" s="179"/>
      <c r="K10" s="170">
        <v>7</v>
      </c>
      <c r="L10" s="171"/>
      <c r="M10" s="172"/>
      <c r="N10" s="170">
        <v>8</v>
      </c>
      <c r="O10" s="171"/>
      <c r="P10" s="172"/>
      <c r="Q10" s="170">
        <v>9</v>
      </c>
      <c r="R10" s="171"/>
      <c r="S10" s="172"/>
      <c r="T10" s="170">
        <v>10</v>
      </c>
      <c r="U10" s="171"/>
      <c r="V10" s="172"/>
      <c r="W10" s="170">
        <v>11</v>
      </c>
      <c r="X10" s="171"/>
      <c r="Y10" s="172"/>
      <c r="Z10" s="175">
        <v>12</v>
      </c>
      <c r="AA10" s="176"/>
      <c r="AB10" s="176"/>
      <c r="AC10" s="176"/>
      <c r="AD10" s="176"/>
      <c r="AE10" s="176"/>
      <c r="AF10" s="177"/>
      <c r="AG10" s="175">
        <v>13</v>
      </c>
      <c r="AH10" s="176"/>
      <c r="AI10" s="177"/>
      <c r="AJ10" s="175">
        <v>14</v>
      </c>
      <c r="AK10" s="176"/>
      <c r="AL10" s="177"/>
      <c r="AM10" s="6">
        <v>15</v>
      </c>
    </row>
    <row r="11" spans="1:45" s="7" customFormat="1" ht="87" customHeight="1" x14ac:dyDescent="0.2">
      <c r="A11" s="173"/>
      <c r="B11" s="173"/>
      <c r="C11" s="173"/>
      <c r="D11" s="173"/>
      <c r="E11" s="166" t="s">
        <v>14</v>
      </c>
      <c r="F11" s="167"/>
      <c r="G11" s="165" t="s">
        <v>15</v>
      </c>
      <c r="H11" s="166" t="s">
        <v>14</v>
      </c>
      <c r="I11" s="167"/>
      <c r="J11" s="165" t="s">
        <v>15</v>
      </c>
      <c r="K11" s="166" t="s">
        <v>14</v>
      </c>
      <c r="L11" s="167"/>
      <c r="M11" s="164" t="s">
        <v>15</v>
      </c>
      <c r="N11" s="166" t="s">
        <v>14</v>
      </c>
      <c r="O11" s="167"/>
      <c r="P11" s="164" t="s">
        <v>15</v>
      </c>
      <c r="Q11" s="166" t="s">
        <v>14</v>
      </c>
      <c r="R11" s="167"/>
      <c r="S11" s="164" t="s">
        <v>15</v>
      </c>
      <c r="T11" s="166" t="s">
        <v>14</v>
      </c>
      <c r="U11" s="167"/>
      <c r="V11" s="164" t="s">
        <v>15</v>
      </c>
      <c r="W11" s="166" t="s">
        <v>14</v>
      </c>
      <c r="X11" s="167"/>
      <c r="Y11" s="164" t="s">
        <v>15</v>
      </c>
      <c r="Z11" s="178" t="s">
        <v>16</v>
      </c>
      <c r="AA11" s="179"/>
      <c r="AB11" s="178" t="s">
        <v>52</v>
      </c>
      <c r="AC11" s="179"/>
      <c r="AD11" s="8" t="s">
        <v>17</v>
      </c>
      <c r="AE11" s="178" t="s">
        <v>53</v>
      </c>
      <c r="AF11" s="179"/>
      <c r="AG11" s="178" t="s">
        <v>18</v>
      </c>
      <c r="AH11" s="179"/>
      <c r="AI11" s="8" t="s">
        <v>19</v>
      </c>
      <c r="AJ11" s="178" t="s">
        <v>20</v>
      </c>
      <c r="AK11" s="179"/>
      <c r="AL11" s="8" t="s">
        <v>21</v>
      </c>
      <c r="AM11" s="9"/>
    </row>
    <row r="12" spans="1:45" s="7" customFormat="1" ht="15.75" x14ac:dyDescent="0.2">
      <c r="A12" s="165"/>
      <c r="B12" s="165"/>
      <c r="C12" s="165"/>
      <c r="D12" s="165"/>
      <c r="E12" s="168"/>
      <c r="F12" s="169"/>
      <c r="G12" s="174"/>
      <c r="H12" s="168"/>
      <c r="I12" s="169"/>
      <c r="J12" s="174"/>
      <c r="K12" s="168"/>
      <c r="L12" s="169"/>
      <c r="M12" s="165"/>
      <c r="N12" s="168"/>
      <c r="O12" s="169"/>
      <c r="P12" s="165"/>
      <c r="Q12" s="168"/>
      <c r="R12" s="169"/>
      <c r="S12" s="165"/>
      <c r="T12" s="168"/>
      <c r="U12" s="169"/>
      <c r="V12" s="165"/>
      <c r="W12" s="168"/>
      <c r="X12" s="169"/>
      <c r="Y12" s="165"/>
      <c r="Z12" s="168" t="s">
        <v>14</v>
      </c>
      <c r="AA12" s="169"/>
      <c r="AB12" s="168" t="s">
        <v>14</v>
      </c>
      <c r="AC12" s="169"/>
      <c r="AD12" s="10" t="s">
        <v>15</v>
      </c>
      <c r="AE12" s="178" t="s">
        <v>52</v>
      </c>
      <c r="AF12" s="179"/>
      <c r="AG12" s="168" t="s">
        <v>14</v>
      </c>
      <c r="AH12" s="169"/>
      <c r="AI12" s="10" t="s">
        <v>15</v>
      </c>
      <c r="AJ12" s="168" t="s">
        <v>14</v>
      </c>
      <c r="AK12" s="169"/>
      <c r="AL12" s="10" t="s">
        <v>15</v>
      </c>
      <c r="AM12" s="71"/>
    </row>
    <row r="13" spans="1:45" ht="113.25" customHeight="1" x14ac:dyDescent="0.2">
      <c r="A13" s="46">
        <v>1</v>
      </c>
      <c r="B13" s="13" t="s">
        <v>22</v>
      </c>
      <c r="C13" s="15" t="s">
        <v>67</v>
      </c>
      <c r="D13" s="15" t="s">
        <v>122</v>
      </c>
      <c r="E13" s="43">
        <v>100</v>
      </c>
      <c r="F13" s="44" t="s">
        <v>110</v>
      </c>
      <c r="G13" s="40">
        <f>G22+G14+G17+G29+G33</f>
        <v>5021920350</v>
      </c>
      <c r="H13" s="43">
        <v>100</v>
      </c>
      <c r="I13" s="44" t="s">
        <v>110</v>
      </c>
      <c r="J13" s="40"/>
      <c r="K13" s="43">
        <v>100</v>
      </c>
      <c r="L13" s="44" t="s">
        <v>110</v>
      </c>
      <c r="M13" s="40">
        <f>M22+M14+M17+M29+M33</f>
        <v>4526204382</v>
      </c>
      <c r="N13" s="43">
        <v>25</v>
      </c>
      <c r="O13" s="44" t="str">
        <f>L13</f>
        <v>%</v>
      </c>
      <c r="P13" s="40">
        <f>P22+P14+P17+P29+P33</f>
        <v>756377273</v>
      </c>
      <c r="Q13" s="103">
        <v>25</v>
      </c>
      <c r="R13" s="44" t="str">
        <f>L13</f>
        <v>%</v>
      </c>
      <c r="S13" s="40">
        <f>S22+S14+S17+S29+S33</f>
        <v>1278496146</v>
      </c>
      <c r="T13" s="103">
        <v>25</v>
      </c>
      <c r="U13" s="44" t="str">
        <f>L13</f>
        <v>%</v>
      </c>
      <c r="V13" s="40">
        <f>V22+V14+V17+V29+V33</f>
        <v>740769695</v>
      </c>
      <c r="W13" s="103">
        <v>25</v>
      </c>
      <c r="X13" s="44" t="str">
        <f>O13</f>
        <v>%</v>
      </c>
      <c r="Y13" s="40">
        <f>Y22+Y14+Y17+Y29+Y33</f>
        <v>1240189483</v>
      </c>
      <c r="Z13" s="58">
        <f>SUM(N13,Q13,T13,W13)</f>
        <v>100</v>
      </c>
      <c r="AA13" s="89" t="str">
        <f>L13</f>
        <v>%</v>
      </c>
      <c r="AB13" s="58">
        <f>Z13/K13*100</f>
        <v>100</v>
      </c>
      <c r="AC13" s="51" t="s">
        <v>110</v>
      </c>
      <c r="AD13" s="50">
        <f>SUM(P13,S13,V13,Y13)</f>
        <v>4015832597</v>
      </c>
      <c r="AE13" s="55">
        <f>AD13/M13*100</f>
        <v>88.724066747191799</v>
      </c>
      <c r="AF13" s="51" t="s">
        <v>110</v>
      </c>
      <c r="AG13" s="95">
        <f>SUM(H13,Z13)</f>
        <v>200</v>
      </c>
      <c r="AH13" s="44" t="str">
        <f>O13</f>
        <v>%</v>
      </c>
      <c r="AI13" s="50">
        <f>SUM(J13,AD13)</f>
        <v>4015832597</v>
      </c>
      <c r="AJ13" s="49"/>
      <c r="AK13" s="51" t="s">
        <v>110</v>
      </c>
      <c r="AL13" s="55"/>
      <c r="AM13" s="20" t="s">
        <v>49</v>
      </c>
      <c r="AP13" s="21">
        <f t="shared" ref="AP13:AP29" si="0">P13+S13+V13+Y13</f>
        <v>4015832597</v>
      </c>
    </row>
    <row r="14" spans="1:45" ht="94.5" x14ac:dyDescent="0.2">
      <c r="A14" s="46">
        <v>2</v>
      </c>
      <c r="B14" s="47" t="s">
        <v>23</v>
      </c>
      <c r="C14" s="15" t="s">
        <v>93</v>
      </c>
      <c r="D14" s="15" t="s">
        <v>111</v>
      </c>
      <c r="E14" s="75">
        <f>SUM(E15:E16)</f>
        <v>45</v>
      </c>
      <c r="F14" s="44" t="s">
        <v>108</v>
      </c>
      <c r="G14" s="130">
        <v>9000000</v>
      </c>
      <c r="H14" s="75">
        <f>SUM(H15:H16)</f>
        <v>15</v>
      </c>
      <c r="I14" s="76" t="s">
        <v>108</v>
      </c>
      <c r="J14" s="24"/>
      <c r="K14" s="75">
        <f>SUM(K15:K16)</f>
        <v>15</v>
      </c>
      <c r="L14" s="76" t="s">
        <v>108</v>
      </c>
      <c r="M14" s="80">
        <f>SUM(M15:M16)</f>
        <v>9500000</v>
      </c>
      <c r="N14" s="75">
        <f>SUM(N15:N16)</f>
        <v>1</v>
      </c>
      <c r="O14" s="44" t="str">
        <f t="shared" ref="O14:O35" si="1">L14</f>
        <v>Dok</v>
      </c>
      <c r="P14" s="80">
        <f>SUM(P15:P16)</f>
        <v>0</v>
      </c>
      <c r="Q14" s="75">
        <f>SUM(Q15:Q16)</f>
        <v>3</v>
      </c>
      <c r="R14" s="44" t="str">
        <f t="shared" ref="R14:R35" si="2">L14</f>
        <v>Dok</v>
      </c>
      <c r="S14" s="80">
        <f>SUM(S15:S16)</f>
        <v>2125000</v>
      </c>
      <c r="T14" s="75">
        <f>SUM(T15:T16)</f>
        <v>3</v>
      </c>
      <c r="U14" s="44" t="str">
        <f t="shared" ref="U14:U57" si="3">L14</f>
        <v>Dok</v>
      </c>
      <c r="V14" s="80">
        <f>SUM(V15:V16)</f>
        <v>4500000</v>
      </c>
      <c r="W14" s="75">
        <f>SUM(W15:W16)</f>
        <v>8</v>
      </c>
      <c r="X14" s="44" t="str">
        <f t="shared" ref="X14:X22" si="4">O14</f>
        <v>Dok</v>
      </c>
      <c r="Y14" s="80">
        <f>SUM(Y15:Y16)</f>
        <v>2875000</v>
      </c>
      <c r="Z14" s="58">
        <f>SUM(N14,Q14,T14,W14)</f>
        <v>15</v>
      </c>
      <c r="AA14" s="89" t="str">
        <f>L14</f>
        <v>Dok</v>
      </c>
      <c r="AB14" s="58">
        <f>Z14/K14*100</f>
        <v>100</v>
      </c>
      <c r="AC14" s="51" t="s">
        <v>110</v>
      </c>
      <c r="AD14" s="50">
        <f>SUM(P14,S14,V14,Y14)</f>
        <v>9500000</v>
      </c>
      <c r="AE14" s="58">
        <f>AD14/M14*100</f>
        <v>100</v>
      </c>
      <c r="AF14" s="51" t="s">
        <v>110</v>
      </c>
      <c r="AG14" s="58">
        <f>SUM(H14,Z14)</f>
        <v>30</v>
      </c>
      <c r="AH14" s="44" t="str">
        <f>O14</f>
        <v>Dok</v>
      </c>
      <c r="AI14" s="50">
        <f>SUM(J14,AD14)</f>
        <v>9500000</v>
      </c>
      <c r="AJ14" s="55"/>
      <c r="AK14" s="51" t="s">
        <v>110</v>
      </c>
      <c r="AL14" s="56"/>
      <c r="AM14" s="11"/>
      <c r="AP14" s="21"/>
    </row>
    <row r="15" spans="1:45" ht="72" customHeight="1" x14ac:dyDescent="0.2">
      <c r="A15" s="46">
        <v>9</v>
      </c>
      <c r="B15" s="197" t="s">
        <v>50</v>
      </c>
      <c r="C15" s="125" t="s">
        <v>94</v>
      </c>
      <c r="D15" s="26" t="s">
        <v>112</v>
      </c>
      <c r="E15" s="16">
        <v>15</v>
      </c>
      <c r="F15" s="17" t="s">
        <v>108</v>
      </c>
      <c r="G15" s="131">
        <f>M15+7500000*2</f>
        <v>23000000</v>
      </c>
      <c r="H15" s="16">
        <v>5</v>
      </c>
      <c r="I15" s="17" t="s">
        <v>108</v>
      </c>
      <c r="J15" s="24"/>
      <c r="K15" s="16">
        <v>5</v>
      </c>
      <c r="L15" s="17" t="s">
        <v>108</v>
      </c>
      <c r="M15" s="52">
        <v>8000000</v>
      </c>
      <c r="N15" s="16">
        <v>0</v>
      </c>
      <c r="O15" s="17" t="str">
        <f t="shared" si="1"/>
        <v>Dok</v>
      </c>
      <c r="P15" s="52">
        <v>0</v>
      </c>
      <c r="Q15" s="16">
        <v>1</v>
      </c>
      <c r="R15" s="17" t="str">
        <f t="shared" si="2"/>
        <v>Dok</v>
      </c>
      <c r="S15" s="25">
        <v>1125000</v>
      </c>
      <c r="T15" s="16">
        <v>1</v>
      </c>
      <c r="U15" s="17" t="str">
        <f t="shared" si="3"/>
        <v>Dok</v>
      </c>
      <c r="V15" s="25">
        <v>4000000</v>
      </c>
      <c r="W15" s="16">
        <v>3</v>
      </c>
      <c r="X15" s="17" t="str">
        <f t="shared" si="4"/>
        <v>Dok</v>
      </c>
      <c r="Y15" s="25">
        <v>2875000</v>
      </c>
      <c r="Z15" s="57">
        <f t="shared" ref="Z15:Z17" si="5">SUM(N15,Q15,T15,W15)</f>
        <v>5</v>
      </c>
      <c r="AA15" s="88" t="str">
        <f t="shared" ref="AA15:AA17" si="6">L15</f>
        <v>Dok</v>
      </c>
      <c r="AB15" s="57">
        <f t="shared" ref="AB15:AB17" si="7">Z15/K15*100</f>
        <v>100</v>
      </c>
      <c r="AC15" s="32" t="s">
        <v>110</v>
      </c>
      <c r="AD15" s="38">
        <f t="shared" ref="AD15:AD17" si="8">SUM(P15,S15,V15,Y15)</f>
        <v>8000000</v>
      </c>
      <c r="AE15" s="57">
        <f t="shared" ref="AE15:AE17" si="9">AD15/M15*100</f>
        <v>100</v>
      </c>
      <c r="AF15" s="32" t="s">
        <v>110</v>
      </c>
      <c r="AG15" s="57">
        <f t="shared" ref="AG15:AG17" si="10">SUM(H15,Z15)</f>
        <v>10</v>
      </c>
      <c r="AH15" s="17" t="str">
        <f t="shared" ref="AH15:AH17" si="11">O15</f>
        <v>Dok</v>
      </c>
      <c r="AI15" s="38">
        <f t="shared" ref="AI15:AI17" si="12">SUM(J15,AD15)</f>
        <v>8000000</v>
      </c>
      <c r="AJ15" s="56"/>
      <c r="AK15" s="32" t="s">
        <v>110</v>
      </c>
      <c r="AL15" s="56"/>
      <c r="AM15" s="11"/>
      <c r="AP15" s="21"/>
    </row>
    <row r="16" spans="1:45" ht="72" customHeight="1" x14ac:dyDescent="0.2">
      <c r="A16" s="12"/>
      <c r="B16" s="198"/>
      <c r="C16" s="125" t="s">
        <v>95</v>
      </c>
      <c r="D16" s="26" t="s">
        <v>113</v>
      </c>
      <c r="E16" s="16">
        <v>30</v>
      </c>
      <c r="F16" s="17" t="s">
        <v>108</v>
      </c>
      <c r="G16" s="131">
        <f>M16*3</f>
        <v>4500000</v>
      </c>
      <c r="H16" s="16">
        <v>10</v>
      </c>
      <c r="I16" s="17" t="s">
        <v>108</v>
      </c>
      <c r="J16" s="24"/>
      <c r="K16" s="16">
        <v>10</v>
      </c>
      <c r="L16" s="17" t="s">
        <v>108</v>
      </c>
      <c r="M16" s="52">
        <v>1500000</v>
      </c>
      <c r="N16" s="16">
        <v>1</v>
      </c>
      <c r="O16" s="17" t="str">
        <f t="shared" si="1"/>
        <v>Dok</v>
      </c>
      <c r="P16" s="52">
        <v>0</v>
      </c>
      <c r="Q16" s="16">
        <v>2</v>
      </c>
      <c r="R16" s="17" t="str">
        <f t="shared" si="2"/>
        <v>Dok</v>
      </c>
      <c r="S16" s="25">
        <v>1000000</v>
      </c>
      <c r="T16" s="16">
        <v>2</v>
      </c>
      <c r="U16" s="17" t="str">
        <f t="shared" si="3"/>
        <v>Dok</v>
      </c>
      <c r="V16" s="25">
        <v>500000</v>
      </c>
      <c r="W16" s="16">
        <v>5</v>
      </c>
      <c r="X16" s="17" t="str">
        <f t="shared" si="4"/>
        <v>Dok</v>
      </c>
      <c r="Y16" s="25">
        <v>0</v>
      </c>
      <c r="Z16" s="57">
        <f t="shared" si="5"/>
        <v>10</v>
      </c>
      <c r="AA16" s="88" t="str">
        <f t="shared" si="6"/>
        <v>Dok</v>
      </c>
      <c r="AB16" s="57">
        <f t="shared" si="7"/>
        <v>100</v>
      </c>
      <c r="AC16" s="32" t="s">
        <v>110</v>
      </c>
      <c r="AD16" s="38">
        <f t="shared" si="8"/>
        <v>1500000</v>
      </c>
      <c r="AE16" s="57">
        <f t="shared" si="9"/>
        <v>100</v>
      </c>
      <c r="AF16" s="32" t="s">
        <v>110</v>
      </c>
      <c r="AG16" s="57">
        <f t="shared" si="10"/>
        <v>20</v>
      </c>
      <c r="AH16" s="17" t="str">
        <f t="shared" si="11"/>
        <v>Dok</v>
      </c>
      <c r="AI16" s="38">
        <f t="shared" si="12"/>
        <v>1500000</v>
      </c>
      <c r="AJ16" s="56"/>
      <c r="AK16" s="32" t="s">
        <v>110</v>
      </c>
      <c r="AL16" s="56"/>
      <c r="AM16" s="11"/>
      <c r="AP16" s="21"/>
    </row>
    <row r="17" spans="1:42" ht="63" x14ac:dyDescent="0.2">
      <c r="A17" s="11"/>
      <c r="B17" s="84"/>
      <c r="C17" s="79" t="s">
        <v>72</v>
      </c>
      <c r="D17" s="15" t="s">
        <v>114</v>
      </c>
      <c r="E17" s="87">
        <f>SUM(E19:E21)</f>
        <v>42</v>
      </c>
      <c r="F17" s="44" t="s">
        <v>108</v>
      </c>
      <c r="G17" s="135">
        <v>3867486000</v>
      </c>
      <c r="H17" s="87">
        <f>SUM(H19:H21)</f>
        <v>14</v>
      </c>
      <c r="I17" s="76" t="s">
        <v>108</v>
      </c>
      <c r="J17" s="39"/>
      <c r="K17" s="87">
        <f>SUM(K19:K21)</f>
        <v>14</v>
      </c>
      <c r="L17" s="76" t="s">
        <v>108</v>
      </c>
      <c r="M17" s="39">
        <f>SUM(M18:M21)</f>
        <v>3312798000</v>
      </c>
      <c r="N17" s="87">
        <f>SUM(N19:N21)</f>
        <v>3</v>
      </c>
      <c r="O17" s="44" t="str">
        <f t="shared" si="1"/>
        <v>Dok</v>
      </c>
      <c r="P17" s="39">
        <f>SUM(P18:P21)</f>
        <v>648494673</v>
      </c>
      <c r="Q17" s="87">
        <f>SUM(Q19:Q21)</f>
        <v>4</v>
      </c>
      <c r="R17" s="44" t="str">
        <f t="shared" si="2"/>
        <v>Dok</v>
      </c>
      <c r="S17" s="39">
        <f>SUM(S18:S21)</f>
        <v>1034907563</v>
      </c>
      <c r="T17" s="87">
        <f>SUM(T19:T21)</f>
        <v>3</v>
      </c>
      <c r="U17" s="44" t="str">
        <f t="shared" si="3"/>
        <v>Dok</v>
      </c>
      <c r="V17" s="39">
        <f>SUM(V18:V21)</f>
        <v>668106956</v>
      </c>
      <c r="W17" s="87">
        <v>5</v>
      </c>
      <c r="X17" s="44" t="str">
        <f t="shared" si="4"/>
        <v>Dok</v>
      </c>
      <c r="Y17" s="39">
        <f>SUM(Y18:Y21)</f>
        <v>585577075</v>
      </c>
      <c r="Z17" s="58">
        <f t="shared" si="5"/>
        <v>15</v>
      </c>
      <c r="AA17" s="89" t="str">
        <f t="shared" si="6"/>
        <v>Dok</v>
      </c>
      <c r="AB17" s="55">
        <f t="shared" si="7"/>
        <v>107.14285714285714</v>
      </c>
      <c r="AC17" s="51" t="s">
        <v>110</v>
      </c>
      <c r="AD17" s="50">
        <f t="shared" si="8"/>
        <v>2937086267</v>
      </c>
      <c r="AE17" s="55">
        <f t="shared" si="9"/>
        <v>88.658779285667279</v>
      </c>
      <c r="AF17" s="51" t="s">
        <v>110</v>
      </c>
      <c r="AG17" s="58">
        <f t="shared" si="10"/>
        <v>29</v>
      </c>
      <c r="AH17" s="44" t="str">
        <f t="shared" si="11"/>
        <v>Dok</v>
      </c>
      <c r="AI17" s="50">
        <f t="shared" si="12"/>
        <v>2937086267</v>
      </c>
      <c r="AJ17" s="55"/>
      <c r="AK17" s="51" t="s">
        <v>110</v>
      </c>
      <c r="AL17" s="55"/>
      <c r="AM17" s="11"/>
      <c r="AP17" s="21"/>
    </row>
    <row r="18" spans="1:42" ht="59.1" customHeight="1" x14ac:dyDescent="0.2">
      <c r="A18" s="12"/>
      <c r="B18" s="13"/>
      <c r="C18" s="125" t="s">
        <v>71</v>
      </c>
      <c r="D18" s="22" t="s">
        <v>115</v>
      </c>
      <c r="E18" s="41">
        <v>28</v>
      </c>
      <c r="F18" s="17" t="s">
        <v>128</v>
      </c>
      <c r="G18" s="134">
        <v>3860986000</v>
      </c>
      <c r="H18" s="16">
        <v>28</v>
      </c>
      <c r="I18" s="17" t="s">
        <v>128</v>
      </c>
      <c r="J18" s="24"/>
      <c r="K18" s="16">
        <v>28</v>
      </c>
      <c r="L18" s="17" t="s">
        <v>128</v>
      </c>
      <c r="M18" s="52">
        <v>3307798000</v>
      </c>
      <c r="N18" s="16">
        <v>28</v>
      </c>
      <c r="O18" s="17" t="str">
        <f t="shared" si="1"/>
        <v>Org</v>
      </c>
      <c r="P18" s="52">
        <v>648494673</v>
      </c>
      <c r="Q18" s="54">
        <v>28</v>
      </c>
      <c r="R18" s="17" t="str">
        <f t="shared" si="2"/>
        <v>Org</v>
      </c>
      <c r="S18" s="25">
        <f>1683402236-P18</f>
        <v>1034907563</v>
      </c>
      <c r="T18" s="54">
        <v>28</v>
      </c>
      <c r="U18" s="17" t="str">
        <f t="shared" si="3"/>
        <v>Org</v>
      </c>
      <c r="V18" s="25">
        <v>668106956</v>
      </c>
      <c r="W18" s="54">
        <v>28</v>
      </c>
      <c r="X18" s="17" t="str">
        <f t="shared" si="4"/>
        <v>Org</v>
      </c>
      <c r="Y18" s="25">
        <v>580577075</v>
      </c>
      <c r="Z18" s="57">
        <f>AVERAGE(N18,Q18,T18,W18)</f>
        <v>28</v>
      </c>
      <c r="AA18" s="90" t="str">
        <f t="shared" ref="AA18:AA57" si="13">L18</f>
        <v>Org</v>
      </c>
      <c r="AB18" s="57">
        <f t="shared" ref="AB18:AB57" si="14">Z18/K18*100</f>
        <v>100</v>
      </c>
      <c r="AC18" s="32" t="s">
        <v>110</v>
      </c>
      <c r="AD18" s="38">
        <f t="shared" ref="AD18:AD57" si="15">SUM(P18,S18,V18,Y18)</f>
        <v>2932086267</v>
      </c>
      <c r="AE18" s="56">
        <f t="shared" ref="AE18:AE57" si="16">AD18/M18*100</f>
        <v>88.64163612772002</v>
      </c>
      <c r="AF18" s="32" t="s">
        <v>110</v>
      </c>
      <c r="AG18" s="57">
        <f t="shared" ref="AG18:AG57" si="17">SUM(H18,Z18)</f>
        <v>56</v>
      </c>
      <c r="AH18" s="23" t="str">
        <f t="shared" ref="AH18:AH57" si="18">O18</f>
        <v>Org</v>
      </c>
      <c r="AI18" s="38">
        <f t="shared" ref="AI18:AI57" si="19">SUM(J18,AD18)</f>
        <v>2932086267</v>
      </c>
      <c r="AJ18" s="56"/>
      <c r="AK18" s="32" t="s">
        <v>110</v>
      </c>
      <c r="AL18" s="56"/>
      <c r="AM18" s="27"/>
      <c r="AP18" s="21">
        <f>P18+S18+V18+Y18</f>
        <v>2932086267</v>
      </c>
    </row>
    <row r="19" spans="1:42" ht="60" x14ac:dyDescent="0.2">
      <c r="A19" s="12"/>
      <c r="B19" s="13"/>
      <c r="C19" s="125" t="s">
        <v>74</v>
      </c>
      <c r="D19" s="22" t="s">
        <v>116</v>
      </c>
      <c r="E19" s="41">
        <f>K19*3</f>
        <v>3</v>
      </c>
      <c r="F19" s="17" t="s">
        <v>108</v>
      </c>
      <c r="G19" s="131">
        <f>M19+2500000*2</f>
        <v>7000000</v>
      </c>
      <c r="H19" s="16">
        <v>1</v>
      </c>
      <c r="I19" s="17" t="s">
        <v>108</v>
      </c>
      <c r="J19" s="18"/>
      <c r="K19" s="16">
        <v>1</v>
      </c>
      <c r="L19" s="17" t="s">
        <v>108</v>
      </c>
      <c r="M19" s="52">
        <v>2000000</v>
      </c>
      <c r="N19" s="16">
        <v>0</v>
      </c>
      <c r="O19" s="17" t="str">
        <f t="shared" si="1"/>
        <v>Dok</v>
      </c>
      <c r="P19" s="52">
        <v>0</v>
      </c>
      <c r="Q19" s="54">
        <v>0</v>
      </c>
      <c r="R19" s="17" t="str">
        <f t="shared" si="2"/>
        <v>Dok</v>
      </c>
      <c r="S19" s="19">
        <v>0</v>
      </c>
      <c r="T19" s="54">
        <v>0</v>
      </c>
      <c r="U19" s="17" t="str">
        <f t="shared" si="3"/>
        <v>Dok</v>
      </c>
      <c r="V19" s="19">
        <v>0</v>
      </c>
      <c r="W19" s="54">
        <v>1</v>
      </c>
      <c r="X19" s="17" t="str">
        <f t="shared" si="4"/>
        <v>Dok</v>
      </c>
      <c r="Y19" s="52">
        <v>2000000</v>
      </c>
      <c r="Z19" s="57">
        <f t="shared" ref="Z19:Z57" si="20">SUM(N19,Q19,T19,W19)</f>
        <v>1</v>
      </c>
      <c r="AA19" s="88" t="str">
        <f t="shared" si="13"/>
        <v>Dok</v>
      </c>
      <c r="AB19" s="57">
        <f t="shared" si="14"/>
        <v>100</v>
      </c>
      <c r="AC19" s="32" t="s">
        <v>110</v>
      </c>
      <c r="AD19" s="38">
        <f t="shared" si="15"/>
        <v>2000000</v>
      </c>
      <c r="AE19" s="57">
        <f t="shared" si="16"/>
        <v>100</v>
      </c>
      <c r="AF19" s="32" t="s">
        <v>110</v>
      </c>
      <c r="AG19" s="57">
        <f t="shared" si="17"/>
        <v>2</v>
      </c>
      <c r="AH19" s="17" t="str">
        <f t="shared" si="18"/>
        <v>Dok</v>
      </c>
      <c r="AI19" s="38">
        <f t="shared" si="19"/>
        <v>2000000</v>
      </c>
      <c r="AJ19" s="56"/>
      <c r="AK19" s="32" t="s">
        <v>110</v>
      </c>
      <c r="AL19" s="56"/>
      <c r="AM19" s="11"/>
      <c r="AP19" s="21">
        <f>P19+S19+V19+Y19</f>
        <v>2000000</v>
      </c>
    </row>
    <row r="20" spans="1:42" ht="75" x14ac:dyDescent="0.2">
      <c r="A20" s="12"/>
      <c r="B20" s="13"/>
      <c r="C20" s="125" t="s">
        <v>75</v>
      </c>
      <c r="D20" s="22" t="s">
        <v>116</v>
      </c>
      <c r="E20" s="41">
        <f t="shared" ref="E20:E35" si="21">K20*3</f>
        <v>36</v>
      </c>
      <c r="F20" s="23" t="s">
        <v>129</v>
      </c>
      <c r="G20" s="131">
        <f>M20+2000000*2</f>
        <v>5500000</v>
      </c>
      <c r="H20" s="16">
        <v>12</v>
      </c>
      <c r="I20" s="23" t="s">
        <v>129</v>
      </c>
      <c r="J20" s="18"/>
      <c r="K20" s="16">
        <v>12</v>
      </c>
      <c r="L20" s="23" t="s">
        <v>129</v>
      </c>
      <c r="M20" s="48">
        <v>1500000</v>
      </c>
      <c r="N20" s="16">
        <v>3</v>
      </c>
      <c r="O20" s="17" t="str">
        <f t="shared" si="1"/>
        <v>Lap</v>
      </c>
      <c r="P20" s="48">
        <v>0</v>
      </c>
      <c r="Q20" s="54">
        <v>3</v>
      </c>
      <c r="R20" s="17" t="str">
        <f t="shared" si="2"/>
        <v>Lap</v>
      </c>
      <c r="S20" s="19">
        <v>0</v>
      </c>
      <c r="T20" s="54">
        <v>3</v>
      </c>
      <c r="U20" s="17" t="str">
        <f t="shared" si="3"/>
        <v>Lap</v>
      </c>
      <c r="V20" s="19">
        <v>0</v>
      </c>
      <c r="W20" s="54">
        <v>3</v>
      </c>
      <c r="X20" s="17" t="str">
        <f t="shared" si="4"/>
        <v>Lap</v>
      </c>
      <c r="Y20" s="48">
        <v>1500000</v>
      </c>
      <c r="Z20" s="57">
        <f t="shared" si="20"/>
        <v>12</v>
      </c>
      <c r="AA20" s="90" t="str">
        <f t="shared" si="13"/>
        <v>Lap</v>
      </c>
      <c r="AB20" s="57">
        <f t="shared" si="14"/>
        <v>100</v>
      </c>
      <c r="AC20" s="32" t="s">
        <v>110</v>
      </c>
      <c r="AD20" s="38">
        <f t="shared" si="15"/>
        <v>1500000</v>
      </c>
      <c r="AE20" s="57">
        <f t="shared" si="16"/>
        <v>100</v>
      </c>
      <c r="AF20" s="32" t="s">
        <v>110</v>
      </c>
      <c r="AG20" s="57">
        <f t="shared" si="17"/>
        <v>24</v>
      </c>
      <c r="AH20" s="23" t="str">
        <f t="shared" si="18"/>
        <v>Lap</v>
      </c>
      <c r="AI20" s="38">
        <f t="shared" si="19"/>
        <v>1500000</v>
      </c>
      <c r="AJ20" s="56"/>
      <c r="AK20" s="32" t="s">
        <v>110</v>
      </c>
      <c r="AL20" s="56"/>
      <c r="AM20" s="11"/>
      <c r="AP20" s="21">
        <f>P20+S20+V20+Y20</f>
        <v>1500000</v>
      </c>
    </row>
    <row r="21" spans="1:42" ht="60" x14ac:dyDescent="0.2">
      <c r="A21" s="12"/>
      <c r="B21" s="13"/>
      <c r="C21" s="125" t="s">
        <v>96</v>
      </c>
      <c r="D21" s="22" t="s">
        <v>116</v>
      </c>
      <c r="E21" s="41">
        <f t="shared" si="21"/>
        <v>3</v>
      </c>
      <c r="F21" s="23" t="s">
        <v>129</v>
      </c>
      <c r="G21" s="131">
        <f>M21+2000000*2</f>
        <v>5500000</v>
      </c>
      <c r="H21" s="16">
        <v>1</v>
      </c>
      <c r="I21" s="23" t="s">
        <v>129</v>
      </c>
      <c r="J21" s="18"/>
      <c r="K21" s="16">
        <v>1</v>
      </c>
      <c r="L21" s="23" t="s">
        <v>129</v>
      </c>
      <c r="M21" s="48">
        <v>1500000</v>
      </c>
      <c r="N21" s="16">
        <v>0</v>
      </c>
      <c r="O21" s="17" t="str">
        <f t="shared" si="1"/>
        <v>Lap</v>
      </c>
      <c r="P21" s="48">
        <v>0</v>
      </c>
      <c r="Q21" s="54">
        <v>1</v>
      </c>
      <c r="R21" s="17" t="str">
        <f t="shared" si="2"/>
        <v>Lap</v>
      </c>
      <c r="S21" s="19">
        <v>0</v>
      </c>
      <c r="T21" s="54">
        <v>0</v>
      </c>
      <c r="U21" s="17" t="str">
        <f t="shared" si="3"/>
        <v>Lap</v>
      </c>
      <c r="V21" s="19">
        <v>0</v>
      </c>
      <c r="W21" s="54">
        <v>0</v>
      </c>
      <c r="X21" s="17" t="str">
        <f t="shared" si="4"/>
        <v>Lap</v>
      </c>
      <c r="Y21" s="48">
        <v>1500000</v>
      </c>
      <c r="Z21" s="57">
        <f t="shared" si="20"/>
        <v>1</v>
      </c>
      <c r="AA21" s="90" t="str">
        <f t="shared" si="13"/>
        <v>Lap</v>
      </c>
      <c r="AB21" s="57">
        <f t="shared" si="14"/>
        <v>100</v>
      </c>
      <c r="AC21" s="32" t="s">
        <v>110</v>
      </c>
      <c r="AD21" s="38">
        <f t="shared" si="15"/>
        <v>1500000</v>
      </c>
      <c r="AE21" s="57">
        <f t="shared" si="16"/>
        <v>100</v>
      </c>
      <c r="AF21" s="32" t="s">
        <v>110</v>
      </c>
      <c r="AG21" s="57">
        <f t="shared" si="17"/>
        <v>2</v>
      </c>
      <c r="AH21" s="23" t="str">
        <f t="shared" si="18"/>
        <v>Lap</v>
      </c>
      <c r="AI21" s="38">
        <f t="shared" si="19"/>
        <v>1500000</v>
      </c>
      <c r="AJ21" s="56"/>
      <c r="AK21" s="32" t="s">
        <v>110</v>
      </c>
      <c r="AL21" s="56"/>
      <c r="AM21" s="11"/>
      <c r="AP21" s="21"/>
    </row>
    <row r="22" spans="1:42" ht="63" x14ac:dyDescent="0.2">
      <c r="A22" s="12"/>
      <c r="B22" s="13"/>
      <c r="C22" s="14" t="s">
        <v>68</v>
      </c>
      <c r="D22" s="15" t="s">
        <v>117</v>
      </c>
      <c r="E22" s="43">
        <f t="shared" si="21"/>
        <v>3</v>
      </c>
      <c r="F22" s="76" t="s">
        <v>108</v>
      </c>
      <c r="G22" s="85">
        <f>SUM(G23:G28)</f>
        <v>718108350</v>
      </c>
      <c r="H22" s="87">
        <v>1</v>
      </c>
      <c r="I22" s="76" t="s">
        <v>108</v>
      </c>
      <c r="J22" s="24"/>
      <c r="K22" s="87">
        <v>1</v>
      </c>
      <c r="L22" s="76" t="s">
        <v>108</v>
      </c>
      <c r="M22" s="85">
        <f>SUM(M23:M28)</f>
        <v>591270382</v>
      </c>
      <c r="N22" s="87">
        <v>0</v>
      </c>
      <c r="O22" s="44" t="str">
        <f t="shared" si="1"/>
        <v>Dok</v>
      </c>
      <c r="P22" s="85">
        <f>SUM(P23:P28)</f>
        <v>64036664</v>
      </c>
      <c r="Q22" s="77">
        <v>0</v>
      </c>
      <c r="R22" s="44" t="str">
        <f t="shared" si="2"/>
        <v>Dok</v>
      </c>
      <c r="S22" s="85">
        <f>SUM(S23:S28)</f>
        <v>118217962</v>
      </c>
      <c r="T22" s="77">
        <v>0</v>
      </c>
      <c r="U22" s="44" t="str">
        <f t="shared" si="3"/>
        <v>Dok</v>
      </c>
      <c r="V22" s="85">
        <f>SUM(V23:V28)</f>
        <v>39320096</v>
      </c>
      <c r="W22" s="87">
        <v>1</v>
      </c>
      <c r="X22" s="44" t="str">
        <f t="shared" si="4"/>
        <v>Dok</v>
      </c>
      <c r="Y22" s="85">
        <f>SUM(Y23:Y28)</f>
        <v>326282025</v>
      </c>
      <c r="Z22" s="94">
        <f t="shared" si="20"/>
        <v>1</v>
      </c>
      <c r="AA22" s="91" t="str">
        <f t="shared" si="13"/>
        <v>Dok</v>
      </c>
      <c r="AB22" s="94">
        <f t="shared" si="14"/>
        <v>100</v>
      </c>
      <c r="AC22" s="72" t="s">
        <v>110</v>
      </c>
      <c r="AD22" s="69">
        <f t="shared" si="15"/>
        <v>547856747</v>
      </c>
      <c r="AE22" s="73">
        <f t="shared" si="16"/>
        <v>92.657566432948784</v>
      </c>
      <c r="AF22" s="72" t="s">
        <v>110</v>
      </c>
      <c r="AG22" s="94">
        <f t="shared" si="17"/>
        <v>2</v>
      </c>
      <c r="AH22" s="76" t="str">
        <f t="shared" si="18"/>
        <v>Dok</v>
      </c>
      <c r="AI22" s="69">
        <f t="shared" si="19"/>
        <v>547856747</v>
      </c>
      <c r="AJ22" s="78"/>
      <c r="AK22" s="72" t="s">
        <v>110</v>
      </c>
      <c r="AL22" s="70"/>
      <c r="AM22" s="20"/>
      <c r="AP22" s="21"/>
    </row>
    <row r="23" spans="1:42" ht="68.25" customHeight="1" x14ac:dyDescent="0.2">
      <c r="A23" s="12"/>
      <c r="B23" s="13"/>
      <c r="C23" s="125" t="s">
        <v>73</v>
      </c>
      <c r="D23" s="22" t="s">
        <v>115</v>
      </c>
      <c r="E23" s="16">
        <f>K23*3</f>
        <v>36</v>
      </c>
      <c r="F23" s="17" t="s">
        <v>109</v>
      </c>
      <c r="G23" s="131">
        <v>33062000</v>
      </c>
      <c r="H23" s="41">
        <v>12</v>
      </c>
      <c r="I23" s="23" t="s">
        <v>109</v>
      </c>
      <c r="J23" s="24"/>
      <c r="K23" s="41">
        <v>12</v>
      </c>
      <c r="L23" s="23" t="s">
        <v>109</v>
      </c>
      <c r="M23" s="52">
        <v>33060660</v>
      </c>
      <c r="N23" s="41">
        <v>3</v>
      </c>
      <c r="O23" s="17" t="str">
        <f>L23</f>
        <v>Bln</v>
      </c>
      <c r="P23" s="25">
        <v>1176000</v>
      </c>
      <c r="Q23" s="41">
        <v>3</v>
      </c>
      <c r="R23" s="17" t="str">
        <f>L23</f>
        <v>Bln</v>
      </c>
      <c r="S23" s="19">
        <v>0</v>
      </c>
      <c r="T23" s="41">
        <v>3</v>
      </c>
      <c r="U23" s="17" t="str">
        <f>L23</f>
        <v>Bln</v>
      </c>
      <c r="V23" s="19">
        <v>321800</v>
      </c>
      <c r="W23" s="41">
        <v>3</v>
      </c>
      <c r="X23" s="17" t="str">
        <f>O23</f>
        <v>Bln</v>
      </c>
      <c r="Y23" s="19">
        <v>24558000</v>
      </c>
      <c r="Z23" s="57">
        <f>SUM(N23,Q23,T23,W23)</f>
        <v>12</v>
      </c>
      <c r="AA23" s="88" t="str">
        <f>L23</f>
        <v>Bln</v>
      </c>
      <c r="AB23" s="57">
        <f>Z23/K23*100</f>
        <v>100</v>
      </c>
      <c r="AC23" s="32" t="s">
        <v>110</v>
      </c>
      <c r="AD23" s="38">
        <f>SUM(P23,S23,V23,Y23)</f>
        <v>26055800</v>
      </c>
      <c r="AE23" s="56">
        <f>AD23/M23*100</f>
        <v>78.812098730031394</v>
      </c>
      <c r="AF23" s="32" t="s">
        <v>110</v>
      </c>
      <c r="AG23" s="57">
        <f>SUM(H23,Z23)</f>
        <v>24</v>
      </c>
      <c r="AH23" s="17" t="str">
        <f>O23</f>
        <v>Bln</v>
      </c>
      <c r="AI23" s="38">
        <f>SUM(J23,AD23)</f>
        <v>26055800</v>
      </c>
      <c r="AJ23" s="56"/>
      <c r="AK23" s="32" t="s">
        <v>110</v>
      </c>
      <c r="AL23" s="56"/>
      <c r="AM23" s="11"/>
      <c r="AP23" s="21"/>
    </row>
    <row r="24" spans="1:42" ht="68.25" customHeight="1" x14ac:dyDescent="0.2">
      <c r="A24" s="12"/>
      <c r="B24" s="13"/>
      <c r="C24" s="125" t="s">
        <v>92</v>
      </c>
      <c r="D24" s="26" t="s">
        <v>115</v>
      </c>
      <c r="E24" s="16">
        <f>K24*3</f>
        <v>36</v>
      </c>
      <c r="F24" s="17" t="s">
        <v>109</v>
      </c>
      <c r="G24" s="131">
        <v>121340750</v>
      </c>
      <c r="H24" s="41">
        <v>12</v>
      </c>
      <c r="I24" s="23" t="s">
        <v>109</v>
      </c>
      <c r="J24" s="24">
        <v>40843000</v>
      </c>
      <c r="K24" s="41">
        <v>12</v>
      </c>
      <c r="L24" s="23" t="s">
        <v>109</v>
      </c>
      <c r="M24" s="52">
        <v>127009722</v>
      </c>
      <c r="N24" s="41">
        <v>3</v>
      </c>
      <c r="O24" s="17" t="str">
        <f>L24</f>
        <v>Bln</v>
      </c>
      <c r="P24" s="52">
        <v>410000</v>
      </c>
      <c r="Q24" s="41">
        <v>3</v>
      </c>
      <c r="R24" s="17" t="str">
        <f>L24</f>
        <v>Bln</v>
      </c>
      <c r="S24" s="25">
        <f>80106930-P24</f>
        <v>79696930</v>
      </c>
      <c r="T24" s="41">
        <v>3</v>
      </c>
      <c r="U24" s="17" t="str">
        <f>L24</f>
        <v>Bln</v>
      </c>
      <c r="V24" s="25">
        <v>178000</v>
      </c>
      <c r="W24" s="41">
        <v>3</v>
      </c>
      <c r="X24" s="17" t="str">
        <f>O24</f>
        <v>Bln</v>
      </c>
      <c r="Y24" s="25">
        <v>46336517</v>
      </c>
      <c r="Z24" s="57">
        <f>SUM(N24,Q24,T24,W24)</f>
        <v>12</v>
      </c>
      <c r="AA24" s="88" t="str">
        <f>L24</f>
        <v>Bln</v>
      </c>
      <c r="AB24" s="57">
        <f>Z24/K24*100</f>
        <v>100</v>
      </c>
      <c r="AC24" s="32" t="s">
        <v>110</v>
      </c>
      <c r="AD24" s="38">
        <f>SUM(P24,S24,V24,Y24)</f>
        <v>126621447</v>
      </c>
      <c r="AE24" s="56">
        <f>AD24/M24*100</f>
        <v>99.694295055617872</v>
      </c>
      <c r="AF24" s="32" t="s">
        <v>110</v>
      </c>
      <c r="AG24" s="57">
        <f>SUM(H24,Z24)</f>
        <v>24</v>
      </c>
      <c r="AH24" s="17" t="str">
        <f>O24</f>
        <v>Bln</v>
      </c>
      <c r="AI24" s="38">
        <f>SUM(J24,AD24)</f>
        <v>167464447</v>
      </c>
      <c r="AJ24" s="56"/>
      <c r="AK24" s="32" t="s">
        <v>110</v>
      </c>
      <c r="AL24" s="56"/>
      <c r="AM24" s="11"/>
      <c r="AP24" s="21"/>
    </row>
    <row r="25" spans="1:42" ht="68.25" customHeight="1" x14ac:dyDescent="0.2">
      <c r="A25" s="12"/>
      <c r="B25" s="13"/>
      <c r="C25" s="125" t="s">
        <v>78</v>
      </c>
      <c r="D25" s="26" t="s">
        <v>115</v>
      </c>
      <c r="E25" s="16">
        <f>K25*3</f>
        <v>36</v>
      </c>
      <c r="F25" s="17" t="s">
        <v>109</v>
      </c>
      <c r="G25" s="131">
        <v>80100000</v>
      </c>
      <c r="H25" s="41">
        <v>12</v>
      </c>
      <c r="I25" s="23" t="s">
        <v>109</v>
      </c>
      <c r="J25" s="24"/>
      <c r="K25" s="41">
        <v>12</v>
      </c>
      <c r="L25" s="23" t="s">
        <v>109</v>
      </c>
      <c r="M25" s="52">
        <v>42600000</v>
      </c>
      <c r="N25" s="41">
        <v>3</v>
      </c>
      <c r="O25" s="17" t="str">
        <f>L25</f>
        <v>Bln</v>
      </c>
      <c r="P25" s="52">
        <v>1229000</v>
      </c>
      <c r="Q25" s="41">
        <v>3</v>
      </c>
      <c r="R25" s="17" t="str">
        <f>L25</f>
        <v>Bln</v>
      </c>
      <c r="S25" s="25">
        <f>11200000-P25</f>
        <v>9971000</v>
      </c>
      <c r="T25" s="41">
        <v>3</v>
      </c>
      <c r="U25" s="17" t="str">
        <f>L25</f>
        <v>Bln</v>
      </c>
      <c r="V25" s="25">
        <v>5200000</v>
      </c>
      <c r="W25" s="41">
        <v>3</v>
      </c>
      <c r="X25" s="17" t="str">
        <f>O25</f>
        <v>Bln</v>
      </c>
      <c r="Y25" s="25">
        <v>9700000</v>
      </c>
      <c r="Z25" s="57">
        <f>SUM(N25,Q25,T25,W25)</f>
        <v>12</v>
      </c>
      <c r="AA25" s="88" t="str">
        <f>L25</f>
        <v>Bln</v>
      </c>
      <c r="AB25" s="57">
        <f>Z25/K25*100</f>
        <v>100</v>
      </c>
      <c r="AC25" s="32" t="s">
        <v>110</v>
      </c>
      <c r="AD25" s="38">
        <f>SUM(P25,S25,V25,Y25)</f>
        <v>26100000</v>
      </c>
      <c r="AE25" s="56">
        <f>AD25/M25*100</f>
        <v>61.267605633802816</v>
      </c>
      <c r="AF25" s="32" t="s">
        <v>110</v>
      </c>
      <c r="AG25" s="57">
        <f>SUM(H25,Z25)</f>
        <v>24</v>
      </c>
      <c r="AH25" s="17" t="str">
        <f>O25</f>
        <v>Bln</v>
      </c>
      <c r="AI25" s="38">
        <f>SUM(J25,AD25)</f>
        <v>26100000</v>
      </c>
      <c r="AJ25" s="56"/>
      <c r="AK25" s="32" t="s">
        <v>110</v>
      </c>
      <c r="AL25" s="56"/>
      <c r="AM25" s="11"/>
      <c r="AP25" s="21"/>
    </row>
    <row r="26" spans="1:42" ht="60" customHeight="1" x14ac:dyDescent="0.2">
      <c r="A26" s="12"/>
      <c r="B26" s="13"/>
      <c r="C26" s="127" t="s">
        <v>70</v>
      </c>
      <c r="D26" s="22" t="s">
        <v>118</v>
      </c>
      <c r="E26" s="16">
        <f>K26*3</f>
        <v>36</v>
      </c>
      <c r="F26" s="17" t="s">
        <v>109</v>
      </c>
      <c r="G26" s="131">
        <v>41200000</v>
      </c>
      <c r="H26" s="41">
        <v>12</v>
      </c>
      <c r="I26" s="23" t="s">
        <v>109</v>
      </c>
      <c r="J26" s="18"/>
      <c r="K26" s="41">
        <v>12</v>
      </c>
      <c r="L26" s="23" t="s">
        <v>109</v>
      </c>
      <c r="M26" s="48">
        <v>41200000</v>
      </c>
      <c r="N26" s="41">
        <v>3</v>
      </c>
      <c r="O26" s="17" t="str">
        <f>L26</f>
        <v>Bln</v>
      </c>
      <c r="P26" s="19">
        <f>2747500</f>
        <v>2747500</v>
      </c>
      <c r="Q26" s="41">
        <v>3</v>
      </c>
      <c r="R26" s="17" t="str">
        <f>L26</f>
        <v>Bln</v>
      </c>
      <c r="S26" s="19">
        <v>0</v>
      </c>
      <c r="T26" s="41">
        <v>3</v>
      </c>
      <c r="U26" s="17" t="str">
        <f>L26</f>
        <v>Bln</v>
      </c>
      <c r="V26" s="19">
        <v>1095000</v>
      </c>
      <c r="W26" s="41">
        <v>3</v>
      </c>
      <c r="X26" s="17" t="str">
        <f>O26</f>
        <v>Bln</v>
      </c>
      <c r="Y26" s="19">
        <v>17837000</v>
      </c>
      <c r="Z26" s="57">
        <f>SUM(N26,Q26,T26,W26)</f>
        <v>12</v>
      </c>
      <c r="AA26" s="88" t="str">
        <f>L26</f>
        <v>Bln</v>
      </c>
      <c r="AB26" s="57">
        <f>Z26/K26*100</f>
        <v>100</v>
      </c>
      <c r="AC26" s="32" t="s">
        <v>110</v>
      </c>
      <c r="AD26" s="38">
        <f>SUM(P26,S26,V26,Y26)</f>
        <v>21679500</v>
      </c>
      <c r="AE26" s="56">
        <f>AD26/M26*100</f>
        <v>52.620145631067963</v>
      </c>
      <c r="AF26" s="32" t="s">
        <v>110</v>
      </c>
      <c r="AG26" s="57">
        <f>SUM(H26,Z26)</f>
        <v>24</v>
      </c>
      <c r="AH26" s="17" t="str">
        <f>O26</f>
        <v>Bln</v>
      </c>
      <c r="AI26" s="38">
        <f>SUM(J26,AD26)</f>
        <v>21679500</v>
      </c>
      <c r="AJ26" s="56"/>
      <c r="AK26" s="32" t="s">
        <v>110</v>
      </c>
      <c r="AL26" s="56"/>
      <c r="AM26" s="11"/>
      <c r="AP26" s="21"/>
    </row>
    <row r="27" spans="1:42" ht="64.5" customHeight="1" x14ac:dyDescent="0.2">
      <c r="A27" s="12"/>
      <c r="B27" s="13"/>
      <c r="C27" s="127" t="s">
        <v>69</v>
      </c>
      <c r="D27" s="22" t="s">
        <v>118</v>
      </c>
      <c r="E27" s="16">
        <f t="shared" si="21"/>
        <v>36</v>
      </c>
      <c r="F27" s="17" t="s">
        <v>109</v>
      </c>
      <c r="G27" s="131">
        <v>2400000</v>
      </c>
      <c r="H27" s="41">
        <v>12</v>
      </c>
      <c r="I27" s="23" t="s">
        <v>109</v>
      </c>
      <c r="J27" s="18"/>
      <c r="K27" s="41">
        <v>12</v>
      </c>
      <c r="L27" s="23" t="s">
        <v>109</v>
      </c>
      <c r="M27" s="48">
        <v>2400000</v>
      </c>
      <c r="N27" s="41">
        <v>3</v>
      </c>
      <c r="O27" s="17" t="str">
        <f t="shared" si="1"/>
        <v>Bln</v>
      </c>
      <c r="P27" s="19">
        <v>820000</v>
      </c>
      <c r="Q27" s="41">
        <v>3</v>
      </c>
      <c r="R27" s="17" t="str">
        <f t="shared" si="2"/>
        <v>Bln</v>
      </c>
      <c r="S27" s="19">
        <v>0</v>
      </c>
      <c r="T27" s="41">
        <v>3</v>
      </c>
      <c r="U27" s="17" t="str">
        <f t="shared" si="3"/>
        <v>Bln</v>
      </c>
      <c r="V27" s="19">
        <v>615000</v>
      </c>
      <c r="W27" s="41">
        <v>3</v>
      </c>
      <c r="X27" s="17" t="str">
        <f t="shared" ref="X27:X34" si="22">O27</f>
        <v>Bln</v>
      </c>
      <c r="Y27" s="48">
        <v>965000</v>
      </c>
      <c r="Z27" s="57">
        <f t="shared" si="20"/>
        <v>12</v>
      </c>
      <c r="AA27" s="88" t="str">
        <f t="shared" si="13"/>
        <v>Bln</v>
      </c>
      <c r="AB27" s="57">
        <f t="shared" si="14"/>
        <v>100</v>
      </c>
      <c r="AC27" s="32" t="s">
        <v>110</v>
      </c>
      <c r="AD27" s="38">
        <f t="shared" si="15"/>
        <v>2400000</v>
      </c>
      <c r="AE27" s="56">
        <f t="shared" si="16"/>
        <v>100</v>
      </c>
      <c r="AF27" s="32" t="s">
        <v>110</v>
      </c>
      <c r="AG27" s="57">
        <f t="shared" si="17"/>
        <v>24</v>
      </c>
      <c r="AH27" s="17" t="str">
        <f t="shared" si="18"/>
        <v>Bln</v>
      </c>
      <c r="AI27" s="38">
        <f>SUM(J27,AD27)</f>
        <v>2400000</v>
      </c>
      <c r="AJ27" s="56"/>
      <c r="AK27" s="32" t="s">
        <v>110</v>
      </c>
      <c r="AL27" s="56"/>
      <c r="AM27" s="11"/>
      <c r="AP27" s="21"/>
    </row>
    <row r="28" spans="1:42" ht="68.25" customHeight="1" x14ac:dyDescent="0.2">
      <c r="A28" s="12"/>
      <c r="B28" s="13"/>
      <c r="C28" s="125" t="s">
        <v>100</v>
      </c>
      <c r="D28" s="26" t="s">
        <v>115</v>
      </c>
      <c r="E28" s="16">
        <f t="shared" si="21"/>
        <v>36</v>
      </c>
      <c r="F28" s="17" t="s">
        <v>109</v>
      </c>
      <c r="G28" s="131">
        <v>440005600</v>
      </c>
      <c r="H28" s="41">
        <v>12</v>
      </c>
      <c r="I28" s="23" t="s">
        <v>109</v>
      </c>
      <c r="J28" s="24">
        <v>176887540</v>
      </c>
      <c r="K28" s="41">
        <v>12</v>
      </c>
      <c r="L28" s="23" t="s">
        <v>109</v>
      </c>
      <c r="M28" s="52">
        <v>345000000</v>
      </c>
      <c r="N28" s="41">
        <v>3</v>
      </c>
      <c r="O28" s="17" t="str">
        <f t="shared" si="1"/>
        <v>Bln</v>
      </c>
      <c r="P28" s="52">
        <v>57654164</v>
      </c>
      <c r="Q28" s="41">
        <v>3</v>
      </c>
      <c r="R28" s="17" t="str">
        <f t="shared" si="2"/>
        <v>Bln</v>
      </c>
      <c r="S28" s="25">
        <f>86204196-P28</f>
        <v>28550032</v>
      </c>
      <c r="T28" s="41">
        <v>3</v>
      </c>
      <c r="U28" s="17" t="str">
        <f t="shared" si="3"/>
        <v>Bln</v>
      </c>
      <c r="V28" s="25">
        <v>31910296</v>
      </c>
      <c r="W28" s="41">
        <v>3</v>
      </c>
      <c r="X28" s="17" t="str">
        <f t="shared" si="22"/>
        <v>Bln</v>
      </c>
      <c r="Y28" s="25">
        <v>226885508</v>
      </c>
      <c r="Z28" s="57">
        <f t="shared" si="20"/>
        <v>12</v>
      </c>
      <c r="AA28" s="88" t="str">
        <f t="shared" si="13"/>
        <v>Bln</v>
      </c>
      <c r="AB28" s="57">
        <f t="shared" si="14"/>
        <v>100</v>
      </c>
      <c r="AC28" s="32" t="s">
        <v>110</v>
      </c>
      <c r="AD28" s="38">
        <f t="shared" si="15"/>
        <v>345000000</v>
      </c>
      <c r="AE28" s="56">
        <f t="shared" si="16"/>
        <v>100</v>
      </c>
      <c r="AF28" s="32" t="s">
        <v>110</v>
      </c>
      <c r="AG28" s="57">
        <f t="shared" si="17"/>
        <v>24</v>
      </c>
      <c r="AH28" s="17" t="str">
        <f t="shared" si="18"/>
        <v>Bln</v>
      </c>
      <c r="AI28" s="38">
        <f t="shared" si="19"/>
        <v>521887540</v>
      </c>
      <c r="AJ28" s="56"/>
      <c r="AK28" s="32" t="s">
        <v>110</v>
      </c>
      <c r="AL28" s="56"/>
      <c r="AM28" s="11"/>
      <c r="AP28" s="21"/>
    </row>
    <row r="29" spans="1:42" ht="67.5" customHeight="1" x14ac:dyDescent="0.2">
      <c r="A29" s="12"/>
      <c r="B29" s="13"/>
      <c r="C29" s="15" t="s">
        <v>76</v>
      </c>
      <c r="D29" s="15" t="s">
        <v>119</v>
      </c>
      <c r="E29" s="87">
        <v>100</v>
      </c>
      <c r="F29" s="76" t="s">
        <v>110</v>
      </c>
      <c r="G29" s="130">
        <f>+G30+G31+G32</f>
        <v>154544000</v>
      </c>
      <c r="H29" s="87">
        <v>100</v>
      </c>
      <c r="I29" s="76" t="s">
        <v>110</v>
      </c>
      <c r="J29" s="18"/>
      <c r="K29" s="87">
        <v>100</v>
      </c>
      <c r="L29" s="76" t="s">
        <v>110</v>
      </c>
      <c r="M29" s="81">
        <f>SUM(M30:M32)</f>
        <v>122283500</v>
      </c>
      <c r="N29" s="87">
        <v>25</v>
      </c>
      <c r="O29" s="44" t="str">
        <f t="shared" si="1"/>
        <v>%</v>
      </c>
      <c r="P29" s="81">
        <f>SUM(P30:P32)</f>
        <v>20837463</v>
      </c>
      <c r="Q29" s="99">
        <v>25</v>
      </c>
      <c r="R29" s="44" t="str">
        <f t="shared" si="2"/>
        <v>%</v>
      </c>
      <c r="S29" s="81">
        <f>SUM(S30:S32)</f>
        <v>44081094</v>
      </c>
      <c r="T29" s="99">
        <v>25</v>
      </c>
      <c r="U29" s="44" t="str">
        <f t="shared" si="3"/>
        <v>%</v>
      </c>
      <c r="V29" s="81">
        <f>SUM(V30:V32)</f>
        <v>1340061</v>
      </c>
      <c r="W29" s="99">
        <v>25</v>
      </c>
      <c r="X29" s="44" t="str">
        <f t="shared" si="22"/>
        <v>%</v>
      </c>
      <c r="Y29" s="81">
        <f>SUM(Y30:Y32)</f>
        <v>24026727</v>
      </c>
      <c r="Z29" s="58">
        <f t="shared" si="20"/>
        <v>100</v>
      </c>
      <c r="AA29" s="91" t="str">
        <f t="shared" si="13"/>
        <v>%</v>
      </c>
      <c r="AB29" s="58">
        <f t="shared" si="14"/>
        <v>100</v>
      </c>
      <c r="AC29" s="51" t="s">
        <v>110</v>
      </c>
      <c r="AD29" s="50">
        <f t="shared" si="15"/>
        <v>90285345</v>
      </c>
      <c r="AE29" s="55">
        <f t="shared" si="16"/>
        <v>73.832810640846873</v>
      </c>
      <c r="AF29" s="51" t="s">
        <v>110</v>
      </c>
      <c r="AG29" s="58">
        <f t="shared" si="17"/>
        <v>200</v>
      </c>
      <c r="AH29" s="76" t="str">
        <f t="shared" si="18"/>
        <v>%</v>
      </c>
      <c r="AI29" s="50">
        <f t="shared" si="19"/>
        <v>90285345</v>
      </c>
      <c r="AJ29" s="55"/>
      <c r="AK29" s="51" t="s">
        <v>110</v>
      </c>
      <c r="AL29" s="55"/>
      <c r="AM29" s="11"/>
      <c r="AP29" s="21">
        <f t="shared" si="0"/>
        <v>90285345</v>
      </c>
    </row>
    <row r="30" spans="1:42" ht="54.95" customHeight="1" x14ac:dyDescent="0.2">
      <c r="A30" s="12"/>
      <c r="B30" s="13"/>
      <c r="C30" s="127" t="s">
        <v>105</v>
      </c>
      <c r="D30" s="26" t="s">
        <v>115</v>
      </c>
      <c r="E30" s="41">
        <f t="shared" si="21"/>
        <v>36</v>
      </c>
      <c r="F30" s="23" t="s">
        <v>109</v>
      </c>
      <c r="G30" s="131">
        <v>1200000</v>
      </c>
      <c r="H30" s="41">
        <v>12</v>
      </c>
      <c r="I30" s="23" t="s">
        <v>109</v>
      </c>
      <c r="J30" s="18"/>
      <c r="K30" s="41">
        <v>12</v>
      </c>
      <c r="L30" s="23" t="s">
        <v>109</v>
      </c>
      <c r="M30" s="48">
        <v>1200000</v>
      </c>
      <c r="N30" s="41">
        <v>3</v>
      </c>
      <c r="O30" s="17" t="str">
        <f t="shared" si="1"/>
        <v>Bln</v>
      </c>
      <c r="P30" s="48">
        <v>0</v>
      </c>
      <c r="Q30" s="41">
        <v>3</v>
      </c>
      <c r="R30" s="17" t="str">
        <f t="shared" si="2"/>
        <v>Bln</v>
      </c>
      <c r="S30" s="19">
        <v>0</v>
      </c>
      <c r="T30" s="41">
        <v>3</v>
      </c>
      <c r="U30" s="17" t="str">
        <f t="shared" si="3"/>
        <v>Bln</v>
      </c>
      <c r="V30" s="19">
        <v>0</v>
      </c>
      <c r="W30" s="41">
        <v>3</v>
      </c>
      <c r="X30" s="17" t="str">
        <f t="shared" si="22"/>
        <v>Bln</v>
      </c>
      <c r="Y30" s="19">
        <v>0</v>
      </c>
      <c r="Z30" s="57">
        <f t="shared" si="20"/>
        <v>12</v>
      </c>
      <c r="AA30" s="90" t="str">
        <f t="shared" si="13"/>
        <v>Bln</v>
      </c>
      <c r="AB30" s="57">
        <f t="shared" si="14"/>
        <v>100</v>
      </c>
      <c r="AC30" s="32" t="s">
        <v>110</v>
      </c>
      <c r="AD30" s="38">
        <f t="shared" si="15"/>
        <v>0</v>
      </c>
      <c r="AE30" s="57">
        <f t="shared" si="16"/>
        <v>0</v>
      </c>
      <c r="AF30" s="32" t="s">
        <v>110</v>
      </c>
      <c r="AG30" s="57">
        <f t="shared" si="17"/>
        <v>24</v>
      </c>
      <c r="AH30" s="23" t="str">
        <f t="shared" si="18"/>
        <v>Bln</v>
      </c>
      <c r="AI30" s="38">
        <f t="shared" si="19"/>
        <v>0</v>
      </c>
      <c r="AJ30" s="56"/>
      <c r="AK30" s="32" t="s">
        <v>110</v>
      </c>
      <c r="AL30" s="56"/>
      <c r="AM30" s="11"/>
      <c r="AP30" s="21"/>
    </row>
    <row r="31" spans="1:42" ht="54.95" customHeight="1" x14ac:dyDescent="0.2">
      <c r="A31" s="12"/>
      <c r="B31" s="13"/>
      <c r="C31" s="127" t="s">
        <v>77</v>
      </c>
      <c r="D31" s="26" t="s">
        <v>115</v>
      </c>
      <c r="E31" s="41">
        <f t="shared" si="21"/>
        <v>36</v>
      </c>
      <c r="F31" s="23" t="s">
        <v>109</v>
      </c>
      <c r="G31" s="131">
        <v>127200000</v>
      </c>
      <c r="H31" s="41">
        <v>12</v>
      </c>
      <c r="I31" s="23" t="s">
        <v>109</v>
      </c>
      <c r="J31" s="18">
        <v>58910767</v>
      </c>
      <c r="K31" s="41">
        <v>12</v>
      </c>
      <c r="L31" s="23" t="s">
        <v>109</v>
      </c>
      <c r="M31" s="126">
        <v>95000000</v>
      </c>
      <c r="N31" s="41">
        <v>3</v>
      </c>
      <c r="O31" s="17" t="str">
        <f>L31</f>
        <v>Bln</v>
      </c>
      <c r="P31" s="48">
        <v>16087463</v>
      </c>
      <c r="Q31" s="41">
        <v>3</v>
      </c>
      <c r="R31" s="17" t="str">
        <f>L31</f>
        <v>Bln</v>
      </c>
      <c r="S31" s="19">
        <v>33331094</v>
      </c>
      <c r="T31" s="41">
        <v>3</v>
      </c>
      <c r="U31" s="17" t="str">
        <f t="shared" si="3"/>
        <v>Bln</v>
      </c>
      <c r="V31" s="19">
        <v>1090061</v>
      </c>
      <c r="W31" s="41">
        <v>3</v>
      </c>
      <c r="X31" s="17" t="str">
        <f t="shared" si="22"/>
        <v>Bln</v>
      </c>
      <c r="Y31" s="19">
        <v>18211927</v>
      </c>
      <c r="Z31" s="57">
        <f t="shared" si="20"/>
        <v>12</v>
      </c>
      <c r="AA31" s="90" t="str">
        <f t="shared" si="13"/>
        <v>Bln</v>
      </c>
      <c r="AB31" s="57">
        <f t="shared" si="14"/>
        <v>100</v>
      </c>
      <c r="AC31" s="32" t="s">
        <v>110</v>
      </c>
      <c r="AD31" s="38">
        <f t="shared" si="15"/>
        <v>68720545</v>
      </c>
      <c r="AE31" s="56">
        <f t="shared" si="16"/>
        <v>72.337415789473681</v>
      </c>
      <c r="AF31" s="32" t="s">
        <v>110</v>
      </c>
      <c r="AG31" s="57">
        <f t="shared" si="17"/>
        <v>24</v>
      </c>
      <c r="AH31" s="23" t="str">
        <f t="shared" si="18"/>
        <v>Bln</v>
      </c>
      <c r="AI31" s="38">
        <f t="shared" si="19"/>
        <v>127631312</v>
      </c>
      <c r="AJ31" s="56"/>
      <c r="AK31" s="32" t="s">
        <v>110</v>
      </c>
      <c r="AL31" s="56"/>
      <c r="AM31" s="11"/>
      <c r="AP31" s="21"/>
    </row>
    <row r="32" spans="1:42" ht="54.95" customHeight="1" x14ac:dyDescent="0.2">
      <c r="A32" s="12"/>
      <c r="B32" s="13"/>
      <c r="C32" s="127" t="s">
        <v>86</v>
      </c>
      <c r="D32" s="26" t="s">
        <v>115</v>
      </c>
      <c r="E32" s="41">
        <f t="shared" si="21"/>
        <v>36</v>
      </c>
      <c r="F32" s="23" t="s">
        <v>109</v>
      </c>
      <c r="G32" s="131">
        <v>26144000</v>
      </c>
      <c r="H32" s="41">
        <v>12</v>
      </c>
      <c r="I32" s="23" t="s">
        <v>109</v>
      </c>
      <c r="J32" s="18"/>
      <c r="K32" s="41">
        <v>12</v>
      </c>
      <c r="L32" s="23" t="s">
        <v>109</v>
      </c>
      <c r="M32" s="48">
        <v>26083500</v>
      </c>
      <c r="N32" s="41">
        <v>3</v>
      </c>
      <c r="O32" s="17" t="str">
        <f t="shared" si="1"/>
        <v>Bln</v>
      </c>
      <c r="P32" s="48">
        <v>4750000</v>
      </c>
      <c r="Q32" s="41">
        <v>3</v>
      </c>
      <c r="R32" s="17" t="str">
        <f t="shared" si="2"/>
        <v>Bln</v>
      </c>
      <c r="S32" s="19">
        <v>10750000</v>
      </c>
      <c r="T32" s="41">
        <v>3</v>
      </c>
      <c r="U32" s="17" t="str">
        <f t="shared" si="3"/>
        <v>Bln</v>
      </c>
      <c r="V32" s="19">
        <v>250000</v>
      </c>
      <c r="W32" s="41">
        <v>3</v>
      </c>
      <c r="X32" s="17" t="str">
        <f t="shared" si="22"/>
        <v>Bln</v>
      </c>
      <c r="Y32" s="19">
        <v>5814800</v>
      </c>
      <c r="Z32" s="57">
        <f t="shared" si="20"/>
        <v>12</v>
      </c>
      <c r="AA32" s="90" t="str">
        <f t="shared" si="13"/>
        <v>Bln</v>
      </c>
      <c r="AB32" s="57">
        <f t="shared" si="14"/>
        <v>100</v>
      </c>
      <c r="AC32" s="32" t="s">
        <v>110</v>
      </c>
      <c r="AD32" s="38">
        <f t="shared" si="15"/>
        <v>21564800</v>
      </c>
      <c r="AE32" s="56">
        <f t="shared" si="16"/>
        <v>82.676021239480903</v>
      </c>
      <c r="AF32" s="32" t="s">
        <v>110</v>
      </c>
      <c r="AG32" s="57">
        <f t="shared" si="17"/>
        <v>24</v>
      </c>
      <c r="AH32" s="23" t="str">
        <f t="shared" si="18"/>
        <v>Bln</v>
      </c>
      <c r="AI32" s="38">
        <f t="shared" si="19"/>
        <v>21564800</v>
      </c>
      <c r="AJ32" s="56"/>
      <c r="AK32" s="32" t="s">
        <v>110</v>
      </c>
      <c r="AL32" s="56"/>
      <c r="AM32" s="11"/>
      <c r="AP32" s="21"/>
    </row>
    <row r="33" spans="1:42" ht="77.099999999999994" customHeight="1" x14ac:dyDescent="0.2">
      <c r="A33" s="12"/>
      <c r="B33" s="13"/>
      <c r="C33" s="14" t="s">
        <v>87</v>
      </c>
      <c r="D33" s="15" t="s">
        <v>119</v>
      </c>
      <c r="E33" s="87">
        <v>100</v>
      </c>
      <c r="F33" s="76" t="s">
        <v>110</v>
      </c>
      <c r="G33" s="130">
        <f>+G34+G35</f>
        <v>272782000</v>
      </c>
      <c r="H33" s="87">
        <v>100</v>
      </c>
      <c r="I33" s="76" t="s">
        <v>110</v>
      </c>
      <c r="J33" s="18"/>
      <c r="K33" s="87">
        <v>100</v>
      </c>
      <c r="L33" s="76" t="s">
        <v>110</v>
      </c>
      <c r="M33" s="81">
        <f>SUM(M34:M35)</f>
        <v>490352500</v>
      </c>
      <c r="N33" s="87">
        <v>25</v>
      </c>
      <c r="O33" s="44" t="str">
        <f t="shared" si="1"/>
        <v>%</v>
      </c>
      <c r="P33" s="81">
        <f>SUM(P34:P35)</f>
        <v>23008473</v>
      </c>
      <c r="Q33" s="87">
        <v>25</v>
      </c>
      <c r="R33" s="44" t="str">
        <f t="shared" si="2"/>
        <v>%</v>
      </c>
      <c r="S33" s="81">
        <f>SUM(S34:S35)</f>
        <v>79164527</v>
      </c>
      <c r="T33" s="87">
        <v>25</v>
      </c>
      <c r="U33" s="44" t="str">
        <f t="shared" si="3"/>
        <v>%</v>
      </c>
      <c r="V33" s="81">
        <f>SUM(V34:V35)</f>
        <v>27502582</v>
      </c>
      <c r="W33" s="87">
        <v>25</v>
      </c>
      <c r="X33" s="44" t="str">
        <f t="shared" si="22"/>
        <v>%</v>
      </c>
      <c r="Y33" s="81">
        <f>SUM(Y34:Y35)</f>
        <v>301428656</v>
      </c>
      <c r="Z33" s="58">
        <f t="shared" si="20"/>
        <v>100</v>
      </c>
      <c r="AA33" s="91" t="str">
        <f t="shared" si="13"/>
        <v>%</v>
      </c>
      <c r="AB33" s="58">
        <f t="shared" si="14"/>
        <v>100</v>
      </c>
      <c r="AC33" s="51" t="s">
        <v>110</v>
      </c>
      <c r="AD33" s="50">
        <f t="shared" si="15"/>
        <v>431104238</v>
      </c>
      <c r="AE33" s="55">
        <f t="shared" si="16"/>
        <v>87.917210170234682</v>
      </c>
      <c r="AF33" s="51" t="s">
        <v>110</v>
      </c>
      <c r="AG33" s="58">
        <f t="shared" si="17"/>
        <v>200</v>
      </c>
      <c r="AH33" s="76" t="str">
        <f t="shared" si="18"/>
        <v>%</v>
      </c>
      <c r="AI33" s="50">
        <f t="shared" si="19"/>
        <v>431104238</v>
      </c>
      <c r="AJ33" s="55"/>
      <c r="AK33" s="51" t="s">
        <v>110</v>
      </c>
      <c r="AL33" s="55"/>
      <c r="AM33" s="11"/>
      <c r="AP33" s="21"/>
    </row>
    <row r="34" spans="1:42" ht="95.25" customHeight="1" x14ac:dyDescent="0.2">
      <c r="A34" s="12"/>
      <c r="B34" s="13"/>
      <c r="C34" s="127" t="s">
        <v>88</v>
      </c>
      <c r="D34" s="26" t="s">
        <v>120</v>
      </c>
      <c r="E34" s="41">
        <f t="shared" si="21"/>
        <v>36</v>
      </c>
      <c r="F34" s="23" t="s">
        <v>109</v>
      </c>
      <c r="G34" s="131">
        <v>200282000</v>
      </c>
      <c r="H34" s="41">
        <v>12</v>
      </c>
      <c r="I34" s="23" t="s">
        <v>109</v>
      </c>
      <c r="J34" s="18"/>
      <c r="K34" s="41">
        <v>12</v>
      </c>
      <c r="L34" s="23" t="s">
        <v>109</v>
      </c>
      <c r="M34" s="48">
        <v>232052500</v>
      </c>
      <c r="N34" s="41">
        <v>3</v>
      </c>
      <c r="O34" s="17" t="str">
        <f t="shared" si="1"/>
        <v>Bln</v>
      </c>
      <c r="P34" s="48">
        <v>21633473</v>
      </c>
      <c r="Q34" s="41">
        <v>3</v>
      </c>
      <c r="R34" s="17" t="str">
        <f t="shared" si="2"/>
        <v>Bln</v>
      </c>
      <c r="S34" s="19">
        <v>29383527</v>
      </c>
      <c r="T34" s="41">
        <v>3</v>
      </c>
      <c r="U34" s="17" t="str">
        <f t="shared" si="3"/>
        <v>Bln</v>
      </c>
      <c r="V34" s="19">
        <v>25712582</v>
      </c>
      <c r="W34" s="41">
        <v>3</v>
      </c>
      <c r="X34" s="17" t="str">
        <f t="shared" si="22"/>
        <v>Bln</v>
      </c>
      <c r="Y34" s="19">
        <v>99899456</v>
      </c>
      <c r="Z34" s="57">
        <f t="shared" si="20"/>
        <v>12</v>
      </c>
      <c r="AA34" s="90" t="str">
        <f t="shared" si="13"/>
        <v>Bln</v>
      </c>
      <c r="AB34" s="57">
        <f t="shared" si="14"/>
        <v>100</v>
      </c>
      <c r="AC34" s="32" t="s">
        <v>110</v>
      </c>
      <c r="AD34" s="38">
        <f t="shared" si="15"/>
        <v>176629038</v>
      </c>
      <c r="AE34" s="56">
        <f t="shared" si="16"/>
        <v>76.115981512804211</v>
      </c>
      <c r="AF34" s="32" t="s">
        <v>110</v>
      </c>
      <c r="AG34" s="57">
        <f t="shared" si="17"/>
        <v>24</v>
      </c>
      <c r="AH34" s="23" t="str">
        <f t="shared" si="18"/>
        <v>Bln</v>
      </c>
      <c r="AI34" s="38">
        <f t="shared" si="19"/>
        <v>176629038</v>
      </c>
      <c r="AJ34" s="56"/>
      <c r="AK34" s="32" t="s">
        <v>110</v>
      </c>
      <c r="AL34" s="56"/>
      <c r="AM34" s="11"/>
      <c r="AP34" s="21"/>
    </row>
    <row r="35" spans="1:42" ht="74.099999999999994" customHeight="1" x14ac:dyDescent="0.2">
      <c r="A35" s="12"/>
      <c r="B35" s="13"/>
      <c r="C35" s="128" t="s">
        <v>89</v>
      </c>
      <c r="D35" s="26" t="s">
        <v>118</v>
      </c>
      <c r="E35" s="41">
        <f t="shared" si="21"/>
        <v>36</v>
      </c>
      <c r="F35" s="23" t="s">
        <v>109</v>
      </c>
      <c r="G35" s="132">
        <v>72500000</v>
      </c>
      <c r="H35" s="41">
        <v>12</v>
      </c>
      <c r="I35" s="23" t="s">
        <v>109</v>
      </c>
      <c r="J35" s="122"/>
      <c r="K35" s="41">
        <v>12</v>
      </c>
      <c r="L35" s="23" t="s">
        <v>109</v>
      </c>
      <c r="M35" s="123">
        <v>258300000</v>
      </c>
      <c r="N35" s="41">
        <v>3</v>
      </c>
      <c r="O35" s="17" t="str">
        <f t="shared" si="1"/>
        <v>Bln</v>
      </c>
      <c r="P35" s="123">
        <v>1375000</v>
      </c>
      <c r="Q35" s="41">
        <v>3</v>
      </c>
      <c r="R35" s="17" t="str">
        <f t="shared" si="2"/>
        <v>Bln</v>
      </c>
      <c r="S35" s="105">
        <v>49781000</v>
      </c>
      <c r="T35" s="41">
        <v>3</v>
      </c>
      <c r="U35" s="17" t="str">
        <f>L35</f>
        <v>Bln</v>
      </c>
      <c r="V35" s="105">
        <v>1790000</v>
      </c>
      <c r="W35" s="41">
        <v>3</v>
      </c>
      <c r="X35" s="17" t="str">
        <f>O35</f>
        <v>Bln</v>
      </c>
      <c r="Y35" s="105">
        <v>201529200</v>
      </c>
      <c r="Z35" s="57">
        <f t="shared" si="20"/>
        <v>12</v>
      </c>
      <c r="AA35" s="90" t="str">
        <f t="shared" si="13"/>
        <v>Bln</v>
      </c>
      <c r="AB35" s="57">
        <f>Z35/K35*100</f>
        <v>100</v>
      </c>
      <c r="AC35" s="32" t="s">
        <v>110</v>
      </c>
      <c r="AD35" s="111">
        <f t="shared" si="15"/>
        <v>254475200</v>
      </c>
      <c r="AE35" s="56">
        <f t="shared" si="16"/>
        <v>98.519241192411926</v>
      </c>
      <c r="AF35" s="32" t="s">
        <v>110</v>
      </c>
      <c r="AG35" s="57">
        <f t="shared" si="17"/>
        <v>24</v>
      </c>
      <c r="AH35" s="23" t="str">
        <f t="shared" si="18"/>
        <v>Bln</v>
      </c>
      <c r="AI35" s="111">
        <f t="shared" si="19"/>
        <v>254475200</v>
      </c>
      <c r="AJ35" s="56"/>
      <c r="AK35" s="32" t="s">
        <v>110</v>
      </c>
      <c r="AL35" s="56"/>
      <c r="AM35" s="11"/>
      <c r="AP35" s="21"/>
    </row>
    <row r="36" spans="1:42" s="101" customFormat="1" ht="78.75" x14ac:dyDescent="0.25">
      <c r="A36" s="12"/>
      <c r="B36" s="120"/>
      <c r="C36" s="47" t="s">
        <v>79</v>
      </c>
      <c r="D36" s="15" t="s">
        <v>138</v>
      </c>
      <c r="E36" s="103">
        <v>0</v>
      </c>
      <c r="F36" s="44" t="s">
        <v>110</v>
      </c>
      <c r="G36" s="136">
        <f>SUM(G38,G40,G43,G45,G47,G51)</f>
        <v>4244152612</v>
      </c>
      <c r="H36" s="103">
        <v>0</v>
      </c>
      <c r="I36" s="44" t="s">
        <v>110</v>
      </c>
      <c r="J36" s="136">
        <f>SUM(J38,J40,J43,J45,J47,J51)</f>
        <v>76608000</v>
      </c>
      <c r="K36" s="103">
        <v>0</v>
      </c>
      <c r="L36" s="44" t="s">
        <v>110</v>
      </c>
      <c r="M36" s="136">
        <f>SUM(M38,M40,M43,M45,M47,M51)</f>
        <v>1424382306</v>
      </c>
      <c r="N36" s="103">
        <v>0</v>
      </c>
      <c r="O36" s="44" t="s">
        <v>110</v>
      </c>
      <c r="P36" s="136">
        <f>SUM(P38,P40,P43,P45,P47,P51)</f>
        <v>127277500</v>
      </c>
      <c r="Q36" s="103">
        <v>0</v>
      </c>
      <c r="R36" s="44" t="s">
        <v>110</v>
      </c>
      <c r="S36" s="136">
        <f>SUM(S38,S40,S43,S45,S47,S51)</f>
        <v>463029000</v>
      </c>
      <c r="T36" s="103">
        <v>0</v>
      </c>
      <c r="U36" s="44" t="str">
        <f t="shared" si="3"/>
        <v>%</v>
      </c>
      <c r="V36" s="136">
        <f>SUM(V38,V40,V43,V45,V47,V51)</f>
        <v>112067760</v>
      </c>
      <c r="W36" s="103">
        <v>0</v>
      </c>
      <c r="X36" s="44" t="str">
        <f t="shared" ref="X36:X57" si="23">O36</f>
        <v>%</v>
      </c>
      <c r="Y36" s="136">
        <f>SUM(Y38,Y40,Y43,Y45,Y47,Y51)</f>
        <v>569747446</v>
      </c>
      <c r="Z36" s="58">
        <v>100</v>
      </c>
      <c r="AA36" s="117" t="str">
        <f>L36</f>
        <v>%</v>
      </c>
      <c r="AB36" s="58">
        <v>100</v>
      </c>
      <c r="AC36" s="51" t="s">
        <v>110</v>
      </c>
      <c r="AD36" s="137">
        <f t="shared" si="15"/>
        <v>1272121706</v>
      </c>
      <c r="AE36" s="138">
        <f t="shared" si="16"/>
        <v>89.31041200395255</v>
      </c>
      <c r="AF36" s="46" t="s">
        <v>110</v>
      </c>
      <c r="AG36" s="58">
        <f>SUM(H36,Z36)</f>
        <v>100</v>
      </c>
      <c r="AH36" s="44" t="str">
        <f t="shared" si="18"/>
        <v>%</v>
      </c>
      <c r="AI36" s="137">
        <f>SUM(J36,AD36)</f>
        <v>1348729706</v>
      </c>
      <c r="AJ36" s="121"/>
      <c r="AK36" s="51" t="s">
        <v>110</v>
      </c>
      <c r="AL36" s="138"/>
      <c r="AM36" s="100"/>
      <c r="AP36" s="102"/>
    </row>
    <row r="37" spans="1:42" s="101" customFormat="1" ht="63" x14ac:dyDescent="0.25">
      <c r="A37" s="12"/>
      <c r="B37" s="120"/>
      <c r="C37" s="14"/>
      <c r="D37" s="15" t="s">
        <v>139</v>
      </c>
      <c r="E37" s="103">
        <v>100</v>
      </c>
      <c r="F37" s="44" t="s">
        <v>110</v>
      </c>
      <c r="G37" s="152"/>
      <c r="H37" s="103">
        <v>0</v>
      </c>
      <c r="I37" s="44" t="s">
        <v>110</v>
      </c>
      <c r="J37" s="152"/>
      <c r="K37" s="103">
        <v>85</v>
      </c>
      <c r="L37" s="44" t="s">
        <v>110</v>
      </c>
      <c r="M37" s="80"/>
      <c r="N37" s="103">
        <v>25</v>
      </c>
      <c r="O37" s="44" t="str">
        <f>L37</f>
        <v>%</v>
      </c>
      <c r="P37" s="80"/>
      <c r="Q37" s="103">
        <v>25</v>
      </c>
      <c r="R37" s="44" t="str">
        <f>L37</f>
        <v>%</v>
      </c>
      <c r="S37" s="76"/>
      <c r="T37" s="103">
        <v>25</v>
      </c>
      <c r="U37" s="44" t="str">
        <f t="shared" si="3"/>
        <v>%</v>
      </c>
      <c r="V37" s="76"/>
      <c r="W37" s="103">
        <v>25</v>
      </c>
      <c r="X37" s="44" t="str">
        <f t="shared" si="23"/>
        <v>%</v>
      </c>
      <c r="Y37" s="76"/>
      <c r="Z37" s="58">
        <f t="shared" ref="Z37" si="24">SUM(N37,Q37,T37,W37)</f>
        <v>100</v>
      </c>
      <c r="AA37" s="117" t="str">
        <f t="shared" ref="AA37" si="25">L37</f>
        <v>%</v>
      </c>
      <c r="AB37" s="55">
        <f t="shared" ref="AB37" si="26">Z37/K37*100</f>
        <v>117.64705882352942</v>
      </c>
      <c r="AC37" s="51" t="s">
        <v>110</v>
      </c>
      <c r="AD37" s="69"/>
      <c r="AE37" s="139"/>
      <c r="AF37" s="12"/>
      <c r="AG37" s="58">
        <f t="shared" ref="AG37" si="27">SUM(H37,Z37)</f>
        <v>100</v>
      </c>
      <c r="AH37" s="44" t="str">
        <f t="shared" ref="AH37" si="28">O37</f>
        <v>%</v>
      </c>
      <c r="AI37" s="69"/>
      <c r="AJ37" s="121"/>
      <c r="AK37" s="51"/>
      <c r="AL37" s="139"/>
      <c r="AM37" s="100"/>
      <c r="AP37" s="102"/>
    </row>
    <row r="38" spans="1:42" ht="63" x14ac:dyDescent="0.2">
      <c r="A38" s="12"/>
      <c r="B38" s="13"/>
      <c r="C38" s="14" t="s">
        <v>98</v>
      </c>
      <c r="D38" s="15" t="s">
        <v>154</v>
      </c>
      <c r="E38" s="103">
        <f>E39</f>
        <v>1</v>
      </c>
      <c r="F38" s="44" t="s">
        <v>108</v>
      </c>
      <c r="G38" s="133">
        <f>SUM(G39)</f>
        <v>25950000</v>
      </c>
      <c r="H38" s="103">
        <f>H39</f>
        <v>0</v>
      </c>
      <c r="I38" s="44" t="s">
        <v>108</v>
      </c>
      <c r="J38" s="24"/>
      <c r="K38" s="103">
        <f>K39</f>
        <v>1</v>
      </c>
      <c r="L38" s="44" t="s">
        <v>108</v>
      </c>
      <c r="M38" s="133">
        <f>SUM(M39)</f>
        <v>25950000</v>
      </c>
      <c r="N38" s="103">
        <f>N39</f>
        <v>0</v>
      </c>
      <c r="O38" s="76" t="str">
        <f t="shared" ref="O38:O57" si="29">L38</f>
        <v>Dok</v>
      </c>
      <c r="P38" s="133">
        <f>SUM(P39)</f>
        <v>0</v>
      </c>
      <c r="Q38" s="103">
        <f>Q39</f>
        <v>0</v>
      </c>
      <c r="R38" s="76" t="str">
        <f t="shared" ref="R38:R57" si="30">L38</f>
        <v>Dok</v>
      </c>
      <c r="S38" s="133">
        <f>SUM(S39)</f>
        <v>7891000</v>
      </c>
      <c r="T38" s="103">
        <f>T39</f>
        <v>0</v>
      </c>
      <c r="U38" s="76" t="str">
        <f t="shared" si="3"/>
        <v>Dok</v>
      </c>
      <c r="V38" s="80">
        <f>SUM(V39)</f>
        <v>4250000</v>
      </c>
      <c r="W38" s="103">
        <f>W39</f>
        <v>1</v>
      </c>
      <c r="X38" s="76" t="str">
        <f t="shared" si="23"/>
        <v>Dok</v>
      </c>
      <c r="Y38" s="80">
        <f>SUM(Y39)</f>
        <v>13809000</v>
      </c>
      <c r="Z38" s="58">
        <f t="shared" si="20"/>
        <v>1</v>
      </c>
      <c r="AA38" s="89" t="str">
        <f t="shared" si="13"/>
        <v>Dok</v>
      </c>
      <c r="AB38" s="58">
        <f>Z38/K38*100</f>
        <v>100</v>
      </c>
      <c r="AC38" s="51" t="s">
        <v>110</v>
      </c>
      <c r="AD38" s="69">
        <f t="shared" si="15"/>
        <v>25950000</v>
      </c>
      <c r="AE38" s="58">
        <f t="shared" si="16"/>
        <v>100</v>
      </c>
      <c r="AF38" s="51" t="s">
        <v>110</v>
      </c>
      <c r="AG38" s="95">
        <f t="shared" si="17"/>
        <v>1</v>
      </c>
      <c r="AH38" s="44" t="str">
        <f t="shared" si="18"/>
        <v>Dok</v>
      </c>
      <c r="AI38" s="69">
        <f t="shared" si="19"/>
        <v>25950000</v>
      </c>
      <c r="AJ38" s="49"/>
      <c r="AK38" s="51" t="s">
        <v>110</v>
      </c>
      <c r="AL38" s="124"/>
      <c r="AM38" s="11"/>
      <c r="AP38" s="21"/>
    </row>
    <row r="39" spans="1:42" ht="75" x14ac:dyDescent="0.2">
      <c r="A39" s="12"/>
      <c r="B39" s="13"/>
      <c r="C39" s="127" t="s">
        <v>99</v>
      </c>
      <c r="D39" s="26" t="s">
        <v>155</v>
      </c>
      <c r="E39" s="104">
        <v>1</v>
      </c>
      <c r="F39" s="17" t="s">
        <v>108</v>
      </c>
      <c r="G39" s="82">
        <v>25950000</v>
      </c>
      <c r="H39" s="141">
        <v>0</v>
      </c>
      <c r="I39" s="17" t="s">
        <v>108</v>
      </c>
      <c r="J39" s="18"/>
      <c r="K39" s="104">
        <v>1</v>
      </c>
      <c r="L39" s="17" t="s">
        <v>108</v>
      </c>
      <c r="M39" s="82">
        <v>25950000</v>
      </c>
      <c r="N39" s="104">
        <v>0</v>
      </c>
      <c r="O39" s="23" t="str">
        <f t="shared" si="29"/>
        <v>Dok</v>
      </c>
      <c r="P39" s="48">
        <v>0</v>
      </c>
      <c r="Q39" s="88">
        <v>0</v>
      </c>
      <c r="R39" s="23" t="str">
        <f t="shared" si="30"/>
        <v>Dok</v>
      </c>
      <c r="S39" s="19">
        <v>7891000</v>
      </c>
      <c r="T39" s="88">
        <v>0</v>
      </c>
      <c r="U39" s="23" t="str">
        <f t="shared" si="3"/>
        <v>Dok</v>
      </c>
      <c r="V39" s="19">
        <v>4250000</v>
      </c>
      <c r="W39" s="88">
        <v>1</v>
      </c>
      <c r="X39" s="23" t="str">
        <f t="shared" si="23"/>
        <v>Dok</v>
      </c>
      <c r="Y39" s="19">
        <v>13809000</v>
      </c>
      <c r="Z39" s="140">
        <f t="shared" si="20"/>
        <v>1</v>
      </c>
      <c r="AA39" s="88" t="str">
        <f t="shared" si="13"/>
        <v>Dok</v>
      </c>
      <c r="AB39" s="57">
        <f t="shared" si="14"/>
        <v>100</v>
      </c>
      <c r="AC39" s="32" t="s">
        <v>110</v>
      </c>
      <c r="AD39" s="38">
        <f t="shared" si="15"/>
        <v>25950000</v>
      </c>
      <c r="AE39" s="57">
        <f t="shared" si="16"/>
        <v>100</v>
      </c>
      <c r="AF39" s="32" t="s">
        <v>110</v>
      </c>
      <c r="AG39" s="57">
        <f t="shared" si="17"/>
        <v>1</v>
      </c>
      <c r="AH39" s="17" t="str">
        <f t="shared" si="18"/>
        <v>Dok</v>
      </c>
      <c r="AI39" s="38">
        <f t="shared" si="19"/>
        <v>25950000</v>
      </c>
      <c r="AJ39" s="56"/>
      <c r="AK39" s="32" t="s">
        <v>110</v>
      </c>
      <c r="AL39" s="59"/>
      <c r="AM39" s="11"/>
      <c r="AP39" s="21"/>
    </row>
    <row r="40" spans="1:42" s="101" customFormat="1" ht="78.75" x14ac:dyDescent="0.25">
      <c r="A40" s="12"/>
      <c r="B40" s="13"/>
      <c r="C40" s="145" t="s">
        <v>91</v>
      </c>
      <c r="D40" s="146" t="s">
        <v>142</v>
      </c>
      <c r="E40" s="43">
        <v>100</v>
      </c>
      <c r="F40" s="44" t="s">
        <v>110</v>
      </c>
      <c r="G40" s="130">
        <f>SUM(G41:G42)</f>
        <v>855573100</v>
      </c>
      <c r="H40" s="43">
        <v>0</v>
      </c>
      <c r="I40" s="44" t="s">
        <v>110</v>
      </c>
      <c r="J40" s="130">
        <f>SUM(J41:J42)</f>
        <v>76608000</v>
      </c>
      <c r="K40" s="43">
        <f>(K41+K42)/(K41+K42)*100</f>
        <v>100</v>
      </c>
      <c r="L40" s="44" t="s">
        <v>110</v>
      </c>
      <c r="M40" s="81">
        <f>SUM(M41:M42)</f>
        <v>295208550</v>
      </c>
      <c r="N40" s="45">
        <f>(N41+N42)/(K41+K42)*100</f>
        <v>12.5</v>
      </c>
      <c r="O40" s="44" t="s">
        <v>110</v>
      </c>
      <c r="P40" s="81">
        <f>SUM(P41:P42)</f>
        <v>5120000</v>
      </c>
      <c r="Q40" s="45">
        <f>(Q41+Q42)/(K41+K42)*100</f>
        <v>87.5</v>
      </c>
      <c r="R40" s="76" t="str">
        <f t="shared" si="30"/>
        <v>%</v>
      </c>
      <c r="S40" s="81">
        <f>SUM(S41:S42)</f>
        <v>199313650</v>
      </c>
      <c r="T40" s="43">
        <v>0</v>
      </c>
      <c r="U40" s="76" t="str">
        <f t="shared" si="3"/>
        <v>%</v>
      </c>
      <c r="V40" s="81">
        <f>SUM(V41:V42)</f>
        <v>17055000</v>
      </c>
      <c r="W40" s="43">
        <v>0</v>
      </c>
      <c r="X40" s="76" t="str">
        <f t="shared" si="23"/>
        <v>%</v>
      </c>
      <c r="Y40" s="81">
        <f>SUM(Y41:Y42)</f>
        <v>60423000</v>
      </c>
      <c r="Z40" s="58">
        <f t="shared" si="20"/>
        <v>100</v>
      </c>
      <c r="AA40" s="89" t="str">
        <f t="shared" si="13"/>
        <v>%</v>
      </c>
      <c r="AB40" s="58">
        <f t="shared" si="14"/>
        <v>100</v>
      </c>
      <c r="AC40" s="51" t="s">
        <v>110</v>
      </c>
      <c r="AD40" s="50">
        <f t="shared" si="15"/>
        <v>281911650</v>
      </c>
      <c r="AE40" s="55">
        <f t="shared" si="16"/>
        <v>95.495760539455915</v>
      </c>
      <c r="AF40" s="51" t="s">
        <v>110</v>
      </c>
      <c r="AG40" s="58">
        <f t="shared" si="17"/>
        <v>100</v>
      </c>
      <c r="AH40" s="44" t="str">
        <f t="shared" si="18"/>
        <v>%</v>
      </c>
      <c r="AI40" s="50">
        <f t="shared" si="19"/>
        <v>358519650</v>
      </c>
      <c r="AJ40" s="55"/>
      <c r="AK40" s="51" t="s">
        <v>110</v>
      </c>
      <c r="AL40" s="55"/>
      <c r="AM40" s="100"/>
      <c r="AP40" s="102"/>
    </row>
    <row r="41" spans="1:42" ht="65.099999999999994" customHeight="1" x14ac:dyDescent="0.2">
      <c r="A41" s="96"/>
      <c r="B41" s="97"/>
      <c r="C41" s="22" t="s">
        <v>91</v>
      </c>
      <c r="D41" s="154" t="s">
        <v>140</v>
      </c>
      <c r="E41" s="16">
        <v>60</v>
      </c>
      <c r="F41" s="17" t="s">
        <v>126</v>
      </c>
      <c r="G41" s="48">
        <f>41550000+36356000+41550000</f>
        <v>119456000</v>
      </c>
      <c r="H41" s="16">
        <v>15</v>
      </c>
      <c r="I41" s="17" t="s">
        <v>137</v>
      </c>
      <c r="J41" s="18">
        <v>28800000</v>
      </c>
      <c r="K41" s="16">
        <v>27</v>
      </c>
      <c r="L41" s="17" t="s">
        <v>126</v>
      </c>
      <c r="M41" s="48">
        <v>41550000</v>
      </c>
      <c r="N41" s="16">
        <v>0</v>
      </c>
      <c r="O41" s="23" t="str">
        <f t="shared" si="29"/>
        <v>Buah</v>
      </c>
      <c r="P41" s="48">
        <v>0</v>
      </c>
      <c r="Q41" s="16">
        <v>27</v>
      </c>
      <c r="R41" s="23" t="str">
        <f t="shared" si="30"/>
        <v>Buah</v>
      </c>
      <c r="S41" s="19">
        <v>40475750</v>
      </c>
      <c r="T41" s="16">
        <v>0</v>
      </c>
      <c r="U41" s="23" t="str">
        <f t="shared" si="3"/>
        <v>Buah</v>
      </c>
      <c r="V41" s="19">
        <v>0</v>
      </c>
      <c r="W41" s="16">
        <v>0</v>
      </c>
      <c r="X41" s="23" t="str">
        <f t="shared" si="23"/>
        <v>Buah</v>
      </c>
      <c r="Y41" s="19">
        <v>585000</v>
      </c>
      <c r="Z41" s="57">
        <f t="shared" si="20"/>
        <v>27</v>
      </c>
      <c r="AA41" s="88" t="str">
        <f t="shared" si="13"/>
        <v>Buah</v>
      </c>
      <c r="AB41" s="57">
        <f t="shared" si="14"/>
        <v>100</v>
      </c>
      <c r="AC41" s="32" t="s">
        <v>110</v>
      </c>
      <c r="AD41" s="38">
        <f t="shared" si="15"/>
        <v>41060750</v>
      </c>
      <c r="AE41" s="57">
        <f>AD41/M41*100</f>
        <v>98.822503008423595</v>
      </c>
      <c r="AF41" s="32" t="s">
        <v>110</v>
      </c>
      <c r="AG41" s="57">
        <f t="shared" si="17"/>
        <v>42</v>
      </c>
      <c r="AH41" s="17" t="str">
        <f t="shared" si="18"/>
        <v>Buah</v>
      </c>
      <c r="AI41" s="38">
        <f t="shared" si="19"/>
        <v>69860750</v>
      </c>
      <c r="AJ41" s="56"/>
      <c r="AK41" s="32" t="s">
        <v>110</v>
      </c>
      <c r="AL41" s="56"/>
      <c r="AM41" s="11"/>
      <c r="AP41" s="21"/>
    </row>
    <row r="42" spans="1:42" ht="65.099999999999994" customHeight="1" x14ac:dyDescent="0.2">
      <c r="A42" s="11"/>
      <c r="B42" s="11"/>
      <c r="C42" s="22" t="s">
        <v>97</v>
      </c>
      <c r="D42" s="26" t="s">
        <v>141</v>
      </c>
      <c r="E42" s="88">
        <v>70</v>
      </c>
      <c r="F42" s="17" t="s">
        <v>126</v>
      </c>
      <c r="G42" s="19">
        <f>253658550+228800000+253658550</f>
        <v>736117100</v>
      </c>
      <c r="H42" s="88">
        <v>5</v>
      </c>
      <c r="I42" s="17" t="s">
        <v>137</v>
      </c>
      <c r="J42" s="105">
        <v>47808000</v>
      </c>
      <c r="K42" s="42">
        <v>5</v>
      </c>
      <c r="L42" s="17" t="s">
        <v>126</v>
      </c>
      <c r="M42" s="19">
        <v>253658550</v>
      </c>
      <c r="N42" s="42">
        <v>4</v>
      </c>
      <c r="O42" s="23" t="str">
        <f t="shared" si="29"/>
        <v>Buah</v>
      </c>
      <c r="P42" s="19">
        <v>5120000</v>
      </c>
      <c r="Q42" s="106">
        <v>1</v>
      </c>
      <c r="R42" s="23" t="str">
        <f t="shared" si="30"/>
        <v>Buah</v>
      </c>
      <c r="S42" s="105">
        <f>163957900-P42</f>
        <v>158837900</v>
      </c>
      <c r="T42" s="106">
        <v>0</v>
      </c>
      <c r="U42" s="23" t="str">
        <f t="shared" si="3"/>
        <v>Buah</v>
      </c>
      <c r="V42" s="105">
        <v>17055000</v>
      </c>
      <c r="W42" s="106">
        <v>0</v>
      </c>
      <c r="X42" s="23" t="str">
        <f t="shared" si="23"/>
        <v>Buah</v>
      </c>
      <c r="Y42" s="105">
        <v>59838000</v>
      </c>
      <c r="Z42" s="108">
        <f t="shared" si="20"/>
        <v>5</v>
      </c>
      <c r="AA42" s="109" t="str">
        <f t="shared" si="13"/>
        <v>Buah</v>
      </c>
      <c r="AB42" s="108">
        <f t="shared" si="14"/>
        <v>100</v>
      </c>
      <c r="AC42" s="110" t="s">
        <v>110</v>
      </c>
      <c r="AD42" s="111">
        <f t="shared" si="15"/>
        <v>240850900</v>
      </c>
      <c r="AE42" s="112">
        <f t="shared" si="16"/>
        <v>94.950830555484927</v>
      </c>
      <c r="AF42" s="110" t="s">
        <v>110</v>
      </c>
      <c r="AG42" s="113">
        <f t="shared" si="17"/>
        <v>10</v>
      </c>
      <c r="AH42" s="107" t="str">
        <f t="shared" si="18"/>
        <v>Buah</v>
      </c>
      <c r="AI42" s="111">
        <f t="shared" si="19"/>
        <v>288658900</v>
      </c>
      <c r="AJ42" s="114"/>
      <c r="AK42" s="110" t="s">
        <v>110</v>
      </c>
      <c r="AL42" s="112"/>
      <c r="AM42" s="11"/>
      <c r="AP42" s="21"/>
    </row>
    <row r="43" spans="1:42" s="101" customFormat="1" ht="94.5" x14ac:dyDescent="0.25">
      <c r="A43" s="12"/>
      <c r="B43" s="13"/>
      <c r="C43" s="145" t="s">
        <v>106</v>
      </c>
      <c r="D43" s="147" t="s">
        <v>131</v>
      </c>
      <c r="E43" s="142">
        <v>100</v>
      </c>
      <c r="F43" s="44" t="s">
        <v>110</v>
      </c>
      <c r="G43" s="130">
        <f>SUM(G44)</f>
        <v>111900000</v>
      </c>
      <c r="H43" s="142">
        <v>0</v>
      </c>
      <c r="I43" s="44" t="s">
        <v>110</v>
      </c>
      <c r="J43" s="130">
        <f>+J44</f>
        <v>0</v>
      </c>
      <c r="K43" s="119">
        <v>100</v>
      </c>
      <c r="L43" s="117" t="s">
        <v>110</v>
      </c>
      <c r="M43" s="83">
        <f>SUM(M44)</f>
        <v>111900000</v>
      </c>
      <c r="N43" s="119">
        <v>0</v>
      </c>
      <c r="O43" s="115" t="str">
        <f t="shared" si="29"/>
        <v>%</v>
      </c>
      <c r="P43" s="83">
        <f>SUM(P44)</f>
        <v>0</v>
      </c>
      <c r="Q43" s="43">
        <v>100</v>
      </c>
      <c r="R43" s="115" t="str">
        <f t="shared" si="30"/>
        <v>%</v>
      </c>
      <c r="S43" s="83">
        <f>SUM(S44)</f>
        <v>107719850</v>
      </c>
      <c r="T43" s="43">
        <v>0</v>
      </c>
      <c r="U43" s="115" t="str">
        <f t="shared" si="3"/>
        <v>%</v>
      </c>
      <c r="V43" s="83">
        <f>SUM(V44)</f>
        <v>1500000</v>
      </c>
      <c r="W43" s="43">
        <v>0</v>
      </c>
      <c r="X43" s="115" t="str">
        <f t="shared" si="23"/>
        <v>%</v>
      </c>
      <c r="Y43" s="83">
        <f>SUM(Y44)</f>
        <v>500000</v>
      </c>
      <c r="Z43" s="153">
        <f t="shared" si="20"/>
        <v>100</v>
      </c>
      <c r="AA43" s="89" t="str">
        <f t="shared" si="13"/>
        <v>%</v>
      </c>
      <c r="AB43" s="58">
        <f t="shared" si="14"/>
        <v>100</v>
      </c>
      <c r="AC43" s="51" t="s">
        <v>110</v>
      </c>
      <c r="AD43" s="50">
        <f t="shared" si="15"/>
        <v>109719850</v>
      </c>
      <c r="AE43" s="58">
        <f t="shared" si="16"/>
        <v>98.051697944593386</v>
      </c>
      <c r="AF43" s="51" t="s">
        <v>110</v>
      </c>
      <c r="AG43" s="58">
        <f t="shared" si="17"/>
        <v>100</v>
      </c>
      <c r="AH43" s="44" t="str">
        <f t="shared" si="18"/>
        <v>%</v>
      </c>
      <c r="AI43" s="50">
        <f t="shared" si="19"/>
        <v>109719850</v>
      </c>
      <c r="AJ43" s="55"/>
      <c r="AK43" s="51" t="s">
        <v>110</v>
      </c>
      <c r="AL43" s="118"/>
      <c r="AM43" s="100"/>
      <c r="AP43" s="102"/>
    </row>
    <row r="44" spans="1:42" ht="78.95" customHeight="1" x14ac:dyDescent="0.2">
      <c r="A44" s="96"/>
      <c r="B44" s="97"/>
      <c r="C44" s="127" t="s">
        <v>107</v>
      </c>
      <c r="D44" s="125" t="s">
        <v>132</v>
      </c>
      <c r="E44" s="141">
        <v>1</v>
      </c>
      <c r="F44" s="17" t="s">
        <v>126</v>
      </c>
      <c r="G44" s="60">
        <v>111900000</v>
      </c>
      <c r="H44" s="141">
        <v>0</v>
      </c>
      <c r="I44" s="17" t="s">
        <v>126</v>
      </c>
      <c r="J44" s="18"/>
      <c r="K44" s="104">
        <v>1</v>
      </c>
      <c r="L44" s="53" t="s">
        <v>126</v>
      </c>
      <c r="M44" s="60">
        <v>111900000</v>
      </c>
      <c r="N44" s="104">
        <v>0</v>
      </c>
      <c r="O44" s="116" t="str">
        <f t="shared" si="29"/>
        <v>Buah</v>
      </c>
      <c r="P44" s="60">
        <v>0</v>
      </c>
      <c r="Q44" s="88">
        <v>1</v>
      </c>
      <c r="R44" s="116" t="str">
        <f t="shared" si="30"/>
        <v>Buah</v>
      </c>
      <c r="S44" s="19">
        <v>107719850</v>
      </c>
      <c r="T44" s="88">
        <v>0</v>
      </c>
      <c r="U44" s="116" t="str">
        <f t="shared" si="3"/>
        <v>Buah</v>
      </c>
      <c r="V44" s="19">
        <v>1500000</v>
      </c>
      <c r="W44" s="88">
        <v>0</v>
      </c>
      <c r="X44" s="116" t="str">
        <f t="shared" si="23"/>
        <v>Buah</v>
      </c>
      <c r="Y44" s="19">
        <v>500000</v>
      </c>
      <c r="Z44" s="155">
        <f t="shared" si="20"/>
        <v>1</v>
      </c>
      <c r="AA44" s="88" t="str">
        <f t="shared" si="13"/>
        <v>Buah</v>
      </c>
      <c r="AB44" s="57">
        <f t="shared" si="14"/>
        <v>100</v>
      </c>
      <c r="AC44" s="32" t="s">
        <v>110</v>
      </c>
      <c r="AD44" s="38">
        <f t="shared" si="15"/>
        <v>109719850</v>
      </c>
      <c r="AE44" s="57">
        <f t="shared" si="16"/>
        <v>98.051697944593386</v>
      </c>
      <c r="AF44" s="32" t="s">
        <v>110</v>
      </c>
      <c r="AG44" s="57">
        <f t="shared" si="17"/>
        <v>1</v>
      </c>
      <c r="AH44" s="17" t="str">
        <f t="shared" si="18"/>
        <v>Buah</v>
      </c>
      <c r="AI44" s="38">
        <f t="shared" si="19"/>
        <v>109719850</v>
      </c>
      <c r="AJ44" s="56"/>
      <c r="AK44" s="32" t="s">
        <v>110</v>
      </c>
      <c r="AL44" s="59"/>
      <c r="AM44" s="11"/>
      <c r="AP44" s="21"/>
    </row>
    <row r="45" spans="1:42" s="101" customFormat="1" ht="96.75" customHeight="1" x14ac:dyDescent="0.25">
      <c r="A45" s="12"/>
      <c r="B45" s="13"/>
      <c r="C45" s="145" t="s">
        <v>84</v>
      </c>
      <c r="D45" s="148" t="s">
        <v>143</v>
      </c>
      <c r="E45" s="89">
        <f>E46/E46*100</f>
        <v>100</v>
      </c>
      <c r="F45" s="44" t="s">
        <v>110</v>
      </c>
      <c r="G45" s="130">
        <f>SUM(G46)</f>
        <v>654625000</v>
      </c>
      <c r="H45" s="89">
        <v>0</v>
      </c>
      <c r="I45" s="44" t="s">
        <v>110</v>
      </c>
      <c r="J45" s="130">
        <f>+J46</f>
        <v>0</v>
      </c>
      <c r="K45" s="89">
        <f>K46/K46*100</f>
        <v>100</v>
      </c>
      <c r="L45" s="44" t="s">
        <v>110</v>
      </c>
      <c r="M45" s="81">
        <f>SUM(M46)</f>
        <v>218380500</v>
      </c>
      <c r="N45" s="89">
        <f>N46/N46*100</f>
        <v>100</v>
      </c>
      <c r="O45" s="76" t="str">
        <f t="shared" si="29"/>
        <v>%</v>
      </c>
      <c r="P45" s="81">
        <f>SUM(P46)</f>
        <v>55365000</v>
      </c>
      <c r="Q45" s="89">
        <v>0</v>
      </c>
      <c r="R45" s="76" t="str">
        <f t="shared" si="30"/>
        <v>%</v>
      </c>
      <c r="S45" s="81">
        <f>SUM(S46)</f>
        <v>68987000</v>
      </c>
      <c r="T45" s="89">
        <v>0</v>
      </c>
      <c r="U45" s="76" t="str">
        <f t="shared" si="3"/>
        <v>%</v>
      </c>
      <c r="V45" s="81">
        <f>SUM(V46)</f>
        <v>0</v>
      </c>
      <c r="W45" s="89">
        <v>0</v>
      </c>
      <c r="X45" s="76" t="str">
        <f t="shared" si="23"/>
        <v>%</v>
      </c>
      <c r="Y45" s="81">
        <f>SUM(Y46)</f>
        <v>70036500</v>
      </c>
      <c r="Z45" s="58">
        <f t="shared" si="20"/>
        <v>100</v>
      </c>
      <c r="AA45" s="89" t="str">
        <f t="shared" si="13"/>
        <v>%</v>
      </c>
      <c r="AB45" s="58">
        <f t="shared" si="14"/>
        <v>100</v>
      </c>
      <c r="AC45" s="51" t="s">
        <v>110</v>
      </c>
      <c r="AD45" s="50">
        <f t="shared" si="15"/>
        <v>194388500</v>
      </c>
      <c r="AE45" s="55">
        <f t="shared" si="16"/>
        <v>89.013671092428126</v>
      </c>
      <c r="AF45" s="51" t="s">
        <v>110</v>
      </c>
      <c r="AG45" s="58">
        <f t="shared" si="17"/>
        <v>100</v>
      </c>
      <c r="AH45" s="44" t="str">
        <f t="shared" si="18"/>
        <v>%</v>
      </c>
      <c r="AI45" s="50">
        <f t="shared" si="19"/>
        <v>194388500</v>
      </c>
      <c r="AJ45" s="55"/>
      <c r="AK45" s="51" t="s">
        <v>110</v>
      </c>
      <c r="AL45" s="55"/>
      <c r="AM45" s="100"/>
      <c r="AP45" s="102"/>
    </row>
    <row r="46" spans="1:42" ht="189.75" customHeight="1" x14ac:dyDescent="0.2">
      <c r="A46" s="96"/>
      <c r="B46" s="97"/>
      <c r="C46" s="22" t="s">
        <v>85</v>
      </c>
      <c r="D46" s="22" t="s">
        <v>133</v>
      </c>
      <c r="E46" s="16">
        <v>2</v>
      </c>
      <c r="F46" s="53" t="s">
        <v>130</v>
      </c>
      <c r="G46" s="19">
        <f>218380500+217864000+218380500</f>
        <v>654625000</v>
      </c>
      <c r="H46" s="16">
        <v>0</v>
      </c>
      <c r="I46" s="53" t="s">
        <v>130</v>
      </c>
      <c r="J46" s="19"/>
      <c r="K46" s="16">
        <v>2</v>
      </c>
      <c r="L46" s="53" t="s">
        <v>130</v>
      </c>
      <c r="M46" s="19">
        <v>218380500</v>
      </c>
      <c r="N46" s="88">
        <v>2</v>
      </c>
      <c r="O46" s="116" t="str">
        <f t="shared" si="29"/>
        <v>Fasilitas Parkir</v>
      </c>
      <c r="P46" s="19">
        <v>55365000</v>
      </c>
      <c r="Q46" s="88">
        <v>0</v>
      </c>
      <c r="R46" s="116" t="str">
        <f t="shared" si="30"/>
        <v>Fasilitas Parkir</v>
      </c>
      <c r="S46" s="19">
        <v>68987000</v>
      </c>
      <c r="T46" s="88">
        <v>0</v>
      </c>
      <c r="U46" s="116" t="str">
        <f t="shared" si="3"/>
        <v>Fasilitas Parkir</v>
      </c>
      <c r="V46" s="19">
        <v>0</v>
      </c>
      <c r="W46" s="88">
        <v>0</v>
      </c>
      <c r="X46" s="116" t="str">
        <f t="shared" si="23"/>
        <v>Fasilitas Parkir</v>
      </c>
      <c r="Y46" s="19">
        <v>70036500</v>
      </c>
      <c r="Z46" s="57">
        <f t="shared" si="20"/>
        <v>2</v>
      </c>
      <c r="AA46" s="88" t="str">
        <f t="shared" si="13"/>
        <v>Fasilitas Parkir</v>
      </c>
      <c r="AB46" s="57">
        <f>Z46/K46*100</f>
        <v>100</v>
      </c>
      <c r="AC46" s="32" t="s">
        <v>110</v>
      </c>
      <c r="AD46" s="38">
        <f t="shared" si="15"/>
        <v>194388500</v>
      </c>
      <c r="AE46" s="56">
        <f t="shared" si="16"/>
        <v>89.013671092428126</v>
      </c>
      <c r="AF46" s="32" t="s">
        <v>110</v>
      </c>
      <c r="AG46" s="57">
        <f t="shared" si="17"/>
        <v>2</v>
      </c>
      <c r="AH46" s="53" t="str">
        <f t="shared" si="18"/>
        <v>Fasilitas Parkir</v>
      </c>
      <c r="AI46" s="38">
        <f t="shared" si="19"/>
        <v>194388500</v>
      </c>
      <c r="AJ46" s="56"/>
      <c r="AK46" s="32" t="s">
        <v>110</v>
      </c>
      <c r="AL46" s="56"/>
      <c r="AM46" s="11"/>
      <c r="AP46" s="21"/>
    </row>
    <row r="47" spans="1:42" s="101" customFormat="1" ht="78.75" x14ac:dyDescent="0.25">
      <c r="A47" s="12"/>
      <c r="B47" s="13"/>
      <c r="C47" s="14" t="s">
        <v>82</v>
      </c>
      <c r="D47" s="15" t="s">
        <v>144</v>
      </c>
      <c r="E47" s="143">
        <v>100</v>
      </c>
      <c r="F47" s="76" t="s">
        <v>110</v>
      </c>
      <c r="G47" s="130">
        <f>SUM(G48:G50)</f>
        <v>1484086512</v>
      </c>
      <c r="H47" s="143">
        <v>0</v>
      </c>
      <c r="I47" s="76" t="s">
        <v>110</v>
      </c>
      <c r="J47" s="130">
        <f>SUM(J48:J50)</f>
        <v>0</v>
      </c>
      <c r="K47" s="144">
        <f>1561/1561*100</f>
        <v>100</v>
      </c>
      <c r="L47" s="117" t="s">
        <v>110</v>
      </c>
      <c r="M47" s="81">
        <f>SUM(M48:M50)</f>
        <v>467655256</v>
      </c>
      <c r="N47" s="89">
        <f>452/1561*100</f>
        <v>28.955797565663037</v>
      </c>
      <c r="O47" s="115" t="str">
        <f t="shared" si="29"/>
        <v>%</v>
      </c>
      <c r="P47" s="81">
        <f>SUM(P48:P50)</f>
        <v>35587500</v>
      </c>
      <c r="Q47" s="45">
        <f>420/1561*100</f>
        <v>26.905829596412556</v>
      </c>
      <c r="R47" s="115" t="str">
        <f t="shared" si="30"/>
        <v>%</v>
      </c>
      <c r="S47" s="81">
        <f>SUM(S48:S50)</f>
        <v>27857500</v>
      </c>
      <c r="T47" s="89">
        <v>44</v>
      </c>
      <c r="U47" s="115" t="str">
        <f t="shared" si="3"/>
        <v>%</v>
      </c>
      <c r="V47" s="81">
        <f>SUM(V48:V50)</f>
        <v>47062760</v>
      </c>
      <c r="W47" s="89">
        <v>0</v>
      </c>
      <c r="X47" s="115" t="str">
        <f t="shared" si="23"/>
        <v>%</v>
      </c>
      <c r="Y47" s="81">
        <f>SUM(Y48:Y50)</f>
        <v>330366446</v>
      </c>
      <c r="Z47" s="58">
        <f t="shared" si="20"/>
        <v>99.861627162075592</v>
      </c>
      <c r="AA47" s="91" t="str">
        <f t="shared" si="13"/>
        <v>%</v>
      </c>
      <c r="AB47" s="58">
        <f t="shared" si="14"/>
        <v>99.861627162075592</v>
      </c>
      <c r="AC47" s="51" t="s">
        <v>110</v>
      </c>
      <c r="AD47" s="50">
        <f t="shared" si="15"/>
        <v>440874206</v>
      </c>
      <c r="AE47" s="55">
        <f t="shared" si="16"/>
        <v>94.273334971349072</v>
      </c>
      <c r="AF47" s="51" t="s">
        <v>110</v>
      </c>
      <c r="AG47" s="58">
        <f t="shared" si="17"/>
        <v>99.861627162075592</v>
      </c>
      <c r="AH47" s="76" t="str">
        <f t="shared" si="18"/>
        <v>%</v>
      </c>
      <c r="AI47" s="50">
        <f t="shared" si="19"/>
        <v>440874206</v>
      </c>
      <c r="AJ47" s="55"/>
      <c r="AK47" s="51" t="s">
        <v>110</v>
      </c>
      <c r="AL47" s="55"/>
      <c r="AM47" s="100"/>
      <c r="AP47" s="102"/>
    </row>
    <row r="48" spans="1:42" ht="90" x14ac:dyDescent="0.2">
      <c r="A48" s="96"/>
      <c r="B48" s="97"/>
      <c r="C48" s="127" t="s">
        <v>121</v>
      </c>
      <c r="D48" s="149" t="s">
        <v>145</v>
      </c>
      <c r="E48" s="41">
        <v>1</v>
      </c>
      <c r="F48" s="23" t="s">
        <v>125</v>
      </c>
      <c r="G48" s="48">
        <f>393755256+159764000+393755256</f>
        <v>947274512</v>
      </c>
      <c r="H48" s="41">
        <v>0</v>
      </c>
      <c r="I48" s="23" t="s">
        <v>125</v>
      </c>
      <c r="J48" s="18">
        <v>0</v>
      </c>
      <c r="K48" s="88">
        <v>1</v>
      </c>
      <c r="L48" s="53" t="s">
        <v>125</v>
      </c>
      <c r="M48" s="48">
        <v>393755256</v>
      </c>
      <c r="N48" s="88">
        <v>0</v>
      </c>
      <c r="O48" s="116" t="str">
        <f t="shared" si="29"/>
        <v>Paket</v>
      </c>
      <c r="P48" s="19">
        <v>35587500</v>
      </c>
      <c r="Q48" s="88">
        <v>1</v>
      </c>
      <c r="R48" s="116" t="str">
        <f t="shared" si="30"/>
        <v>Paket</v>
      </c>
      <c r="S48" s="19">
        <f>63445000-P48</f>
        <v>27857500</v>
      </c>
      <c r="T48" s="88">
        <v>0</v>
      </c>
      <c r="U48" s="116" t="str">
        <f t="shared" si="3"/>
        <v>Paket</v>
      </c>
      <c r="V48" s="19">
        <v>47062760</v>
      </c>
      <c r="W48" s="88">
        <v>0</v>
      </c>
      <c r="X48" s="116" t="str">
        <f t="shared" si="23"/>
        <v>Paket</v>
      </c>
      <c r="Y48" s="19">
        <v>259466446</v>
      </c>
      <c r="Z48" s="57">
        <f t="shared" si="20"/>
        <v>1</v>
      </c>
      <c r="AA48" s="90" t="str">
        <f t="shared" si="13"/>
        <v>Paket</v>
      </c>
      <c r="AB48" s="57">
        <f t="shared" si="14"/>
        <v>100</v>
      </c>
      <c r="AC48" s="32" t="s">
        <v>110</v>
      </c>
      <c r="AD48" s="38">
        <f t="shared" si="15"/>
        <v>369974206</v>
      </c>
      <c r="AE48" s="56">
        <f t="shared" si="16"/>
        <v>93.960448873347872</v>
      </c>
      <c r="AF48" s="32" t="s">
        <v>110</v>
      </c>
      <c r="AG48" s="57">
        <f t="shared" si="17"/>
        <v>1</v>
      </c>
      <c r="AH48" s="23" t="str">
        <f t="shared" si="18"/>
        <v>Paket</v>
      </c>
      <c r="AI48" s="38">
        <f t="shared" si="19"/>
        <v>369974206</v>
      </c>
      <c r="AJ48" s="56"/>
      <c r="AK48" s="32" t="s">
        <v>110</v>
      </c>
      <c r="AL48" s="56"/>
      <c r="AM48" s="11"/>
      <c r="AP48" s="21"/>
    </row>
    <row r="49" spans="1:42" ht="89.1" customHeight="1" x14ac:dyDescent="0.2">
      <c r="A49" s="96"/>
      <c r="B49" s="97"/>
      <c r="C49" s="22" t="s">
        <v>90</v>
      </c>
      <c r="D49" s="26" t="s">
        <v>134</v>
      </c>
      <c r="E49" s="41">
        <v>8</v>
      </c>
      <c r="F49" s="23" t="s">
        <v>126</v>
      </c>
      <c r="G49" s="48">
        <f>53000000+216928000+216928000</f>
        <v>486856000</v>
      </c>
      <c r="H49" s="41">
        <v>0</v>
      </c>
      <c r="I49" s="23" t="s">
        <v>126</v>
      </c>
      <c r="J49" s="18"/>
      <c r="K49" s="16">
        <v>8</v>
      </c>
      <c r="L49" s="23" t="s">
        <v>126</v>
      </c>
      <c r="M49" s="48">
        <v>53000000</v>
      </c>
      <c r="N49" s="16">
        <v>8</v>
      </c>
      <c r="O49" s="116" t="str">
        <f t="shared" si="29"/>
        <v>Buah</v>
      </c>
      <c r="P49" s="19">
        <v>0</v>
      </c>
      <c r="Q49" s="16">
        <v>0</v>
      </c>
      <c r="R49" s="116" t="str">
        <f t="shared" si="30"/>
        <v>Buah</v>
      </c>
      <c r="S49" s="19">
        <v>0</v>
      </c>
      <c r="T49" s="16">
        <v>0</v>
      </c>
      <c r="U49" s="116" t="str">
        <f t="shared" si="3"/>
        <v>Buah</v>
      </c>
      <c r="V49" s="19">
        <v>0</v>
      </c>
      <c r="W49" s="16">
        <v>0</v>
      </c>
      <c r="X49" s="116" t="str">
        <f t="shared" si="23"/>
        <v>Buah</v>
      </c>
      <c r="Y49" s="19">
        <v>50000000</v>
      </c>
      <c r="Z49" s="57">
        <f t="shared" si="20"/>
        <v>8</v>
      </c>
      <c r="AA49" s="90" t="str">
        <f t="shared" si="13"/>
        <v>Buah</v>
      </c>
      <c r="AB49" s="57">
        <f t="shared" si="14"/>
        <v>100</v>
      </c>
      <c r="AC49" s="32" t="s">
        <v>110</v>
      </c>
      <c r="AD49" s="38">
        <f t="shared" si="15"/>
        <v>50000000</v>
      </c>
      <c r="AE49" s="57">
        <f t="shared" si="16"/>
        <v>94.339622641509436</v>
      </c>
      <c r="AF49" s="32" t="s">
        <v>110</v>
      </c>
      <c r="AG49" s="57">
        <f t="shared" si="17"/>
        <v>8</v>
      </c>
      <c r="AH49" s="23" t="str">
        <f t="shared" si="18"/>
        <v>Buah</v>
      </c>
      <c r="AI49" s="38">
        <f t="shared" si="19"/>
        <v>50000000</v>
      </c>
      <c r="AJ49" s="56"/>
      <c r="AK49" s="32" t="s">
        <v>110</v>
      </c>
      <c r="AL49" s="56"/>
      <c r="AM49" s="11"/>
      <c r="AP49" s="21"/>
    </row>
    <row r="50" spans="1:42" ht="75" x14ac:dyDescent="0.2">
      <c r="A50" s="96"/>
      <c r="B50" s="97"/>
      <c r="C50" s="22" t="s">
        <v>83</v>
      </c>
      <c r="D50" s="26" t="s">
        <v>146</v>
      </c>
      <c r="E50" s="41">
        <v>4</v>
      </c>
      <c r="F50" s="23" t="s">
        <v>127</v>
      </c>
      <c r="G50" s="131">
        <f>20900000+8156000+20900000</f>
        <v>49956000</v>
      </c>
      <c r="H50" s="41">
        <v>0</v>
      </c>
      <c r="I50" s="23" t="s">
        <v>127</v>
      </c>
      <c r="J50" s="18"/>
      <c r="K50" s="41">
        <v>4</v>
      </c>
      <c r="L50" s="23" t="s">
        <v>127</v>
      </c>
      <c r="M50" s="48">
        <v>20900000</v>
      </c>
      <c r="N50" s="16">
        <v>1</v>
      </c>
      <c r="O50" s="116" t="str">
        <f t="shared" si="29"/>
        <v>kali</v>
      </c>
      <c r="P50" s="19">
        <v>0</v>
      </c>
      <c r="Q50" s="16">
        <v>1</v>
      </c>
      <c r="R50" s="116" t="str">
        <f t="shared" si="30"/>
        <v>kali</v>
      </c>
      <c r="S50" s="19">
        <v>0</v>
      </c>
      <c r="T50" s="16">
        <v>1</v>
      </c>
      <c r="U50" s="116" t="str">
        <f t="shared" si="3"/>
        <v>kali</v>
      </c>
      <c r="V50" s="19">
        <v>0</v>
      </c>
      <c r="W50" s="16">
        <v>1</v>
      </c>
      <c r="X50" s="116" t="str">
        <f t="shared" si="23"/>
        <v>kali</v>
      </c>
      <c r="Y50" s="19">
        <v>20900000</v>
      </c>
      <c r="Z50" s="57">
        <f t="shared" si="20"/>
        <v>4</v>
      </c>
      <c r="AA50" s="90" t="str">
        <f t="shared" si="13"/>
        <v>kali</v>
      </c>
      <c r="AB50" s="57">
        <f t="shared" si="14"/>
        <v>100</v>
      </c>
      <c r="AC50" s="32" t="s">
        <v>110</v>
      </c>
      <c r="AD50" s="38">
        <f t="shared" si="15"/>
        <v>20900000</v>
      </c>
      <c r="AE50" s="57">
        <f t="shared" si="16"/>
        <v>100</v>
      </c>
      <c r="AF50" s="32" t="s">
        <v>110</v>
      </c>
      <c r="AG50" s="57">
        <f t="shared" si="17"/>
        <v>4</v>
      </c>
      <c r="AH50" s="23" t="str">
        <f t="shared" si="18"/>
        <v>kali</v>
      </c>
      <c r="AI50" s="38">
        <f t="shared" si="19"/>
        <v>20900000</v>
      </c>
      <c r="AJ50" s="56"/>
      <c r="AK50" s="32" t="s">
        <v>110</v>
      </c>
      <c r="AL50" s="56"/>
      <c r="AM50" s="11"/>
      <c r="AP50" s="21"/>
    </row>
    <row r="51" spans="1:42" s="101" customFormat="1" ht="108.6" customHeight="1" x14ac:dyDescent="0.25">
      <c r="A51" s="12"/>
      <c r="B51" s="13"/>
      <c r="C51" s="145" t="s">
        <v>80</v>
      </c>
      <c r="D51" s="146" t="s">
        <v>135</v>
      </c>
      <c r="E51" s="43">
        <v>100</v>
      </c>
      <c r="F51" s="44" t="s">
        <v>110</v>
      </c>
      <c r="G51" s="130">
        <f>SUM(G52)</f>
        <v>1112018000</v>
      </c>
      <c r="H51" s="43">
        <v>0</v>
      </c>
      <c r="I51" s="44" t="s">
        <v>110</v>
      </c>
      <c r="J51" s="98"/>
      <c r="K51" s="43">
        <v>100</v>
      </c>
      <c r="L51" s="117" t="s">
        <v>110</v>
      </c>
      <c r="M51" s="81">
        <f>SUM(M52)</f>
        <v>305288000</v>
      </c>
      <c r="N51" s="43">
        <v>100</v>
      </c>
      <c r="O51" s="115" t="str">
        <f t="shared" si="29"/>
        <v>%</v>
      </c>
      <c r="P51" s="81">
        <f>SUM(P52)</f>
        <v>31205000</v>
      </c>
      <c r="Q51" s="99">
        <v>0</v>
      </c>
      <c r="R51" s="115" t="str">
        <f t="shared" si="30"/>
        <v>%</v>
      </c>
      <c r="S51" s="81">
        <f>SUM(S52)</f>
        <v>51260000</v>
      </c>
      <c r="T51" s="99">
        <v>0</v>
      </c>
      <c r="U51" s="115" t="str">
        <f t="shared" si="3"/>
        <v>%</v>
      </c>
      <c r="V51" s="81">
        <f>SUM(V52)</f>
        <v>42200000</v>
      </c>
      <c r="W51" s="99">
        <v>0</v>
      </c>
      <c r="X51" s="115" t="str">
        <f t="shared" si="23"/>
        <v>%</v>
      </c>
      <c r="Y51" s="81">
        <f>SUM(Y52)</f>
        <v>94612500</v>
      </c>
      <c r="Z51" s="58">
        <f t="shared" si="20"/>
        <v>100</v>
      </c>
      <c r="AA51" s="89" t="str">
        <f t="shared" si="13"/>
        <v>%</v>
      </c>
      <c r="AB51" s="58">
        <f t="shared" si="14"/>
        <v>100</v>
      </c>
      <c r="AC51" s="51" t="s">
        <v>110</v>
      </c>
      <c r="AD51" s="50">
        <f t="shared" si="15"/>
        <v>219277500</v>
      </c>
      <c r="AE51" s="55">
        <f t="shared" si="16"/>
        <v>71.826439296664134</v>
      </c>
      <c r="AF51" s="51" t="s">
        <v>110</v>
      </c>
      <c r="AG51" s="58">
        <f t="shared" si="17"/>
        <v>100</v>
      </c>
      <c r="AH51" s="44" t="str">
        <f t="shared" si="18"/>
        <v>%</v>
      </c>
      <c r="AI51" s="50">
        <f t="shared" si="19"/>
        <v>219277500</v>
      </c>
      <c r="AJ51" s="55"/>
      <c r="AK51" s="51" t="s">
        <v>110</v>
      </c>
      <c r="AL51" s="55"/>
      <c r="AM51" s="100"/>
      <c r="AP51" s="102"/>
    </row>
    <row r="52" spans="1:42" ht="74.45" customHeight="1" x14ac:dyDescent="0.2">
      <c r="A52" s="96"/>
      <c r="B52" s="97"/>
      <c r="C52" s="97" t="s">
        <v>81</v>
      </c>
      <c r="D52" s="22" t="s">
        <v>136</v>
      </c>
      <c r="E52" s="16">
        <v>9</v>
      </c>
      <c r="F52" s="17" t="s">
        <v>124</v>
      </c>
      <c r="G52" s="105">
        <f>305288000+403365000+403365000</f>
        <v>1112018000</v>
      </c>
      <c r="H52" s="16">
        <v>0</v>
      </c>
      <c r="I52" s="17" t="s">
        <v>124</v>
      </c>
      <c r="J52" s="105"/>
      <c r="K52" s="16">
        <v>9</v>
      </c>
      <c r="L52" s="17" t="s">
        <v>124</v>
      </c>
      <c r="M52" s="105">
        <v>305288000</v>
      </c>
      <c r="N52" s="16">
        <v>9</v>
      </c>
      <c r="O52" s="116" t="str">
        <f t="shared" si="29"/>
        <v>Titik</v>
      </c>
      <c r="P52" s="105">
        <v>31205000</v>
      </c>
      <c r="Q52" s="16">
        <v>0</v>
      </c>
      <c r="R52" s="116" t="str">
        <f t="shared" si="30"/>
        <v>Titik</v>
      </c>
      <c r="S52" s="105">
        <f>82465000-P52</f>
        <v>51260000</v>
      </c>
      <c r="T52" s="16">
        <v>0</v>
      </c>
      <c r="U52" s="116" t="str">
        <f t="shared" si="3"/>
        <v>Titik</v>
      </c>
      <c r="V52" s="105">
        <v>42200000</v>
      </c>
      <c r="W52" s="16">
        <v>0</v>
      </c>
      <c r="X52" s="116" t="str">
        <f t="shared" si="23"/>
        <v>Titik</v>
      </c>
      <c r="Y52" s="105">
        <v>94612500</v>
      </c>
      <c r="Z52" s="57">
        <f t="shared" si="20"/>
        <v>9</v>
      </c>
      <c r="AA52" s="88" t="str">
        <f t="shared" si="13"/>
        <v>Titik</v>
      </c>
      <c r="AB52" s="57">
        <f t="shared" si="14"/>
        <v>100</v>
      </c>
      <c r="AC52" s="32" t="s">
        <v>110</v>
      </c>
      <c r="AD52" s="111">
        <f t="shared" si="15"/>
        <v>219277500</v>
      </c>
      <c r="AE52" s="56">
        <f t="shared" si="16"/>
        <v>71.826439296664134</v>
      </c>
      <c r="AF52" s="32" t="s">
        <v>110</v>
      </c>
      <c r="AG52" s="57">
        <f t="shared" si="17"/>
        <v>9</v>
      </c>
      <c r="AH52" s="17" t="str">
        <f t="shared" si="18"/>
        <v>Titik</v>
      </c>
      <c r="AI52" s="111">
        <f t="shared" si="19"/>
        <v>219277500</v>
      </c>
      <c r="AJ52" s="56"/>
      <c r="AK52" s="32" t="s">
        <v>110</v>
      </c>
      <c r="AL52" s="56"/>
      <c r="AM52" s="11"/>
      <c r="AP52" s="21"/>
    </row>
    <row r="53" spans="1:42" s="101" customFormat="1" ht="87" customHeight="1" x14ac:dyDescent="0.25">
      <c r="A53" s="12"/>
      <c r="B53" s="120"/>
      <c r="C53" s="15" t="s">
        <v>101</v>
      </c>
      <c r="D53" s="15" t="s">
        <v>148</v>
      </c>
      <c r="E53" s="43">
        <v>100</v>
      </c>
      <c r="F53" s="129" t="s">
        <v>110</v>
      </c>
      <c r="G53" s="86">
        <f>SUM(G54,G56)</f>
        <v>927317300</v>
      </c>
      <c r="H53" s="43">
        <v>0</v>
      </c>
      <c r="I53" s="129" t="s">
        <v>110</v>
      </c>
      <c r="J53" s="156">
        <f>J54+J56</f>
        <v>0</v>
      </c>
      <c r="K53" s="43">
        <v>85</v>
      </c>
      <c r="L53" s="117" t="s">
        <v>110</v>
      </c>
      <c r="M53" s="86">
        <f>SUM(M54,M56)</f>
        <v>360550000</v>
      </c>
      <c r="N53" s="43">
        <v>20</v>
      </c>
      <c r="O53" s="117" t="str">
        <f t="shared" si="29"/>
        <v>%</v>
      </c>
      <c r="P53" s="86">
        <f>SUM(P54,P56)</f>
        <v>75317000</v>
      </c>
      <c r="Q53" s="43">
        <v>50</v>
      </c>
      <c r="R53" s="117" t="str">
        <f t="shared" si="30"/>
        <v>%</v>
      </c>
      <c r="S53" s="86">
        <f>SUM(S54,S56)</f>
        <v>97430000</v>
      </c>
      <c r="T53" s="43">
        <v>15</v>
      </c>
      <c r="U53" s="117" t="str">
        <f t="shared" si="3"/>
        <v>%</v>
      </c>
      <c r="V53" s="86">
        <f>SUM(V54,V56)</f>
        <v>49920500</v>
      </c>
      <c r="W53" s="43">
        <v>0</v>
      </c>
      <c r="X53" s="117" t="str">
        <f t="shared" si="23"/>
        <v>%</v>
      </c>
      <c r="Y53" s="86">
        <f>SUM(Y54,Y56)</f>
        <v>110421000</v>
      </c>
      <c r="Z53" s="58">
        <f t="shared" si="20"/>
        <v>85</v>
      </c>
      <c r="AA53" s="89" t="str">
        <f t="shared" si="13"/>
        <v>%</v>
      </c>
      <c r="AB53" s="58">
        <f t="shared" si="14"/>
        <v>100</v>
      </c>
      <c r="AC53" s="51" t="s">
        <v>110</v>
      </c>
      <c r="AD53" s="50">
        <f t="shared" si="15"/>
        <v>333088500</v>
      </c>
      <c r="AE53" s="55">
        <f t="shared" si="16"/>
        <v>92.383441963666627</v>
      </c>
      <c r="AF53" s="51" t="s">
        <v>110</v>
      </c>
      <c r="AG53" s="58">
        <f t="shared" si="17"/>
        <v>85</v>
      </c>
      <c r="AH53" s="44" t="str">
        <f t="shared" si="18"/>
        <v>%</v>
      </c>
      <c r="AI53" s="50">
        <f t="shared" si="19"/>
        <v>333088500</v>
      </c>
      <c r="AJ53" s="55"/>
      <c r="AK53" s="51" t="s">
        <v>110</v>
      </c>
      <c r="AL53" s="118"/>
      <c r="AM53" s="100"/>
      <c r="AP53" s="102"/>
    </row>
    <row r="54" spans="1:42" s="101" customFormat="1" ht="181.5" customHeight="1" x14ac:dyDescent="0.25">
      <c r="A54" s="12"/>
      <c r="B54" s="13"/>
      <c r="C54" s="145" t="s">
        <v>102</v>
      </c>
      <c r="D54" s="147" t="s">
        <v>156</v>
      </c>
      <c r="E54" s="43">
        <v>100</v>
      </c>
      <c r="F54" s="117" t="s">
        <v>157</v>
      </c>
      <c r="G54" s="130">
        <f>SUM(G55)</f>
        <v>26000000</v>
      </c>
      <c r="H54" s="43">
        <v>0</v>
      </c>
      <c r="I54" s="117" t="s">
        <v>157</v>
      </c>
      <c r="J54" s="133">
        <f>+J55</f>
        <v>0</v>
      </c>
      <c r="K54" s="43">
        <v>1</v>
      </c>
      <c r="L54" s="117" t="s">
        <v>157</v>
      </c>
      <c r="M54" s="85">
        <f>SUM(M55)</f>
        <v>26000000</v>
      </c>
      <c r="N54" s="43">
        <v>1</v>
      </c>
      <c r="O54" s="115" t="str">
        <f t="shared" si="29"/>
        <v>Keg</v>
      </c>
      <c r="P54" s="85">
        <f>SUM(P55)</f>
        <v>2000000</v>
      </c>
      <c r="Q54" s="43">
        <v>0</v>
      </c>
      <c r="R54" s="115" t="str">
        <f t="shared" si="30"/>
        <v>Keg</v>
      </c>
      <c r="S54" s="85">
        <f>SUM(S55)</f>
        <v>6950000</v>
      </c>
      <c r="T54" s="43">
        <v>0</v>
      </c>
      <c r="U54" s="115" t="str">
        <f t="shared" si="3"/>
        <v>Keg</v>
      </c>
      <c r="V54" s="85">
        <f>SUM(V55)</f>
        <v>5900000</v>
      </c>
      <c r="W54" s="43">
        <v>0</v>
      </c>
      <c r="X54" s="115" t="str">
        <f t="shared" si="23"/>
        <v>Keg</v>
      </c>
      <c r="Y54" s="85">
        <f>SUM(Y55)</f>
        <v>11125000</v>
      </c>
      <c r="Z54" s="58">
        <f t="shared" si="20"/>
        <v>1</v>
      </c>
      <c r="AA54" s="89" t="str">
        <f t="shared" si="13"/>
        <v>Keg</v>
      </c>
      <c r="AB54" s="58">
        <f t="shared" si="14"/>
        <v>100</v>
      </c>
      <c r="AC54" s="51" t="s">
        <v>110</v>
      </c>
      <c r="AD54" s="69">
        <f t="shared" si="15"/>
        <v>25975000</v>
      </c>
      <c r="AE54" s="55">
        <f t="shared" si="16"/>
        <v>99.90384615384616</v>
      </c>
      <c r="AF54" s="51" t="s">
        <v>110</v>
      </c>
      <c r="AG54" s="58">
        <f t="shared" si="17"/>
        <v>1</v>
      </c>
      <c r="AH54" s="44" t="str">
        <f t="shared" si="18"/>
        <v>Keg</v>
      </c>
      <c r="AI54" s="69">
        <f t="shared" si="19"/>
        <v>25975000</v>
      </c>
      <c r="AJ54" s="55"/>
      <c r="AK54" s="51" t="s">
        <v>110</v>
      </c>
      <c r="AL54" s="118"/>
      <c r="AM54" s="100"/>
      <c r="AP54" s="102"/>
    </row>
    <row r="55" spans="1:42" ht="186" customHeight="1" x14ac:dyDescent="0.2">
      <c r="A55" s="12"/>
      <c r="B55" s="13"/>
      <c r="C55" s="22" t="s">
        <v>103</v>
      </c>
      <c r="D55" s="26" t="s">
        <v>147</v>
      </c>
      <c r="E55" s="16">
        <v>12</v>
      </c>
      <c r="F55" s="53" t="s">
        <v>123</v>
      </c>
      <c r="G55" s="82">
        <v>26000000</v>
      </c>
      <c r="H55" s="16">
        <v>0</v>
      </c>
      <c r="I55" s="17" t="s">
        <v>123</v>
      </c>
      <c r="J55" s="18"/>
      <c r="K55" s="16">
        <v>12</v>
      </c>
      <c r="L55" s="53" t="s">
        <v>123</v>
      </c>
      <c r="M55" s="82">
        <v>26000000</v>
      </c>
      <c r="N55" s="16">
        <v>3</v>
      </c>
      <c r="O55" s="116" t="str">
        <f t="shared" si="29"/>
        <v>Bulan</v>
      </c>
      <c r="P55" s="82">
        <v>2000000</v>
      </c>
      <c r="Q55" s="16">
        <v>3</v>
      </c>
      <c r="R55" s="116" t="str">
        <f t="shared" si="30"/>
        <v>Bulan</v>
      </c>
      <c r="S55" s="19">
        <f>8950000-P55</f>
        <v>6950000</v>
      </c>
      <c r="T55" s="16">
        <v>3</v>
      </c>
      <c r="U55" s="116" t="str">
        <f t="shared" si="3"/>
        <v>Bulan</v>
      </c>
      <c r="V55" s="19">
        <v>5900000</v>
      </c>
      <c r="W55" s="16">
        <v>3</v>
      </c>
      <c r="X55" s="116" t="str">
        <f t="shared" si="23"/>
        <v>Bulan</v>
      </c>
      <c r="Y55" s="19">
        <v>11125000</v>
      </c>
      <c r="Z55" s="57">
        <f t="shared" si="20"/>
        <v>12</v>
      </c>
      <c r="AA55" s="88" t="str">
        <f t="shared" si="13"/>
        <v>Bulan</v>
      </c>
      <c r="AB55" s="57">
        <f t="shared" si="14"/>
        <v>100</v>
      </c>
      <c r="AC55" s="32" t="s">
        <v>110</v>
      </c>
      <c r="AD55" s="38">
        <f t="shared" si="15"/>
        <v>25975000</v>
      </c>
      <c r="AE55" s="56">
        <f t="shared" si="16"/>
        <v>99.90384615384616</v>
      </c>
      <c r="AF55" s="32" t="s">
        <v>110</v>
      </c>
      <c r="AG55" s="57">
        <f t="shared" si="17"/>
        <v>12</v>
      </c>
      <c r="AH55" s="17" t="str">
        <f t="shared" si="18"/>
        <v>Bulan</v>
      </c>
      <c r="AI55" s="38">
        <f t="shared" si="19"/>
        <v>25975000</v>
      </c>
      <c r="AJ55" s="56"/>
      <c r="AK55" s="32" t="s">
        <v>110</v>
      </c>
      <c r="AL55" s="59"/>
      <c r="AM55" s="11"/>
      <c r="AP55" s="21"/>
    </row>
    <row r="56" spans="1:42" s="101" customFormat="1" ht="173.25" x14ac:dyDescent="0.25">
      <c r="A56" s="12"/>
      <c r="B56" s="13"/>
      <c r="C56" s="145" t="s">
        <v>104</v>
      </c>
      <c r="D56" s="150" t="s">
        <v>151</v>
      </c>
      <c r="E56" s="43">
        <v>100</v>
      </c>
      <c r="F56" s="117" t="s">
        <v>110</v>
      </c>
      <c r="G56" s="130">
        <f>SUM(G57)</f>
        <v>901317300</v>
      </c>
      <c r="H56" s="43">
        <v>0</v>
      </c>
      <c r="I56" s="117" t="s">
        <v>110</v>
      </c>
      <c r="J56" s="130"/>
      <c r="K56" s="43">
        <v>100</v>
      </c>
      <c r="L56" s="117" t="s">
        <v>110</v>
      </c>
      <c r="M56" s="86">
        <f>SUM(M57)</f>
        <v>334550000</v>
      </c>
      <c r="N56" s="43">
        <v>100</v>
      </c>
      <c r="O56" s="115" t="str">
        <f t="shared" si="29"/>
        <v>%</v>
      </c>
      <c r="P56" s="86">
        <f>SUM(P57)</f>
        <v>73317000</v>
      </c>
      <c r="Q56" s="43">
        <v>0</v>
      </c>
      <c r="R56" s="115" t="str">
        <f t="shared" si="30"/>
        <v>%</v>
      </c>
      <c r="S56" s="86">
        <f>SUM(S57)</f>
        <v>90480000</v>
      </c>
      <c r="T56" s="43">
        <v>0</v>
      </c>
      <c r="U56" s="115" t="str">
        <f t="shared" si="3"/>
        <v>%</v>
      </c>
      <c r="V56" s="86">
        <f>SUM(V57)</f>
        <v>44020500</v>
      </c>
      <c r="W56" s="43">
        <v>0</v>
      </c>
      <c r="X56" s="115" t="str">
        <f t="shared" si="23"/>
        <v>%</v>
      </c>
      <c r="Y56" s="86">
        <f>SUM(Y57)</f>
        <v>99296000</v>
      </c>
      <c r="Z56" s="58">
        <f t="shared" si="20"/>
        <v>100</v>
      </c>
      <c r="AA56" s="89" t="str">
        <f t="shared" si="13"/>
        <v>%</v>
      </c>
      <c r="AB56" s="58">
        <f t="shared" si="14"/>
        <v>100</v>
      </c>
      <c r="AC56" s="51" t="s">
        <v>110</v>
      </c>
      <c r="AD56" s="50">
        <f t="shared" si="15"/>
        <v>307113500</v>
      </c>
      <c r="AE56" s="55">
        <f t="shared" si="16"/>
        <v>91.798983709460472</v>
      </c>
      <c r="AF56" s="51" t="s">
        <v>110</v>
      </c>
      <c r="AG56" s="58">
        <f t="shared" si="17"/>
        <v>100</v>
      </c>
      <c r="AH56" s="44" t="str">
        <f t="shared" si="18"/>
        <v>%</v>
      </c>
      <c r="AI56" s="50">
        <f t="shared" si="19"/>
        <v>307113500</v>
      </c>
      <c r="AJ56" s="55"/>
      <c r="AK56" s="51" t="s">
        <v>110</v>
      </c>
      <c r="AL56" s="118"/>
      <c r="AM56" s="100"/>
      <c r="AP56" s="102"/>
    </row>
    <row r="57" spans="1:42" ht="90" x14ac:dyDescent="0.2">
      <c r="A57" s="12"/>
      <c r="B57" s="13"/>
      <c r="C57" s="151" t="s">
        <v>149</v>
      </c>
      <c r="D57" s="149" t="s">
        <v>150</v>
      </c>
      <c r="E57" s="16">
        <v>2</v>
      </c>
      <c r="F57" s="53" t="s">
        <v>126</v>
      </c>
      <c r="G57" s="82">
        <f>334550000+232217300+334550000</f>
        <v>901317300</v>
      </c>
      <c r="H57" s="16">
        <v>0</v>
      </c>
      <c r="I57" s="53" t="s">
        <v>126</v>
      </c>
      <c r="J57" s="18"/>
      <c r="K57" s="16">
        <v>2</v>
      </c>
      <c r="L57" s="53" t="s">
        <v>126</v>
      </c>
      <c r="M57" s="82">
        <v>334550000</v>
      </c>
      <c r="N57" s="16">
        <v>2</v>
      </c>
      <c r="O57" s="116" t="str">
        <f t="shared" si="29"/>
        <v>Buah</v>
      </c>
      <c r="P57" s="82">
        <v>73317000</v>
      </c>
      <c r="Q57" s="16">
        <v>0</v>
      </c>
      <c r="R57" s="116" t="str">
        <f t="shared" si="30"/>
        <v>Buah</v>
      </c>
      <c r="S57" s="19">
        <v>90480000</v>
      </c>
      <c r="T57" s="16">
        <v>0</v>
      </c>
      <c r="U57" s="116" t="str">
        <f t="shared" si="3"/>
        <v>Buah</v>
      </c>
      <c r="V57" s="19">
        <f>207817500-S57-P57</f>
        <v>44020500</v>
      </c>
      <c r="W57" s="16">
        <v>0</v>
      </c>
      <c r="X57" s="116" t="str">
        <f t="shared" si="23"/>
        <v>Buah</v>
      </c>
      <c r="Y57" s="19">
        <v>99296000</v>
      </c>
      <c r="Z57" s="57">
        <f t="shared" si="20"/>
        <v>2</v>
      </c>
      <c r="AA57" s="88" t="str">
        <f t="shared" si="13"/>
        <v>Buah</v>
      </c>
      <c r="AB57" s="57">
        <f t="shared" si="14"/>
        <v>100</v>
      </c>
      <c r="AC57" s="32" t="s">
        <v>110</v>
      </c>
      <c r="AD57" s="38">
        <f t="shared" si="15"/>
        <v>307113500</v>
      </c>
      <c r="AE57" s="56">
        <f t="shared" si="16"/>
        <v>91.798983709460472</v>
      </c>
      <c r="AF57" s="32" t="s">
        <v>110</v>
      </c>
      <c r="AG57" s="57">
        <f t="shared" si="17"/>
        <v>2</v>
      </c>
      <c r="AH57" s="53" t="str">
        <f t="shared" si="18"/>
        <v>Buah</v>
      </c>
      <c r="AI57" s="38">
        <f t="shared" si="19"/>
        <v>307113500</v>
      </c>
      <c r="AJ57" s="56"/>
      <c r="AK57" s="32" t="s">
        <v>110</v>
      </c>
      <c r="AL57" s="59"/>
      <c r="AM57" s="11"/>
      <c r="AP57" s="21"/>
    </row>
    <row r="58" spans="1:42" ht="15" x14ac:dyDescent="0.2">
      <c r="A58" s="161" t="s">
        <v>24</v>
      </c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3"/>
      <c r="AB58" s="74">
        <f>AVERAGE(AB13:AB57)</f>
        <v>100.54781206952137</v>
      </c>
      <c r="AC58" s="63"/>
      <c r="AD58" s="61"/>
      <c r="AE58" s="74">
        <f>AVERAGE(AE13,AE36,AE53)</f>
        <v>90.139306904936987</v>
      </c>
      <c r="AF58" s="63"/>
      <c r="AG58" s="62"/>
      <c r="AH58" s="63"/>
      <c r="AI58" s="62"/>
      <c r="AJ58" s="62"/>
      <c r="AK58" s="63"/>
      <c r="AL58" s="64"/>
      <c r="AM58" s="11"/>
    </row>
    <row r="59" spans="1:42" ht="15" x14ac:dyDescent="0.2">
      <c r="A59" s="161" t="s">
        <v>25</v>
      </c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3"/>
      <c r="AB59" s="28" t="str">
        <f>IF(AB58&gt;=91,"Sangat Tinggi",IF(AB58&gt;=76,"Tinggi",IF(AB58&gt;=66,"Sedang",IF(AB58&gt;=51,"Rendah",IF(AB58&lt;=50,"Sangat Rendah")))))</f>
        <v>Sangat Tinggi</v>
      </c>
      <c r="AC59" s="63"/>
      <c r="AD59" s="65"/>
      <c r="AE59" s="28" t="str">
        <f>IF(AE58&gt;=91,"Sangat Tinggi",IF(AE58&gt;=76,"Tinggi",IF(AE58&gt;=66,"Sedang",IF(AE58&gt;=51,"Rendah",IF(AE58&lt;=50,"Sangat Rendah")))))</f>
        <v>Tinggi</v>
      </c>
      <c r="AF59" s="63"/>
      <c r="AG59" s="66"/>
      <c r="AH59" s="63"/>
      <c r="AI59" s="67"/>
      <c r="AJ59" s="66"/>
      <c r="AK59" s="63"/>
      <c r="AL59" s="68"/>
      <c r="AM59" s="11"/>
    </row>
    <row r="60" spans="1:42" ht="15" x14ac:dyDescent="0.2">
      <c r="A60" s="160" t="s">
        <v>26</v>
      </c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1"/>
    </row>
    <row r="61" spans="1:42" ht="15" x14ac:dyDescent="0.2">
      <c r="A61" s="160" t="s">
        <v>27</v>
      </c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1"/>
    </row>
    <row r="62" spans="1:42" ht="15" x14ac:dyDescent="0.2">
      <c r="A62" s="160" t="s">
        <v>28</v>
      </c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1"/>
    </row>
    <row r="63" spans="1:42" ht="15" x14ac:dyDescent="0.2">
      <c r="A63" s="160" t="s">
        <v>29</v>
      </c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29"/>
    </row>
    <row r="64" spans="1:42" ht="15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92"/>
      <c r="AB64" s="30"/>
      <c r="AC64" s="31"/>
      <c r="AD64" s="30"/>
      <c r="AE64" s="30"/>
      <c r="AF64" s="31"/>
      <c r="AG64" s="30"/>
      <c r="AH64" s="31"/>
      <c r="AI64" s="30"/>
      <c r="AJ64" s="30"/>
      <c r="AK64" s="31"/>
      <c r="AL64" s="30"/>
    </row>
    <row r="65" spans="1:39" ht="15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157" t="s">
        <v>54</v>
      </c>
      <c r="AA65" s="157"/>
      <c r="AB65" s="157"/>
      <c r="AC65" s="157"/>
      <c r="AD65" s="157"/>
      <c r="AE65" s="157"/>
      <c r="AF65" s="31"/>
      <c r="AG65" s="30"/>
      <c r="AH65" s="157" t="s">
        <v>55</v>
      </c>
      <c r="AI65" s="157"/>
      <c r="AJ65" s="157"/>
      <c r="AK65" s="157"/>
      <c r="AL65" s="157"/>
      <c r="AM65" s="157"/>
    </row>
    <row r="66" spans="1:39" ht="15.75" x14ac:dyDescent="0.25">
      <c r="A66" s="36"/>
      <c r="B66" s="37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157" t="s">
        <v>153</v>
      </c>
      <c r="AA66" s="157"/>
      <c r="AB66" s="157"/>
      <c r="AC66" s="157"/>
      <c r="AD66" s="157"/>
      <c r="AE66" s="157"/>
      <c r="AF66" s="31"/>
      <c r="AG66" s="30"/>
      <c r="AH66" s="157" t="s">
        <v>153</v>
      </c>
      <c r="AI66" s="157"/>
      <c r="AJ66" s="157"/>
      <c r="AK66" s="157"/>
      <c r="AL66" s="157"/>
      <c r="AM66" s="157"/>
    </row>
    <row r="67" spans="1:39" ht="15" x14ac:dyDescent="0.2">
      <c r="Z67" s="157" t="s">
        <v>60</v>
      </c>
      <c r="AA67" s="157"/>
      <c r="AB67" s="157"/>
      <c r="AC67" s="157"/>
      <c r="AD67" s="157"/>
      <c r="AE67" s="157"/>
      <c r="AH67" s="157" t="s">
        <v>56</v>
      </c>
      <c r="AI67" s="157"/>
      <c r="AJ67" s="157"/>
      <c r="AK67" s="157"/>
      <c r="AL67" s="157"/>
      <c r="AM67" s="157"/>
    </row>
    <row r="68" spans="1:39" ht="15" x14ac:dyDescent="0.2">
      <c r="Z68" s="157" t="s">
        <v>57</v>
      </c>
      <c r="AA68" s="157"/>
      <c r="AB68" s="157"/>
      <c r="AC68" s="157"/>
      <c r="AD68" s="157"/>
      <c r="AE68" s="157"/>
      <c r="AH68" s="157" t="s">
        <v>57</v>
      </c>
      <c r="AI68" s="157"/>
      <c r="AJ68" s="157"/>
      <c r="AK68" s="157"/>
      <c r="AL68" s="157"/>
      <c r="AM68" s="157"/>
    </row>
    <row r="69" spans="1:39" ht="25.5" x14ac:dyDescent="0.2">
      <c r="A69" s="33" t="s">
        <v>30</v>
      </c>
      <c r="B69" s="33" t="s">
        <v>31</v>
      </c>
      <c r="C69" s="33" t="s">
        <v>32</v>
      </c>
      <c r="Z69" s="30"/>
      <c r="AA69" s="92"/>
      <c r="AB69" s="30"/>
      <c r="AC69" s="31"/>
      <c r="AD69" s="30"/>
      <c r="AH69" s="30"/>
      <c r="AI69" s="31"/>
      <c r="AJ69" s="30"/>
      <c r="AK69" s="31"/>
      <c r="AL69" s="30"/>
    </row>
    <row r="70" spans="1:39" ht="25.5" x14ac:dyDescent="0.25">
      <c r="A70" s="34" t="s">
        <v>33</v>
      </c>
      <c r="B70" s="34" t="s">
        <v>34</v>
      </c>
      <c r="C70" s="34" t="s">
        <v>35</v>
      </c>
      <c r="Z70" s="158" t="s">
        <v>61</v>
      </c>
      <c r="AA70" s="158"/>
      <c r="AB70" s="158"/>
      <c r="AC70" s="158"/>
      <c r="AD70" s="158"/>
      <c r="AE70" s="158"/>
      <c r="AH70" s="158" t="s">
        <v>58</v>
      </c>
      <c r="AI70" s="158"/>
      <c r="AJ70" s="158"/>
      <c r="AK70" s="158"/>
      <c r="AL70" s="158"/>
      <c r="AM70" s="158"/>
    </row>
    <row r="71" spans="1:39" ht="25.5" x14ac:dyDescent="0.2">
      <c r="A71" s="34" t="s">
        <v>36</v>
      </c>
      <c r="B71" s="34" t="s">
        <v>37</v>
      </c>
      <c r="C71" s="34" t="s">
        <v>38</v>
      </c>
      <c r="Z71" s="159" t="s">
        <v>62</v>
      </c>
      <c r="AA71" s="159"/>
      <c r="AB71" s="159"/>
      <c r="AC71" s="159"/>
      <c r="AD71" s="159"/>
      <c r="AE71" s="159"/>
      <c r="AH71" s="159" t="s">
        <v>59</v>
      </c>
      <c r="AI71" s="159"/>
      <c r="AJ71" s="159"/>
      <c r="AK71" s="159"/>
      <c r="AL71" s="159"/>
      <c r="AM71" s="159"/>
    </row>
    <row r="72" spans="1:39" ht="25.5" x14ac:dyDescent="0.2">
      <c r="A72" s="34" t="s">
        <v>39</v>
      </c>
      <c r="B72" s="34" t="s">
        <v>40</v>
      </c>
      <c r="C72" s="34" t="s">
        <v>41</v>
      </c>
    </row>
    <row r="73" spans="1:39" ht="25.5" x14ac:dyDescent="0.2">
      <c r="A73" s="34" t="s">
        <v>42</v>
      </c>
      <c r="B73" s="34" t="s">
        <v>43</v>
      </c>
      <c r="C73" s="34" t="s">
        <v>44</v>
      </c>
    </row>
    <row r="74" spans="1:39" ht="25.5" x14ac:dyDescent="0.2">
      <c r="A74" s="34" t="s">
        <v>45</v>
      </c>
      <c r="B74" s="35" t="s">
        <v>46</v>
      </c>
      <c r="C74" s="34" t="s">
        <v>47</v>
      </c>
    </row>
  </sheetData>
  <mergeCells count="83">
    <mergeCell ref="B15:B16"/>
    <mergeCell ref="A6:AL6"/>
    <mergeCell ref="Z7:AF8"/>
    <mergeCell ref="Z9:AF9"/>
    <mergeCell ref="A7:A9"/>
    <mergeCell ref="B7:B9"/>
    <mergeCell ref="C7:C9"/>
    <mergeCell ref="D7:D9"/>
    <mergeCell ref="E7:G9"/>
    <mergeCell ref="E10:G10"/>
    <mergeCell ref="H10:J10"/>
    <mergeCell ref="Z10:AF10"/>
    <mergeCell ref="H7:J9"/>
    <mergeCell ref="E11:F12"/>
    <mergeCell ref="G11:G12"/>
    <mergeCell ref="H11:I12"/>
    <mergeCell ref="A1:AL1"/>
    <mergeCell ref="A2:AL2"/>
    <mergeCell ref="A3:AL3"/>
    <mergeCell ref="A4:AL4"/>
    <mergeCell ref="A5:AL5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AG12:AH12"/>
    <mergeCell ref="AJ12:AK12"/>
    <mergeCell ref="Z11:AA11"/>
    <mergeCell ref="AG11:AH11"/>
    <mergeCell ref="AJ11:AK11"/>
    <mergeCell ref="AB11:AC11"/>
    <mergeCell ref="AB12:AC12"/>
    <mergeCell ref="Z12:AA12"/>
    <mergeCell ref="AE11:AF11"/>
    <mergeCell ref="AE12:AF12"/>
    <mergeCell ref="AG10:AI10"/>
    <mergeCell ref="AJ10:AL10"/>
    <mergeCell ref="K10:M10"/>
    <mergeCell ref="N10:P10"/>
    <mergeCell ref="Q10:S10"/>
    <mergeCell ref="T10:V10"/>
    <mergeCell ref="M11:M12"/>
    <mergeCell ref="N11:O12"/>
    <mergeCell ref="W10:Y10"/>
    <mergeCell ref="A10:A12"/>
    <mergeCell ref="B10:B12"/>
    <mergeCell ref="C10:C12"/>
    <mergeCell ref="D10:D12"/>
    <mergeCell ref="J11:J12"/>
    <mergeCell ref="K11:L12"/>
    <mergeCell ref="P11:P12"/>
    <mergeCell ref="Q11:R12"/>
    <mergeCell ref="S11:S12"/>
    <mergeCell ref="T11:U12"/>
    <mergeCell ref="V11:V12"/>
    <mergeCell ref="W11:X12"/>
    <mergeCell ref="Y11:Y12"/>
    <mergeCell ref="A61:AL61"/>
    <mergeCell ref="A62:AL62"/>
    <mergeCell ref="A63:AL63"/>
    <mergeCell ref="A58:AA58"/>
    <mergeCell ref="A59:AA59"/>
    <mergeCell ref="A60:AL60"/>
    <mergeCell ref="Z65:AE65"/>
    <mergeCell ref="AH65:AM65"/>
    <mergeCell ref="Z66:AE66"/>
    <mergeCell ref="AH66:AM66"/>
    <mergeCell ref="Z67:AE67"/>
    <mergeCell ref="AH67:AM67"/>
    <mergeCell ref="Z68:AE68"/>
    <mergeCell ref="AH68:AM68"/>
    <mergeCell ref="Z70:AE70"/>
    <mergeCell ref="AH70:AM70"/>
    <mergeCell ref="Z71:AE71"/>
    <mergeCell ref="AH71:AM71"/>
  </mergeCells>
  <printOptions horizontalCentered="1"/>
  <pageMargins left="0.23622047244094491" right="0.23622047244094491" top="3.937007874015748E-2" bottom="3.937007874015748E-2" header="0" footer="0"/>
  <pageSetup paperSize="14" scale="30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Dinas Perhubungan</vt:lpstr>
      <vt:lpstr>Chart1</vt:lpstr>
      <vt:lpstr>'Dinas Perhubungan'!Print_Area</vt:lpstr>
      <vt:lpstr>'Dinas Perhubungan'!Print_Titles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2022-01-10T00:13:39Z</dcterms:modified>
</cp:coreProperties>
</file>