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ENCANAAN PUTR TAHUN 2022\"/>
    </mc:Choice>
  </mc:AlternateContent>
  <xr:revisionPtr revIDLastSave="0" documentId="13_ncr:1_{A8188DB8-01A3-4A51-9E45-90EC4A0881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ulir E.81 DPUTR" sheetId="5" r:id="rId1"/>
  </sheets>
  <definedNames>
    <definedName name="_xlnm.Print_Area" localSheetId="0">'Formulir E.81 DPUTR'!$A$1:$AE$143</definedName>
    <definedName name="_xlnm.Print_Titles" localSheetId="0">'Formulir E.81 DPUTR'!$7:$12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2" i="5" l="1"/>
  <c r="S134" i="5"/>
  <c r="S109" i="5"/>
  <c r="R67" i="5" l="1"/>
  <c r="P67" i="5"/>
  <c r="P54" i="5" l="1"/>
  <c r="P53" i="5" s="1"/>
  <c r="U57" i="5"/>
  <c r="P57" i="5"/>
  <c r="R57" i="5"/>
  <c r="P58" i="5"/>
  <c r="R54" i="5"/>
  <c r="R61" i="5"/>
  <c r="R62" i="5"/>
  <c r="S70" i="5"/>
  <c r="S69" i="5"/>
  <c r="S65" i="5"/>
  <c r="S64" i="5"/>
  <c r="R58" i="5"/>
  <c r="S60" i="5"/>
  <c r="S59" i="5"/>
  <c r="R53" i="5"/>
  <c r="S56" i="5"/>
  <c r="S55" i="5"/>
  <c r="H67" i="5" l="1"/>
  <c r="P20" i="5" l="1"/>
  <c r="P17" i="5"/>
  <c r="W21" i="5"/>
  <c r="W27" i="5"/>
  <c r="Q91" i="5" l="1"/>
  <c r="O91" i="5"/>
  <c r="M91" i="5"/>
  <c r="Q101" i="5"/>
  <c r="O101" i="5"/>
  <c r="M101" i="5"/>
  <c r="Q104" i="5"/>
  <c r="O104" i="5"/>
  <c r="M104" i="5"/>
  <c r="Q106" i="5"/>
  <c r="O106" i="5"/>
  <c r="M106" i="5"/>
  <c r="Q109" i="5"/>
  <c r="O109" i="5"/>
  <c r="Q103" i="5"/>
  <c r="O103" i="5"/>
  <c r="Q84" i="5"/>
  <c r="Q83" i="5" s="1"/>
  <c r="O84" i="5"/>
  <c r="O83" i="5" s="1"/>
  <c r="S72" i="5"/>
  <c r="S71" i="5" s="1"/>
  <c r="Q72" i="5"/>
  <c r="Q71" i="5" s="1"/>
  <c r="O72" i="5"/>
  <c r="O71" i="5"/>
  <c r="S68" i="5"/>
  <c r="S67" i="5" s="1"/>
  <c r="Q68" i="5"/>
  <c r="Q67" i="5"/>
  <c r="O68" i="5"/>
  <c r="O67" i="5" s="1"/>
  <c r="S62" i="5"/>
  <c r="S61" i="5" s="1"/>
  <c r="Q62" i="5"/>
  <c r="Q61" i="5" s="1"/>
  <c r="O62" i="5"/>
  <c r="O61" i="5"/>
  <c r="S58" i="5"/>
  <c r="S57" i="5" s="1"/>
  <c r="Q58" i="5"/>
  <c r="Q57" i="5"/>
  <c r="O58" i="5"/>
  <c r="O57" i="5" s="1"/>
  <c r="S54" i="5"/>
  <c r="S53" i="5" s="1"/>
  <c r="Q54" i="5"/>
  <c r="Q53" i="5" s="1"/>
  <c r="O54" i="5"/>
  <c r="O53" i="5"/>
  <c r="S45" i="5"/>
  <c r="Q45" i="5"/>
  <c r="O45" i="5"/>
  <c r="S40" i="5"/>
  <c r="Q40" i="5"/>
  <c r="Q39" i="5" s="1"/>
  <c r="O40" i="5"/>
  <c r="O39" i="5"/>
  <c r="S39" i="5" l="1"/>
  <c r="S35" i="5"/>
  <c r="Q35" i="5"/>
  <c r="O35" i="5"/>
  <c r="S32" i="5"/>
  <c r="Q32" i="5"/>
  <c r="O32" i="5"/>
  <c r="S25" i="5"/>
  <c r="Q25" i="5"/>
  <c r="O25" i="5"/>
  <c r="S20" i="5"/>
  <c r="Q20" i="5"/>
  <c r="Q16" i="5" s="1"/>
  <c r="O20" i="5"/>
  <c r="S17" i="5"/>
  <c r="Q17" i="5"/>
  <c r="O17" i="5"/>
  <c r="O16" i="5" s="1"/>
  <c r="S16" i="5"/>
  <c r="N20" i="5"/>
  <c r="L20" i="5"/>
  <c r="N17" i="5"/>
  <c r="W110" i="5" l="1"/>
  <c r="T110" i="5"/>
  <c r="T109" i="5"/>
  <c r="M109" i="5"/>
  <c r="I109" i="5"/>
  <c r="G109" i="5"/>
  <c r="AA108" i="5"/>
  <c r="Z108" i="5"/>
  <c r="W107" i="5"/>
  <c r="T107" i="5"/>
  <c r="T106" i="5"/>
  <c r="W106" i="5"/>
  <c r="I106" i="5"/>
  <c r="G106" i="5"/>
  <c r="G103" i="5" s="1"/>
  <c r="W105" i="5"/>
  <c r="T105" i="5"/>
  <c r="T104" i="5"/>
  <c r="W104" i="5"/>
  <c r="I104" i="5"/>
  <c r="G104" i="5"/>
  <c r="T103" i="5"/>
  <c r="I103" i="5"/>
  <c r="W102" i="5"/>
  <c r="T102" i="5"/>
  <c r="T101" i="5"/>
  <c r="W101" i="5"/>
  <c r="I101" i="5"/>
  <c r="AA101" i="5" s="1"/>
  <c r="G101" i="5"/>
  <c r="W100" i="5"/>
  <c r="T100" i="5"/>
  <c r="W99" i="5"/>
  <c r="T99" i="5"/>
  <c r="W98" i="5"/>
  <c r="T98" i="5"/>
  <c r="W97" i="5"/>
  <c r="T97" i="5"/>
  <c r="W96" i="5"/>
  <c r="T96" i="5"/>
  <c r="W95" i="5"/>
  <c r="T95" i="5"/>
  <c r="W94" i="5"/>
  <c r="T94" i="5"/>
  <c r="W93" i="5"/>
  <c r="T93" i="5"/>
  <c r="W92" i="5"/>
  <c r="T92" i="5"/>
  <c r="T91" i="5"/>
  <c r="W91" i="5"/>
  <c r="I91" i="5"/>
  <c r="AA91" i="5" s="1"/>
  <c r="G91" i="5"/>
  <c r="W90" i="5"/>
  <c r="T90" i="5"/>
  <c r="W89" i="5"/>
  <c r="T89" i="5"/>
  <c r="W88" i="5"/>
  <c r="T88" i="5"/>
  <c r="W87" i="5"/>
  <c r="T87" i="5"/>
  <c r="W86" i="5"/>
  <c r="T86" i="5"/>
  <c r="T85" i="5"/>
  <c r="M85" i="5"/>
  <c r="W85" i="5" s="1"/>
  <c r="T84" i="5"/>
  <c r="I84" i="5"/>
  <c r="G84" i="5"/>
  <c r="T83" i="5"/>
  <c r="G83" i="5"/>
  <c r="AA82" i="5"/>
  <c r="Z82" i="5"/>
  <c r="W81" i="5"/>
  <c r="T81" i="5"/>
  <c r="E81" i="5"/>
  <c r="W80" i="5"/>
  <c r="T80" i="5"/>
  <c r="E80" i="5"/>
  <c r="W79" i="5"/>
  <c r="T79" i="5"/>
  <c r="Z79" i="5" s="1"/>
  <c r="E79" i="5"/>
  <c r="W78" i="5"/>
  <c r="T78" i="5"/>
  <c r="E78" i="5"/>
  <c r="W77" i="5"/>
  <c r="T77" i="5"/>
  <c r="E77" i="5"/>
  <c r="W76" i="5"/>
  <c r="T76" i="5"/>
  <c r="E76" i="5"/>
  <c r="W75" i="5"/>
  <c r="T75" i="5"/>
  <c r="E75" i="5"/>
  <c r="W74" i="5"/>
  <c r="T74" i="5"/>
  <c r="G74" i="5"/>
  <c r="G72" i="5" s="1"/>
  <c r="G71" i="5" s="1"/>
  <c r="E74" i="5"/>
  <c r="W73" i="5"/>
  <c r="T73" i="5"/>
  <c r="M72" i="5"/>
  <c r="W72" i="5" s="1"/>
  <c r="L72" i="5"/>
  <c r="T72" i="5" s="1"/>
  <c r="K72" i="5"/>
  <c r="J72" i="5"/>
  <c r="I72" i="5"/>
  <c r="H72" i="5"/>
  <c r="Z72" i="5" s="1"/>
  <c r="E72" i="5"/>
  <c r="T71" i="5"/>
  <c r="K71" i="5"/>
  <c r="W70" i="5"/>
  <c r="T70" i="5"/>
  <c r="W69" i="5"/>
  <c r="T69" i="5"/>
  <c r="E69" i="5"/>
  <c r="M68" i="5"/>
  <c r="W68" i="5" s="1"/>
  <c r="L68" i="5"/>
  <c r="T68" i="5" s="1"/>
  <c r="K68" i="5"/>
  <c r="K67" i="5" s="1"/>
  <c r="J68" i="5"/>
  <c r="I68" i="5"/>
  <c r="AA68" i="5" s="1"/>
  <c r="G68" i="5"/>
  <c r="T67" i="5"/>
  <c r="M67" i="5"/>
  <c r="W67" i="5" s="1"/>
  <c r="G67" i="5"/>
  <c r="AA66" i="5"/>
  <c r="Z66" i="5"/>
  <c r="W65" i="5"/>
  <c r="T65" i="5"/>
  <c r="W64" i="5"/>
  <c r="T64" i="5"/>
  <c r="W63" i="5"/>
  <c r="T63" i="5"/>
  <c r="T62" i="5"/>
  <c r="M62" i="5"/>
  <c r="W62" i="5" s="1"/>
  <c r="K62" i="5"/>
  <c r="I62" i="5"/>
  <c r="G62" i="5"/>
  <c r="G61" i="5" s="1"/>
  <c r="T61" i="5"/>
  <c r="K61" i="5"/>
  <c r="W60" i="5"/>
  <c r="T60" i="5"/>
  <c r="E60" i="5"/>
  <c r="W59" i="5"/>
  <c r="T59" i="5"/>
  <c r="E59" i="5"/>
  <c r="M58" i="5"/>
  <c r="W58" i="5" s="1"/>
  <c r="L58" i="5"/>
  <c r="T58" i="5" s="1"/>
  <c r="K58" i="5"/>
  <c r="K57" i="5" s="1"/>
  <c r="J58" i="5"/>
  <c r="I58" i="5"/>
  <c r="G58" i="5"/>
  <c r="G57" i="5" s="1"/>
  <c r="T57" i="5"/>
  <c r="M57" i="5"/>
  <c r="W57" i="5" s="1"/>
  <c r="W56" i="5"/>
  <c r="T56" i="5"/>
  <c r="W55" i="5"/>
  <c r="AA55" i="5" s="1"/>
  <c r="T55" i="5"/>
  <c r="M54" i="5"/>
  <c r="W54" i="5" s="1"/>
  <c r="L54" i="5"/>
  <c r="T54" i="5" s="1"/>
  <c r="K54" i="5"/>
  <c r="K53" i="5" s="1"/>
  <c r="J54" i="5"/>
  <c r="I54" i="5"/>
  <c r="AA54" i="5" s="1"/>
  <c r="G54" i="5"/>
  <c r="G53" i="5" s="1"/>
  <c r="E54" i="5"/>
  <c r="T53" i="5"/>
  <c r="U53" i="5" s="1"/>
  <c r="M53" i="5"/>
  <c r="W53" i="5" s="1"/>
  <c r="AA52" i="5"/>
  <c r="Z52" i="5"/>
  <c r="W51" i="5"/>
  <c r="T51" i="5"/>
  <c r="W50" i="5"/>
  <c r="T50" i="5"/>
  <c r="W49" i="5"/>
  <c r="T49" i="5"/>
  <c r="W48" i="5"/>
  <c r="T48" i="5"/>
  <c r="W47" i="5"/>
  <c r="T47" i="5"/>
  <c r="W46" i="5"/>
  <c r="T46" i="5"/>
  <c r="G46" i="5"/>
  <c r="G45" i="5" s="1"/>
  <c r="M45" i="5"/>
  <c r="W45" i="5" s="1"/>
  <c r="L45" i="5"/>
  <c r="T45" i="5" s="1"/>
  <c r="K45" i="5"/>
  <c r="W44" i="5"/>
  <c r="T44" i="5"/>
  <c r="W43" i="5"/>
  <c r="T43" i="5"/>
  <c r="W42" i="5"/>
  <c r="T42" i="5"/>
  <c r="W41" i="5"/>
  <c r="T41" i="5"/>
  <c r="M40" i="5"/>
  <c r="W40" i="5" s="1"/>
  <c r="L40" i="5"/>
  <c r="T40" i="5" s="1"/>
  <c r="K40" i="5"/>
  <c r="K39" i="5" s="1"/>
  <c r="G40" i="5"/>
  <c r="T39" i="5"/>
  <c r="W38" i="5"/>
  <c r="T38" i="5"/>
  <c r="E38" i="5"/>
  <c r="W37" i="5"/>
  <c r="T37" i="5"/>
  <c r="E37" i="5"/>
  <c r="T36" i="5"/>
  <c r="M36" i="5"/>
  <c r="W36" i="5" s="1"/>
  <c r="E36" i="5"/>
  <c r="T35" i="5"/>
  <c r="K35" i="5"/>
  <c r="I35" i="5"/>
  <c r="G35" i="5"/>
  <c r="W34" i="5"/>
  <c r="T34" i="5"/>
  <c r="E34" i="5"/>
  <c r="W33" i="5"/>
  <c r="T33" i="5"/>
  <c r="E33" i="5"/>
  <c r="T32" i="5"/>
  <c r="M32" i="5"/>
  <c r="W32" i="5" s="1"/>
  <c r="K32" i="5"/>
  <c r="I32" i="5"/>
  <c r="AA32" i="5" s="1"/>
  <c r="G32" i="5"/>
  <c r="E32" i="5"/>
  <c r="W31" i="5"/>
  <c r="T31" i="5"/>
  <c r="E31" i="5"/>
  <c r="W30" i="5"/>
  <c r="T30" i="5"/>
  <c r="E30" i="5"/>
  <c r="W29" i="5"/>
  <c r="T29" i="5"/>
  <c r="E29" i="5"/>
  <c r="W28" i="5"/>
  <c r="T28" i="5"/>
  <c r="E28" i="5"/>
  <c r="T27" i="5"/>
  <c r="E27" i="5"/>
  <c r="W26" i="5"/>
  <c r="T26" i="5"/>
  <c r="E26" i="5"/>
  <c r="T25" i="5"/>
  <c r="M25" i="5"/>
  <c r="W25" i="5" s="1"/>
  <c r="K25" i="5"/>
  <c r="I25" i="5"/>
  <c r="G25" i="5"/>
  <c r="AH24" i="5"/>
  <c r="W24" i="5"/>
  <c r="T24" i="5"/>
  <c r="E24" i="5"/>
  <c r="AH23" i="5"/>
  <c r="W23" i="5"/>
  <c r="T23" i="5"/>
  <c r="E23" i="5"/>
  <c r="AH22" i="5"/>
  <c r="W22" i="5"/>
  <c r="T22" i="5"/>
  <c r="E22" i="5"/>
  <c r="AH21" i="5"/>
  <c r="T21" i="5"/>
  <c r="M20" i="5"/>
  <c r="W20" i="5" s="1"/>
  <c r="T20" i="5"/>
  <c r="K20" i="5"/>
  <c r="J20" i="5"/>
  <c r="I20" i="5"/>
  <c r="E20" i="5"/>
  <c r="W19" i="5"/>
  <c r="T19" i="5"/>
  <c r="E19" i="5"/>
  <c r="W18" i="5"/>
  <c r="T18" i="5"/>
  <c r="E18" i="5"/>
  <c r="M17" i="5"/>
  <c r="W17" i="5" s="1"/>
  <c r="L17" i="5"/>
  <c r="T17" i="5" s="1"/>
  <c r="K17" i="5"/>
  <c r="K16" i="5" s="1"/>
  <c r="J17" i="5"/>
  <c r="I17" i="5"/>
  <c r="G17" i="5"/>
  <c r="G22" i="5" s="1"/>
  <c r="G20" i="5" s="1"/>
  <c r="G16" i="5" s="1"/>
  <c r="T16" i="5"/>
  <c r="AA62" i="5" l="1"/>
  <c r="AA58" i="5"/>
  <c r="G39" i="5"/>
  <c r="AA72" i="5"/>
  <c r="AA25" i="5"/>
  <c r="M35" i="5"/>
  <c r="W35" i="5" s="1"/>
  <c r="AA35" i="5" s="1"/>
  <c r="M61" i="5"/>
  <c r="W61" i="5" s="1"/>
  <c r="I67" i="5"/>
  <c r="AA67" i="5" s="1"/>
  <c r="I71" i="5"/>
  <c r="M84" i="5"/>
  <c r="W84" i="5" s="1"/>
  <c r="AA106" i="5"/>
  <c r="AA17" i="5"/>
  <c r="AA20" i="5"/>
  <c r="M16" i="5"/>
  <c r="AH16" i="5" s="1"/>
  <c r="M39" i="5"/>
  <c r="W39" i="5" s="1"/>
  <c r="I53" i="5"/>
  <c r="AA53" i="5" s="1"/>
  <c r="I57" i="5"/>
  <c r="AA57" i="5" s="1"/>
  <c r="AA104" i="5"/>
  <c r="I61" i="5"/>
  <c r="M71" i="5"/>
  <c r="W71" i="5" s="1"/>
  <c r="I83" i="5"/>
  <c r="W109" i="5"/>
  <c r="AA109" i="5" s="1"/>
  <c r="M103" i="5"/>
  <c r="W103" i="5" s="1"/>
  <c r="AA103" i="5" s="1"/>
  <c r="Z16" i="5"/>
  <c r="U16" i="5"/>
  <c r="Z17" i="5"/>
  <c r="U17" i="5"/>
  <c r="X17" i="5"/>
  <c r="Z18" i="5"/>
  <c r="U18" i="5"/>
  <c r="AA18" i="5"/>
  <c r="X18" i="5"/>
  <c r="Z19" i="5"/>
  <c r="U19" i="5"/>
  <c r="AA19" i="5"/>
  <c r="X19" i="5"/>
  <c r="Z20" i="5"/>
  <c r="U20" i="5"/>
  <c r="X20" i="5"/>
  <c r="Z21" i="5"/>
  <c r="U21" i="5"/>
  <c r="AA21" i="5"/>
  <c r="X21" i="5"/>
  <c r="Z22" i="5"/>
  <c r="U22" i="5"/>
  <c r="AA22" i="5"/>
  <c r="X22" i="5"/>
  <c r="Z23" i="5"/>
  <c r="U23" i="5"/>
  <c r="AA23" i="5"/>
  <c r="X23" i="5"/>
  <c r="Z24" i="5"/>
  <c r="U24" i="5"/>
  <c r="AA24" i="5"/>
  <c r="X24" i="5"/>
  <c r="X25" i="5"/>
  <c r="Z25" i="5"/>
  <c r="U25" i="5"/>
  <c r="Z26" i="5"/>
  <c r="U26" i="5"/>
  <c r="AA26" i="5"/>
  <c r="X26" i="5"/>
  <c r="Z27" i="5"/>
  <c r="U27" i="5"/>
  <c r="AA27" i="5"/>
  <c r="X27" i="5"/>
  <c r="Z28" i="5"/>
  <c r="U28" i="5"/>
  <c r="AA28" i="5"/>
  <c r="X28" i="5"/>
  <c r="Z29" i="5"/>
  <c r="U29" i="5"/>
  <c r="AA29" i="5"/>
  <c r="X29" i="5"/>
  <c r="Z30" i="5"/>
  <c r="U30" i="5"/>
  <c r="AA30" i="5"/>
  <c r="X30" i="5"/>
  <c r="Z31" i="5"/>
  <c r="U31" i="5"/>
  <c r="AA31" i="5"/>
  <c r="X31" i="5"/>
  <c r="X32" i="5"/>
  <c r="Z32" i="5"/>
  <c r="U32" i="5"/>
  <c r="Z33" i="5"/>
  <c r="U33" i="5"/>
  <c r="AA33" i="5"/>
  <c r="X33" i="5"/>
  <c r="Z34" i="5"/>
  <c r="U34" i="5"/>
  <c r="AA34" i="5"/>
  <c r="X34" i="5"/>
  <c r="Z35" i="5"/>
  <c r="U35" i="5"/>
  <c r="AA36" i="5"/>
  <c r="X36" i="5"/>
  <c r="Z36" i="5"/>
  <c r="U36" i="5"/>
  <c r="Z37" i="5"/>
  <c r="U37" i="5"/>
  <c r="AA37" i="5"/>
  <c r="X37" i="5"/>
  <c r="Z38" i="5"/>
  <c r="U38" i="5"/>
  <c r="AA38" i="5"/>
  <c r="X38" i="5"/>
  <c r="AA39" i="5"/>
  <c r="X39" i="5"/>
  <c r="Z39" i="5"/>
  <c r="U39" i="5"/>
  <c r="Z40" i="5"/>
  <c r="U40" i="5"/>
  <c r="AA40" i="5"/>
  <c r="X40" i="5"/>
  <c r="Z41" i="5"/>
  <c r="U41" i="5"/>
  <c r="AA41" i="5"/>
  <c r="X41" i="5"/>
  <c r="Z42" i="5"/>
  <c r="U42" i="5"/>
  <c r="AA42" i="5"/>
  <c r="X42" i="5"/>
  <c r="Z43" i="5"/>
  <c r="U43" i="5"/>
  <c r="AA43" i="5"/>
  <c r="X43" i="5"/>
  <c r="Z44" i="5"/>
  <c r="U44" i="5"/>
  <c r="AA44" i="5"/>
  <c r="X44" i="5"/>
  <c r="Z45" i="5"/>
  <c r="U45" i="5"/>
  <c r="AA45" i="5"/>
  <c r="X45" i="5"/>
  <c r="Z46" i="5"/>
  <c r="U46" i="5"/>
  <c r="AA46" i="5"/>
  <c r="X46" i="5"/>
  <c r="Z47" i="5"/>
  <c r="U47" i="5"/>
  <c r="AA47" i="5"/>
  <c r="X47" i="5"/>
  <c r="Z48" i="5"/>
  <c r="U48" i="5"/>
  <c r="AA48" i="5"/>
  <c r="X48" i="5"/>
  <c r="Z49" i="5"/>
  <c r="U49" i="5"/>
  <c r="AA49" i="5"/>
  <c r="X49" i="5"/>
  <c r="Z50" i="5"/>
  <c r="U50" i="5"/>
  <c r="AA50" i="5"/>
  <c r="X50" i="5"/>
  <c r="Z51" i="5"/>
  <c r="U51" i="5"/>
  <c r="AA51" i="5"/>
  <c r="X51" i="5"/>
  <c r="X53" i="5"/>
  <c r="Z53" i="5"/>
  <c r="Z54" i="5"/>
  <c r="U54" i="5"/>
  <c r="X54" i="5"/>
  <c r="Z55" i="5"/>
  <c r="U55" i="5"/>
  <c r="X55" i="5"/>
  <c r="Z56" i="5"/>
  <c r="U56" i="5"/>
  <c r="AA56" i="5"/>
  <c r="X56" i="5"/>
  <c r="X57" i="5"/>
  <c r="Z57" i="5"/>
  <c r="Z58" i="5"/>
  <c r="U58" i="5"/>
  <c r="X58" i="5"/>
  <c r="Z59" i="5"/>
  <c r="U59" i="5"/>
  <c r="AA59" i="5"/>
  <c r="X59" i="5"/>
  <c r="Z60" i="5"/>
  <c r="U60" i="5"/>
  <c r="AA60" i="5"/>
  <c r="X60" i="5"/>
  <c r="X61" i="5"/>
  <c r="Z61" i="5"/>
  <c r="U61" i="5"/>
  <c r="X62" i="5"/>
  <c r="Z62" i="5"/>
  <c r="U62" i="5"/>
  <c r="Z63" i="5"/>
  <c r="U63" i="5"/>
  <c r="AA63" i="5"/>
  <c r="X63" i="5"/>
  <c r="Z64" i="5"/>
  <c r="U64" i="5"/>
  <c r="AA64" i="5"/>
  <c r="X64" i="5"/>
  <c r="Z65" i="5"/>
  <c r="U65" i="5"/>
  <c r="AA65" i="5"/>
  <c r="X65" i="5"/>
  <c r="X67" i="5"/>
  <c r="Z67" i="5"/>
  <c r="U67" i="5"/>
  <c r="Z68" i="5"/>
  <c r="U68" i="5"/>
  <c r="X68" i="5"/>
  <c r="Z69" i="5"/>
  <c r="U69" i="5"/>
  <c r="AA69" i="5"/>
  <c r="X69" i="5"/>
  <c r="Z70" i="5"/>
  <c r="U70" i="5"/>
  <c r="AA70" i="5"/>
  <c r="X70" i="5"/>
  <c r="X71" i="5"/>
  <c r="Z71" i="5"/>
  <c r="U71" i="5"/>
  <c r="U72" i="5"/>
  <c r="X72" i="5"/>
  <c r="Z73" i="5"/>
  <c r="U73" i="5"/>
  <c r="AA73" i="5"/>
  <c r="X73" i="5"/>
  <c r="Z74" i="5"/>
  <c r="U74" i="5"/>
  <c r="AA74" i="5"/>
  <c r="X74" i="5"/>
  <c r="Z75" i="5"/>
  <c r="U75" i="5"/>
  <c r="AA75" i="5"/>
  <c r="X75" i="5"/>
  <c r="Z76" i="5"/>
  <c r="U76" i="5"/>
  <c r="AA76" i="5"/>
  <c r="X76" i="5"/>
  <c r="Z77" i="5"/>
  <c r="U77" i="5"/>
  <c r="AA77" i="5"/>
  <c r="X77" i="5"/>
  <c r="Z78" i="5"/>
  <c r="U78" i="5"/>
  <c r="AA78" i="5"/>
  <c r="X78" i="5"/>
  <c r="AA79" i="5"/>
  <c r="X79" i="5"/>
  <c r="Z80" i="5"/>
  <c r="U80" i="5"/>
  <c r="AA80" i="5"/>
  <c r="X80" i="5"/>
  <c r="Z81" i="5"/>
  <c r="U81" i="5"/>
  <c r="AA81" i="5"/>
  <c r="X81" i="5"/>
  <c r="Z83" i="5"/>
  <c r="U83" i="5"/>
  <c r="Z84" i="5"/>
  <c r="U84" i="5"/>
  <c r="AA85" i="5"/>
  <c r="X85" i="5"/>
  <c r="Z85" i="5"/>
  <c r="U85" i="5"/>
  <c r="Z86" i="5"/>
  <c r="U86" i="5"/>
  <c r="AA86" i="5"/>
  <c r="X86" i="5"/>
  <c r="Z87" i="5"/>
  <c r="U87" i="5"/>
  <c r="AA87" i="5"/>
  <c r="X87" i="5"/>
  <c r="Z88" i="5"/>
  <c r="U88" i="5"/>
  <c r="AA88" i="5"/>
  <c r="X88" i="5"/>
  <c r="Z89" i="5"/>
  <c r="U89" i="5"/>
  <c r="AA89" i="5"/>
  <c r="X89" i="5"/>
  <c r="Z90" i="5"/>
  <c r="U90" i="5"/>
  <c r="AA90" i="5"/>
  <c r="X90" i="5"/>
  <c r="X91" i="5"/>
  <c r="Z91" i="5"/>
  <c r="U91" i="5"/>
  <c r="Z92" i="5"/>
  <c r="U92" i="5"/>
  <c r="AA92" i="5"/>
  <c r="X92" i="5"/>
  <c r="Z93" i="5"/>
  <c r="U93" i="5"/>
  <c r="AA93" i="5"/>
  <c r="X93" i="5"/>
  <c r="Z94" i="5"/>
  <c r="U94" i="5"/>
  <c r="AA94" i="5"/>
  <c r="X94" i="5"/>
  <c r="Z95" i="5"/>
  <c r="U95" i="5"/>
  <c r="AA95" i="5"/>
  <c r="X95" i="5"/>
  <c r="Z96" i="5"/>
  <c r="U96" i="5"/>
  <c r="AA96" i="5"/>
  <c r="X96" i="5"/>
  <c r="Z97" i="5"/>
  <c r="U97" i="5"/>
  <c r="AA97" i="5"/>
  <c r="X97" i="5"/>
  <c r="Z98" i="5"/>
  <c r="U98" i="5"/>
  <c r="AA98" i="5"/>
  <c r="X98" i="5"/>
  <c r="Z99" i="5"/>
  <c r="U99" i="5"/>
  <c r="AA99" i="5"/>
  <c r="X99" i="5"/>
  <c r="Z100" i="5"/>
  <c r="U100" i="5"/>
  <c r="AA100" i="5"/>
  <c r="X100" i="5"/>
  <c r="X101" i="5"/>
  <c r="Z101" i="5"/>
  <c r="U101" i="5"/>
  <c r="Z102" i="5"/>
  <c r="U102" i="5"/>
  <c r="AA102" i="5"/>
  <c r="X102" i="5"/>
  <c r="Z103" i="5"/>
  <c r="U103" i="5"/>
  <c r="X104" i="5"/>
  <c r="Z104" i="5"/>
  <c r="U104" i="5"/>
  <c r="Z105" i="5"/>
  <c r="U105" i="5"/>
  <c r="AA105" i="5"/>
  <c r="X105" i="5"/>
  <c r="X106" i="5"/>
  <c r="Z106" i="5"/>
  <c r="U106" i="5"/>
  <c r="Z107" i="5"/>
  <c r="U107" i="5"/>
  <c r="AA107" i="5"/>
  <c r="X107" i="5"/>
  <c r="X109" i="5"/>
  <c r="Z109" i="5"/>
  <c r="U109" i="5"/>
  <c r="Z110" i="5"/>
  <c r="U110" i="5"/>
  <c r="AA110" i="5"/>
  <c r="X110" i="5"/>
  <c r="AA61" i="5" l="1"/>
  <c r="AA84" i="5"/>
  <c r="X84" i="5"/>
  <c r="AA71" i="5"/>
  <c r="X103" i="5"/>
  <c r="W16" i="5"/>
  <c r="M83" i="5"/>
  <c r="W83" i="5" s="1"/>
  <c r="X35" i="5"/>
  <c r="U111" i="5"/>
  <c r="U112" i="5" s="1"/>
  <c r="AA16" i="5"/>
  <c r="X16" i="5"/>
  <c r="AA83" i="5" l="1"/>
  <c r="X83" i="5"/>
  <c r="X111" i="5" s="1"/>
  <c r="X11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W10 PRO</author>
  </authors>
  <commentList>
    <comment ref="J71" authorId="0" shapeId="0" xr:uid="{3E7117C4-926B-48A9-B4A8-C12143258A34}">
      <text>
        <r>
          <rPr>
            <b/>
            <sz val="9"/>
            <color indexed="81"/>
            <rFont val="Tahoma"/>
            <family val="2"/>
          </rPr>
          <t>Panjang kondisi baik/sedang dibagi panjang total jalan kabupatenx100</t>
        </r>
      </text>
    </comment>
    <comment ref="E73" authorId="1" shapeId="0" xr:uid="{3D0C66C7-8538-41A3-AE51-57AFD6E62F8A}">
      <text>
        <r>
          <rPr>
            <sz val="12"/>
            <color indexed="81"/>
            <rFont val="Tahoma"/>
            <family val="2"/>
          </rPr>
          <t>Baru sampai 2022</t>
        </r>
      </text>
    </comment>
  </commentList>
</comments>
</file>

<file path=xl/sharedStrings.xml><?xml version="1.0" encoding="utf-8"?>
<sst xmlns="http://schemas.openxmlformats.org/spreadsheetml/2006/main" count="576" uniqueCount="290">
  <si>
    <t>-</t>
  </si>
  <si>
    <t>Penyusunan Dokumen Perencanaan Perangkat Daerah</t>
  </si>
  <si>
    <t>Jumlah Dokumen Perencanaan Perangkat Daerah</t>
  </si>
  <si>
    <t>Jumlah Laporan Evaluasi Kinerja Perangkat Daerah</t>
  </si>
  <si>
    <t>Penyediaan Gaji dan Tunjangan ASN</t>
  </si>
  <si>
    <t>Jumlah Orang yang Menerima Gaji dan Tunjangan ASN</t>
  </si>
  <si>
    <t>Jumlah Laporan Keuangan Bulanan/Triwulanan/Semesteran SKPD dan Laporan Koordinasi Penyusunan Laporan Keuangan Bulanan/Triwulanan/Semesteran SKPD</t>
  </si>
  <si>
    <t>Penyusunan Pelaporan dan Analisis Prognosis Realisasi Anggaran</t>
  </si>
  <si>
    <t>Penyediaan Peralatan dan Perlengkapan Kantor</t>
  </si>
  <si>
    <t>Penyediaan Bahan Logistik Kantor</t>
  </si>
  <si>
    <t>Penyelenggaraan Rapat Koordinasi dan Konsultasi SKPD</t>
  </si>
  <si>
    <t>Penyediaan Jasa Penunjang Urusan Pemerintahan Daerah</t>
  </si>
  <si>
    <t>Penyediaan Jasa Pelayanan Umum Kantor</t>
  </si>
  <si>
    <t>Penyediaan Jasa Pemeliharaan, Biaya Pemeliharaan, Pajak dan Perizinan Kendaraan Dinas Operasional atau Lapangan</t>
  </si>
  <si>
    <t>Program Penunjang Urusan Pemerintahan Daerah Kabupaten/Kota</t>
  </si>
  <si>
    <t>Perencanaan, Penganggaran dan Evaluasi Kinerja Perangkat Daerah</t>
  </si>
  <si>
    <t>Evaluasi Kinerja Perangkat Daerah</t>
  </si>
  <si>
    <t>Administrasi Keuangan Perangkat Daerah</t>
  </si>
  <si>
    <t>Koordinasi dan Penyusunan Laporan Keuangan Akhir Tahun SKPD</t>
  </si>
  <si>
    <t>Koordinasi dan Penyusunan laporan Keuangan Bulanan/Triwulanan/Semesteran SKPD</t>
  </si>
  <si>
    <t>Administrasi Umum Perangkat Daerah</t>
  </si>
  <si>
    <t>Penyediaan Komponen Instalasi Listrik/Penerangan Bangunan kantor</t>
  </si>
  <si>
    <t>Penyediaan Barang Cetakan dan Penggandaan</t>
  </si>
  <si>
    <t>Penyediaan Bahan Bacaan dan Peraturan Perundang-undangan</t>
  </si>
  <si>
    <t>Penyediaan Jasa Komunikasi, Sumber Daya Air dan Listrik</t>
  </si>
  <si>
    <t>Pemeliharaan Barang Milik daerah Penunjang Urusan Pemerintahan Daerah</t>
  </si>
  <si>
    <t>Pemeliharaan/Rehabilitasi Gedung Kantor dan Bangunan Lainnya</t>
  </si>
  <si>
    <t>Pemeliharaan/Rehabilitasi Sarana dan Prasarana Gedung Kantor atau Bangunan Lainnya</t>
  </si>
  <si>
    <t>Program Pengelolaan Sumber Daya Air (SDA)</t>
  </si>
  <si>
    <t>Pengelolaan SDA dan Bangunan Pengaman Pantai pada Wilayah Sungai (WS) dalam 1 (satu) Daerah Kabupaten/Kota</t>
  </si>
  <si>
    <t>Pembangunan Bangunan Perkuatan Tebing</t>
  </si>
  <si>
    <t>Normalisasi/ Restorasi Sungai</t>
  </si>
  <si>
    <t>Pembinaan dan Pemberdayaan Kelembagaan Pengelolaan SDA Kewenangan Kabupaten/Kota</t>
  </si>
  <si>
    <t>Operasi dan Pemeliharaan Sungai</t>
  </si>
  <si>
    <t>Pengembangan dan Pengelolaan Sistem Irigasi Primer dan Sekunder pada Daerah Irigasi yang Luasnya dibawah 1000 Ha dalam 1 (satu) Daerah Kabupaten/Kota</t>
  </si>
  <si>
    <t>Penyusunan Rencana Teknis dan Dokumen Lingkungan Hidup untuk Konstruksi Irigasi dan Rawa</t>
  </si>
  <si>
    <t>Pembangunan Jaringan Irigasi Permukaan</t>
  </si>
  <si>
    <t>Pembangunan Bendung Irigasi</t>
  </si>
  <si>
    <t>Rehabilitasi Jaringan Irigasi Permukaan</t>
  </si>
  <si>
    <t>Operasi dan Pemeliharaan Jaringan Irigasi Permukaan</t>
  </si>
  <si>
    <t>Operasional Unit Pengelola Irigasi</t>
  </si>
  <si>
    <t>Rehabilitasi Bendung Irigasi</t>
  </si>
  <si>
    <t>Program Pengelolaan Dan Pengembangan Sistem Penyediaan Air Minum</t>
  </si>
  <si>
    <t>Pengelolaan dan Pengembangan Sistem Penyediaan Air Minum (SPAM) di Daerah Kabupaten/Kota</t>
  </si>
  <si>
    <t>Pembangunan SPAM Jaringan Perpipaan di Kawasan Perdesaan (DAU &amp; DAK)</t>
  </si>
  <si>
    <t>Operasi dan Pemeliharaan SPAM di Kawasan Perdesaan</t>
  </si>
  <si>
    <t>Program Pengelolaan Dan Pengembangan Sistem Air Limbah</t>
  </si>
  <si>
    <t>Pengelolaan dan Pengembangan Sistem Air Limbah Domestik dalam Daerah Kabupaten/Kota</t>
  </si>
  <si>
    <t>Operasi dan Pemeliharaan Sistem Pengelolaan Air Limbah Domestik</t>
  </si>
  <si>
    <t>Pembangunan/Penyediaan Sistem Pengelolaan Air Limbah Terpusat Skala Permukiman (DAU &amp; DAK)</t>
  </si>
  <si>
    <t>Program Pengelolaan Dan Pengembangan Sistem Drainase</t>
  </si>
  <si>
    <t>Pengelolaan dan pengembangan Sistem Drainase yang Terhubung Langsung dengan Sungai dalam Daerah Kabupaten/Kota</t>
  </si>
  <si>
    <t>Pembangunan Sistem Drainase
Perkotaan</t>
  </si>
  <si>
    <t>Rehabilitasi Saluran Drainase Perkotaan</t>
  </si>
  <si>
    <t>Operasi dan Pemeliharaan Sistem Drainase</t>
  </si>
  <si>
    <t>Program Penataan Bangunan Gedung</t>
  </si>
  <si>
    <t>Penyelenggaraan Bangunan Gedung di Wilayah Daerah Kabupaten/Kota, Pemberian Izin Mendirikan Bangunan (IMB) dan Sertifikat Laik Fungsi Bangunan Gedung</t>
  </si>
  <si>
    <t>Penyelenggaraan Penerbitan Ijin Mendirikan Bangunan (IMB), Sertifikat Laik Fungsi (SLF), peran Tenaga Ahli Bangunan Gedung (TABG), Pendataan  Bangunan  Gedung, serta Implementasi SIMBG</t>
  </si>
  <si>
    <t>Perencanaan, Pembangunan, Pengawasan, dan Pemanfaatan Bangunan Gedung Daerah Kabupaten/Kota (DAU &amp; DAK)</t>
  </si>
  <si>
    <t>Program Penyelenggaraan Jalan</t>
  </si>
  <si>
    <t>Penyelenggaraan Jalan Kabupaten/Kota</t>
  </si>
  <si>
    <t>Pembangunan Jalan</t>
  </si>
  <si>
    <t>Pelebaran Jalan Menuju Standar</t>
  </si>
  <si>
    <t>Rekonstruksi Jalan (DAU &amp; DAK)</t>
  </si>
  <si>
    <t>Rehabilitasi Jalan (DAU &amp; DAK)</t>
  </si>
  <si>
    <t>Pemeliharaan Berkala Jalan</t>
  </si>
  <si>
    <t>Pemeliharaan Rutin Jalan</t>
  </si>
  <si>
    <t>Pembangunan Jembatan (DAU &amp; DAK)</t>
  </si>
  <si>
    <t>Penggantian Jembatan</t>
  </si>
  <si>
    <t>Pemeliharaan Rutin Jembatan</t>
  </si>
  <si>
    <t>Program Pengembangan Jasa Konstruksi</t>
  </si>
  <si>
    <t>Penyelenggaraan Pelatihan Tenaga Terampil Konstruksi</t>
  </si>
  <si>
    <t>Penyiapan Training Need Assessment (TNA) Pelatihan Tenaga Terampil Konstruksi</t>
  </si>
  <si>
    <t>Penyiapan Instuktur/Asesor/Penyelenggara Pelatihan</t>
  </si>
  <si>
    <t>Penyiapan SOP Penyelenggaraan Pelatihan Tenaga Terampil Konstruksi</t>
  </si>
  <si>
    <t>Pelaksanaan Pelatihan Tenaga Terampil Konstruksi</t>
  </si>
  <si>
    <t>Fasilitasi Sertifikasi Tenaga Terampil Konstruksi</t>
  </si>
  <si>
    <t>Pemantauan dan Evaluasi Kegiatan Pelatihan Tenaga Terampil Konstruksi</t>
  </si>
  <si>
    <t>Penyelenggaraan Sistem Informasi Jasa Konstruksi Cakupan Daerah Kabupaten/Kota</t>
  </si>
  <si>
    <t>Pengelolaan Operasional Layanan Informasi Jasa Konstruksi</t>
  </si>
  <si>
    <t>Penyediaan Perangkat Pendukung Layanan Informasi Jasa Konstruksi</t>
  </si>
  <si>
    <t>Penyelenggaraan Pelatihan untuk Peningkatan Kapasitas Administrator SIPJAKI</t>
  </si>
  <si>
    <t>Penyusunan Data dan Informasi Tenaga Kerja dan Badan Usaha</t>
  </si>
  <si>
    <t>Penyusunan Data dan Informasi Ketersediaan/Penggunaan Material dan Peralatan</t>
  </si>
  <si>
    <t>Penyusunan Data dan Informasi Profil Pekerjaan Konstruksi</t>
  </si>
  <si>
    <t>Penyusunan Data dan Informasi Tertib Penyelenggaraan Pekerjaan Konstruksi</t>
  </si>
  <si>
    <t>Penyusunan Data dan Informasi Kecelakaan Kerja Proyek Konstruksi</t>
  </si>
  <si>
    <t>Penyusunan Data dan Informasi Kegagalan Bangunan/Konstruksi</t>
  </si>
  <si>
    <t>Penerbitan Izin Usaha Jasa Konstruksi Nasional (Non Kecil dan Kecil)</t>
  </si>
  <si>
    <t>Penyusunan Peraturan di Daerah dan SOP terkait Penyelenggaraan IUJK Nasional di Kabupaten/Kota</t>
  </si>
  <si>
    <t>Penetapan Rencana Tata Ruang Wilayah (RTRW) dan Rencana Rinci Tata Ruang (RRTR) Kabupaten/ Kota</t>
  </si>
  <si>
    <t>Pelaksanaan Persetujuan Substansi, Evaluasi, Konsultasi Evaluasi Penetapan RTRW Kabupaten/ Kota</t>
  </si>
  <si>
    <t>Koordinasi dan Sinkronisasi Perencanaan tata Ruang Daerah Kabupaten/ Kota</t>
  </si>
  <si>
    <t>Koordinasi dan Sinkronisasi Penyusunan RTRW Kabupaten/ Kota</t>
  </si>
  <si>
    <t>Koordinasi dan Sinkronisasi Pengendalian Pemanfaatan Ruang Daerah Kabupaten/ Kota</t>
  </si>
  <si>
    <t>Koordinasi Pelaksanaan Penataan Ruang</t>
  </si>
  <si>
    <t>Kepala Dinas Pekerjaan Umum dan Tata Ruang</t>
  </si>
  <si>
    <t>Kabupaten Hulu Sungai Selatan</t>
  </si>
  <si>
    <t>TEDY SOETEDJO, ST, MT</t>
  </si>
  <si>
    <t>NIP. 19730130 199803 1 009</t>
  </si>
  <si>
    <t>Tingkat kepuasan pelayanan</t>
  </si>
  <si>
    <t>Jumlah dokumen Perencanaan dan Evaluasi Kinerja Dinas PUTR yang berkualitas</t>
  </si>
  <si>
    <t>Jumlah dokumen administrasi keuangan sesuai dengan standar</t>
  </si>
  <si>
    <t>Jumlah Laporan Keuangan Akhir Tahun SKPD dan Laporan Hasil Koordinasi Penyusunan Laporan Keuangan Akhir Tahun SKPD</t>
  </si>
  <si>
    <t>Jumlah Dokumen Pelaporan dan Analisis Prognosis Realisasi Anggaran</t>
  </si>
  <si>
    <t>Pemenuhan Layanan administrasi umum sesuai kebutuhan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</si>
  <si>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</si>
  <si>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</si>
  <si>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</si>
  <si>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</si>
  <si>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Dokumen Bahan Bacaan dan Peraturan Perundang-Undangan yang Disediakan</t>
  </si>
  <si>
    <t>Jumlah Laporan Penyelenggaraan Rapat Koordinasi dan Konsultasi SKPD</t>
  </si>
  <si>
    <t>Jumlah penyediaan jasa penunjang urusan pemerintahan daerah sesuai kebutuhan</t>
  </si>
  <si>
    <t>Jumlah Laporan Penyediaan Jasa Komunikasi, Sumber Daya Air dan Listrik yang Disediakan</t>
  </si>
  <si>
    <t>Jumlah Laporan Penyediaan Jasa Pelayanan Umum Kantor yang Disediakan</t>
  </si>
  <si>
    <t>Pemenuhan pemeliharaan sarana prasarana peralatan dan gedung kantor</t>
  </si>
  <si>
    <t>Jumlah Kendaraan Dinas Operasional atau Lapangan yang Dipelihara dan dibayarkan Pajak dan Perizinannya</t>
  </si>
  <si>
    <t>Jumlah Gedung Kantor dan Bangunan Lainnya yang  Dipelihara/Direhabilitasi</t>
  </si>
  <si>
    <t>Jumlah Sarana dan Prasarana Gedung Kantor atau Bangunan Lainnya yang Dipelihara/Direhabilitasi</t>
  </si>
  <si>
    <t>Persentase Luas Sawah Beririgasi</t>
  </si>
  <si>
    <t>panjang sungai, bantaran, dan tanggul sungai yang yang direhab/dipelihara</t>
  </si>
  <si>
    <t>Panjang Bangunan Perkuatan Tebing yang Dibangun</t>
  </si>
  <si>
    <t>Panjang Sungai yang Dinormalisasi/Direstorasi</t>
  </si>
  <si>
    <t>Jumlah Peserta yang Mengikuti Pembinaan dan Pemberdayaan Kelembagaan Pengelolaan SDA Kewenangan Kabupaten/Kota</t>
  </si>
  <si>
    <t>Panjang Sungai yang Dioperasikan dan Dipelihara</t>
  </si>
  <si>
    <t>Luas hektar sawah yang terairi</t>
  </si>
  <si>
    <t>Jumlah Rencana Teknis dan Dokumen Lingkungan Hidup untuk Konstruksi Irigasi dan Rawa yang Tersusun</t>
  </si>
  <si>
    <t>Panjang Jaringan Irigasi Permukaan yang Dibangun</t>
  </si>
  <si>
    <t>Jumlah Bendung Irigasi yang Dibangun</t>
  </si>
  <si>
    <t>Panjang Jaringan Irigasi Permukaan yang Direhabilitasi</t>
  </si>
  <si>
    <t>Panjang Jaringan Irigasi Permukaan yang Dioperasikan dan Dipelihara</t>
  </si>
  <si>
    <t>Jumlah Unit Pengelola Irigasi yang Beroperasi</t>
  </si>
  <si>
    <t>Persentase Rumah Tangga yang mendapatkan akses air minum melalui SPAM</t>
  </si>
  <si>
    <t>Jumlah rumah tangga/KK yang mendapatkan akses air bersih melalui SPAM</t>
  </si>
  <si>
    <t>Jumlah Sambungan Rumah Yang Terlayani Melalui Kegiatan Padat Karya/Spam Berbasis Masyarakat</t>
  </si>
  <si>
    <t>Jumlah Unit SPAM Berbasis Masyarakat yang mendapatkan operasi dan pemeliharaan</t>
  </si>
  <si>
    <t>Persentase Rumah Tangga yang memiliki akses pengolahan air limbah domestik (SPALD) Dasar</t>
  </si>
  <si>
    <t>Jumlah rumah tangga/KK yang memiliki akses pengolahan air limbah domestik berupa cubluk dan tangki septik</t>
  </si>
  <si>
    <t>Jumlah Unit Sistem Pengelolaan Air Limbah Domestik yang Diperasikan dan Dipelihara</t>
  </si>
  <si>
    <t>Jumlah Rumah Tangga yang Tersambung dengan Sistem Pengelolaan Air Limbah Terpusat Skala Permukiman</t>
  </si>
  <si>
    <t>Persentase Jaringan Drainase Perkotaan Yang Bersih Dan Bebas Genangan</t>
  </si>
  <si>
    <t>Panjang Saluran Drainase Kota Yang Berfungsi Baik</t>
  </si>
  <si>
    <t>Panjang Saluran Drainase Perkotaan Yang Dibangun</t>
  </si>
  <si>
    <t>Panjang Saluran Drainase Perkotaan Yang Dilakukan Rehabilitasi</t>
  </si>
  <si>
    <t>Panjang Saluran Drainase yang Dioperasikan dan Dipelihara</t>
  </si>
  <si>
    <t>Persentase Kecukupan Sarana Dan Prasarana Publik</t>
  </si>
  <si>
    <t>Jumlah Bangunan Pelayanan Publik Yang Terbangun (Buah)</t>
  </si>
  <si>
    <t>Jumlah Penyelenggaraan Penerbitan Ijin Mendirikan Bangunan (IMB), Sertifikat Laik Fungsi (SLF), peran Tenaga Ahli Bangunan Gedung (TABG), Pendataan  Bangunan  Gedung, serta Implementasi SIMBG</t>
  </si>
  <si>
    <t>Jumlah Dokumen Perencanaan, Pembangunan, Pengawasan dan Pemanfaatan Bangunan Gedung Daerah Kabupaten/Kota</t>
  </si>
  <si>
    <t>Persentase kondisi mantap jalan kabupaten</t>
  </si>
  <si>
    <t>Jumlah Panjang Jalan  kabupaten dalam kondisi Mantap</t>
  </si>
  <si>
    <t xml:space="preserve">Panjang Jalan Yang Dibangun </t>
  </si>
  <si>
    <t>Panjang Jalan yang Dilakukan Pelebaran Menuju Standar</t>
  </si>
  <si>
    <t>Panjang Jalan yang Dilakukan Rekonstruksi Jalan</t>
  </si>
  <si>
    <t>Panjang Jalan yang direhabilitasi</t>
  </si>
  <si>
    <t>Panjang Jalan yang Dilakukan Pemeliharaan Secara Berkala</t>
  </si>
  <si>
    <t>Panjang Jalan yang diperbaiki dengan pemeliharaan rutin</t>
  </si>
  <si>
    <t>Panjang Jembatan yang Dibangun</t>
  </si>
  <si>
    <t>Panjang Jembatan yang Dilakukan Penggantian</t>
  </si>
  <si>
    <t>Panjang Jembatan yang Dilakukan Pemeliharaan Secara Rutin</t>
  </si>
  <si>
    <t>Persentase Tenaga Terampil Konstruksi Yang Bersertifikat</t>
  </si>
  <si>
    <t xml:space="preserve">Jumlah tenaga terampil bersertifikat </t>
  </si>
  <si>
    <t>Jumlah Dokumen Perencanaan Pelatihan Tenaga Kerja Konstruksi Kualifikasi Jabatan Ahli</t>
  </si>
  <si>
    <t>Jumlah Instruktur/Asesor/Pelaksana Pelatihan Tenaga Kerja Konstruksi Kualifikasi Jabatan Operator dan Teknisi atau Analis yang Disiapkan</t>
  </si>
  <si>
    <t>Jumlah Dokumen SOP Penyelenggaraan Pelatihan Tenaga Konstruksi Kualifikasi Jabatan Operator, Teknisi atau Analis</t>
  </si>
  <si>
    <t>Jumlah Tenaga Kerja Konstruksi Kualifikasi Jabatan Operator dan Teknisi atau Analis yang Tersertifikasi</t>
  </si>
  <si>
    <t>Jumlah Dokumen Hasil Pemantauan dan Evaluasi Kegiatan Pelatihan Tenaga Terampil Konstruksi</t>
  </si>
  <si>
    <t>Jumlah Laporan Penyelenggaraan Dukungan Manajemen Sistem Informasi Jasa Konstruksi</t>
  </si>
  <si>
    <t>Jumlah Data dan Informasi yang Dihasilkan dari Perangkat Pendukung Layanan Informasi Jasa Konstruksi</t>
  </si>
  <si>
    <t>Jumlah Orang yang Mengikuti Penyelenggaraan Pelatihan untuk Peningkatan Kapasitas Administrator SIPJAKI</t>
  </si>
  <si>
    <t>Jumlah Data dan Informasi Tenaga Kerja dan Badan Usaha</t>
  </si>
  <si>
    <t>Jumlah Data dan Informasi Ketersediaan/Penggunaan Material dan Peralatan</t>
  </si>
  <si>
    <t>Jumlah Data dan Informasi Profil Pekerjaan Konstruksi</t>
  </si>
  <si>
    <t>Jumlah Data dan Informasi Tertib Penyelenggaraan Pekerjaan Konstruksi</t>
  </si>
  <si>
    <t>Jumlah Data dan Informasi Kecelakaan Kerja Proyek Konstruksi</t>
  </si>
  <si>
    <t>Jumlah Data dan Informasi Kegagalan Bangunan/Konstruksi</t>
  </si>
  <si>
    <t>Jumlah Peraturan di Daerah Terkait Perizinan Berusaha Berbasis Risiko Subsektor Jasa Konstruksi</t>
  </si>
  <si>
    <t>Persentase kesesuaian pemanfaatan ruang dengan tata ruang wilayah</t>
  </si>
  <si>
    <t>Jumlah Dokumen RTR/RDTR Kabupaten yang dilakukan Sinkronisasi</t>
  </si>
  <si>
    <t>Jumlah Dokumen Persetujuan Substansi, Evaluasi, Konsultasi Evaluasi Penetapan RTRW Kabupaten/ Kota</t>
  </si>
  <si>
    <t>Jumlah RTR Kawasan Strategis &amp; RDTR Kabupaten</t>
  </si>
  <si>
    <t>Jumlah Dokumen Koordinasi dan Sinkronisasi Penyusunan RTRW Kabupaten/ Kota</t>
  </si>
  <si>
    <t>Jumlah Dokumen Pengendalian dan Pemanfaatan Ruang Kabupaten</t>
  </si>
  <si>
    <t>Jumlah Dokumen Koordinasi Pelaksanaan Penataan Ruang</t>
  </si>
  <si>
    <t>Ha</t>
  </si>
  <si>
    <t>KK</t>
  </si>
  <si>
    <t>SR</t>
  </si>
  <si>
    <t>No.</t>
  </si>
  <si>
    <t>Sasaran</t>
  </si>
  <si>
    <t>Program/Kegiatan</t>
  </si>
  <si>
    <t>K</t>
  </si>
  <si>
    <t>Rp</t>
  </si>
  <si>
    <t>Rehabilitasi Saluran Drainase Lingkungan</t>
  </si>
  <si>
    <t>Jumlah RTRW Kabupaten yang disusun</t>
  </si>
  <si>
    <t>Predikat Kinerja</t>
  </si>
  <si>
    <t>EVALUASI TERHADAP HASIL RENCANA KERJA PERANGKAT DAERAH LINGKUP KABUPATEN</t>
  </si>
  <si>
    <t>RENCANA KERJA PERANGKAT DAERAH</t>
  </si>
  <si>
    <t>DINAS PEKERJAAN UMUM &amp; TATA RUANG</t>
  </si>
  <si>
    <t>Indikator dan Target Kinerja Perangkat Daerah Kabupaten yang Mengacu Pada Sasaran RKPD Kabupaten</t>
  </si>
  <si>
    <t>No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</si>
  <si>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</si>
  <si>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</si>
  <si>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(2021)</t>
  </si>
  <si>
    <t>Target Kinerja dan Anggaran Renja Perangkat Daerah Tahun Berjalan (Tahun 2022) yang Dievaluasi</t>
  </si>
  <si>
    <t>Realisasi Kinerja Pada Triwulan</t>
  </si>
  <si>
    <t>Realisasi dan Tingkat Capaian Kinerja dan Anggaran Renja Perangkat Daerah yang Dievaluasi</t>
  </si>
  <si>
    <t>Realisasi Kinerja dan Anggaran Renstra Perangkat Daerah s/d Tahun 2022</t>
  </si>
  <si>
    <t>Tingkat Capaian Kinerja dan Realisasi Anggaran Renstra Perangkat Daerah s/d Tahun 2022 (%)</t>
  </si>
  <si>
    <t>SKPD Penanggung Jawab</t>
  </si>
  <si>
    <t>I</t>
  </si>
  <si>
    <t>II</t>
  </si>
  <si>
    <t>III</t>
  </si>
  <si>
    <t>IV</t>
  </si>
  <si>
    <t>[kolom (8-11)(K)]</t>
  </si>
  <si>
    <t>[kolom (12)(K) : kolom (7)(K)] x 100%</t>
  </si>
  <si>
    <t>[kolom (8-11)(Rp)]</t>
  </si>
  <si>
    <t>[kolom (12)(Rp) : kolom (7)(Rp)] x 100%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</si>
  <si>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</si>
  <si>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</si>
  <si>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</si>
  <si>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</si>
  <si>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</si>
  <si>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</si>
  <si>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</si>
  <si>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</si>
  <si>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</si>
  <si>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</si>
  <si>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</si>
  <si>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</si>
  <si>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</si>
  <si>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</si>
  <si>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%</t>
  </si>
  <si>
    <t>Dinas Pekerjaan Umum dan Tata Ruang</t>
  </si>
  <si>
    <t>Dok</t>
  </si>
  <si>
    <t>Lap</t>
  </si>
  <si>
    <t>Meningkatnya Kinerja Keuangan dan Kinerja Birokrasi</t>
  </si>
  <si>
    <t>Org</t>
  </si>
  <si>
    <t>Paket</t>
  </si>
  <si>
    <t>Bln</t>
  </si>
  <si>
    <t>Unit</t>
  </si>
  <si>
    <t>Meningkatnya Infrastruktur Ekonomi dan Sosial Yang Berkualitas</t>
  </si>
  <si>
    <t>68,25</t>
  </si>
  <si>
    <t>M</t>
  </si>
  <si>
    <t>KM</t>
  </si>
  <si>
    <t>Bendung</t>
  </si>
  <si>
    <t>Jumlah Bendung Irigasi yang Direhabilitasi</t>
  </si>
  <si>
    <t>Rumah Tangga</t>
  </si>
  <si>
    <t>Panjang Saluran Drainase Lingkungan Yang Dilakukan Rehabilitasi</t>
  </si>
  <si>
    <t>Buah</t>
  </si>
  <si>
    <t>Penyusunan Rencana, Kebijakan,dan Strategi Pengembangan Jaringan Jalan Serta Perencanaan Teknis Penyelenggaraan Jalan dan Jembatan</t>
  </si>
  <si>
    <t>Jumlah Dokumen Hasil Pelaksanaan Advis dan Layanan Teknis, Kajian Kebijakan, Bantuan Teknis, Bimbingan Teknis, Pengelolaan Pengendalian</t>
  </si>
  <si>
    <t>Program        Penyelenggaraan        Penataan Ruang</t>
  </si>
  <si>
    <t>Rata-rata Capaian Kinerja (%)</t>
  </si>
  <si>
    <t>Faktor pendorong keberhasilan pencapaian:</t>
  </si>
  <si>
    <t>Bidang Tata Ruang dan Jasa Konstruksi</t>
  </si>
  <si>
    <t xml:space="preserve">          :                 1. </t>
  </si>
  <si>
    <t>Adanya pola kerjasama penyelesaian PK RTRW dan Updating Peta 1:5000 dengan Badan Informasi Geospasial</t>
  </si>
  <si>
    <t>Faktor penghambat pencapaian kinerja:</t>
  </si>
  <si>
    <t>Adanya Perubahan Peraturan Menteri ATR/BPN dan Pola Kerjasama untuk Jasa Konsultasi harus menunggu dari Badan Informasi Geospasial</t>
  </si>
  <si>
    <t xml:space="preserve">                            2. </t>
  </si>
  <si>
    <t xml:space="preserve">Ada beberapa kegiatan jasa konstruksi tidak bisa dilaksanakan sesuai jadwal kegiatan karena adanya peraturan baru dari kementrian PUPR RI </t>
  </si>
  <si>
    <t>Tindak lanjut yang diperlukan dalam triwulan berikutnya*):</t>
  </si>
  <si>
    <t>Bidang Tata Ruang dan Jasa Konstruksi : Lebih mengingkatkan koordinasi dengan Kementerian ATR /BPN untuk penyelesaian PK RTRW dan dengan Badan Informasi Geospasial (BIG) untuk penyelesaian Peta 1:5000 untuk updating RDTR Kawasan Perkotaan Kandangan</t>
  </si>
  <si>
    <t>Lebih mengingkatkan koordinasi dengan Kementerian ATR /BPN untuk penyelesaian PK RTRW dan dengan Badan Informasi Geospasial (BIG) untuk penyelesaian Peta 1:5000 untuk updating RDTR Kawasan Perkotaan Kandangan</t>
  </si>
  <si>
    <t>Disusun</t>
  </si>
  <si>
    <t>Dievaluasi</t>
  </si>
  <si>
    <t>Kandangan,          April 2022</t>
  </si>
  <si>
    <t>Kandangan,     April 2022</t>
  </si>
  <si>
    <t>Kepala Bappelitbangda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</si>
  <si>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</si>
  <si>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</si>
  <si>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</si>
  <si>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</si>
  <si>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</si>
  <si>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t>M. ARLIYAN SYAHRIAL, M.Pd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</si>
  <si>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</si>
  <si>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</si>
  <si>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</si>
  <si>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t>NIP. 19700423 199303 1 006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</si>
  <si>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</si>
  <si>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</si>
  <si>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</si>
  <si>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</si>
  <si>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</si>
  <si>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</si>
  <si>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</si>
  <si>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</si>
  <si>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</si>
  <si>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Jumlah Pelaksanaan Pelatihan Tenaga Terampil Konstruksi</t>
  </si>
  <si>
    <t>PERIODE PELAKSANAAN TRIWULAN IV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</si>
</sst>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#,##0.0"/>
    <numFmt numFmtId="167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indexed="8"/>
      <name val="Calibri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sz val="12"/>
      <color indexed="81"/>
      <name val="Tahoma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>
      <protection locked="0"/>
    </xf>
    <xf numFmtId="43" fontId="6" fillId="0" borderId="0" applyFont="0" applyFill="0" applyBorder="0" applyAlignment="0" applyProtection="0"/>
    <xf numFmtId="0" fontId="6" fillId="0" borderId="0"/>
    <xf numFmtId="43" fontId="10" fillId="0" borderId="0" applyFont="0" applyFill="0" applyBorder="0" applyAlignment="0" applyProtection="0"/>
    <xf numFmtId="0" fontId="4" fillId="0" borderId="0"/>
    <xf numFmtId="41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1" fillId="0" borderId="0"/>
    <xf numFmtId="0" fontId="6" fillId="0" borderId="0"/>
    <xf numFmtId="0" fontId="6" fillId="0" borderId="0"/>
  </cellStyleXfs>
  <cellXfs count="24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0" fontId="12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14" fillId="3" borderId="6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/>
    </xf>
    <xf numFmtId="0" fontId="2" fillId="4" borderId="0" xfId="0" applyFont="1" applyFill="1"/>
    <xf numFmtId="0" fontId="14" fillId="4" borderId="3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2" fillId="4" borderId="10" xfId="0" applyFont="1" applyFill="1" applyBorder="1"/>
    <xf numFmtId="0" fontId="14" fillId="4" borderId="1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" fillId="4" borderId="6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2" fillId="0" borderId="10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 vertical="top"/>
    </xf>
    <xf numFmtId="0" fontId="14" fillId="0" borderId="1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9" fontId="14" fillId="0" borderId="1" xfId="0" applyNumberFormat="1" applyFont="1" applyBorder="1" applyAlignment="1">
      <alignment horizontal="center" vertical="top"/>
    </xf>
    <xf numFmtId="165" fontId="14" fillId="0" borderId="1" xfId="8" quotePrefix="1" applyNumberFormat="1" applyFont="1" applyFill="1" applyBorder="1" applyAlignment="1">
      <alignment vertical="top"/>
    </xf>
    <xf numFmtId="1" fontId="14" fillId="0" borderId="1" xfId="0" applyNumberFormat="1" applyFont="1" applyBorder="1" applyAlignment="1">
      <alignment horizontal="center" vertical="top"/>
    </xf>
    <xf numFmtId="2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41" fontId="14" fillId="0" borderId="1" xfId="0" applyNumberFormat="1" applyFont="1" applyBorder="1" applyAlignment="1">
      <alignment vertical="top"/>
    </xf>
    <xf numFmtId="0" fontId="14" fillId="0" borderId="10" xfId="0" applyFont="1" applyBorder="1" applyAlignment="1">
      <alignment horizontal="center" vertical="top" wrapText="1"/>
    </xf>
    <xf numFmtId="165" fontId="8" fillId="0" borderId="0" xfId="8" quotePrefix="1" applyNumberFormat="1" applyFont="1" applyFill="1" applyBorder="1" applyAlignment="1">
      <alignment vertical="top"/>
    </xf>
    <xf numFmtId="0" fontId="14" fillId="0" borderId="10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9" fontId="8" fillId="0" borderId="1" xfId="0" applyNumberFormat="1" applyFont="1" applyBorder="1" applyAlignment="1">
      <alignment horizontal="center" vertical="top"/>
    </xf>
    <xf numFmtId="41" fontId="8" fillId="0" borderId="1" xfId="1" applyFont="1" applyFill="1" applyBorder="1" applyAlignment="1">
      <alignment vertical="top"/>
    </xf>
    <xf numFmtId="41" fontId="8" fillId="0" borderId="1" xfId="0" applyNumberFormat="1" applyFont="1" applyBorder="1" applyAlignment="1">
      <alignment vertical="top"/>
    </xf>
    <xf numFmtId="165" fontId="8" fillId="0" borderId="1" xfId="8" applyNumberFormat="1" applyFont="1" applyFill="1" applyBorder="1" applyAlignment="1">
      <alignment vertical="top"/>
    </xf>
    <xf numFmtId="1" fontId="8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1" fontId="14" fillId="0" borderId="6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wrapText="1"/>
    </xf>
    <xf numFmtId="9" fontId="8" fillId="0" borderId="6" xfId="0" applyNumberFormat="1" applyFont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1" fontId="8" fillId="0" borderId="1" xfId="0" applyNumberFormat="1" applyFont="1" applyBorder="1" applyAlignment="1">
      <alignment horizontal="center" vertical="top" wrapText="1"/>
    </xf>
    <xf numFmtId="165" fontId="8" fillId="0" borderId="1" xfId="8" quotePrefix="1" applyNumberFormat="1" applyFont="1" applyFill="1" applyBorder="1" applyAlignment="1">
      <alignment vertical="top"/>
    </xf>
    <xf numFmtId="0" fontId="8" fillId="0" borderId="10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41" fontId="16" fillId="2" borderId="1" xfId="12" applyNumberFormat="1" applyFont="1" applyFill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1" fontId="8" fillId="0" borderId="1" xfId="1" applyNumberFormat="1" applyFont="1" applyFill="1" applyBorder="1" applyAlignment="1">
      <alignment horizontal="center" vertical="top"/>
    </xf>
    <xf numFmtId="4" fontId="14" fillId="0" borderId="1" xfId="0" applyNumberFormat="1" applyFont="1" applyBorder="1" applyAlignment="1">
      <alignment horizontal="center" vertical="top" wrapText="1"/>
    </xf>
    <xf numFmtId="2" fontId="14" fillId="0" borderId="1" xfId="1" applyNumberFormat="1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top" wrapText="1"/>
    </xf>
    <xf numFmtId="1" fontId="14" fillId="0" borderId="1" xfId="1" applyNumberFormat="1" applyFont="1" applyFill="1" applyBorder="1" applyAlignment="1">
      <alignment horizontal="center" vertical="top"/>
    </xf>
    <xf numFmtId="3" fontId="14" fillId="2" borderId="1" xfId="8" applyNumberFormat="1" applyFont="1" applyFill="1" applyBorder="1" applyAlignment="1">
      <alignment horizontal="center" vertical="top" wrapText="1"/>
    </xf>
    <xf numFmtId="3" fontId="14" fillId="0" borderId="1" xfId="8" applyNumberFormat="1" applyFont="1" applyFill="1" applyBorder="1" applyAlignment="1">
      <alignment horizontal="center" vertical="top" wrapText="1"/>
    </xf>
    <xf numFmtId="4" fontId="14" fillId="0" borderId="1" xfId="0" applyNumberFormat="1" applyFont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 wrapText="1"/>
    </xf>
    <xf numFmtId="41" fontId="16" fillId="2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center" vertical="top" wrapText="1"/>
    </xf>
    <xf numFmtId="3" fontId="17" fillId="2" borderId="6" xfId="0" applyNumberFormat="1" applyFont="1" applyFill="1" applyBorder="1" applyAlignment="1">
      <alignment horizontal="center" vertical="top" wrapText="1"/>
    </xf>
    <xf numFmtId="41" fontId="17" fillId="2" borderId="6" xfId="12" applyNumberFormat="1" applyFont="1" applyFill="1" applyBorder="1" applyAlignment="1">
      <alignment horizontal="right" vertical="top" wrapText="1"/>
    </xf>
    <xf numFmtId="3" fontId="8" fillId="0" borderId="1" xfId="1" applyNumberFormat="1" applyFont="1" applyFill="1" applyBorder="1" applyAlignment="1">
      <alignment horizontal="center" vertical="top"/>
    </xf>
    <xf numFmtId="3" fontId="16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41" fontId="8" fillId="2" borderId="1" xfId="1" applyFont="1" applyFill="1" applyBorder="1" applyAlignment="1">
      <alignment horizontal="right" vertical="top"/>
    </xf>
    <xf numFmtId="1" fontId="16" fillId="0" borderId="1" xfId="0" applyNumberFormat="1" applyFont="1" applyBorder="1" applyAlignment="1">
      <alignment horizontal="center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8" fillId="0" borderId="2" xfId="9" applyFont="1" applyBorder="1" applyAlignment="1" applyProtection="1">
      <alignment vertical="top" wrapText="1"/>
    </xf>
    <xf numFmtId="0" fontId="16" fillId="0" borderId="2" xfId="9" applyFont="1" applyBorder="1" applyAlignment="1" applyProtection="1">
      <alignment vertical="top" wrapText="1"/>
    </xf>
    <xf numFmtId="3" fontId="17" fillId="2" borderId="1" xfId="0" applyNumberFormat="1" applyFont="1" applyFill="1" applyBorder="1" applyAlignment="1">
      <alignment horizontal="center" vertical="top" wrapText="1"/>
    </xf>
    <xf numFmtId="9" fontId="8" fillId="0" borderId="1" xfId="0" applyNumberFormat="1" applyFont="1" applyBorder="1" applyAlignment="1">
      <alignment horizontal="center" vertical="top" wrapText="1"/>
    </xf>
    <xf numFmtId="41" fontId="17" fillId="2" borderId="1" xfId="12" applyNumberFormat="1" applyFont="1" applyFill="1" applyBorder="1" applyAlignment="1">
      <alignment horizontal="right" vertical="top" wrapText="1"/>
    </xf>
    <xf numFmtId="166" fontId="16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2" fontId="14" fillId="2" borderId="1" xfId="0" applyNumberFormat="1" applyFont="1" applyFill="1" applyBorder="1" applyAlignment="1">
      <alignment horizontal="center" vertical="top" wrapText="1"/>
    </xf>
    <xf numFmtId="0" fontId="3" fillId="0" borderId="10" xfId="0" applyFont="1" applyBorder="1"/>
    <xf numFmtId="0" fontId="14" fillId="2" borderId="1" xfId="0" applyFont="1" applyFill="1" applyBorder="1" applyAlignment="1">
      <alignment horizontal="center" vertical="top" wrapText="1"/>
    </xf>
    <xf numFmtId="41" fontId="8" fillId="2" borderId="1" xfId="8" applyNumberFormat="1" applyFont="1" applyFill="1" applyBorder="1" applyAlignment="1">
      <alignment horizontal="right" vertical="top"/>
    </xf>
    <xf numFmtId="41" fontId="17" fillId="2" borderId="1" xfId="8" applyNumberFormat="1" applyFont="1" applyFill="1" applyBorder="1" applyAlignment="1">
      <alignment horizontal="right" vertical="top" wrapText="1"/>
    </xf>
    <xf numFmtId="3" fontId="14" fillId="0" borderId="1" xfId="8" applyNumberFormat="1" applyFont="1" applyFill="1" applyBorder="1" applyAlignment="1">
      <alignment horizontal="center" vertical="top"/>
    </xf>
    <xf numFmtId="165" fontId="14" fillId="0" borderId="1" xfId="0" applyNumberFormat="1" applyFont="1" applyBorder="1" applyAlignment="1">
      <alignment vertical="top"/>
    </xf>
    <xf numFmtId="3" fontId="8" fillId="0" borderId="1" xfId="8" applyNumberFormat="1" applyFont="1" applyFill="1" applyBorder="1" applyAlignment="1">
      <alignment horizontal="center" vertical="top" wrapText="1"/>
    </xf>
    <xf numFmtId="3" fontId="8" fillId="0" borderId="1" xfId="1" applyNumberFormat="1" applyFont="1" applyFill="1" applyBorder="1" applyAlignment="1">
      <alignment horizontal="center" vertical="top" wrapText="1"/>
    </xf>
    <xf numFmtId="41" fontId="16" fillId="2" borderId="1" xfId="15" applyNumberFormat="1" applyFont="1" applyFill="1" applyBorder="1" applyAlignment="1">
      <alignment horizontal="right" vertical="top" wrapText="1"/>
    </xf>
    <xf numFmtId="0" fontId="14" fillId="2" borderId="10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2" fontId="18" fillId="2" borderId="1" xfId="0" applyNumberFormat="1" applyFont="1" applyFill="1" applyBorder="1" applyAlignment="1">
      <alignment horizontal="center" vertical="top" wrapText="1"/>
    </xf>
    <xf numFmtId="9" fontId="18" fillId="2" borderId="1" xfId="0" applyNumberFormat="1" applyFont="1" applyFill="1" applyBorder="1" applyAlignment="1">
      <alignment horizontal="center" vertical="top"/>
    </xf>
    <xf numFmtId="165" fontId="18" fillId="2" borderId="1" xfId="8" quotePrefix="1" applyNumberFormat="1" applyFont="1" applyFill="1" applyBorder="1" applyAlignment="1">
      <alignment vertical="top"/>
    </xf>
    <xf numFmtId="2" fontId="18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/>
    </xf>
    <xf numFmtId="41" fontId="18" fillId="2" borderId="1" xfId="0" applyNumberFormat="1" applyFont="1" applyFill="1" applyBorder="1" applyAlignment="1">
      <alignment vertical="top"/>
    </xf>
    <xf numFmtId="0" fontId="19" fillId="2" borderId="10" xfId="0" applyFont="1" applyFill="1" applyBorder="1"/>
    <xf numFmtId="1" fontId="1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horizontal="center" vertical="top" wrapText="1"/>
    </xf>
    <xf numFmtId="9" fontId="16" fillId="2" borderId="1" xfId="0" applyNumberFormat="1" applyFont="1" applyFill="1" applyBorder="1" applyAlignment="1">
      <alignment horizontal="center" vertical="top"/>
    </xf>
    <xf numFmtId="165" fontId="16" fillId="2" borderId="1" xfId="8" applyNumberFormat="1" applyFont="1" applyFill="1" applyBorder="1" applyAlignment="1">
      <alignment vertical="top"/>
    </xf>
    <xf numFmtId="2" fontId="16" fillId="2" borderId="1" xfId="0" applyNumberFormat="1" applyFont="1" applyFill="1" applyBorder="1" applyAlignment="1">
      <alignment horizontal="center" vertical="top"/>
    </xf>
    <xf numFmtId="165" fontId="16" fillId="2" borderId="1" xfId="8" quotePrefix="1" applyNumberFormat="1" applyFont="1" applyFill="1" applyBorder="1" applyAlignment="1">
      <alignment vertical="top"/>
    </xf>
    <xf numFmtId="1" fontId="16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41" fontId="16" fillId="2" borderId="1" xfId="0" applyNumberFormat="1" applyFont="1" applyFill="1" applyBorder="1" applyAlignment="1">
      <alignment vertical="top"/>
    </xf>
    <xf numFmtId="0" fontId="16" fillId="2" borderId="1" xfId="9" applyFont="1" applyFill="1" applyBorder="1" applyAlignment="1" applyProtection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1" fontId="16" fillId="2" borderId="1" xfId="0" applyNumberFormat="1" applyFont="1" applyFill="1" applyBorder="1" applyAlignment="1">
      <alignment horizontal="center" vertical="top" wrapText="1"/>
    </xf>
    <xf numFmtId="9" fontId="16" fillId="0" borderId="1" xfId="0" applyNumberFormat="1" applyFont="1" applyBorder="1" applyAlignment="1">
      <alignment horizontal="center" vertical="top"/>
    </xf>
    <xf numFmtId="165" fontId="16" fillId="0" borderId="1" xfId="8" quotePrefix="1" applyNumberFormat="1" applyFont="1" applyFill="1" applyBorder="1" applyAlignment="1">
      <alignment vertical="top"/>
    </xf>
    <xf numFmtId="165" fontId="16" fillId="0" borderId="1" xfId="8" applyNumberFormat="1" applyFont="1" applyFill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top"/>
    </xf>
    <xf numFmtId="2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41" fontId="16" fillId="0" borderId="1" xfId="0" applyNumberFormat="1" applyFont="1" applyBorder="1" applyAlignment="1">
      <alignment vertical="top"/>
    </xf>
    <xf numFmtId="0" fontId="19" fillId="0" borderId="10" xfId="0" applyFont="1" applyBorder="1"/>
    <xf numFmtId="1" fontId="18" fillId="0" borderId="1" xfId="0" applyNumberFormat="1" applyFont="1" applyBorder="1" applyAlignment="1">
      <alignment horizontal="center" vertical="top" wrapText="1"/>
    </xf>
    <xf numFmtId="9" fontId="18" fillId="0" borderId="1" xfId="0" applyNumberFormat="1" applyFont="1" applyBorder="1" applyAlignment="1">
      <alignment horizontal="center" vertical="top"/>
    </xf>
    <xf numFmtId="165" fontId="18" fillId="0" borderId="1" xfId="8" quotePrefix="1" applyNumberFormat="1" applyFont="1" applyFill="1" applyBorder="1" applyAlignment="1">
      <alignment vertical="top"/>
    </xf>
    <xf numFmtId="0" fontId="18" fillId="0" borderId="1" xfId="0" applyFont="1" applyBorder="1" applyAlignment="1">
      <alignment horizontal="center" vertical="top" wrapText="1"/>
    </xf>
    <xf numFmtId="1" fontId="18" fillId="0" borderId="1" xfId="0" applyNumberFormat="1" applyFont="1" applyBorder="1" applyAlignment="1">
      <alignment horizontal="center" vertical="top"/>
    </xf>
    <xf numFmtId="2" fontId="18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41" fontId="18" fillId="0" borderId="1" xfId="0" applyNumberFormat="1" applyFont="1" applyBorder="1" applyAlignment="1">
      <alignment vertical="top"/>
    </xf>
    <xf numFmtId="3" fontId="16" fillId="2" borderId="1" xfId="0" applyNumberFormat="1" applyFont="1" applyFill="1" applyBorder="1" applyAlignment="1">
      <alignment horizontal="right" vertical="top"/>
    </xf>
    <xf numFmtId="0" fontId="16" fillId="0" borderId="1" xfId="9" applyFont="1" applyBorder="1" applyAlignment="1" applyProtection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165" fontId="14" fillId="0" borderId="2" xfId="8" quotePrefix="1" applyNumberFormat="1" applyFont="1" applyFill="1" applyBorder="1" applyAlignment="1">
      <alignment vertical="top"/>
    </xf>
    <xf numFmtId="41" fontId="14" fillId="0" borderId="2" xfId="0" applyNumberFormat="1" applyFont="1" applyBorder="1" applyAlignment="1">
      <alignment vertical="top"/>
    </xf>
    <xf numFmtId="2" fontId="14" fillId="0" borderId="2" xfId="0" applyNumberFormat="1" applyFont="1" applyBorder="1" applyAlignment="1">
      <alignment horizontal="center" vertical="top"/>
    </xf>
    <xf numFmtId="0" fontId="20" fillId="0" borderId="1" xfId="9" applyFont="1" applyBorder="1" applyAlignment="1" applyProtection="1">
      <alignment horizontal="center" vertical="top" wrapText="1"/>
    </xf>
    <xf numFmtId="2" fontId="8" fillId="6" borderId="1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2" fontId="8" fillId="6" borderId="3" xfId="0" applyNumberFormat="1" applyFont="1" applyFill="1" applyBorder="1" applyAlignment="1">
      <alignment horizontal="right"/>
    </xf>
    <xf numFmtId="2" fontId="8" fillId="6" borderId="4" xfId="0" applyNumberFormat="1" applyFont="1" applyFill="1" applyBorder="1" applyAlignment="1">
      <alignment horizontal="right"/>
    </xf>
    <xf numFmtId="2" fontId="8" fillId="6" borderId="5" xfId="0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0" fontId="8" fillId="6" borderId="3" xfId="0" applyFont="1" applyFill="1" applyBorder="1"/>
    <xf numFmtId="0" fontId="8" fillId="6" borderId="4" xfId="0" applyFont="1" applyFill="1" applyBorder="1" applyAlignment="1">
      <alignment horizontal="left"/>
    </xf>
    <xf numFmtId="0" fontId="8" fillId="6" borderId="4" xfId="0" applyFont="1" applyFill="1" applyBorder="1"/>
    <xf numFmtId="0" fontId="8" fillId="6" borderId="5" xfId="0" applyFont="1" applyFill="1" applyBorder="1"/>
    <xf numFmtId="0" fontId="8" fillId="6" borderId="3" xfId="0" applyFont="1" applyFill="1" applyBorder="1" applyAlignment="1">
      <alignment vertical="top"/>
    </xf>
    <xf numFmtId="0" fontId="8" fillId="6" borderId="4" xfId="0" applyFont="1" applyFill="1" applyBorder="1" applyAlignment="1">
      <alignment horizontal="left" vertical="top"/>
    </xf>
    <xf numFmtId="0" fontId="8" fillId="6" borderId="4" xfId="0" applyFont="1" applyFill="1" applyBorder="1" applyAlignment="1">
      <alignment vertical="top"/>
    </xf>
    <xf numFmtId="0" fontId="8" fillId="6" borderId="5" xfId="0" applyFont="1" applyFill="1" applyBorder="1" applyAlignment="1">
      <alignment horizontal="left" vertical="top"/>
    </xf>
    <xf numFmtId="0" fontId="8" fillId="6" borderId="3" xfId="0" applyFont="1" applyFill="1" applyBorder="1" applyAlignment="1">
      <alignment horizontal="left" vertical="top"/>
    </xf>
    <xf numFmtId="0" fontId="8" fillId="6" borderId="5" xfId="0" applyFont="1" applyFill="1" applyBorder="1" applyAlignment="1">
      <alignment vertical="top"/>
    </xf>
    <xf numFmtId="0" fontId="14" fillId="6" borderId="4" xfId="0" applyFont="1" applyFill="1" applyBorder="1" applyAlignment="1">
      <alignment horizontal="left" vertical="top"/>
    </xf>
    <xf numFmtId="0" fontId="14" fillId="6" borderId="5" xfId="0" applyFont="1" applyFill="1" applyBorder="1" applyAlignment="1">
      <alignment horizontal="left" vertical="top"/>
    </xf>
    <xf numFmtId="0" fontId="2" fillId="0" borderId="6" xfId="0" applyFont="1" applyBorder="1"/>
    <xf numFmtId="0" fontId="14" fillId="0" borderId="0" xfId="0" applyFont="1"/>
    <xf numFmtId="0" fontId="22" fillId="7" borderId="12" xfId="16" applyFont="1" applyFill="1" applyBorder="1" applyAlignment="1">
      <alignment horizontal="center" vertical="center" wrapText="1"/>
    </xf>
    <xf numFmtId="0" fontId="22" fillId="0" borderId="12" xfId="16" applyFont="1" applyBorder="1" applyAlignment="1">
      <alignment horizontal="center" vertical="center" wrapText="1"/>
    </xf>
    <xf numFmtId="0" fontId="24" fillId="0" borderId="12" xfId="16" applyFont="1" applyBorder="1" applyAlignment="1">
      <alignment horizontal="center" vertical="center" wrapText="1"/>
    </xf>
    <xf numFmtId="41" fontId="26" fillId="0" borderId="0" xfId="0" applyNumberFormat="1" applyFont="1"/>
    <xf numFmtId="3" fontId="8" fillId="2" borderId="1" xfId="0" applyNumberFormat="1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4" fontId="14" fillId="2" borderId="1" xfId="0" applyNumberFormat="1" applyFont="1" applyFill="1" applyBorder="1" applyAlignment="1">
      <alignment horizontal="center" vertical="top" wrapText="1"/>
    </xf>
    <xf numFmtId="1" fontId="14" fillId="2" borderId="1" xfId="0" applyNumberFormat="1" applyFont="1" applyFill="1" applyBorder="1" applyAlignment="1">
      <alignment horizontal="center" vertical="top" wrapText="1"/>
    </xf>
    <xf numFmtId="43" fontId="14" fillId="0" borderId="1" xfId="8" applyFont="1" applyBorder="1" applyAlignment="1">
      <alignment horizontal="center" vertical="top" wrapText="1"/>
    </xf>
    <xf numFmtId="167" fontId="14" fillId="0" borderId="1" xfId="0" applyNumberFormat="1" applyFont="1" applyBorder="1" applyAlignment="1">
      <alignment horizontal="center" vertical="top"/>
    </xf>
    <xf numFmtId="165" fontId="2" fillId="0" borderId="0" xfId="0" applyNumberFormat="1" applyFont="1"/>
    <xf numFmtId="41" fontId="2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6" borderId="3" xfId="0" applyFont="1" applyFill="1" applyBorder="1" applyAlignment="1">
      <alignment horizontal="right"/>
    </xf>
    <xf numFmtId="0" fontId="8" fillId="6" borderId="4" xfId="0" applyFont="1" applyFill="1" applyBorder="1" applyAlignment="1">
      <alignment horizontal="right"/>
    </xf>
    <xf numFmtId="0" fontId="14" fillId="6" borderId="1" xfId="0" applyFont="1" applyFill="1" applyBorder="1" applyAlignment="1">
      <alignment horizontal="left" vertical="top"/>
    </xf>
    <xf numFmtId="0" fontId="8" fillId="6" borderId="3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14" fillId="4" borderId="7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4" fillId="4" borderId="16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top" wrapText="1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167" fontId="16" fillId="2" borderId="1" xfId="0" applyNumberFormat="1" applyFont="1" applyFill="1" applyBorder="1" applyAlignment="1">
      <alignment horizontal="center" vertical="top" wrapText="1"/>
    </xf>
  </cellXfs>
  <cellStyles count="19">
    <cellStyle name="Comma" xfId="8" builtinId="3"/>
    <cellStyle name="Comma [0]" xfId="1" builtinId="6"/>
    <cellStyle name="Comma [0] 2 2" xfId="5" xr:uid="{00000000-0005-0000-0000-000001000000}"/>
    <cellStyle name="Comma [0] 3" xfId="14" xr:uid="{ECC3E889-CEE2-48B6-B1C9-5CDDA26A44EA}"/>
    <cellStyle name="Comma [0] 8" xfId="4" xr:uid="{00000000-0005-0000-0000-000002000000}"/>
    <cellStyle name="Comma 2" xfId="10" xr:uid="{6053B41F-B862-4184-9BFB-A45D492B2215}"/>
    <cellStyle name="Comma 2 2" xfId="12" xr:uid="{FC4A73C8-65A4-40D5-9B32-09E53ADC0AD2}"/>
    <cellStyle name="Normal" xfId="0" builtinId="0"/>
    <cellStyle name="Normal 2" xfId="2" xr:uid="{00000000-0005-0000-0000-000004000000}"/>
    <cellStyle name="Normal 2 2" xfId="13" xr:uid="{0DA9AED5-6434-45C9-97A8-6BE8D8D2CABE}"/>
    <cellStyle name="Normal 2 3" xfId="6" xr:uid="{00000000-0005-0000-0000-000005000000}"/>
    <cellStyle name="Normal 2 4" xfId="16" xr:uid="{A040A877-D6CF-4398-BFE8-C35F3A53A3CA}"/>
    <cellStyle name="Normal 3" xfId="3" xr:uid="{00000000-0005-0000-0000-000006000000}"/>
    <cellStyle name="Normal 4" xfId="11" xr:uid="{69973C65-D4C2-456C-BD78-B284EBC8BA97}"/>
    <cellStyle name="Normal 5" xfId="17" xr:uid="{F4966055-1444-490B-9FD2-6F0C881C8E33}"/>
    <cellStyle name="Normal 5 2" xfId="18" xr:uid="{449E4752-EFCC-4CB0-9A58-AF327648EB41}"/>
    <cellStyle name="Normal 7" xfId="9" xr:uid="{DBBE82D8-BF54-498A-9165-2C968E73A4DD}"/>
    <cellStyle name="Percent 2" xfId="7" xr:uid="{00000000-0005-0000-0000-000007000000}"/>
    <cellStyle name="Percent 2 2" xfId="15" xr:uid="{66B6FFA6-E352-4876-A436-0A030C23BC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940A-1B70-4B7D-93BC-14DAE710173A}">
  <sheetPr>
    <tabColor theme="9" tint="-0.249977111117893"/>
  </sheetPr>
  <dimension ref="A1:AK139"/>
  <sheetViews>
    <sheetView tabSelected="1" showRuler="0" view="pageBreakPreview" zoomScale="40" zoomScaleNormal="40" zoomScaleSheetLayoutView="40" zoomScalePageLayoutView="55" workbookViewId="0">
      <pane xSplit="19" ySplit="10" topLeftCell="T73" activePane="bottomRight" state="frozen"/>
      <selection pane="topRight" activeCell="T1" sqref="T1"/>
      <selection pane="bottomLeft" activeCell="A11" sqref="A11"/>
      <selection pane="bottomRight" activeCell="P80" sqref="P80"/>
    </sheetView>
  </sheetViews>
  <sheetFormatPr defaultColWidth="9.1796875" defaultRowHeight="14" x14ac:dyDescent="0.3"/>
  <cols>
    <col min="1" max="1" width="6.453125" style="3" customWidth="1"/>
    <col min="2" max="2" width="18" style="3" customWidth="1"/>
    <col min="3" max="3" width="19.81640625" style="3" customWidth="1"/>
    <col min="4" max="4" width="17.7265625" style="3" customWidth="1"/>
    <col min="5" max="5" width="11" style="3" customWidth="1"/>
    <col min="6" max="6" width="7.7265625" style="3" customWidth="1"/>
    <col min="7" max="7" width="25.453125" style="3" customWidth="1"/>
    <col min="8" max="8" width="11.1796875" style="3" customWidth="1"/>
    <col min="9" max="9" width="24.1796875" style="3" customWidth="1"/>
    <col min="10" max="10" width="13.7265625" style="3" customWidth="1"/>
    <col min="11" max="11" width="26" style="3" customWidth="1"/>
    <col min="12" max="12" width="7.7265625" style="3" customWidth="1"/>
    <col min="13" max="13" width="23.1796875" style="3" customWidth="1"/>
    <col min="14" max="14" width="12.453125" style="3" customWidth="1"/>
    <col min="15" max="15" width="21.81640625" style="3" customWidth="1"/>
    <col min="16" max="16" width="12.453125" style="3" customWidth="1"/>
    <col min="17" max="17" width="24.81640625" style="3" customWidth="1"/>
    <col min="18" max="18" width="14.453125" style="3" customWidth="1"/>
    <col min="19" max="19" width="26.54296875" style="3" customWidth="1"/>
    <col min="20" max="20" width="13.54296875" style="3" customWidth="1"/>
    <col min="21" max="21" width="11.26953125" style="3" customWidth="1"/>
    <col min="22" max="22" width="5.54296875" style="6" customWidth="1"/>
    <col min="23" max="23" width="23.81640625" style="3" customWidth="1"/>
    <col min="24" max="24" width="10.7265625" style="3" customWidth="1"/>
    <col min="25" max="25" width="5.54296875" style="6" customWidth="1"/>
    <col min="26" max="26" width="15.7265625" style="3" customWidth="1"/>
    <col min="27" max="27" width="25.453125" style="3" customWidth="1"/>
    <col min="28" max="28" width="8" style="3" customWidth="1"/>
    <col min="29" max="29" width="5.54296875" style="6" customWidth="1"/>
    <col min="30" max="30" width="8.81640625" style="3" customWidth="1"/>
    <col min="31" max="31" width="15" style="3" customWidth="1"/>
    <col min="32" max="32" width="9.1796875" style="3"/>
    <col min="33" max="37" width="19.54296875" style="3" customWidth="1"/>
    <col min="38" max="16384" width="9.1796875" style="3"/>
  </cols>
  <sheetData>
    <row r="1" spans="1:37" ht="23" x14ac:dyDescent="0.5">
      <c r="A1" s="242" t="s">
        <v>195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4"/>
    </row>
    <row r="2" spans="1:37" ht="23" x14ac:dyDescent="0.5">
      <c r="A2" s="242" t="s">
        <v>196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5"/>
    </row>
    <row r="3" spans="1:37" ht="23" x14ac:dyDescent="0.5">
      <c r="A3" s="242" t="s">
        <v>197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5"/>
    </row>
    <row r="4" spans="1:37" ht="23" x14ac:dyDescent="0.45">
      <c r="A4" s="243" t="s">
        <v>289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4"/>
    </row>
    <row r="5" spans="1:37" ht="18" x14ac:dyDescent="0.3">
      <c r="A5" s="244" t="s">
        <v>198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</row>
    <row r="6" spans="1:37" ht="18" x14ac:dyDescent="0.4">
      <c r="A6" s="241" t="s">
        <v>197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</row>
    <row r="7" spans="1:37" ht="81" customHeight="1" x14ac:dyDescent="0.3">
      <c r="A7" s="234" t="s">
        <v>199</v>
      </c>
      <c r="B7" s="234" t="s">
        <v>188</v>
      </c>
      <c r="C7" s="235" t="s">
        <v>189</v>
      </c>
      <c r="D7" s="235" t="s">
        <v>200</v>
      </c>
      <c r="E7" s="228" t="s">
        <v>201</v>
      </c>
      <c r="F7" s="229"/>
      <c r="G7" s="236"/>
      <c r="H7" s="228" t="s">
        <v>202</v>
      </c>
      <c r="I7" s="236"/>
      <c r="J7" s="228" t="s">
        <v>203</v>
      </c>
      <c r="K7" s="229"/>
      <c r="L7" s="228" t="s">
        <v>204</v>
      </c>
      <c r="M7" s="229"/>
      <c r="N7" s="229"/>
      <c r="O7" s="229"/>
      <c r="P7" s="229"/>
      <c r="Q7" s="229"/>
      <c r="R7" s="229"/>
      <c r="S7" s="236"/>
      <c r="T7" s="228" t="s">
        <v>205</v>
      </c>
      <c r="U7" s="229"/>
      <c r="V7" s="229"/>
      <c r="W7" s="229"/>
      <c r="X7" s="229"/>
      <c r="Y7" s="236"/>
      <c r="Z7" s="228" t="s">
        <v>206</v>
      </c>
      <c r="AA7" s="236"/>
      <c r="AB7" s="228" t="s">
        <v>207</v>
      </c>
      <c r="AC7" s="229"/>
      <c r="AD7" s="229"/>
      <c r="AE7" s="232" t="s">
        <v>208</v>
      </c>
      <c r="AG7" s="6"/>
      <c r="AH7" s="6"/>
      <c r="AI7" s="6"/>
      <c r="AJ7" s="6"/>
      <c r="AK7" s="6"/>
    </row>
    <row r="8" spans="1:37" ht="18" customHeight="1" x14ac:dyDescent="0.3">
      <c r="A8" s="234"/>
      <c r="B8" s="234"/>
      <c r="C8" s="235"/>
      <c r="D8" s="235"/>
      <c r="E8" s="237"/>
      <c r="F8" s="238"/>
      <c r="G8" s="239"/>
      <c r="H8" s="237"/>
      <c r="I8" s="239"/>
      <c r="J8" s="230"/>
      <c r="K8" s="231"/>
      <c r="L8" s="230"/>
      <c r="M8" s="231"/>
      <c r="N8" s="231"/>
      <c r="O8" s="231"/>
      <c r="P8" s="231"/>
      <c r="Q8" s="231"/>
      <c r="R8" s="231"/>
      <c r="S8" s="240"/>
      <c r="T8" s="230"/>
      <c r="U8" s="231"/>
      <c r="V8" s="231"/>
      <c r="W8" s="231"/>
      <c r="X8" s="231"/>
      <c r="Y8" s="240"/>
      <c r="Z8" s="230"/>
      <c r="AA8" s="240"/>
      <c r="AB8" s="230"/>
      <c r="AC8" s="231"/>
      <c r="AD8" s="231"/>
      <c r="AE8" s="233"/>
    </row>
    <row r="9" spans="1:37" ht="15.75" customHeight="1" x14ac:dyDescent="0.3">
      <c r="A9" s="234"/>
      <c r="B9" s="234"/>
      <c r="C9" s="235"/>
      <c r="D9" s="235"/>
      <c r="E9" s="230"/>
      <c r="F9" s="231"/>
      <c r="G9" s="240"/>
      <c r="H9" s="230"/>
      <c r="I9" s="240"/>
      <c r="J9" s="226">
        <v>2022</v>
      </c>
      <c r="K9" s="227"/>
      <c r="L9" s="221" t="s">
        <v>209</v>
      </c>
      <c r="M9" s="222"/>
      <c r="N9" s="221" t="s">
        <v>210</v>
      </c>
      <c r="O9" s="222"/>
      <c r="P9" s="221" t="s">
        <v>211</v>
      </c>
      <c r="Q9" s="222"/>
      <c r="R9" s="221" t="s">
        <v>212</v>
      </c>
      <c r="S9" s="222"/>
      <c r="T9" s="221">
        <v>2022</v>
      </c>
      <c r="U9" s="223"/>
      <c r="V9" s="223"/>
      <c r="W9" s="223"/>
      <c r="X9" s="223"/>
      <c r="Y9" s="222"/>
      <c r="Z9" s="221">
        <v>2022</v>
      </c>
      <c r="AA9" s="222"/>
      <c r="AB9" s="221">
        <v>2022</v>
      </c>
      <c r="AC9" s="223"/>
      <c r="AD9" s="222"/>
      <c r="AE9" s="7"/>
    </row>
    <row r="10" spans="1:37" s="9" customFormat="1" ht="15.5" x14ac:dyDescent="0.35">
      <c r="A10" s="209">
        <v>1</v>
      </c>
      <c r="B10" s="209">
        <v>2</v>
      </c>
      <c r="C10" s="209">
        <v>3</v>
      </c>
      <c r="D10" s="209">
        <v>4</v>
      </c>
      <c r="E10" s="211">
        <v>5</v>
      </c>
      <c r="F10" s="225"/>
      <c r="G10" s="212"/>
      <c r="H10" s="211">
        <v>6</v>
      </c>
      <c r="I10" s="212"/>
      <c r="J10" s="216">
        <v>7</v>
      </c>
      <c r="K10" s="217"/>
      <c r="L10" s="216">
        <v>8</v>
      </c>
      <c r="M10" s="217"/>
      <c r="N10" s="216">
        <v>9</v>
      </c>
      <c r="O10" s="217"/>
      <c r="P10" s="216">
        <v>10</v>
      </c>
      <c r="Q10" s="217"/>
      <c r="R10" s="216">
        <v>11</v>
      </c>
      <c r="S10" s="217"/>
      <c r="T10" s="218">
        <v>12</v>
      </c>
      <c r="U10" s="219"/>
      <c r="V10" s="219"/>
      <c r="W10" s="219"/>
      <c r="X10" s="219"/>
      <c r="Y10" s="220"/>
      <c r="Z10" s="218">
        <v>13</v>
      </c>
      <c r="AA10" s="220"/>
      <c r="AB10" s="218">
        <v>14</v>
      </c>
      <c r="AC10" s="219"/>
      <c r="AD10" s="220"/>
      <c r="AE10" s="8">
        <v>15</v>
      </c>
    </row>
    <row r="11" spans="1:37" s="9" customFormat="1" ht="131.25" customHeight="1" x14ac:dyDescent="0.3">
      <c r="A11" s="224"/>
      <c r="B11" s="224"/>
      <c r="C11" s="224"/>
      <c r="D11" s="224"/>
      <c r="E11" s="207" t="s">
        <v>190</v>
      </c>
      <c r="F11" s="214"/>
      <c r="G11" s="210" t="s">
        <v>191</v>
      </c>
      <c r="H11" s="207" t="s">
        <v>190</v>
      </c>
      <c r="I11" s="210" t="s">
        <v>191</v>
      </c>
      <c r="J11" s="207" t="s">
        <v>190</v>
      </c>
      <c r="K11" s="209" t="s">
        <v>191</v>
      </c>
      <c r="L11" s="207" t="s">
        <v>190</v>
      </c>
      <c r="M11" s="209" t="s">
        <v>191</v>
      </c>
      <c r="N11" s="207" t="s">
        <v>190</v>
      </c>
      <c r="O11" s="209" t="s">
        <v>191</v>
      </c>
      <c r="P11" s="207" t="s">
        <v>190</v>
      </c>
      <c r="Q11" s="209" t="s">
        <v>191</v>
      </c>
      <c r="R11" s="207" t="s">
        <v>190</v>
      </c>
      <c r="S11" s="209" t="s">
        <v>191</v>
      </c>
      <c r="T11" s="10" t="s">
        <v>213</v>
      </c>
      <c r="U11" s="211" t="s">
        <v>214</v>
      </c>
      <c r="V11" s="212"/>
      <c r="W11" s="11" t="s">
        <v>215</v>
      </c>
      <c r="X11" s="211" t="s">
        <v>216</v>
      </c>
      <c r="Y11" s="212"/>
      <c r="Z11" s="10" t="s">
        <v>217</v>
      </c>
      <c r="AA11" s="11" t="s">
        <v>218</v>
      </c>
      <c r="AB11" s="211" t="s">
        <v>219</v>
      </c>
      <c r="AC11" s="212"/>
      <c r="AD11" s="11" t="s">
        <v>220</v>
      </c>
      <c r="AE11" s="12"/>
    </row>
    <row r="12" spans="1:37" s="9" customFormat="1" ht="15.5" x14ac:dyDescent="0.3">
      <c r="A12" s="210"/>
      <c r="B12" s="210"/>
      <c r="C12" s="210"/>
      <c r="D12" s="210"/>
      <c r="E12" s="208"/>
      <c r="F12" s="213"/>
      <c r="G12" s="215"/>
      <c r="H12" s="208"/>
      <c r="I12" s="215"/>
      <c r="J12" s="208"/>
      <c r="K12" s="210"/>
      <c r="L12" s="208"/>
      <c r="M12" s="210"/>
      <c r="N12" s="208"/>
      <c r="O12" s="210"/>
      <c r="P12" s="208"/>
      <c r="Q12" s="210"/>
      <c r="R12" s="208"/>
      <c r="S12" s="210"/>
      <c r="T12" s="13" t="s">
        <v>190</v>
      </c>
      <c r="U12" s="208" t="s">
        <v>190</v>
      </c>
      <c r="V12" s="213"/>
      <c r="W12" s="14" t="s">
        <v>191</v>
      </c>
      <c r="X12" s="208" t="s">
        <v>191</v>
      </c>
      <c r="Y12" s="213"/>
      <c r="Z12" s="13" t="s">
        <v>190</v>
      </c>
      <c r="AA12" s="14" t="s">
        <v>191</v>
      </c>
      <c r="AB12" s="208" t="s">
        <v>190</v>
      </c>
      <c r="AC12" s="213"/>
      <c r="AD12" s="14" t="s">
        <v>191</v>
      </c>
      <c r="AE12" s="15"/>
    </row>
    <row r="13" spans="1:37" ht="15" hidden="1" customHeight="1" x14ac:dyDescent="0.35">
      <c r="A13" s="189"/>
      <c r="B13" s="192" t="s">
        <v>221</v>
      </c>
      <c r="C13" s="195" t="s">
        <v>222</v>
      </c>
      <c r="D13" s="192" t="s">
        <v>223</v>
      </c>
      <c r="E13" s="198" t="s">
        <v>224</v>
      </c>
      <c r="F13" s="199"/>
      <c r="G13" s="189"/>
      <c r="H13" s="198" t="s">
        <v>225</v>
      </c>
      <c r="I13" s="195" t="s">
        <v>226</v>
      </c>
      <c r="J13" s="204" t="s">
        <v>227</v>
      </c>
      <c r="K13" s="195" t="s">
        <v>228</v>
      </c>
      <c r="L13" s="204" t="s">
        <v>229</v>
      </c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16"/>
      <c r="X13" s="16"/>
      <c r="Y13" s="17"/>
      <c r="Z13" s="16"/>
      <c r="AA13" s="16"/>
      <c r="AB13" s="16"/>
      <c r="AC13" s="17"/>
      <c r="AD13" s="16"/>
      <c r="AE13" s="18"/>
    </row>
    <row r="14" spans="1:37" ht="15" hidden="1" customHeight="1" x14ac:dyDescent="0.35">
      <c r="A14" s="190"/>
      <c r="B14" s="193"/>
      <c r="C14" s="196"/>
      <c r="D14" s="193"/>
      <c r="E14" s="200"/>
      <c r="F14" s="201"/>
      <c r="G14" s="190"/>
      <c r="H14" s="200"/>
      <c r="I14" s="196"/>
      <c r="J14" s="205"/>
      <c r="K14" s="196"/>
      <c r="L14" s="205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19"/>
      <c r="X14" s="19"/>
      <c r="Y14" s="20"/>
      <c r="Z14" s="19"/>
      <c r="AA14" s="19"/>
      <c r="AB14" s="19"/>
      <c r="AC14" s="20"/>
      <c r="AD14" s="19"/>
      <c r="AE14" s="18"/>
    </row>
    <row r="15" spans="1:37" ht="15" hidden="1" customHeight="1" x14ac:dyDescent="0.35">
      <c r="A15" s="191"/>
      <c r="B15" s="194"/>
      <c r="C15" s="197"/>
      <c r="D15" s="194"/>
      <c r="E15" s="202"/>
      <c r="F15" s="203"/>
      <c r="G15" s="191"/>
      <c r="H15" s="202"/>
      <c r="I15" s="197"/>
      <c r="J15" s="206"/>
      <c r="K15" s="197"/>
      <c r="L15" s="206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2"/>
      <c r="Z15" s="21"/>
      <c r="AA15" s="21"/>
      <c r="AB15" s="21"/>
      <c r="AC15" s="22"/>
      <c r="AD15" s="21"/>
      <c r="AE15" s="18"/>
    </row>
    <row r="16" spans="1:37" ht="127.5" customHeight="1" x14ac:dyDescent="0.3">
      <c r="A16" s="23">
        <v>1</v>
      </c>
      <c r="B16" s="24" t="s">
        <v>230</v>
      </c>
      <c r="C16" s="25" t="s">
        <v>14</v>
      </c>
      <c r="D16" s="25" t="s">
        <v>100</v>
      </c>
      <c r="E16" s="26">
        <v>100</v>
      </c>
      <c r="F16" s="27" t="s">
        <v>231</v>
      </c>
      <c r="G16" s="28">
        <f>G17+G20+G25+G32+G35</f>
        <v>9087385525</v>
      </c>
      <c r="H16" s="26">
        <v>200</v>
      </c>
      <c r="I16" s="28">
        <v>5755678581</v>
      </c>
      <c r="J16" s="26">
        <v>100</v>
      </c>
      <c r="K16" s="28">
        <f>K17+K20+K25+K32+K35</f>
        <v>7907397014</v>
      </c>
      <c r="L16" s="26">
        <v>25</v>
      </c>
      <c r="M16" s="28">
        <f>M17+M20+M25+M32+M35</f>
        <v>903856204</v>
      </c>
      <c r="N16" s="26">
        <v>25</v>
      </c>
      <c r="O16" s="28">
        <f>O17+O20+O25+O32+O35</f>
        <v>1526757923</v>
      </c>
      <c r="P16" s="26">
        <v>25</v>
      </c>
      <c r="Q16" s="28">
        <f>Q17+Q20+Q25+Q32+Q35</f>
        <v>2005119264</v>
      </c>
      <c r="R16" s="26">
        <v>25</v>
      </c>
      <c r="S16" s="28">
        <f>S17+S20+S25+S32+S35</f>
        <v>1818995884</v>
      </c>
      <c r="T16" s="29">
        <f t="shared" ref="T16:T51" si="0">SUM(L16,N16,P16,R16)</f>
        <v>100</v>
      </c>
      <c r="U16" s="30">
        <f t="shared" ref="U16:U51" si="1">T16/J16*100</f>
        <v>100</v>
      </c>
      <c r="V16" s="31" t="s">
        <v>231</v>
      </c>
      <c r="W16" s="32">
        <f t="shared" ref="W16:W51" si="2">SUM(M16,O16,Q16,S16)</f>
        <v>6254729275</v>
      </c>
      <c r="X16" s="30">
        <f t="shared" ref="X16:X51" si="3">W16/K16*100</f>
        <v>79.099724775751596</v>
      </c>
      <c r="Y16" s="31" t="s">
        <v>231</v>
      </c>
      <c r="Z16" s="30">
        <f t="shared" ref="Z16:Z79" si="4">H16+T16</f>
        <v>300</v>
      </c>
      <c r="AA16" s="32">
        <f t="shared" ref="AA16:AA79" si="5">I16+W16</f>
        <v>12010407856</v>
      </c>
      <c r="AB16" s="30"/>
      <c r="AC16" s="31"/>
      <c r="AD16" s="30"/>
      <c r="AE16" s="33" t="s">
        <v>232</v>
      </c>
      <c r="AH16" s="34">
        <f>M16+O16+Q16+S16</f>
        <v>6254729275</v>
      </c>
    </row>
    <row r="17" spans="1:34" ht="146.25" customHeight="1" x14ac:dyDescent="0.3">
      <c r="A17" s="35"/>
      <c r="B17" s="24"/>
      <c r="C17" s="25" t="s">
        <v>15</v>
      </c>
      <c r="D17" s="25" t="s">
        <v>101</v>
      </c>
      <c r="E17" s="26">
        <v>15</v>
      </c>
      <c r="F17" s="27" t="s">
        <v>233</v>
      </c>
      <c r="G17" s="28">
        <f>SUM(G18:G19)</f>
        <v>4920000</v>
      </c>
      <c r="H17" s="36">
        <v>30</v>
      </c>
      <c r="I17" s="28">
        <f t="shared" ref="I17:P17" si="6">SUM(I18:I19)</f>
        <v>4526500</v>
      </c>
      <c r="J17" s="36">
        <f t="shared" si="6"/>
        <v>15</v>
      </c>
      <c r="K17" s="28">
        <f t="shared" si="6"/>
        <v>6974800</v>
      </c>
      <c r="L17" s="36">
        <f t="shared" si="6"/>
        <v>4</v>
      </c>
      <c r="M17" s="28">
        <f t="shared" si="6"/>
        <v>2910000</v>
      </c>
      <c r="N17" s="36">
        <f t="shared" si="6"/>
        <v>2</v>
      </c>
      <c r="O17" s="28">
        <f t="shared" si="6"/>
        <v>1124900</v>
      </c>
      <c r="P17" s="36">
        <f t="shared" si="6"/>
        <v>5</v>
      </c>
      <c r="Q17" s="28">
        <f>SUM(Q18:Q19)</f>
        <v>0</v>
      </c>
      <c r="R17" s="36">
        <v>4</v>
      </c>
      <c r="S17" s="28">
        <f>SUM(S18:S19)</f>
        <v>2934750</v>
      </c>
      <c r="T17" s="29">
        <f t="shared" si="0"/>
        <v>15</v>
      </c>
      <c r="U17" s="30">
        <f t="shared" si="1"/>
        <v>100</v>
      </c>
      <c r="V17" s="31" t="s">
        <v>231</v>
      </c>
      <c r="W17" s="32">
        <f t="shared" si="2"/>
        <v>6969650</v>
      </c>
      <c r="X17" s="30">
        <f t="shared" si="3"/>
        <v>99.926162757355058</v>
      </c>
      <c r="Y17" s="31" t="s">
        <v>231</v>
      </c>
      <c r="Z17" s="29">
        <f t="shared" si="4"/>
        <v>45</v>
      </c>
      <c r="AA17" s="32">
        <f t="shared" si="5"/>
        <v>11496150</v>
      </c>
      <c r="AB17" s="30"/>
      <c r="AC17" s="31"/>
      <c r="AD17" s="30"/>
      <c r="AE17" s="33"/>
      <c r="AH17" s="34"/>
    </row>
    <row r="18" spans="1:34" ht="77.5" x14ac:dyDescent="0.3">
      <c r="A18" s="35"/>
      <c r="B18" s="24"/>
      <c r="C18" s="37" t="s">
        <v>1</v>
      </c>
      <c r="D18" s="37" t="s">
        <v>2</v>
      </c>
      <c r="E18" s="38">
        <f>J18*3</f>
        <v>30</v>
      </c>
      <c r="F18" s="39" t="s">
        <v>233</v>
      </c>
      <c r="G18" s="40">
        <v>2460000</v>
      </c>
      <c r="H18" s="38">
        <v>10</v>
      </c>
      <c r="I18" s="41">
        <v>3964000</v>
      </c>
      <c r="J18" s="38">
        <v>10</v>
      </c>
      <c r="K18" s="42">
        <v>5849900</v>
      </c>
      <c r="L18" s="38">
        <v>3</v>
      </c>
      <c r="M18" s="42">
        <v>2910000</v>
      </c>
      <c r="N18" s="38">
        <v>1</v>
      </c>
      <c r="O18" s="42">
        <v>0</v>
      </c>
      <c r="P18" s="38">
        <v>4</v>
      </c>
      <c r="Q18" s="42">
        <v>0</v>
      </c>
      <c r="R18" s="38">
        <v>2</v>
      </c>
      <c r="S18" s="42">
        <v>2934750</v>
      </c>
      <c r="T18" s="43">
        <f t="shared" si="0"/>
        <v>10</v>
      </c>
      <c r="U18" s="44">
        <f t="shared" si="1"/>
        <v>100</v>
      </c>
      <c r="V18" s="45" t="s">
        <v>231</v>
      </c>
      <c r="W18" s="41">
        <f t="shared" si="2"/>
        <v>5844750</v>
      </c>
      <c r="X18" s="44">
        <f t="shared" si="3"/>
        <v>99.911964307082172</v>
      </c>
      <c r="Y18" s="45" t="s">
        <v>231</v>
      </c>
      <c r="Z18" s="43">
        <f t="shared" si="4"/>
        <v>20</v>
      </c>
      <c r="AA18" s="41">
        <f t="shared" si="5"/>
        <v>9808750</v>
      </c>
      <c r="AB18" s="44"/>
      <c r="AC18" s="45"/>
      <c r="AD18" s="44"/>
      <c r="AE18" s="18"/>
      <c r="AH18" s="34"/>
    </row>
    <row r="19" spans="1:34" ht="78" customHeight="1" x14ac:dyDescent="0.3">
      <c r="A19" s="35"/>
      <c r="B19" s="24"/>
      <c r="C19" s="37" t="s">
        <v>16</v>
      </c>
      <c r="D19" s="37" t="s">
        <v>3</v>
      </c>
      <c r="E19" s="38">
        <f>J19*3</f>
        <v>15</v>
      </c>
      <c r="F19" s="39" t="s">
        <v>234</v>
      </c>
      <c r="G19" s="40">
        <v>2460000</v>
      </c>
      <c r="H19" s="38">
        <v>20</v>
      </c>
      <c r="I19" s="41">
        <v>562500</v>
      </c>
      <c r="J19" s="38">
        <v>5</v>
      </c>
      <c r="K19" s="42">
        <v>1124900</v>
      </c>
      <c r="L19" s="38">
        <v>1</v>
      </c>
      <c r="M19" s="42">
        <v>0</v>
      </c>
      <c r="N19" s="38">
        <v>1</v>
      </c>
      <c r="O19" s="42">
        <v>1124900</v>
      </c>
      <c r="P19" s="38">
        <v>1</v>
      </c>
      <c r="Q19" s="42">
        <v>0</v>
      </c>
      <c r="R19" s="38">
        <v>2</v>
      </c>
      <c r="S19" s="42"/>
      <c r="T19" s="43">
        <f t="shared" si="0"/>
        <v>5</v>
      </c>
      <c r="U19" s="44">
        <f t="shared" si="1"/>
        <v>100</v>
      </c>
      <c r="V19" s="45" t="s">
        <v>231</v>
      </c>
      <c r="W19" s="41">
        <f t="shared" si="2"/>
        <v>1124900</v>
      </c>
      <c r="X19" s="44">
        <f t="shared" si="3"/>
        <v>100</v>
      </c>
      <c r="Y19" s="45" t="s">
        <v>231</v>
      </c>
      <c r="Z19" s="43">
        <f t="shared" si="4"/>
        <v>25</v>
      </c>
      <c r="AA19" s="41">
        <f t="shared" si="5"/>
        <v>1687400</v>
      </c>
      <c r="AB19" s="44"/>
      <c r="AC19" s="45"/>
      <c r="AD19" s="44"/>
      <c r="AE19" s="18"/>
      <c r="AH19" s="34"/>
    </row>
    <row r="20" spans="1:34" ht="93" x14ac:dyDescent="0.3">
      <c r="A20" s="23">
        <v>2</v>
      </c>
      <c r="B20" s="46" t="s">
        <v>235</v>
      </c>
      <c r="C20" s="25" t="s">
        <v>17</v>
      </c>
      <c r="D20" s="25" t="s">
        <v>102</v>
      </c>
      <c r="E20" s="47">
        <f>SUM(E22:E24)</f>
        <v>42</v>
      </c>
      <c r="F20" s="27" t="s">
        <v>233</v>
      </c>
      <c r="G20" s="28">
        <f>SUM(G21:G24)</f>
        <v>6520633000</v>
      </c>
      <c r="H20" s="47">
        <v>28</v>
      </c>
      <c r="I20" s="28">
        <f>SUM(I21:I24)</f>
        <v>4045939993</v>
      </c>
      <c r="J20" s="47">
        <f>SUM(J22:J24)</f>
        <v>14</v>
      </c>
      <c r="K20" s="28">
        <f>SUM(K21:K24)</f>
        <v>5945030714</v>
      </c>
      <c r="L20" s="47">
        <f>SUM(L22:L24)</f>
        <v>3</v>
      </c>
      <c r="M20" s="28">
        <f>SUM(M21:M24)</f>
        <v>725929675</v>
      </c>
      <c r="N20" s="47">
        <f>SUM(N22:N24)</f>
        <v>4</v>
      </c>
      <c r="O20" s="28">
        <f>SUM(O21:O24)</f>
        <v>1308963847</v>
      </c>
      <c r="P20" s="47">
        <f>SUM(P22:P24)</f>
        <v>3</v>
      </c>
      <c r="Q20" s="28">
        <f>SUM(Q21:Q24)</f>
        <v>1528720391</v>
      </c>
      <c r="R20" s="47"/>
      <c r="S20" s="28">
        <f>SUM(S21:S24)</f>
        <v>908410968</v>
      </c>
      <c r="T20" s="29">
        <f t="shared" si="0"/>
        <v>10</v>
      </c>
      <c r="U20" s="30">
        <f t="shared" si="1"/>
        <v>71.428571428571431</v>
      </c>
      <c r="V20" s="31" t="s">
        <v>231</v>
      </c>
      <c r="W20" s="32">
        <f t="shared" si="2"/>
        <v>4472024881</v>
      </c>
      <c r="X20" s="30">
        <f t="shared" si="3"/>
        <v>75.222906257974302</v>
      </c>
      <c r="Y20" s="31" t="s">
        <v>231</v>
      </c>
      <c r="Z20" s="29">
        <f t="shared" si="4"/>
        <v>38</v>
      </c>
      <c r="AA20" s="32">
        <f t="shared" si="5"/>
        <v>8517964874</v>
      </c>
      <c r="AB20" s="30"/>
      <c r="AC20" s="31"/>
      <c r="AD20" s="30"/>
      <c r="AE20" s="18"/>
      <c r="AH20" s="34"/>
    </row>
    <row r="21" spans="1:34" ht="62" x14ac:dyDescent="0.3">
      <c r="A21" s="35"/>
      <c r="B21" s="24"/>
      <c r="C21" s="37" t="s">
        <v>4</v>
      </c>
      <c r="D21" s="48" t="s">
        <v>5</v>
      </c>
      <c r="E21" s="38">
        <v>40</v>
      </c>
      <c r="F21" s="49" t="s">
        <v>236</v>
      </c>
      <c r="G21" s="50">
        <v>6515713000</v>
      </c>
      <c r="H21" s="51">
        <v>24</v>
      </c>
      <c r="I21" s="42">
        <v>4042939993</v>
      </c>
      <c r="J21" s="51">
        <v>48</v>
      </c>
      <c r="K21" s="52">
        <v>5941281164</v>
      </c>
      <c r="L21" s="51">
        <v>48</v>
      </c>
      <c r="M21" s="52">
        <v>725929675</v>
      </c>
      <c r="N21" s="51">
        <v>48</v>
      </c>
      <c r="O21" s="52">
        <v>1306717147</v>
      </c>
      <c r="P21" s="51">
        <v>48</v>
      </c>
      <c r="Q21" s="52">
        <v>1528720391</v>
      </c>
      <c r="R21" s="51">
        <v>48</v>
      </c>
      <c r="S21" s="52">
        <v>906911218</v>
      </c>
      <c r="T21" s="43">
        <f t="shared" si="0"/>
        <v>192</v>
      </c>
      <c r="U21" s="43">
        <f t="shared" si="1"/>
        <v>400</v>
      </c>
      <c r="V21" s="45" t="s">
        <v>231</v>
      </c>
      <c r="W21" s="41">
        <f>SUM(M21,O21,Q21,S21)</f>
        <v>4468278431</v>
      </c>
      <c r="X21" s="44">
        <f t="shared" si="3"/>
        <v>75.207321580312268</v>
      </c>
      <c r="Y21" s="45" t="s">
        <v>231</v>
      </c>
      <c r="Z21" s="43">
        <f t="shared" si="4"/>
        <v>216</v>
      </c>
      <c r="AA21" s="41">
        <f t="shared" si="5"/>
        <v>8511218424</v>
      </c>
      <c r="AB21" s="44"/>
      <c r="AC21" s="45"/>
      <c r="AD21" s="44"/>
      <c r="AE21" s="53"/>
      <c r="AH21" s="34">
        <f>M21+O21+Q21+S21</f>
        <v>4468278431</v>
      </c>
    </row>
    <row r="22" spans="1:34" ht="139.5" x14ac:dyDescent="0.3">
      <c r="A22" s="35"/>
      <c r="B22" s="24"/>
      <c r="C22" s="37" t="s">
        <v>18</v>
      </c>
      <c r="D22" s="37" t="s">
        <v>103</v>
      </c>
      <c r="E22" s="38">
        <f>J22*3</f>
        <v>3</v>
      </c>
      <c r="F22" s="49" t="s">
        <v>234</v>
      </c>
      <c r="G22" s="50">
        <f>G17/3</f>
        <v>1640000</v>
      </c>
      <c r="H22" s="51">
        <v>2</v>
      </c>
      <c r="I22" s="42">
        <v>750000</v>
      </c>
      <c r="J22" s="51">
        <v>1</v>
      </c>
      <c r="K22" s="52">
        <v>1499750</v>
      </c>
      <c r="L22" s="51">
        <v>0</v>
      </c>
      <c r="M22" s="52">
        <v>0</v>
      </c>
      <c r="N22" s="51">
        <v>0</v>
      </c>
      <c r="O22" s="52">
        <v>0</v>
      </c>
      <c r="P22" s="51">
        <v>0</v>
      </c>
      <c r="Q22" s="52">
        <v>0</v>
      </c>
      <c r="R22" s="51">
        <v>1</v>
      </c>
      <c r="S22" s="52">
        <v>1499750</v>
      </c>
      <c r="T22" s="43">
        <f t="shared" si="0"/>
        <v>1</v>
      </c>
      <c r="U22" s="43">
        <f t="shared" si="1"/>
        <v>100</v>
      </c>
      <c r="V22" s="45" t="s">
        <v>231</v>
      </c>
      <c r="W22" s="41">
        <f t="shared" si="2"/>
        <v>1499750</v>
      </c>
      <c r="X22" s="44">
        <f t="shared" si="3"/>
        <v>100</v>
      </c>
      <c r="Y22" s="45" t="s">
        <v>231</v>
      </c>
      <c r="Z22" s="43">
        <f t="shared" si="4"/>
        <v>3</v>
      </c>
      <c r="AA22" s="41">
        <f t="shared" si="5"/>
        <v>2249750</v>
      </c>
      <c r="AB22" s="44"/>
      <c r="AC22" s="45"/>
      <c r="AD22" s="44"/>
      <c r="AE22" s="18"/>
      <c r="AH22" s="34">
        <f>M22+O22+Q22+S22</f>
        <v>1499750</v>
      </c>
    </row>
    <row r="23" spans="1:34" ht="211.5" customHeight="1" x14ac:dyDescent="0.3">
      <c r="A23" s="35"/>
      <c r="B23" s="24"/>
      <c r="C23" s="54" t="s">
        <v>19</v>
      </c>
      <c r="D23" s="37" t="s">
        <v>6</v>
      </c>
      <c r="E23" s="38">
        <f>J23*3</f>
        <v>36</v>
      </c>
      <c r="F23" s="49" t="s">
        <v>234</v>
      </c>
      <c r="G23" s="50">
        <v>1640000</v>
      </c>
      <c r="H23" s="51">
        <v>24</v>
      </c>
      <c r="I23" s="42">
        <v>1125000</v>
      </c>
      <c r="J23" s="51">
        <v>12</v>
      </c>
      <c r="K23" s="52">
        <v>1124900</v>
      </c>
      <c r="L23" s="51">
        <v>3</v>
      </c>
      <c r="M23" s="52">
        <v>0</v>
      </c>
      <c r="N23" s="51">
        <v>3</v>
      </c>
      <c r="O23" s="52">
        <v>1124700</v>
      </c>
      <c r="P23" s="51">
        <v>3</v>
      </c>
      <c r="Q23" s="52">
        <v>0</v>
      </c>
      <c r="R23" s="51">
        <v>3</v>
      </c>
      <c r="S23" s="52">
        <v>0</v>
      </c>
      <c r="T23" s="43">
        <f t="shared" si="0"/>
        <v>12</v>
      </c>
      <c r="U23" s="43">
        <f t="shared" si="1"/>
        <v>100</v>
      </c>
      <c r="V23" s="45" t="s">
        <v>231</v>
      </c>
      <c r="W23" s="41">
        <f t="shared" si="2"/>
        <v>1124700</v>
      </c>
      <c r="X23" s="44">
        <f t="shared" si="3"/>
        <v>99.982220641834829</v>
      </c>
      <c r="Y23" s="45" t="s">
        <v>231</v>
      </c>
      <c r="Z23" s="43">
        <f t="shared" si="4"/>
        <v>36</v>
      </c>
      <c r="AA23" s="41">
        <f t="shared" si="5"/>
        <v>2249700</v>
      </c>
      <c r="AB23" s="44"/>
      <c r="AC23" s="45"/>
      <c r="AD23" s="44"/>
      <c r="AE23" s="18"/>
      <c r="AH23" s="34">
        <f>M23+O23+Q23+S23</f>
        <v>1124700</v>
      </c>
    </row>
    <row r="24" spans="1:34" ht="108.5" x14ac:dyDescent="0.3">
      <c r="A24" s="35"/>
      <c r="B24" s="24"/>
      <c r="C24" s="37" t="s">
        <v>7</v>
      </c>
      <c r="D24" s="37" t="s">
        <v>104</v>
      </c>
      <c r="E24" s="38">
        <f>J24*3</f>
        <v>3</v>
      </c>
      <c r="F24" s="49" t="s">
        <v>233</v>
      </c>
      <c r="G24" s="50">
        <v>1640000</v>
      </c>
      <c r="H24" s="51">
        <v>2</v>
      </c>
      <c r="I24" s="42">
        <v>1125000</v>
      </c>
      <c r="J24" s="51">
        <v>1</v>
      </c>
      <c r="K24" s="52">
        <v>1124900</v>
      </c>
      <c r="L24" s="51">
        <v>0</v>
      </c>
      <c r="M24" s="52">
        <v>0</v>
      </c>
      <c r="N24" s="51">
        <v>1</v>
      </c>
      <c r="O24" s="52">
        <v>1122000</v>
      </c>
      <c r="P24" s="51">
        <v>0</v>
      </c>
      <c r="Q24" s="52">
        <v>0</v>
      </c>
      <c r="R24" s="51">
        <v>0</v>
      </c>
      <c r="S24" s="52">
        <v>0</v>
      </c>
      <c r="T24" s="43">
        <f t="shared" si="0"/>
        <v>1</v>
      </c>
      <c r="U24" s="43">
        <f t="shared" si="1"/>
        <v>100</v>
      </c>
      <c r="V24" s="45" t="s">
        <v>231</v>
      </c>
      <c r="W24" s="41">
        <f t="shared" si="2"/>
        <v>1122000</v>
      </c>
      <c r="X24" s="44">
        <f t="shared" si="3"/>
        <v>99.742199306605031</v>
      </c>
      <c r="Y24" s="45" t="s">
        <v>231</v>
      </c>
      <c r="Z24" s="43">
        <f t="shared" si="4"/>
        <v>3</v>
      </c>
      <c r="AA24" s="41">
        <f t="shared" si="5"/>
        <v>2247000</v>
      </c>
      <c r="AB24" s="44"/>
      <c r="AC24" s="45"/>
      <c r="AD24" s="44"/>
      <c r="AE24" s="18"/>
      <c r="AH24" s="34">
        <f>M24+O24+Q24+S24</f>
        <v>1122000</v>
      </c>
    </row>
    <row r="25" spans="1:34" ht="77.5" x14ac:dyDescent="0.3">
      <c r="A25" s="35"/>
      <c r="B25" s="24"/>
      <c r="C25" s="25" t="s">
        <v>20</v>
      </c>
      <c r="D25" s="25" t="s">
        <v>105</v>
      </c>
      <c r="E25" s="26">
        <v>100</v>
      </c>
      <c r="F25" s="27" t="s">
        <v>231</v>
      </c>
      <c r="G25" s="28">
        <f>SUM(G26:G31)</f>
        <v>925272525</v>
      </c>
      <c r="H25" s="47">
        <v>2</v>
      </c>
      <c r="I25" s="28">
        <f>SUM(I26:I31)</f>
        <v>823679073</v>
      </c>
      <c r="J25" s="47">
        <v>1</v>
      </c>
      <c r="K25" s="28">
        <f>SUM(K26:K31)</f>
        <v>919085150</v>
      </c>
      <c r="L25" s="47">
        <v>0</v>
      </c>
      <c r="M25" s="28">
        <f>SUM(M26:M31)</f>
        <v>43501800</v>
      </c>
      <c r="N25" s="47">
        <v>0</v>
      </c>
      <c r="O25" s="28">
        <f>SUM(O26:O31)</f>
        <v>65622676</v>
      </c>
      <c r="P25" s="47">
        <v>0</v>
      </c>
      <c r="Q25" s="28">
        <f>SUM(Q26:Q31)</f>
        <v>102106678</v>
      </c>
      <c r="R25" s="47">
        <v>1</v>
      </c>
      <c r="S25" s="28">
        <f>SUM(S26:S31)</f>
        <v>668750633</v>
      </c>
      <c r="T25" s="29">
        <f t="shared" si="0"/>
        <v>1</v>
      </c>
      <c r="U25" s="30">
        <f t="shared" si="1"/>
        <v>100</v>
      </c>
      <c r="V25" s="31" t="s">
        <v>231</v>
      </c>
      <c r="W25" s="32">
        <f t="shared" si="2"/>
        <v>879981787</v>
      </c>
      <c r="X25" s="30">
        <f t="shared" si="3"/>
        <v>95.74540367668871</v>
      </c>
      <c r="Y25" s="31" t="s">
        <v>231</v>
      </c>
      <c r="Z25" s="29">
        <f t="shared" si="4"/>
        <v>3</v>
      </c>
      <c r="AA25" s="32">
        <f t="shared" si="5"/>
        <v>1703660860</v>
      </c>
      <c r="AB25" s="30"/>
      <c r="AC25" s="31"/>
      <c r="AD25" s="30"/>
      <c r="AE25" s="18"/>
      <c r="AH25" s="34"/>
    </row>
    <row r="26" spans="1:34" ht="108.5" x14ac:dyDescent="0.3">
      <c r="A26" s="35"/>
      <c r="B26" s="24"/>
      <c r="C26" s="37" t="s">
        <v>21</v>
      </c>
      <c r="D26" s="37" t="s">
        <v>106</v>
      </c>
      <c r="E26" s="38">
        <f>J26*3</f>
        <v>36</v>
      </c>
      <c r="F26" s="39" t="s">
        <v>237</v>
      </c>
      <c r="G26" s="50">
        <v>9038409</v>
      </c>
      <c r="H26" s="51">
        <v>24</v>
      </c>
      <c r="I26" s="42">
        <v>584000</v>
      </c>
      <c r="J26" s="51">
        <v>12</v>
      </c>
      <c r="K26" s="52">
        <v>5068000</v>
      </c>
      <c r="L26" s="51">
        <v>3</v>
      </c>
      <c r="M26" s="52">
        <v>0</v>
      </c>
      <c r="N26" s="51">
        <v>3</v>
      </c>
      <c r="O26" s="52">
        <v>4696000</v>
      </c>
      <c r="P26" s="51">
        <v>3</v>
      </c>
      <c r="Q26" s="52">
        <v>0</v>
      </c>
      <c r="R26" s="51">
        <v>3</v>
      </c>
      <c r="S26" s="52">
        <v>0</v>
      </c>
      <c r="T26" s="43">
        <f t="shared" si="0"/>
        <v>12</v>
      </c>
      <c r="U26" s="43">
        <f t="shared" si="1"/>
        <v>100</v>
      </c>
      <c r="V26" s="45" t="s">
        <v>231</v>
      </c>
      <c r="W26" s="41">
        <f t="shared" si="2"/>
        <v>4696000</v>
      </c>
      <c r="X26" s="44">
        <f t="shared" si="3"/>
        <v>92.659826361483823</v>
      </c>
      <c r="Y26" s="45" t="s">
        <v>231</v>
      </c>
      <c r="Z26" s="43">
        <f t="shared" si="4"/>
        <v>36</v>
      </c>
      <c r="AA26" s="41">
        <f t="shared" si="5"/>
        <v>5280000</v>
      </c>
      <c r="AB26" s="44"/>
      <c r="AC26" s="45"/>
      <c r="AD26" s="44"/>
      <c r="AE26" s="18"/>
      <c r="AH26" s="34"/>
    </row>
    <row r="27" spans="1:34" ht="77.5" x14ac:dyDescent="0.3">
      <c r="A27" s="35"/>
      <c r="B27" s="24"/>
      <c r="C27" s="37" t="s">
        <v>8</v>
      </c>
      <c r="D27" s="37" t="s">
        <v>107</v>
      </c>
      <c r="E27" s="38">
        <f>J27*3</f>
        <v>36</v>
      </c>
      <c r="F27" s="39" t="s">
        <v>237</v>
      </c>
      <c r="G27" s="50">
        <v>124296616</v>
      </c>
      <c r="H27" s="51">
        <v>24</v>
      </c>
      <c r="I27" s="52">
        <v>465620740</v>
      </c>
      <c r="J27" s="51">
        <v>12</v>
      </c>
      <c r="K27" s="52">
        <v>398445600</v>
      </c>
      <c r="L27" s="51">
        <v>3</v>
      </c>
      <c r="M27" s="52">
        <v>21882200</v>
      </c>
      <c r="N27" s="51">
        <v>3</v>
      </c>
      <c r="O27" s="52">
        <v>7508700</v>
      </c>
      <c r="P27" s="51">
        <v>3</v>
      </c>
      <c r="Q27" s="52">
        <v>29354100</v>
      </c>
      <c r="R27" s="51">
        <v>3</v>
      </c>
      <c r="S27" s="52">
        <v>320689239</v>
      </c>
      <c r="T27" s="43">
        <f t="shared" si="0"/>
        <v>12</v>
      </c>
      <c r="U27" s="43">
        <f t="shared" si="1"/>
        <v>100</v>
      </c>
      <c r="V27" s="45" t="s">
        <v>231</v>
      </c>
      <c r="W27" s="41">
        <f>SUM(M27,O27,Q27,S27)</f>
        <v>379434239</v>
      </c>
      <c r="X27" s="44">
        <f t="shared" si="3"/>
        <v>95.228618160170413</v>
      </c>
      <c r="Y27" s="45" t="s">
        <v>231</v>
      </c>
      <c r="Z27" s="43">
        <f t="shared" si="4"/>
        <v>36</v>
      </c>
      <c r="AA27" s="41">
        <f t="shared" si="5"/>
        <v>845054979</v>
      </c>
      <c r="AB27" s="44"/>
      <c r="AC27" s="45"/>
      <c r="AD27" s="44"/>
      <c r="AE27" s="18"/>
      <c r="AH27" s="34"/>
    </row>
    <row r="28" spans="1:34" ht="83.15" customHeight="1" x14ac:dyDescent="0.3">
      <c r="A28" s="35"/>
      <c r="B28" s="24"/>
      <c r="C28" s="37" t="s">
        <v>9</v>
      </c>
      <c r="D28" s="48" t="s">
        <v>108</v>
      </c>
      <c r="E28" s="38">
        <f>J28*3</f>
        <v>36</v>
      </c>
      <c r="F28" s="39" t="s">
        <v>237</v>
      </c>
      <c r="G28" s="50">
        <v>40987500</v>
      </c>
      <c r="H28" s="51">
        <v>24</v>
      </c>
      <c r="I28" s="42">
        <v>14775000</v>
      </c>
      <c r="J28" s="51">
        <v>12</v>
      </c>
      <c r="K28" s="52">
        <v>41887500</v>
      </c>
      <c r="L28" s="51">
        <v>3</v>
      </c>
      <c r="M28" s="52">
        <v>0</v>
      </c>
      <c r="N28" s="51">
        <v>3</v>
      </c>
      <c r="O28" s="52">
        <v>7450000</v>
      </c>
      <c r="P28" s="51">
        <v>3</v>
      </c>
      <c r="Q28" s="52">
        <v>11500000</v>
      </c>
      <c r="R28" s="51">
        <v>3</v>
      </c>
      <c r="S28" s="52">
        <v>16450000</v>
      </c>
      <c r="T28" s="43">
        <f t="shared" si="0"/>
        <v>12</v>
      </c>
      <c r="U28" s="43">
        <f t="shared" si="1"/>
        <v>100</v>
      </c>
      <c r="V28" s="45" t="s">
        <v>231</v>
      </c>
      <c r="W28" s="41">
        <f t="shared" si="2"/>
        <v>35400000</v>
      </c>
      <c r="X28" s="44">
        <f t="shared" si="3"/>
        <v>84.512085944494189</v>
      </c>
      <c r="Y28" s="45" t="s">
        <v>231</v>
      </c>
      <c r="Z28" s="43">
        <f t="shared" si="4"/>
        <v>36</v>
      </c>
      <c r="AA28" s="41">
        <f t="shared" si="5"/>
        <v>50175000</v>
      </c>
      <c r="AB28" s="44"/>
      <c r="AC28" s="45"/>
      <c r="AD28" s="44"/>
      <c r="AE28" s="18"/>
      <c r="AH28" s="34"/>
    </row>
    <row r="29" spans="1:34" ht="95.25" customHeight="1" x14ac:dyDescent="0.3">
      <c r="A29" s="35"/>
      <c r="B29" s="24"/>
      <c r="C29" s="37" t="s">
        <v>22</v>
      </c>
      <c r="D29" s="48" t="s">
        <v>109</v>
      </c>
      <c r="E29" s="38">
        <f t="shared" ref="E29:E31" si="7">J29*3</f>
        <v>36</v>
      </c>
      <c r="F29" s="39" t="s">
        <v>237</v>
      </c>
      <c r="G29" s="50">
        <v>72850000</v>
      </c>
      <c r="H29" s="51">
        <v>24</v>
      </c>
      <c r="I29" s="42">
        <v>64551800</v>
      </c>
      <c r="J29" s="51">
        <v>12</v>
      </c>
      <c r="K29" s="52">
        <v>70384050</v>
      </c>
      <c r="L29" s="51">
        <v>3</v>
      </c>
      <c r="M29" s="52">
        <v>1100000</v>
      </c>
      <c r="N29" s="51">
        <v>3</v>
      </c>
      <c r="O29" s="52">
        <v>5275500</v>
      </c>
      <c r="P29" s="51">
        <v>3</v>
      </c>
      <c r="Q29" s="52">
        <v>10757500</v>
      </c>
      <c r="R29" s="51">
        <v>3</v>
      </c>
      <c r="S29" s="52">
        <v>40524500</v>
      </c>
      <c r="T29" s="43">
        <f t="shared" si="0"/>
        <v>12</v>
      </c>
      <c r="U29" s="43">
        <f t="shared" si="1"/>
        <v>100</v>
      </c>
      <c r="V29" s="45" t="s">
        <v>231</v>
      </c>
      <c r="W29" s="41">
        <f t="shared" si="2"/>
        <v>57657500</v>
      </c>
      <c r="X29" s="44">
        <f t="shared" si="3"/>
        <v>81.918417596032057</v>
      </c>
      <c r="Y29" s="45" t="s">
        <v>231</v>
      </c>
      <c r="Z29" s="43">
        <f t="shared" si="4"/>
        <v>36</v>
      </c>
      <c r="AA29" s="41">
        <f t="shared" si="5"/>
        <v>122209300</v>
      </c>
      <c r="AB29" s="44"/>
      <c r="AC29" s="45"/>
      <c r="AD29" s="44"/>
      <c r="AE29" s="18"/>
      <c r="AH29" s="34"/>
    </row>
    <row r="30" spans="1:34" ht="130.5" customHeight="1" x14ac:dyDescent="0.3">
      <c r="A30" s="35"/>
      <c r="B30" s="24"/>
      <c r="C30" s="37" t="s">
        <v>23</v>
      </c>
      <c r="D30" s="55" t="s">
        <v>110</v>
      </c>
      <c r="E30" s="38">
        <f t="shared" si="7"/>
        <v>36</v>
      </c>
      <c r="F30" s="39" t="s">
        <v>233</v>
      </c>
      <c r="G30" s="50">
        <v>3600000</v>
      </c>
      <c r="H30" s="51">
        <v>24</v>
      </c>
      <c r="I30" s="42">
        <v>3300000</v>
      </c>
      <c r="J30" s="51">
        <v>12</v>
      </c>
      <c r="K30" s="52">
        <v>3300000</v>
      </c>
      <c r="L30" s="51">
        <v>3</v>
      </c>
      <c r="M30" s="52">
        <v>550000</v>
      </c>
      <c r="N30" s="51">
        <v>3</v>
      </c>
      <c r="O30" s="52">
        <v>845000</v>
      </c>
      <c r="P30" s="51">
        <v>3</v>
      </c>
      <c r="Q30" s="52">
        <v>855000</v>
      </c>
      <c r="R30" s="51">
        <v>3</v>
      </c>
      <c r="S30" s="52">
        <v>1050000</v>
      </c>
      <c r="T30" s="43">
        <f t="shared" si="0"/>
        <v>12</v>
      </c>
      <c r="U30" s="43">
        <f t="shared" si="1"/>
        <v>100</v>
      </c>
      <c r="V30" s="45" t="s">
        <v>231</v>
      </c>
      <c r="W30" s="41">
        <f t="shared" si="2"/>
        <v>3300000</v>
      </c>
      <c r="X30" s="44">
        <f t="shared" si="3"/>
        <v>100</v>
      </c>
      <c r="Y30" s="45" t="s">
        <v>231</v>
      </c>
      <c r="Z30" s="43">
        <f t="shared" si="4"/>
        <v>36</v>
      </c>
      <c r="AA30" s="41">
        <f t="shared" si="5"/>
        <v>6600000</v>
      </c>
      <c r="AB30" s="44"/>
      <c r="AC30" s="45"/>
      <c r="AD30" s="44"/>
      <c r="AE30" s="18"/>
      <c r="AH30" s="34"/>
    </row>
    <row r="31" spans="1:34" ht="121.5" customHeight="1" x14ac:dyDescent="0.3">
      <c r="A31" s="35"/>
      <c r="B31" s="24"/>
      <c r="C31" s="37" t="s">
        <v>10</v>
      </c>
      <c r="D31" s="55" t="s">
        <v>111</v>
      </c>
      <c r="E31" s="38">
        <f t="shared" si="7"/>
        <v>36</v>
      </c>
      <c r="F31" s="39" t="s">
        <v>234</v>
      </c>
      <c r="G31" s="50">
        <v>674500000</v>
      </c>
      <c r="H31" s="51">
        <v>24</v>
      </c>
      <c r="I31" s="42">
        <v>274847533</v>
      </c>
      <c r="J31" s="51">
        <v>12</v>
      </c>
      <c r="K31" s="52">
        <v>400000000</v>
      </c>
      <c r="L31" s="51">
        <v>3</v>
      </c>
      <c r="M31" s="52">
        <v>19969600</v>
      </c>
      <c r="N31" s="51">
        <v>3</v>
      </c>
      <c r="O31" s="52">
        <v>39847476</v>
      </c>
      <c r="P31" s="51">
        <v>3</v>
      </c>
      <c r="Q31" s="52">
        <v>49640078</v>
      </c>
      <c r="R31" s="51">
        <v>3</v>
      </c>
      <c r="S31" s="52">
        <v>290036894</v>
      </c>
      <c r="T31" s="43">
        <f t="shared" si="0"/>
        <v>12</v>
      </c>
      <c r="U31" s="43">
        <f t="shared" si="1"/>
        <v>100</v>
      </c>
      <c r="V31" s="45" t="s">
        <v>231</v>
      </c>
      <c r="W31" s="41">
        <f t="shared" si="2"/>
        <v>399494048</v>
      </c>
      <c r="X31" s="44">
        <f t="shared" si="3"/>
        <v>99.873511999999991</v>
      </c>
      <c r="Y31" s="45" t="s">
        <v>231</v>
      </c>
      <c r="Z31" s="43">
        <f t="shared" si="4"/>
        <v>36</v>
      </c>
      <c r="AA31" s="41">
        <f t="shared" si="5"/>
        <v>674341581</v>
      </c>
      <c r="AB31" s="44"/>
      <c r="AC31" s="45"/>
      <c r="AD31" s="44"/>
      <c r="AE31" s="18"/>
      <c r="AH31" s="34"/>
    </row>
    <row r="32" spans="1:34" ht="140" customHeight="1" x14ac:dyDescent="0.3">
      <c r="A32" s="35"/>
      <c r="B32" s="24"/>
      <c r="C32" s="25" t="s">
        <v>11</v>
      </c>
      <c r="D32" s="25" t="s">
        <v>112</v>
      </c>
      <c r="E32" s="26">
        <f>J32*3</f>
        <v>36</v>
      </c>
      <c r="F32" s="27" t="s">
        <v>238</v>
      </c>
      <c r="G32" s="28">
        <f>SUM(G33:G34)</f>
        <v>1007800000</v>
      </c>
      <c r="H32" s="47">
        <v>24</v>
      </c>
      <c r="I32" s="28">
        <f>SUM(I33:I34)</f>
        <v>139450115</v>
      </c>
      <c r="J32" s="47">
        <v>12</v>
      </c>
      <c r="K32" s="28">
        <f>SUM(K33:K34)</f>
        <v>208450000</v>
      </c>
      <c r="L32" s="47">
        <v>3</v>
      </c>
      <c r="M32" s="28">
        <f>SUM(M33:M34)</f>
        <v>25047329</v>
      </c>
      <c r="N32" s="47">
        <v>3</v>
      </c>
      <c r="O32" s="28">
        <f>SUM(O33:O34)</f>
        <v>34305750</v>
      </c>
      <c r="P32" s="47">
        <v>3</v>
      </c>
      <c r="Q32" s="28">
        <f>SUM(Q33:Q34)</f>
        <v>35911445</v>
      </c>
      <c r="R32" s="47">
        <v>3</v>
      </c>
      <c r="S32" s="28">
        <f>SUM(S33:S34)</f>
        <v>36169073</v>
      </c>
      <c r="T32" s="29">
        <f t="shared" si="0"/>
        <v>12</v>
      </c>
      <c r="U32" s="29">
        <f t="shared" si="1"/>
        <v>100</v>
      </c>
      <c r="V32" s="31" t="s">
        <v>231</v>
      </c>
      <c r="W32" s="32">
        <f t="shared" si="2"/>
        <v>131433597</v>
      </c>
      <c r="X32" s="30">
        <f t="shared" si="3"/>
        <v>63.052816982489801</v>
      </c>
      <c r="Y32" s="31" t="s">
        <v>231</v>
      </c>
      <c r="Z32" s="29">
        <f t="shared" si="4"/>
        <v>36</v>
      </c>
      <c r="AA32" s="32">
        <f t="shared" si="5"/>
        <v>270883712</v>
      </c>
      <c r="AB32" s="30"/>
      <c r="AC32" s="31"/>
      <c r="AD32" s="30"/>
      <c r="AE32" s="18"/>
      <c r="AH32" s="34"/>
    </row>
    <row r="33" spans="1:34" ht="111" customHeight="1" x14ac:dyDescent="0.3">
      <c r="A33" s="35"/>
      <c r="B33" s="24"/>
      <c r="C33" s="37" t="s">
        <v>24</v>
      </c>
      <c r="D33" s="37" t="s">
        <v>113</v>
      </c>
      <c r="E33" s="38">
        <f>J33*3</f>
        <v>36</v>
      </c>
      <c r="F33" s="39" t="s">
        <v>234</v>
      </c>
      <c r="G33" s="56">
        <v>193800000</v>
      </c>
      <c r="H33" s="51">
        <v>24</v>
      </c>
      <c r="I33" s="42">
        <v>138950115</v>
      </c>
      <c r="J33" s="51">
        <v>12</v>
      </c>
      <c r="K33" s="52">
        <v>202200000</v>
      </c>
      <c r="L33" s="51">
        <v>3</v>
      </c>
      <c r="M33" s="52">
        <v>25047329</v>
      </c>
      <c r="N33" s="51">
        <v>3</v>
      </c>
      <c r="O33" s="52">
        <v>33155750</v>
      </c>
      <c r="P33" s="51">
        <v>3</v>
      </c>
      <c r="Q33" s="52">
        <v>35111445</v>
      </c>
      <c r="R33" s="51">
        <v>3</v>
      </c>
      <c r="S33" s="52">
        <v>35319073</v>
      </c>
      <c r="T33" s="43">
        <f t="shared" si="0"/>
        <v>12</v>
      </c>
      <c r="U33" s="43">
        <f t="shared" si="1"/>
        <v>100</v>
      </c>
      <c r="V33" s="45" t="s">
        <v>231</v>
      </c>
      <c r="W33" s="41">
        <f t="shared" si="2"/>
        <v>128633597</v>
      </c>
      <c r="X33" s="44">
        <f t="shared" si="3"/>
        <v>63.617011374876363</v>
      </c>
      <c r="Y33" s="45" t="s">
        <v>231</v>
      </c>
      <c r="Z33" s="43">
        <f t="shared" si="4"/>
        <v>36</v>
      </c>
      <c r="AA33" s="41">
        <f t="shared" si="5"/>
        <v>267583712</v>
      </c>
      <c r="AB33" s="44"/>
      <c r="AC33" s="45"/>
      <c r="AD33" s="44"/>
      <c r="AE33" s="18"/>
      <c r="AH33" s="34"/>
    </row>
    <row r="34" spans="1:34" ht="77.5" x14ac:dyDescent="0.3">
      <c r="A34" s="35"/>
      <c r="B34" s="24"/>
      <c r="C34" s="37" t="s">
        <v>12</v>
      </c>
      <c r="D34" s="37" t="s">
        <v>114</v>
      </c>
      <c r="E34" s="38">
        <f>J34*3</f>
        <v>36</v>
      </c>
      <c r="F34" s="39" t="s">
        <v>234</v>
      </c>
      <c r="G34" s="56">
        <v>814000000</v>
      </c>
      <c r="H34" s="51">
        <v>24</v>
      </c>
      <c r="I34" s="42">
        <v>500000</v>
      </c>
      <c r="J34" s="51">
        <v>12</v>
      </c>
      <c r="K34" s="52">
        <v>6250000</v>
      </c>
      <c r="L34" s="51">
        <v>3</v>
      </c>
      <c r="M34" s="52">
        <v>0</v>
      </c>
      <c r="N34" s="51">
        <v>3</v>
      </c>
      <c r="O34" s="52">
        <v>1150000</v>
      </c>
      <c r="P34" s="51">
        <v>3</v>
      </c>
      <c r="Q34" s="52">
        <v>800000</v>
      </c>
      <c r="R34" s="51">
        <v>3</v>
      </c>
      <c r="S34" s="52">
        <v>850000</v>
      </c>
      <c r="T34" s="43">
        <f t="shared" si="0"/>
        <v>12</v>
      </c>
      <c r="U34" s="43">
        <f t="shared" si="1"/>
        <v>100</v>
      </c>
      <c r="V34" s="45" t="s">
        <v>231</v>
      </c>
      <c r="W34" s="41">
        <f t="shared" si="2"/>
        <v>2800000</v>
      </c>
      <c r="X34" s="44">
        <f t="shared" si="3"/>
        <v>44.800000000000004</v>
      </c>
      <c r="Y34" s="45" t="s">
        <v>231</v>
      </c>
      <c r="Z34" s="43">
        <f t="shared" si="4"/>
        <v>36</v>
      </c>
      <c r="AA34" s="41">
        <f t="shared" si="5"/>
        <v>3300000</v>
      </c>
      <c r="AB34" s="44"/>
      <c r="AC34" s="45"/>
      <c r="AD34" s="44"/>
      <c r="AE34" s="18"/>
      <c r="AH34" s="34"/>
    </row>
    <row r="35" spans="1:34" ht="115.5" customHeight="1" x14ac:dyDescent="0.3">
      <c r="A35" s="23"/>
      <c r="B35" s="46"/>
      <c r="C35" s="25" t="s">
        <v>25</v>
      </c>
      <c r="D35" s="25" t="s">
        <v>115</v>
      </c>
      <c r="E35" s="26">
        <v>100</v>
      </c>
      <c r="F35" s="27" t="s">
        <v>231</v>
      </c>
      <c r="G35" s="28">
        <f>SUM(G36:G38)</f>
        <v>628760000</v>
      </c>
      <c r="H35" s="47">
        <v>200</v>
      </c>
      <c r="I35" s="28">
        <f>SUM(I36:I38)</f>
        <v>742082900</v>
      </c>
      <c r="J35" s="47">
        <v>100</v>
      </c>
      <c r="K35" s="28">
        <f>SUM(K36:K38)</f>
        <v>827856350</v>
      </c>
      <c r="L35" s="47">
        <v>25</v>
      </c>
      <c r="M35" s="28">
        <f>SUM(M36:M38)</f>
        <v>106467400</v>
      </c>
      <c r="N35" s="47">
        <v>25</v>
      </c>
      <c r="O35" s="28">
        <f>SUM(O36:O38)</f>
        <v>116740750</v>
      </c>
      <c r="P35" s="47">
        <v>25</v>
      </c>
      <c r="Q35" s="28">
        <f>SUM(Q36:Q38)</f>
        <v>338380750</v>
      </c>
      <c r="R35" s="47">
        <v>25</v>
      </c>
      <c r="S35" s="28">
        <f>SUM(S36:S38)</f>
        <v>202730460</v>
      </c>
      <c r="T35" s="29">
        <f t="shared" si="0"/>
        <v>100</v>
      </c>
      <c r="U35" s="29">
        <f t="shared" si="1"/>
        <v>100</v>
      </c>
      <c r="V35" s="31" t="s">
        <v>231</v>
      </c>
      <c r="W35" s="32">
        <f t="shared" si="2"/>
        <v>764319360</v>
      </c>
      <c r="X35" s="30">
        <f t="shared" si="3"/>
        <v>92.325118965385727</v>
      </c>
      <c r="Y35" s="31" t="s">
        <v>231</v>
      </c>
      <c r="Z35" s="29">
        <f t="shared" si="4"/>
        <v>300</v>
      </c>
      <c r="AA35" s="32">
        <f t="shared" si="5"/>
        <v>1506402260</v>
      </c>
      <c r="AB35" s="30"/>
      <c r="AC35" s="31"/>
      <c r="AD35" s="30"/>
      <c r="AE35" s="18"/>
      <c r="AH35" s="34"/>
    </row>
    <row r="36" spans="1:34" ht="146.5" customHeight="1" x14ac:dyDescent="0.3">
      <c r="A36" s="35"/>
      <c r="B36" s="24"/>
      <c r="C36" s="37" t="s">
        <v>13</v>
      </c>
      <c r="D36" s="37" t="s">
        <v>116</v>
      </c>
      <c r="E36" s="38">
        <f>J36*3</f>
        <v>36</v>
      </c>
      <c r="F36" s="39" t="s">
        <v>239</v>
      </c>
      <c r="G36" s="56">
        <v>447260000</v>
      </c>
      <c r="H36" s="57">
        <v>24</v>
      </c>
      <c r="I36" s="42">
        <v>600650900</v>
      </c>
      <c r="J36" s="57">
        <v>12</v>
      </c>
      <c r="K36" s="52">
        <v>697486350</v>
      </c>
      <c r="L36" s="57">
        <v>3</v>
      </c>
      <c r="M36" s="52">
        <f>54360000+24927400</f>
        <v>79287400</v>
      </c>
      <c r="N36" s="57">
        <v>3</v>
      </c>
      <c r="O36" s="52">
        <v>85500750</v>
      </c>
      <c r="P36" s="57">
        <v>3</v>
      </c>
      <c r="Q36" s="52">
        <v>295052150</v>
      </c>
      <c r="R36" s="57">
        <v>3</v>
      </c>
      <c r="S36" s="52">
        <v>182096460</v>
      </c>
      <c r="T36" s="58">
        <f t="shared" si="0"/>
        <v>12</v>
      </c>
      <c r="U36" s="43">
        <f t="shared" si="1"/>
        <v>100</v>
      </c>
      <c r="V36" s="45" t="s">
        <v>231</v>
      </c>
      <c r="W36" s="41">
        <f t="shared" si="2"/>
        <v>641936760</v>
      </c>
      <c r="X36" s="44">
        <f t="shared" si="3"/>
        <v>92.035745215659063</v>
      </c>
      <c r="Y36" s="45" t="s">
        <v>231</v>
      </c>
      <c r="Z36" s="43">
        <f t="shared" si="4"/>
        <v>36</v>
      </c>
      <c r="AA36" s="41">
        <f t="shared" si="5"/>
        <v>1242587660</v>
      </c>
      <c r="AB36" s="44"/>
      <c r="AC36" s="45"/>
      <c r="AD36" s="44"/>
      <c r="AE36" s="18"/>
      <c r="AH36" s="34"/>
    </row>
    <row r="37" spans="1:34" ht="98" customHeight="1" x14ac:dyDescent="0.3">
      <c r="A37" s="35"/>
      <c r="B37" s="24"/>
      <c r="C37" s="37" t="s">
        <v>26</v>
      </c>
      <c r="D37" s="37" t="s">
        <v>117</v>
      </c>
      <c r="E37" s="38">
        <f t="shared" ref="E37:E38" si="8">J37*3</f>
        <v>36</v>
      </c>
      <c r="F37" s="39" t="s">
        <v>239</v>
      </c>
      <c r="G37" s="56">
        <v>40000000</v>
      </c>
      <c r="H37" s="57">
        <v>24</v>
      </c>
      <c r="I37" s="42">
        <v>76142000</v>
      </c>
      <c r="J37" s="57">
        <v>12</v>
      </c>
      <c r="K37" s="52">
        <v>46488000</v>
      </c>
      <c r="L37" s="57">
        <v>3</v>
      </c>
      <c r="M37" s="52">
        <v>10872000</v>
      </c>
      <c r="N37" s="57">
        <v>3</v>
      </c>
      <c r="O37" s="52">
        <v>10800000</v>
      </c>
      <c r="P37" s="57">
        <v>3</v>
      </c>
      <c r="Q37" s="52">
        <v>14516640</v>
      </c>
      <c r="R37" s="57">
        <v>3</v>
      </c>
      <c r="S37" s="52">
        <v>7200000</v>
      </c>
      <c r="T37" s="58">
        <f t="shared" si="0"/>
        <v>12</v>
      </c>
      <c r="U37" s="43">
        <f t="shared" si="1"/>
        <v>100</v>
      </c>
      <c r="V37" s="45" t="s">
        <v>231</v>
      </c>
      <c r="W37" s="41">
        <f t="shared" si="2"/>
        <v>43388640</v>
      </c>
      <c r="X37" s="44">
        <f t="shared" si="3"/>
        <v>93.332989158492524</v>
      </c>
      <c r="Y37" s="45" t="s">
        <v>231</v>
      </c>
      <c r="Z37" s="43">
        <f t="shared" si="4"/>
        <v>36</v>
      </c>
      <c r="AA37" s="41">
        <f t="shared" si="5"/>
        <v>119530640</v>
      </c>
      <c r="AB37" s="44"/>
      <c r="AC37" s="45"/>
      <c r="AD37" s="44"/>
      <c r="AE37" s="18"/>
      <c r="AH37" s="34"/>
    </row>
    <row r="38" spans="1:34" ht="108.5" x14ac:dyDescent="0.3">
      <c r="A38" s="35"/>
      <c r="B38" s="24"/>
      <c r="C38" s="37" t="s">
        <v>27</v>
      </c>
      <c r="D38" s="55" t="s">
        <v>118</v>
      </c>
      <c r="E38" s="38">
        <f t="shared" si="8"/>
        <v>36</v>
      </c>
      <c r="F38" s="39" t="s">
        <v>239</v>
      </c>
      <c r="G38" s="56">
        <v>141500000</v>
      </c>
      <c r="H38" s="57">
        <v>24</v>
      </c>
      <c r="I38" s="42">
        <v>65290000</v>
      </c>
      <c r="J38" s="57">
        <v>12</v>
      </c>
      <c r="K38" s="52">
        <v>83882000</v>
      </c>
      <c r="L38" s="57">
        <v>3</v>
      </c>
      <c r="M38" s="52">
        <v>16308000</v>
      </c>
      <c r="N38" s="57">
        <v>3</v>
      </c>
      <c r="O38" s="52">
        <v>20440000</v>
      </c>
      <c r="P38" s="57">
        <v>3</v>
      </c>
      <c r="Q38" s="52">
        <v>28811960</v>
      </c>
      <c r="R38" s="57">
        <v>3</v>
      </c>
      <c r="S38" s="52">
        <v>13434000</v>
      </c>
      <c r="T38" s="58">
        <f t="shared" si="0"/>
        <v>12</v>
      </c>
      <c r="U38" s="43">
        <f t="shared" si="1"/>
        <v>100</v>
      </c>
      <c r="V38" s="45" t="s">
        <v>231</v>
      </c>
      <c r="W38" s="41">
        <f t="shared" si="2"/>
        <v>78993960</v>
      </c>
      <c r="X38" s="44">
        <f t="shared" si="3"/>
        <v>94.172718819293763</v>
      </c>
      <c r="Y38" s="45" t="s">
        <v>231</v>
      </c>
      <c r="Z38" s="44">
        <f t="shared" si="4"/>
        <v>36</v>
      </c>
      <c r="AA38" s="41">
        <f t="shared" si="5"/>
        <v>144283960</v>
      </c>
      <c r="AB38" s="44"/>
      <c r="AC38" s="45"/>
      <c r="AD38" s="44"/>
      <c r="AE38" s="18"/>
      <c r="AH38" s="34"/>
    </row>
    <row r="39" spans="1:34" ht="77.5" x14ac:dyDescent="0.3">
      <c r="A39" s="23">
        <v>3</v>
      </c>
      <c r="B39" s="46" t="s">
        <v>240</v>
      </c>
      <c r="C39" s="25" t="s">
        <v>28</v>
      </c>
      <c r="D39" s="25" t="s">
        <v>119</v>
      </c>
      <c r="E39" s="59" t="s">
        <v>241</v>
      </c>
      <c r="F39" s="39" t="s">
        <v>231</v>
      </c>
      <c r="G39" s="28">
        <f>G40+G45</f>
        <v>70417536277</v>
      </c>
      <c r="H39" s="60">
        <v>64.03</v>
      </c>
      <c r="I39" s="28">
        <v>34418173051</v>
      </c>
      <c r="J39" s="59">
        <v>64.34</v>
      </c>
      <c r="K39" s="28">
        <f>K40+K45</f>
        <v>28468965958</v>
      </c>
      <c r="L39" s="61">
        <v>0</v>
      </c>
      <c r="M39" s="28">
        <f>M40+M45</f>
        <v>632730250</v>
      </c>
      <c r="N39" s="173">
        <v>0</v>
      </c>
      <c r="O39" s="28">
        <f>O40+O45</f>
        <v>1843965820</v>
      </c>
      <c r="P39" s="59">
        <v>64.03</v>
      </c>
      <c r="Q39" s="28">
        <f>Q40+Q45</f>
        <v>6226944861</v>
      </c>
      <c r="R39" s="59">
        <v>64.44</v>
      </c>
      <c r="S39" s="28">
        <f>S40+S45</f>
        <v>18200035506</v>
      </c>
      <c r="T39" s="62">
        <f t="shared" si="0"/>
        <v>128.47</v>
      </c>
      <c r="U39" s="30">
        <f t="shared" si="1"/>
        <v>199.67360895244016</v>
      </c>
      <c r="V39" s="31" t="s">
        <v>231</v>
      </c>
      <c r="W39" s="32">
        <f t="shared" si="2"/>
        <v>26903676437</v>
      </c>
      <c r="X39" s="30">
        <f t="shared" si="3"/>
        <v>94.501768967270337</v>
      </c>
      <c r="Y39" s="31" t="s">
        <v>231</v>
      </c>
      <c r="Z39" s="30">
        <f t="shared" si="4"/>
        <v>192.5</v>
      </c>
      <c r="AA39" s="32">
        <f t="shared" si="5"/>
        <v>61321849488</v>
      </c>
      <c r="AB39" s="30"/>
      <c r="AC39" s="31"/>
      <c r="AD39" s="30"/>
      <c r="AE39" s="18"/>
      <c r="AH39" s="34"/>
    </row>
    <row r="40" spans="1:34" ht="197.25" customHeight="1" x14ac:dyDescent="0.3">
      <c r="A40" s="35"/>
      <c r="B40" s="24"/>
      <c r="C40" s="25" t="s">
        <v>29</v>
      </c>
      <c r="D40" s="25" t="s">
        <v>120</v>
      </c>
      <c r="E40" s="63">
        <v>141950</v>
      </c>
      <c r="F40" s="27" t="s">
        <v>242</v>
      </c>
      <c r="G40" s="28">
        <f>SUM(G41:G44)</f>
        <v>26834794803</v>
      </c>
      <c r="H40" s="64">
        <v>70803</v>
      </c>
      <c r="I40" s="28">
        <v>14422275629</v>
      </c>
      <c r="J40" s="61">
        <v>75294</v>
      </c>
      <c r="K40" s="28">
        <f>SUM(K41:K44)</f>
        <v>17285465000</v>
      </c>
      <c r="L40" s="61">
        <f>SUM(L41:L42)</f>
        <v>200</v>
      </c>
      <c r="M40" s="28">
        <f>SUM(M41:M44)</f>
        <v>0</v>
      </c>
      <c r="N40" s="87">
        <v>1450</v>
      </c>
      <c r="O40" s="28">
        <f>SUM(O41:O44)</f>
        <v>314384600</v>
      </c>
      <c r="P40" s="61">
        <v>8768</v>
      </c>
      <c r="Q40" s="28">
        <f>SUM(Q41:Q44)</f>
        <v>3321293100</v>
      </c>
      <c r="R40" s="59">
        <v>68701</v>
      </c>
      <c r="S40" s="28">
        <f>SUM(S41:S44)</f>
        <v>12239582287</v>
      </c>
      <c r="T40" s="65">
        <f t="shared" si="0"/>
        <v>79119</v>
      </c>
      <c r="U40" s="30">
        <f t="shared" si="1"/>
        <v>105.08008606263448</v>
      </c>
      <c r="V40" s="31" t="s">
        <v>231</v>
      </c>
      <c r="W40" s="32">
        <f t="shared" si="2"/>
        <v>15875259987</v>
      </c>
      <c r="X40" s="30">
        <f t="shared" si="3"/>
        <v>91.841671525758784</v>
      </c>
      <c r="Y40" s="31" t="s">
        <v>231</v>
      </c>
      <c r="Z40" s="65">
        <f t="shared" si="4"/>
        <v>149922</v>
      </c>
      <c r="AA40" s="32">
        <f t="shared" si="5"/>
        <v>30297535616</v>
      </c>
      <c r="AB40" s="30"/>
      <c r="AC40" s="31"/>
      <c r="AD40" s="30"/>
      <c r="AE40" s="18"/>
      <c r="AH40" s="34"/>
    </row>
    <row r="41" spans="1:34" ht="94.5" customHeight="1" x14ac:dyDescent="0.3">
      <c r="A41" s="35"/>
      <c r="B41" s="24"/>
      <c r="C41" s="37" t="s">
        <v>30</v>
      </c>
      <c r="D41" s="37" t="s">
        <v>121</v>
      </c>
      <c r="E41" s="66">
        <v>630</v>
      </c>
      <c r="F41" s="39" t="s">
        <v>243</v>
      </c>
      <c r="G41" s="67">
        <v>6624395000</v>
      </c>
      <c r="H41" s="58">
        <v>462</v>
      </c>
      <c r="I41" s="42">
        <v>3303266324</v>
      </c>
      <c r="J41" s="57">
        <v>373</v>
      </c>
      <c r="K41" s="52">
        <v>3702570000</v>
      </c>
      <c r="L41" s="171">
        <v>0</v>
      </c>
      <c r="M41" s="52">
        <v>0</v>
      </c>
      <c r="N41" s="171">
        <v>0</v>
      </c>
      <c r="O41" s="52">
        <v>0</v>
      </c>
      <c r="P41" s="68">
        <v>18</v>
      </c>
      <c r="Q41" s="52">
        <v>663930600</v>
      </c>
      <c r="R41" s="68">
        <v>357</v>
      </c>
      <c r="S41" s="52">
        <v>3015228713</v>
      </c>
      <c r="T41" s="44">
        <f t="shared" si="0"/>
        <v>375</v>
      </c>
      <c r="U41" s="44">
        <f t="shared" si="1"/>
        <v>100.53619302949062</v>
      </c>
      <c r="V41" s="45" t="s">
        <v>231</v>
      </c>
      <c r="W41" s="41">
        <f t="shared" si="2"/>
        <v>3679159313</v>
      </c>
      <c r="X41" s="44">
        <f t="shared" si="3"/>
        <v>99.367717909452082</v>
      </c>
      <c r="Y41" s="45" t="s">
        <v>231</v>
      </c>
      <c r="Z41" s="44">
        <f t="shared" si="4"/>
        <v>837</v>
      </c>
      <c r="AA41" s="41">
        <f t="shared" si="5"/>
        <v>6982425637</v>
      </c>
      <c r="AB41" s="44"/>
      <c r="AC41" s="45"/>
      <c r="AD41" s="44"/>
      <c r="AE41" s="18"/>
      <c r="AH41" s="34"/>
    </row>
    <row r="42" spans="1:34" ht="62" x14ac:dyDescent="0.3">
      <c r="A42" s="35"/>
      <c r="B42" s="24"/>
      <c r="C42" s="37" t="s">
        <v>31</v>
      </c>
      <c r="D42" s="37" t="s">
        <v>122</v>
      </c>
      <c r="E42" s="69">
        <v>141250</v>
      </c>
      <c r="F42" s="39" t="s">
        <v>243</v>
      </c>
      <c r="G42" s="70">
        <v>20070675303</v>
      </c>
      <c r="H42" s="71">
        <v>70321</v>
      </c>
      <c r="I42" s="42">
        <v>11076009305</v>
      </c>
      <c r="J42" s="72">
        <v>74921</v>
      </c>
      <c r="K42" s="52">
        <v>13142812500</v>
      </c>
      <c r="L42" s="57">
        <v>200</v>
      </c>
      <c r="M42" s="52">
        <v>0</v>
      </c>
      <c r="N42" s="171">
        <v>0</v>
      </c>
      <c r="O42" s="52">
        <v>114840600</v>
      </c>
      <c r="P42" s="57">
        <v>8750</v>
      </c>
      <c r="Q42" s="52">
        <v>2657362500</v>
      </c>
      <c r="R42" s="57">
        <v>67994</v>
      </c>
      <c r="S42" s="52">
        <v>9002137224</v>
      </c>
      <c r="T42" s="73">
        <f t="shared" si="0"/>
        <v>76944</v>
      </c>
      <c r="U42" s="44">
        <f t="shared" si="1"/>
        <v>102.70017752032142</v>
      </c>
      <c r="V42" s="45" t="s">
        <v>231</v>
      </c>
      <c r="W42" s="41">
        <f t="shared" si="2"/>
        <v>11774340324</v>
      </c>
      <c r="X42" s="44">
        <f t="shared" si="3"/>
        <v>89.587676336400605</v>
      </c>
      <c r="Y42" s="45" t="s">
        <v>231</v>
      </c>
      <c r="Z42" s="44">
        <f t="shared" si="4"/>
        <v>147265</v>
      </c>
      <c r="AA42" s="41">
        <f t="shared" si="5"/>
        <v>22850349629</v>
      </c>
      <c r="AB42" s="44"/>
      <c r="AC42" s="45"/>
      <c r="AD42" s="44"/>
      <c r="AE42" s="18"/>
      <c r="AH42" s="34"/>
    </row>
    <row r="43" spans="1:34" ht="139.5" x14ac:dyDescent="0.3">
      <c r="A43" s="35"/>
      <c r="B43" s="24"/>
      <c r="C43" s="37" t="s">
        <v>32</v>
      </c>
      <c r="D43" s="37" t="s">
        <v>123</v>
      </c>
      <c r="E43" s="74">
        <v>70</v>
      </c>
      <c r="F43" s="39" t="s">
        <v>236</v>
      </c>
      <c r="G43" s="75">
        <v>139724500</v>
      </c>
      <c r="H43" s="51">
        <v>20</v>
      </c>
      <c r="I43" s="52">
        <v>43000000</v>
      </c>
      <c r="J43" s="76">
        <v>20</v>
      </c>
      <c r="K43" s="52">
        <v>45712500</v>
      </c>
      <c r="L43" s="51">
        <v>0</v>
      </c>
      <c r="M43" s="52">
        <v>0</v>
      </c>
      <c r="N43" s="172">
        <v>0</v>
      </c>
      <c r="O43" s="28">
        <v>0</v>
      </c>
      <c r="P43" s="51">
        <v>0</v>
      </c>
      <c r="Q43" s="28">
        <v>0</v>
      </c>
      <c r="R43" s="51">
        <v>20</v>
      </c>
      <c r="S43" s="52">
        <v>29487500</v>
      </c>
      <c r="T43" s="43">
        <f t="shared" si="0"/>
        <v>20</v>
      </c>
      <c r="U43" s="43">
        <f t="shared" si="1"/>
        <v>100</v>
      </c>
      <c r="V43" s="45" t="s">
        <v>231</v>
      </c>
      <c r="W43" s="41">
        <f t="shared" si="2"/>
        <v>29487500</v>
      </c>
      <c r="X43" s="44">
        <f t="shared" si="3"/>
        <v>64.506426032266887</v>
      </c>
      <c r="Y43" s="45" t="s">
        <v>231</v>
      </c>
      <c r="Z43" s="44">
        <f t="shared" si="4"/>
        <v>40</v>
      </c>
      <c r="AA43" s="41">
        <f t="shared" si="5"/>
        <v>72487500</v>
      </c>
      <c r="AB43" s="44"/>
      <c r="AC43" s="45"/>
      <c r="AD43" s="44"/>
      <c r="AE43" s="18"/>
      <c r="AH43" s="34"/>
    </row>
    <row r="44" spans="1:34" ht="62" x14ac:dyDescent="0.3">
      <c r="A44" s="35"/>
      <c r="B44" s="24"/>
      <c r="C44" s="37" t="s">
        <v>33</v>
      </c>
      <c r="D44" s="37" t="s">
        <v>124</v>
      </c>
      <c r="E44" s="74"/>
      <c r="F44" s="39" t="s">
        <v>243</v>
      </c>
      <c r="G44" s="75"/>
      <c r="H44" s="77"/>
      <c r="I44" s="28"/>
      <c r="J44" s="76">
        <v>1350</v>
      </c>
      <c r="K44" s="52">
        <v>394370000</v>
      </c>
      <c r="L44" s="51">
        <v>0</v>
      </c>
      <c r="M44" s="52">
        <v>0</v>
      </c>
      <c r="N44" s="172">
        <v>1450</v>
      </c>
      <c r="O44" s="52">
        <v>199544000</v>
      </c>
      <c r="P44" s="51">
        <v>0</v>
      </c>
      <c r="Q44" s="28">
        <v>0</v>
      </c>
      <c r="R44" s="51">
        <v>350</v>
      </c>
      <c r="S44" s="52">
        <v>192728850</v>
      </c>
      <c r="T44" s="43">
        <f t="shared" si="0"/>
        <v>1800</v>
      </c>
      <c r="U44" s="43">
        <f t="shared" si="1"/>
        <v>133.33333333333331</v>
      </c>
      <c r="V44" s="45" t="s">
        <v>231</v>
      </c>
      <c r="W44" s="41">
        <f t="shared" si="2"/>
        <v>392272850</v>
      </c>
      <c r="X44" s="44">
        <f t="shared" si="3"/>
        <v>99.468227806374728</v>
      </c>
      <c r="Y44" s="45" t="s">
        <v>231</v>
      </c>
      <c r="Z44" s="44">
        <f t="shared" si="4"/>
        <v>1800</v>
      </c>
      <c r="AA44" s="41">
        <f t="shared" si="5"/>
        <v>392272850</v>
      </c>
      <c r="AB44" s="44"/>
      <c r="AC44" s="45"/>
      <c r="AD44" s="44"/>
      <c r="AE44" s="18"/>
      <c r="AH44" s="34"/>
    </row>
    <row r="45" spans="1:34" ht="275.25" customHeight="1" x14ac:dyDescent="0.3">
      <c r="A45" s="35"/>
      <c r="B45" s="24"/>
      <c r="C45" s="25" t="s">
        <v>34</v>
      </c>
      <c r="D45" s="78" t="s">
        <v>125</v>
      </c>
      <c r="E45" s="61">
        <v>2583.5</v>
      </c>
      <c r="F45" s="27" t="s">
        <v>184</v>
      </c>
      <c r="G45" s="28">
        <f>SUM(G46:G52)</f>
        <v>43582741474</v>
      </c>
      <c r="H45" s="64">
        <v>1435</v>
      </c>
      <c r="I45" s="28">
        <v>19995897422</v>
      </c>
      <c r="J45" s="61">
        <v>562</v>
      </c>
      <c r="K45" s="28">
        <f>SUM(K46:K52)</f>
        <v>11183500958</v>
      </c>
      <c r="L45" s="61">
        <f>L52</f>
        <v>0</v>
      </c>
      <c r="M45" s="28">
        <f>SUM(M46:M51)</f>
        <v>632730250</v>
      </c>
      <c r="N45" s="173">
        <v>0.10979999999999999</v>
      </c>
      <c r="O45" s="28">
        <f>SUM(O46:O51)</f>
        <v>1529581220</v>
      </c>
      <c r="P45" s="61">
        <v>251</v>
      </c>
      <c r="Q45" s="28">
        <f>SUM(Q46:Q51)</f>
        <v>2905651761</v>
      </c>
      <c r="R45" s="59">
        <v>311</v>
      </c>
      <c r="S45" s="28">
        <f>SUM(S46:S51)</f>
        <v>5960453219</v>
      </c>
      <c r="T45" s="30">
        <f t="shared" si="0"/>
        <v>562.10979999999995</v>
      </c>
      <c r="U45" s="30">
        <f t="shared" si="1"/>
        <v>100.01953736654802</v>
      </c>
      <c r="V45" s="31" t="s">
        <v>231</v>
      </c>
      <c r="W45" s="32">
        <f t="shared" si="2"/>
        <v>11028416450</v>
      </c>
      <c r="X45" s="30">
        <f t="shared" si="3"/>
        <v>98.613274067016903</v>
      </c>
      <c r="Y45" s="31" t="s">
        <v>231</v>
      </c>
      <c r="Z45" s="30">
        <f t="shared" si="4"/>
        <v>1997.1098</v>
      </c>
      <c r="AA45" s="32">
        <f t="shared" si="5"/>
        <v>31024313872</v>
      </c>
      <c r="AB45" s="30"/>
      <c r="AC45" s="31"/>
      <c r="AD45" s="30"/>
      <c r="AE45" s="18"/>
      <c r="AH45" s="34"/>
    </row>
    <row r="46" spans="1:34" ht="160.5" customHeight="1" x14ac:dyDescent="0.3">
      <c r="A46" s="35"/>
      <c r="B46" s="24"/>
      <c r="C46" s="37" t="s">
        <v>35</v>
      </c>
      <c r="D46" s="79" t="s">
        <v>126</v>
      </c>
      <c r="E46" s="74">
        <v>3</v>
      </c>
      <c r="F46" s="39" t="s">
        <v>233</v>
      </c>
      <c r="G46" s="75">
        <f>K46*3</f>
        <v>150000000</v>
      </c>
      <c r="H46" s="58">
        <v>1</v>
      </c>
      <c r="I46" s="42">
        <v>50000000</v>
      </c>
      <c r="J46" s="57">
        <v>1</v>
      </c>
      <c r="K46" s="52">
        <v>50000000</v>
      </c>
      <c r="L46" s="57">
        <v>0</v>
      </c>
      <c r="M46" s="52">
        <v>0</v>
      </c>
      <c r="N46" s="171">
        <v>1</v>
      </c>
      <c r="O46" s="52">
        <v>37500000</v>
      </c>
      <c r="P46" s="57">
        <v>1</v>
      </c>
      <c r="Q46" s="52">
        <v>12500000</v>
      </c>
      <c r="R46" s="57">
        <v>0</v>
      </c>
      <c r="S46" s="52">
        <v>0</v>
      </c>
      <c r="T46" s="58">
        <f t="shared" si="0"/>
        <v>2</v>
      </c>
      <c r="U46" s="43">
        <f t="shared" si="1"/>
        <v>200</v>
      </c>
      <c r="V46" s="45" t="s">
        <v>231</v>
      </c>
      <c r="W46" s="41">
        <f t="shared" si="2"/>
        <v>50000000</v>
      </c>
      <c r="X46" s="44">
        <f t="shared" si="3"/>
        <v>100</v>
      </c>
      <c r="Y46" s="45" t="s">
        <v>231</v>
      </c>
      <c r="Z46" s="44">
        <f t="shared" si="4"/>
        <v>3</v>
      </c>
      <c r="AA46" s="41">
        <f t="shared" si="5"/>
        <v>100000000</v>
      </c>
      <c r="AB46" s="44"/>
      <c r="AC46" s="45"/>
      <c r="AD46" s="44"/>
      <c r="AE46" s="18"/>
      <c r="AH46" s="34"/>
    </row>
    <row r="47" spans="1:34" ht="62" x14ac:dyDescent="0.3">
      <c r="A47" s="35"/>
      <c r="B47" s="24"/>
      <c r="C47" s="37" t="s">
        <v>36</v>
      </c>
      <c r="D47" s="37" t="s">
        <v>127</v>
      </c>
      <c r="E47" s="80">
        <v>1399</v>
      </c>
      <c r="F47" s="39" t="s">
        <v>243</v>
      </c>
      <c r="G47" s="67">
        <v>2805925000</v>
      </c>
      <c r="H47" s="57">
        <v>1154</v>
      </c>
      <c r="I47" s="52">
        <v>1432338079</v>
      </c>
      <c r="J47" s="72">
        <v>794</v>
      </c>
      <c r="K47" s="52">
        <v>1125785000</v>
      </c>
      <c r="L47" s="51">
        <v>0</v>
      </c>
      <c r="M47" s="52">
        <v>0</v>
      </c>
      <c r="N47" s="172"/>
      <c r="O47" s="52">
        <v>0</v>
      </c>
      <c r="P47" s="51">
        <v>80</v>
      </c>
      <c r="Q47" s="52">
        <v>115814100</v>
      </c>
      <c r="R47" s="51">
        <v>1036</v>
      </c>
      <c r="S47" s="52">
        <v>990453500</v>
      </c>
      <c r="T47" s="43">
        <f t="shared" si="0"/>
        <v>1116</v>
      </c>
      <c r="U47" s="44">
        <f t="shared" si="1"/>
        <v>140.55415617128463</v>
      </c>
      <c r="V47" s="45" t="s">
        <v>231</v>
      </c>
      <c r="W47" s="41">
        <f t="shared" si="2"/>
        <v>1106267600</v>
      </c>
      <c r="X47" s="44">
        <f t="shared" si="3"/>
        <v>98.266329716597753</v>
      </c>
      <c r="Y47" s="45" t="s">
        <v>231</v>
      </c>
      <c r="Z47" s="44">
        <f t="shared" si="4"/>
        <v>2270</v>
      </c>
      <c r="AA47" s="41">
        <f t="shared" si="5"/>
        <v>2538605679</v>
      </c>
      <c r="AB47" s="44"/>
      <c r="AC47" s="45"/>
      <c r="AD47" s="44"/>
      <c r="AE47" s="18"/>
      <c r="AH47" s="34"/>
    </row>
    <row r="48" spans="1:34" ht="63" customHeight="1" x14ac:dyDescent="0.3">
      <c r="A48" s="35"/>
      <c r="B48" s="24"/>
      <c r="C48" s="37" t="s">
        <v>37</v>
      </c>
      <c r="D48" s="37" t="s">
        <v>128</v>
      </c>
      <c r="E48" s="80"/>
      <c r="F48" s="81" t="s">
        <v>244</v>
      </c>
      <c r="G48" s="82"/>
      <c r="H48" s="51"/>
      <c r="I48" s="42"/>
      <c r="J48" s="83">
        <v>1</v>
      </c>
      <c r="K48" s="52">
        <v>252300000</v>
      </c>
      <c r="L48" s="38">
        <v>0</v>
      </c>
      <c r="M48" s="52">
        <v>0</v>
      </c>
      <c r="N48" s="74"/>
      <c r="O48" s="52">
        <v>0</v>
      </c>
      <c r="P48" s="38" t="s">
        <v>0</v>
      </c>
      <c r="Q48" s="52">
        <v>133613200</v>
      </c>
      <c r="R48" s="38">
        <v>1</v>
      </c>
      <c r="S48" s="52">
        <v>117877600</v>
      </c>
      <c r="T48" s="44">
        <f t="shared" si="0"/>
        <v>1</v>
      </c>
      <c r="U48" s="44">
        <f t="shared" si="1"/>
        <v>100</v>
      </c>
      <c r="V48" s="45" t="s">
        <v>231</v>
      </c>
      <c r="W48" s="41">
        <f t="shared" si="2"/>
        <v>251490800</v>
      </c>
      <c r="X48" s="44">
        <f t="shared" si="3"/>
        <v>99.679270709472846</v>
      </c>
      <c r="Y48" s="45" t="s">
        <v>231</v>
      </c>
      <c r="Z48" s="44">
        <f t="shared" si="4"/>
        <v>1</v>
      </c>
      <c r="AA48" s="41">
        <f t="shared" si="5"/>
        <v>251490800</v>
      </c>
      <c r="AB48" s="44"/>
      <c r="AC48" s="45"/>
      <c r="AD48" s="44"/>
      <c r="AE48" s="18"/>
      <c r="AH48" s="34"/>
    </row>
    <row r="49" spans="1:34" ht="77.5" x14ac:dyDescent="0.3">
      <c r="A49" s="35"/>
      <c r="B49" s="24"/>
      <c r="C49" s="37" t="s">
        <v>38</v>
      </c>
      <c r="D49" s="37" t="s">
        <v>129</v>
      </c>
      <c r="E49" s="80"/>
      <c r="F49" s="39" t="s">
        <v>243</v>
      </c>
      <c r="G49" s="82"/>
      <c r="H49" s="84"/>
      <c r="I49" s="42"/>
      <c r="J49" s="83">
        <v>562</v>
      </c>
      <c r="K49" s="52">
        <v>8896725958</v>
      </c>
      <c r="L49" s="38">
        <v>0</v>
      </c>
      <c r="M49" s="52">
        <v>0</v>
      </c>
      <c r="N49" s="74">
        <v>0</v>
      </c>
      <c r="O49" s="52">
        <v>1392335470</v>
      </c>
      <c r="P49" s="38">
        <v>251</v>
      </c>
      <c r="Q49" s="52">
        <v>2576541261</v>
      </c>
      <c r="R49" s="38">
        <v>311</v>
      </c>
      <c r="S49" s="52">
        <v>4819722119</v>
      </c>
      <c r="T49" s="44">
        <f t="shared" si="0"/>
        <v>562</v>
      </c>
      <c r="U49" s="44">
        <f t="shared" si="1"/>
        <v>100</v>
      </c>
      <c r="V49" s="45" t="s">
        <v>231</v>
      </c>
      <c r="W49" s="41">
        <f t="shared" si="2"/>
        <v>8788598850</v>
      </c>
      <c r="X49" s="44">
        <f t="shared" si="3"/>
        <v>98.784641580392048</v>
      </c>
      <c r="Y49" s="45" t="s">
        <v>231</v>
      </c>
      <c r="Z49" s="44">
        <f t="shared" si="4"/>
        <v>562</v>
      </c>
      <c r="AA49" s="41">
        <f t="shared" si="5"/>
        <v>8788598850</v>
      </c>
      <c r="AB49" s="44"/>
      <c r="AC49" s="45"/>
      <c r="AD49" s="44"/>
      <c r="AE49" s="18"/>
      <c r="AH49" s="34"/>
    </row>
    <row r="50" spans="1:34" ht="126.75" customHeight="1" x14ac:dyDescent="0.3">
      <c r="A50" s="35"/>
      <c r="B50" s="24"/>
      <c r="C50" s="37" t="s">
        <v>39</v>
      </c>
      <c r="D50" s="37" t="s">
        <v>130</v>
      </c>
      <c r="E50" s="80">
        <v>21544</v>
      </c>
      <c r="F50" s="39" t="s">
        <v>243</v>
      </c>
      <c r="G50" s="82">
        <v>4499115000</v>
      </c>
      <c r="H50" s="57">
        <v>1764</v>
      </c>
      <c r="I50" s="42">
        <v>879196553</v>
      </c>
      <c r="J50" s="72">
        <v>4153</v>
      </c>
      <c r="K50" s="52">
        <v>627750000</v>
      </c>
      <c r="L50" s="57">
        <v>3055</v>
      </c>
      <c r="M50" s="52">
        <v>578490250</v>
      </c>
      <c r="N50" s="171">
        <v>1098</v>
      </c>
      <c r="O50" s="52">
        <v>45745750</v>
      </c>
      <c r="P50" s="57">
        <v>0</v>
      </c>
      <c r="Q50" s="52">
        <v>0</v>
      </c>
      <c r="R50" s="57">
        <v>0</v>
      </c>
      <c r="S50" s="52">
        <v>0</v>
      </c>
      <c r="T50" s="73">
        <f t="shared" si="0"/>
        <v>4153</v>
      </c>
      <c r="U50" s="44">
        <f t="shared" si="1"/>
        <v>100</v>
      </c>
      <c r="V50" s="45" t="s">
        <v>231</v>
      </c>
      <c r="W50" s="41">
        <f t="shared" si="2"/>
        <v>624236000</v>
      </c>
      <c r="X50" s="44">
        <f t="shared" si="3"/>
        <v>99.440223018717646</v>
      </c>
      <c r="Y50" s="45" t="s">
        <v>231</v>
      </c>
      <c r="Z50" s="44">
        <f t="shared" si="4"/>
        <v>5917</v>
      </c>
      <c r="AA50" s="41">
        <f t="shared" si="5"/>
        <v>1503432553</v>
      </c>
      <c r="AB50" s="44"/>
      <c r="AC50" s="45"/>
      <c r="AD50" s="44"/>
      <c r="AE50" s="18"/>
      <c r="AH50" s="34"/>
    </row>
    <row r="51" spans="1:34" ht="99.75" customHeight="1" x14ac:dyDescent="0.3">
      <c r="A51" s="35"/>
      <c r="B51" s="24"/>
      <c r="C51" s="37" t="s">
        <v>40</v>
      </c>
      <c r="D51" s="37" t="s">
        <v>131</v>
      </c>
      <c r="E51" s="74">
        <v>30</v>
      </c>
      <c r="F51" s="39" t="s">
        <v>239</v>
      </c>
      <c r="G51" s="75">
        <v>586676000</v>
      </c>
      <c r="H51" s="51">
        <v>20</v>
      </c>
      <c r="I51" s="42">
        <v>180648000</v>
      </c>
      <c r="J51" s="38">
        <v>9</v>
      </c>
      <c r="K51" s="52">
        <v>230940000</v>
      </c>
      <c r="L51" s="38">
        <v>10</v>
      </c>
      <c r="M51" s="52">
        <v>54240000</v>
      </c>
      <c r="N51" s="74">
        <v>0</v>
      </c>
      <c r="O51" s="52">
        <v>54000000</v>
      </c>
      <c r="P51" s="38">
        <v>10</v>
      </c>
      <c r="Q51" s="52">
        <v>67183200</v>
      </c>
      <c r="R51" s="38">
        <v>9</v>
      </c>
      <c r="S51" s="52">
        <v>32400000</v>
      </c>
      <c r="T51" s="43">
        <f t="shared" si="0"/>
        <v>29</v>
      </c>
      <c r="U51" s="43">
        <f t="shared" si="1"/>
        <v>322.22222222222223</v>
      </c>
      <c r="V51" s="45" t="s">
        <v>231</v>
      </c>
      <c r="W51" s="41">
        <f t="shared" si="2"/>
        <v>207823200</v>
      </c>
      <c r="X51" s="44">
        <f t="shared" si="3"/>
        <v>89.990127305793706</v>
      </c>
      <c r="Y51" s="45" t="s">
        <v>231</v>
      </c>
      <c r="Z51" s="44">
        <f t="shared" si="4"/>
        <v>49</v>
      </c>
      <c r="AA51" s="41">
        <f t="shared" si="5"/>
        <v>388471200</v>
      </c>
      <c r="AB51" s="44"/>
      <c r="AC51" s="45"/>
      <c r="AD51" s="44"/>
      <c r="AE51" s="18"/>
      <c r="AH51" s="34"/>
    </row>
    <row r="52" spans="1:34" ht="63" customHeight="1" x14ac:dyDescent="0.3">
      <c r="A52" s="35"/>
      <c r="B52" s="24"/>
      <c r="C52" s="85" t="s">
        <v>41</v>
      </c>
      <c r="D52" s="85" t="s">
        <v>245</v>
      </c>
      <c r="E52" s="80">
        <v>2583.5</v>
      </c>
      <c r="F52" s="81" t="s">
        <v>244</v>
      </c>
      <c r="G52" s="82">
        <v>35541025474</v>
      </c>
      <c r="H52" s="57">
        <v>1435</v>
      </c>
      <c r="I52" s="42">
        <v>17453714790</v>
      </c>
      <c r="J52" s="83"/>
      <c r="K52" s="52"/>
      <c r="L52" s="38"/>
      <c r="M52" s="52"/>
      <c r="N52" s="74"/>
      <c r="O52" s="52"/>
      <c r="P52" s="38"/>
      <c r="Q52" s="52"/>
      <c r="R52" s="38"/>
      <c r="S52" s="52"/>
      <c r="T52" s="44"/>
      <c r="U52" s="44"/>
      <c r="V52" s="45"/>
      <c r="W52" s="41"/>
      <c r="X52" s="44"/>
      <c r="Y52" s="45"/>
      <c r="Z52" s="44">
        <f t="shared" si="4"/>
        <v>1435</v>
      </c>
      <c r="AA52" s="41">
        <f t="shared" si="5"/>
        <v>17453714790</v>
      </c>
      <c r="AB52" s="44"/>
      <c r="AC52" s="45"/>
      <c r="AD52" s="44"/>
      <c r="AE52" s="18"/>
      <c r="AH52" s="34"/>
    </row>
    <row r="53" spans="1:34" ht="108.5" x14ac:dyDescent="0.3">
      <c r="A53" s="35"/>
      <c r="B53" s="24"/>
      <c r="C53" s="25" t="s">
        <v>42</v>
      </c>
      <c r="D53" s="25" t="s">
        <v>132</v>
      </c>
      <c r="E53" s="26">
        <v>100</v>
      </c>
      <c r="F53" s="27" t="s">
        <v>231</v>
      </c>
      <c r="G53" s="28">
        <f>G54</f>
        <v>7090993500</v>
      </c>
      <c r="H53" s="86">
        <v>83.03</v>
      </c>
      <c r="I53" s="28">
        <f>I54</f>
        <v>5912390016</v>
      </c>
      <c r="J53" s="86">
        <v>89.14</v>
      </c>
      <c r="K53" s="28">
        <f>K54</f>
        <v>11917191036</v>
      </c>
      <c r="L53" s="26">
        <v>0</v>
      </c>
      <c r="M53" s="28">
        <f>M54</f>
        <v>5436000</v>
      </c>
      <c r="N53" s="174">
        <v>0</v>
      </c>
      <c r="O53" s="28">
        <f>O54</f>
        <v>5400000</v>
      </c>
      <c r="P53" s="86">
        <f>(45228+P54)/56296*100</f>
        <v>80.513713230069627</v>
      </c>
      <c r="Q53" s="28">
        <f>Q54</f>
        <v>4018860745</v>
      </c>
      <c r="R53" s="86">
        <f>(45228+R54)/56296*100</f>
        <v>82.803396333664921</v>
      </c>
      <c r="S53" s="28">
        <f>S54</f>
        <v>7833962960</v>
      </c>
      <c r="T53" s="176">
        <f t="shared" ref="T53:T65" si="9">SUM(L53,N53,P53,R53)</f>
        <v>163.31710956373456</v>
      </c>
      <c r="U53" s="30">
        <f>T53/J53*100</f>
        <v>183.21416823394051</v>
      </c>
      <c r="V53" s="31" t="s">
        <v>231</v>
      </c>
      <c r="W53" s="32">
        <f t="shared" ref="W53:W65" si="10">SUM(M53,O53,Q53,S53)</f>
        <v>11863659705</v>
      </c>
      <c r="X53" s="30">
        <f t="shared" ref="X53:X65" si="11">W53/K53*100</f>
        <v>99.550805799468264</v>
      </c>
      <c r="Y53" s="31" t="s">
        <v>231</v>
      </c>
      <c r="Z53" s="30">
        <f t="shared" si="4"/>
        <v>246.34710956373456</v>
      </c>
      <c r="AA53" s="32">
        <f t="shared" si="5"/>
        <v>17776049721</v>
      </c>
      <c r="AB53" s="30"/>
      <c r="AC53" s="31"/>
      <c r="AD53" s="30"/>
      <c r="AE53" s="18"/>
      <c r="AH53" s="34"/>
    </row>
    <row r="54" spans="1:34" ht="165" customHeight="1" x14ac:dyDescent="0.3">
      <c r="A54" s="35"/>
      <c r="B54" s="24"/>
      <c r="C54" s="25" t="s">
        <v>43</v>
      </c>
      <c r="D54" s="25" t="s">
        <v>133</v>
      </c>
      <c r="E54" s="77">
        <f>J54*3</f>
        <v>1800</v>
      </c>
      <c r="F54" s="27" t="s">
        <v>185</v>
      </c>
      <c r="G54" s="28">
        <f>SUM(G55:G56)</f>
        <v>7090993500</v>
      </c>
      <c r="H54" s="87">
        <v>1573</v>
      </c>
      <c r="I54" s="28">
        <f>SUM(I55:I56)</f>
        <v>5912390016</v>
      </c>
      <c r="J54" s="61">
        <f>J55</f>
        <v>600</v>
      </c>
      <c r="K54" s="28">
        <f>SUM(K55:K56)</f>
        <v>11917191036</v>
      </c>
      <c r="L54" s="61">
        <f>L55</f>
        <v>0</v>
      </c>
      <c r="M54" s="28">
        <f>SUM(M55:M56)</f>
        <v>5436000</v>
      </c>
      <c r="N54" s="87">
        <v>0</v>
      </c>
      <c r="O54" s="28">
        <f>SUM(O55:O56)</f>
        <v>5400000</v>
      </c>
      <c r="P54" s="61">
        <f>P55+P56</f>
        <v>98</v>
      </c>
      <c r="Q54" s="28">
        <f>SUM(Q55:Q56)</f>
        <v>4018860745</v>
      </c>
      <c r="R54" s="61">
        <f>R55+R56</f>
        <v>1387</v>
      </c>
      <c r="S54" s="28">
        <f>SUM(S55:S56)</f>
        <v>7833962960</v>
      </c>
      <c r="T54" s="29">
        <f t="shared" si="9"/>
        <v>1485</v>
      </c>
      <c r="U54" s="30">
        <f t="shared" ref="U54:U65" si="12">T54/J54*100</f>
        <v>247.5</v>
      </c>
      <c r="V54" s="31" t="s">
        <v>231</v>
      </c>
      <c r="W54" s="32">
        <f t="shared" si="10"/>
        <v>11863659705</v>
      </c>
      <c r="X54" s="30">
        <f t="shared" si="11"/>
        <v>99.550805799468264</v>
      </c>
      <c r="Y54" s="31" t="s">
        <v>231</v>
      </c>
      <c r="Z54" s="30">
        <f t="shared" si="4"/>
        <v>3058</v>
      </c>
      <c r="AA54" s="32">
        <f t="shared" si="5"/>
        <v>17776049721</v>
      </c>
      <c r="AB54" s="30"/>
      <c r="AC54" s="31"/>
      <c r="AD54" s="30"/>
      <c r="AE54" s="18"/>
      <c r="AH54" s="34"/>
    </row>
    <row r="55" spans="1:34" ht="124" x14ac:dyDescent="0.3">
      <c r="A55" s="35"/>
      <c r="B55" s="24"/>
      <c r="C55" s="37" t="s">
        <v>44</v>
      </c>
      <c r="D55" s="37" t="s">
        <v>134</v>
      </c>
      <c r="E55" s="51">
        <v>1800</v>
      </c>
      <c r="F55" s="39" t="s">
        <v>186</v>
      </c>
      <c r="G55" s="82">
        <v>3208377500</v>
      </c>
      <c r="H55" s="57">
        <v>1358</v>
      </c>
      <c r="I55" s="40">
        <v>5568851432</v>
      </c>
      <c r="J55" s="57">
        <v>600</v>
      </c>
      <c r="K55" s="52">
        <v>11517905464</v>
      </c>
      <c r="L55" s="57">
        <v>0</v>
      </c>
      <c r="M55" s="52">
        <v>0</v>
      </c>
      <c r="N55" s="74">
        <v>0</v>
      </c>
      <c r="O55" s="52">
        <v>0</v>
      </c>
      <c r="P55" s="38">
        <v>87</v>
      </c>
      <c r="Q55" s="52">
        <v>3994839925</v>
      </c>
      <c r="R55" s="38">
        <v>1338</v>
      </c>
      <c r="S55" s="52">
        <f>11465923813-3994839925</f>
        <v>7471083888</v>
      </c>
      <c r="T55" s="43">
        <f t="shared" si="9"/>
        <v>1425</v>
      </c>
      <c r="U55" s="44">
        <f t="shared" si="12"/>
        <v>237.5</v>
      </c>
      <c r="V55" s="45" t="s">
        <v>231</v>
      </c>
      <c r="W55" s="41">
        <f t="shared" si="10"/>
        <v>11465923813</v>
      </c>
      <c r="X55" s="44">
        <f t="shared" si="11"/>
        <v>99.548688334328901</v>
      </c>
      <c r="Y55" s="45" t="s">
        <v>231</v>
      </c>
      <c r="Z55" s="44">
        <f t="shared" si="4"/>
        <v>2783</v>
      </c>
      <c r="AA55" s="41">
        <f>I55+W55</f>
        <v>17034775245</v>
      </c>
      <c r="AB55" s="44"/>
      <c r="AC55" s="45"/>
      <c r="AD55" s="44"/>
      <c r="AE55" s="18"/>
      <c r="AH55" s="34"/>
    </row>
    <row r="56" spans="1:34" ht="93" x14ac:dyDescent="0.3">
      <c r="A56" s="35"/>
      <c r="B56" s="24"/>
      <c r="C56" s="37" t="s">
        <v>45</v>
      </c>
      <c r="D56" s="37" t="s">
        <v>135</v>
      </c>
      <c r="E56" s="38">
        <v>90</v>
      </c>
      <c r="F56" s="39" t="s">
        <v>239</v>
      </c>
      <c r="G56" s="82">
        <v>3882616000</v>
      </c>
      <c r="H56" s="51">
        <v>215</v>
      </c>
      <c r="I56" s="42">
        <v>343538584</v>
      </c>
      <c r="J56" s="38">
        <v>30</v>
      </c>
      <c r="K56" s="52">
        <v>399285572</v>
      </c>
      <c r="L56" s="38">
        <v>0</v>
      </c>
      <c r="M56" s="52">
        <v>5436000</v>
      </c>
      <c r="N56" s="74">
        <v>0</v>
      </c>
      <c r="O56" s="52">
        <v>5400000</v>
      </c>
      <c r="P56" s="38">
        <v>11</v>
      </c>
      <c r="Q56" s="52">
        <v>24020820</v>
      </c>
      <c r="R56" s="38">
        <v>49</v>
      </c>
      <c r="S56" s="52">
        <f>397735892-24020820-5400000-5436000</f>
        <v>362879072</v>
      </c>
      <c r="T56" s="43">
        <f t="shared" si="9"/>
        <v>60</v>
      </c>
      <c r="U56" s="44">
        <f t="shared" si="12"/>
        <v>200</v>
      </c>
      <c r="V56" s="45" t="s">
        <v>231</v>
      </c>
      <c r="W56" s="41">
        <f t="shared" si="10"/>
        <v>397735892</v>
      </c>
      <c r="X56" s="44">
        <f t="shared" si="11"/>
        <v>99.61188680266163</v>
      </c>
      <c r="Y56" s="45" t="s">
        <v>231</v>
      </c>
      <c r="Z56" s="44">
        <f t="shared" si="4"/>
        <v>275</v>
      </c>
      <c r="AA56" s="41">
        <f t="shared" si="5"/>
        <v>741274476</v>
      </c>
      <c r="AB56" s="44"/>
      <c r="AC56" s="45"/>
      <c r="AD56" s="44"/>
      <c r="AE56" s="18"/>
      <c r="AH56" s="34"/>
    </row>
    <row r="57" spans="1:34" ht="124" x14ac:dyDescent="0.3">
      <c r="A57" s="35"/>
      <c r="B57" s="24"/>
      <c r="C57" s="25" t="s">
        <v>46</v>
      </c>
      <c r="D57" s="25" t="s">
        <v>136</v>
      </c>
      <c r="E57" s="26">
        <v>100</v>
      </c>
      <c r="F57" s="27" t="s">
        <v>231</v>
      </c>
      <c r="G57" s="28">
        <f>G58</f>
        <v>4361673550</v>
      </c>
      <c r="H57" s="88">
        <v>83.39</v>
      </c>
      <c r="I57" s="28">
        <f>I58</f>
        <v>4641357249</v>
      </c>
      <c r="J57" s="86">
        <v>87.1</v>
      </c>
      <c r="K57" s="28">
        <f>K58</f>
        <v>11008749000</v>
      </c>
      <c r="L57" s="26">
        <v>0</v>
      </c>
      <c r="M57" s="28">
        <f>M58</f>
        <v>37152000</v>
      </c>
      <c r="N57" s="88">
        <v>0</v>
      </c>
      <c r="O57" s="28">
        <f>O58</f>
        <v>647877250</v>
      </c>
      <c r="P57" s="86">
        <f>(46354+P58)/56296*100</f>
        <v>83.24392496802615</v>
      </c>
      <c r="Q57" s="28">
        <f>Q58</f>
        <v>5025828590</v>
      </c>
      <c r="R57" s="86">
        <f>(46354+R58)/56296*100</f>
        <v>83.405570555634498</v>
      </c>
      <c r="S57" s="28">
        <f>S58</f>
        <v>5262825200</v>
      </c>
      <c r="T57" s="29">
        <f t="shared" si="9"/>
        <v>166.64949552366065</v>
      </c>
      <c r="U57" s="30">
        <f>T57/J57*100</f>
        <v>191.33122333370915</v>
      </c>
      <c r="V57" s="31" t="s">
        <v>231</v>
      </c>
      <c r="W57" s="32">
        <f t="shared" si="10"/>
        <v>10973683040</v>
      </c>
      <c r="X57" s="30">
        <f t="shared" si="11"/>
        <v>99.681471891129505</v>
      </c>
      <c r="Y57" s="31" t="s">
        <v>231</v>
      </c>
      <c r="Z57" s="30">
        <f t="shared" si="4"/>
        <v>250.03949552366066</v>
      </c>
      <c r="AA57" s="32">
        <f t="shared" si="5"/>
        <v>15615040289</v>
      </c>
      <c r="AB57" s="30"/>
      <c r="AC57" s="31"/>
      <c r="AD57" s="30"/>
      <c r="AE57" s="89"/>
      <c r="AH57" s="34"/>
    </row>
    <row r="58" spans="1:34" ht="155" x14ac:dyDescent="0.3">
      <c r="A58" s="35"/>
      <c r="B58" s="24"/>
      <c r="C58" s="25" t="s">
        <v>47</v>
      </c>
      <c r="D58" s="25" t="s">
        <v>137</v>
      </c>
      <c r="E58" s="26">
        <v>800</v>
      </c>
      <c r="F58" s="27" t="s">
        <v>185</v>
      </c>
      <c r="G58" s="28">
        <f>SUM(G59:G60)</f>
        <v>4361673550</v>
      </c>
      <c r="H58" s="90">
        <v>676</v>
      </c>
      <c r="I58" s="28">
        <f>SUM(I59:I60)</f>
        <v>4641357249</v>
      </c>
      <c r="J58" s="26">
        <f>J60</f>
        <v>700</v>
      </c>
      <c r="K58" s="28">
        <f>SUM(K59:K60)</f>
        <v>11008749000</v>
      </c>
      <c r="L58" s="26">
        <f>L60</f>
        <v>0</v>
      </c>
      <c r="M58" s="28">
        <f>SUM(M59:M60)</f>
        <v>37152000</v>
      </c>
      <c r="N58" s="90">
        <v>0</v>
      </c>
      <c r="O58" s="28">
        <f>SUM(O59:O60)</f>
        <v>647877250</v>
      </c>
      <c r="P58" s="61">
        <f>P59+P60</f>
        <v>509</v>
      </c>
      <c r="Q58" s="28">
        <f>SUM(Q59:Q60)</f>
        <v>5025828590</v>
      </c>
      <c r="R58" s="61">
        <f>R59+R60</f>
        <v>600</v>
      </c>
      <c r="S58" s="28">
        <f>SUM(S59:S60)</f>
        <v>5262825200</v>
      </c>
      <c r="T58" s="29">
        <f t="shared" si="9"/>
        <v>1109</v>
      </c>
      <c r="U58" s="30">
        <f t="shared" si="12"/>
        <v>158.42857142857142</v>
      </c>
      <c r="V58" s="31" t="s">
        <v>231</v>
      </c>
      <c r="W58" s="32">
        <f t="shared" si="10"/>
        <v>10973683040</v>
      </c>
      <c r="X58" s="30">
        <f t="shared" si="11"/>
        <v>99.681471891129505</v>
      </c>
      <c r="Y58" s="31" t="s">
        <v>231</v>
      </c>
      <c r="Z58" s="30">
        <f t="shared" si="4"/>
        <v>1785</v>
      </c>
      <c r="AA58" s="32">
        <f t="shared" si="5"/>
        <v>15615040289</v>
      </c>
      <c r="AB58" s="30"/>
      <c r="AC58" s="31"/>
      <c r="AD58" s="30"/>
      <c r="AE58" s="18"/>
      <c r="AH58" s="34"/>
    </row>
    <row r="59" spans="1:34" ht="108.5" x14ac:dyDescent="0.3">
      <c r="A59" s="35"/>
      <c r="B59" s="24"/>
      <c r="C59" s="37" t="s">
        <v>48</v>
      </c>
      <c r="D59" s="37" t="s">
        <v>138</v>
      </c>
      <c r="E59" s="38">
        <f>J59*3</f>
        <v>90</v>
      </c>
      <c r="F59" s="39" t="s">
        <v>239</v>
      </c>
      <c r="G59" s="91">
        <v>527579550</v>
      </c>
      <c r="H59" s="51">
        <v>32</v>
      </c>
      <c r="I59" s="42">
        <v>281415101</v>
      </c>
      <c r="J59" s="38">
        <v>30</v>
      </c>
      <c r="K59" s="52">
        <v>448140000</v>
      </c>
      <c r="L59" s="38">
        <v>0</v>
      </c>
      <c r="M59" s="52">
        <v>37152000</v>
      </c>
      <c r="N59" s="74">
        <v>0</v>
      </c>
      <c r="O59" s="52">
        <v>208274250</v>
      </c>
      <c r="P59" s="38">
        <v>52</v>
      </c>
      <c r="Q59" s="52">
        <v>145233990</v>
      </c>
      <c r="R59" s="38">
        <v>52</v>
      </c>
      <c r="S59" s="52">
        <f>426060240-145233990-208274250-37152000</f>
        <v>35400000</v>
      </c>
      <c r="T59" s="43">
        <f t="shared" si="9"/>
        <v>104</v>
      </c>
      <c r="U59" s="44">
        <f t="shared" si="12"/>
        <v>346.66666666666669</v>
      </c>
      <c r="V59" s="45" t="s">
        <v>231</v>
      </c>
      <c r="W59" s="41">
        <f t="shared" si="10"/>
        <v>426060240</v>
      </c>
      <c r="X59" s="44">
        <f t="shared" si="11"/>
        <v>95.073021823537289</v>
      </c>
      <c r="Y59" s="45" t="s">
        <v>231</v>
      </c>
      <c r="Z59" s="44">
        <f t="shared" si="4"/>
        <v>136</v>
      </c>
      <c r="AA59" s="41">
        <f t="shared" si="5"/>
        <v>707475341</v>
      </c>
      <c r="AB59" s="44"/>
      <c r="AC59" s="45"/>
      <c r="AD59" s="44"/>
      <c r="AE59" s="18"/>
      <c r="AH59" s="34"/>
    </row>
    <row r="60" spans="1:34" ht="162.75" customHeight="1" x14ac:dyDescent="0.3">
      <c r="A60" s="35"/>
      <c r="B60" s="24"/>
      <c r="C60" s="37" t="s">
        <v>49</v>
      </c>
      <c r="D60" s="37" t="s">
        <v>139</v>
      </c>
      <c r="E60" s="38">
        <f>700+500+800</f>
        <v>2000</v>
      </c>
      <c r="F60" s="81" t="s">
        <v>246</v>
      </c>
      <c r="G60" s="92">
        <v>3834094000</v>
      </c>
      <c r="H60" s="51">
        <v>644</v>
      </c>
      <c r="I60" s="42">
        <v>4359942148</v>
      </c>
      <c r="J60" s="38">
        <v>700</v>
      </c>
      <c r="K60" s="52">
        <v>10560609000</v>
      </c>
      <c r="L60" s="38">
        <v>0</v>
      </c>
      <c r="M60" s="52">
        <v>0</v>
      </c>
      <c r="N60" s="74">
        <v>0</v>
      </c>
      <c r="O60" s="52">
        <v>439603000</v>
      </c>
      <c r="P60" s="38">
        <v>457</v>
      </c>
      <c r="Q60" s="52">
        <v>4880594600</v>
      </c>
      <c r="R60" s="38">
        <v>548</v>
      </c>
      <c r="S60" s="52">
        <f>10547622800-4880594600-439603000</f>
        <v>5227425200</v>
      </c>
      <c r="T60" s="43">
        <f t="shared" si="9"/>
        <v>1005</v>
      </c>
      <c r="U60" s="44">
        <f t="shared" si="12"/>
        <v>143.57142857142858</v>
      </c>
      <c r="V60" s="45" t="s">
        <v>231</v>
      </c>
      <c r="W60" s="41">
        <f t="shared" si="10"/>
        <v>10547622800</v>
      </c>
      <c r="X60" s="44">
        <f t="shared" si="11"/>
        <v>99.877031712849146</v>
      </c>
      <c r="Y60" s="45" t="s">
        <v>231</v>
      </c>
      <c r="Z60" s="44">
        <f t="shared" si="4"/>
        <v>1649</v>
      </c>
      <c r="AA60" s="41">
        <f t="shared" si="5"/>
        <v>14907564948</v>
      </c>
      <c r="AB60" s="44"/>
      <c r="AC60" s="45"/>
      <c r="AD60" s="44"/>
      <c r="AE60" s="18"/>
      <c r="AH60" s="34"/>
    </row>
    <row r="61" spans="1:34" ht="120" customHeight="1" x14ac:dyDescent="0.3">
      <c r="A61" s="35"/>
      <c r="B61" s="24"/>
      <c r="C61" s="25" t="s">
        <v>50</v>
      </c>
      <c r="D61" s="25" t="s">
        <v>140</v>
      </c>
      <c r="E61" s="86">
        <v>73</v>
      </c>
      <c r="F61" s="27" t="s">
        <v>231</v>
      </c>
      <c r="G61" s="28">
        <f>G62</f>
        <v>4446711050</v>
      </c>
      <c r="H61" s="77">
        <v>66</v>
      </c>
      <c r="I61" s="28">
        <f>I62</f>
        <v>1311299427</v>
      </c>
      <c r="J61" s="26">
        <v>69</v>
      </c>
      <c r="K61" s="28">
        <f>K62</f>
        <v>1953044000</v>
      </c>
      <c r="L61" s="26">
        <v>0</v>
      </c>
      <c r="M61" s="28">
        <f>M62</f>
        <v>5436000</v>
      </c>
      <c r="N61" s="174">
        <v>0</v>
      </c>
      <c r="O61" s="28">
        <f>O62</f>
        <v>299068250</v>
      </c>
      <c r="P61" s="77">
        <v>0</v>
      </c>
      <c r="Q61" s="28">
        <f>Q62</f>
        <v>189680010</v>
      </c>
      <c r="R61" s="175">
        <f>R62/17200*100</f>
        <v>81.087209302325576</v>
      </c>
      <c r="S61" s="28">
        <f>S62</f>
        <v>1429573500</v>
      </c>
      <c r="T61" s="29">
        <f t="shared" si="9"/>
        <v>81.087209302325576</v>
      </c>
      <c r="U61" s="30">
        <f t="shared" si="12"/>
        <v>117.51769464105155</v>
      </c>
      <c r="V61" s="31" t="s">
        <v>231</v>
      </c>
      <c r="W61" s="32">
        <f t="shared" si="10"/>
        <v>1923757760</v>
      </c>
      <c r="X61" s="30">
        <f t="shared" si="11"/>
        <v>98.500482324002931</v>
      </c>
      <c r="Y61" s="31" t="s">
        <v>231</v>
      </c>
      <c r="Z61" s="30">
        <f t="shared" si="4"/>
        <v>147.08720930232556</v>
      </c>
      <c r="AA61" s="32">
        <f t="shared" si="5"/>
        <v>3235057187</v>
      </c>
      <c r="AB61" s="30"/>
      <c r="AC61" s="31"/>
      <c r="AD61" s="30"/>
      <c r="AE61" s="18"/>
      <c r="AH61" s="34"/>
    </row>
    <row r="62" spans="1:34" ht="232.5" customHeight="1" x14ac:dyDescent="0.3">
      <c r="A62" s="35"/>
      <c r="B62" s="24"/>
      <c r="C62" s="25" t="s">
        <v>51</v>
      </c>
      <c r="D62" s="25" t="s">
        <v>141</v>
      </c>
      <c r="E62" s="93">
        <v>14000</v>
      </c>
      <c r="F62" s="27" t="s">
        <v>242</v>
      </c>
      <c r="G62" s="94">
        <f>SUM(G63:G66)</f>
        <v>4446711050</v>
      </c>
      <c r="H62" s="61">
        <v>12306</v>
      </c>
      <c r="I62" s="94">
        <f>SUM(I63:I66)</f>
        <v>1311299427</v>
      </c>
      <c r="J62" s="61">
        <v>11400</v>
      </c>
      <c r="K62" s="94">
        <f>SUM(K63:K66)</f>
        <v>1953044000</v>
      </c>
      <c r="L62" s="61">
        <v>0</v>
      </c>
      <c r="M62" s="94">
        <f>SUM(M63:M66)</f>
        <v>5436000</v>
      </c>
      <c r="N62" s="174">
        <v>0</v>
      </c>
      <c r="O62" s="94">
        <f>SUM(O63:O66)</f>
        <v>299068250</v>
      </c>
      <c r="P62" s="77">
        <v>0</v>
      </c>
      <c r="Q62" s="94">
        <f>SUM(Q63:Q66)</f>
        <v>189680010</v>
      </c>
      <c r="R62" s="77">
        <f>H62+R63+R64+R65</f>
        <v>13947</v>
      </c>
      <c r="S62" s="94">
        <f>SUM(S63:S66)</f>
        <v>1429573500</v>
      </c>
      <c r="T62" s="29">
        <f t="shared" si="9"/>
        <v>13947</v>
      </c>
      <c r="U62" s="30">
        <f t="shared" si="12"/>
        <v>122.34210526315789</v>
      </c>
      <c r="V62" s="31" t="s">
        <v>231</v>
      </c>
      <c r="W62" s="32">
        <f t="shared" si="10"/>
        <v>1923757760</v>
      </c>
      <c r="X62" s="30">
        <f t="shared" si="11"/>
        <v>98.500482324002931</v>
      </c>
      <c r="Y62" s="31" t="s">
        <v>231</v>
      </c>
      <c r="Z62" s="30">
        <f t="shared" si="4"/>
        <v>26253</v>
      </c>
      <c r="AA62" s="32">
        <f t="shared" si="5"/>
        <v>3235057187</v>
      </c>
      <c r="AB62" s="30"/>
      <c r="AC62" s="31"/>
      <c r="AD62" s="30"/>
      <c r="AE62" s="18"/>
      <c r="AH62" s="34"/>
    </row>
    <row r="63" spans="1:34" ht="97.5" customHeight="1" x14ac:dyDescent="0.3">
      <c r="A63" s="35"/>
      <c r="B63" s="24"/>
      <c r="C63" s="37" t="s">
        <v>52</v>
      </c>
      <c r="D63" s="37" t="s">
        <v>142</v>
      </c>
      <c r="E63" s="95">
        <v>14000</v>
      </c>
      <c r="F63" s="39" t="s">
        <v>242</v>
      </c>
      <c r="G63" s="92">
        <v>85037500</v>
      </c>
      <c r="H63" s="57">
        <v>1057</v>
      </c>
      <c r="I63" s="42">
        <v>670280000</v>
      </c>
      <c r="J63" s="38">
        <v>820</v>
      </c>
      <c r="K63" s="52">
        <v>220200000</v>
      </c>
      <c r="L63" s="38">
        <v>0</v>
      </c>
      <c r="M63" s="52">
        <v>0</v>
      </c>
      <c r="N63" s="74">
        <v>0</v>
      </c>
      <c r="O63" s="52">
        <v>0</v>
      </c>
      <c r="P63" s="38">
        <v>0</v>
      </c>
      <c r="Q63" s="52"/>
      <c r="R63" s="38">
        <v>820</v>
      </c>
      <c r="S63" s="52">
        <v>218822000</v>
      </c>
      <c r="T63" s="43">
        <f t="shared" si="9"/>
        <v>820</v>
      </c>
      <c r="U63" s="44">
        <f t="shared" si="12"/>
        <v>100</v>
      </c>
      <c r="V63" s="45" t="s">
        <v>231</v>
      </c>
      <c r="W63" s="41">
        <f t="shared" si="10"/>
        <v>218822000</v>
      </c>
      <c r="X63" s="44">
        <f t="shared" si="11"/>
        <v>99.374205267938237</v>
      </c>
      <c r="Y63" s="45" t="s">
        <v>231</v>
      </c>
      <c r="Z63" s="44">
        <f t="shared" si="4"/>
        <v>1877</v>
      </c>
      <c r="AA63" s="41">
        <f t="shared" si="5"/>
        <v>889102000</v>
      </c>
      <c r="AB63" s="44"/>
      <c r="AC63" s="45"/>
      <c r="AD63" s="44"/>
      <c r="AE63" s="18"/>
      <c r="AH63" s="34"/>
    </row>
    <row r="64" spans="1:34" ht="77.5" x14ac:dyDescent="0.3">
      <c r="A64" s="35"/>
      <c r="B64" s="24"/>
      <c r="C64" s="37" t="s">
        <v>53</v>
      </c>
      <c r="D64" s="37" t="s">
        <v>143</v>
      </c>
      <c r="E64" s="38"/>
      <c r="F64" s="39" t="s">
        <v>242</v>
      </c>
      <c r="G64" s="91"/>
      <c r="H64" s="51"/>
      <c r="I64" s="42"/>
      <c r="J64" s="57">
        <v>386</v>
      </c>
      <c r="K64" s="52">
        <v>1150350000</v>
      </c>
      <c r="L64" s="57">
        <v>0</v>
      </c>
      <c r="M64" s="52">
        <v>0</v>
      </c>
      <c r="N64" s="74">
        <v>0</v>
      </c>
      <c r="O64" s="52">
        <v>0</v>
      </c>
      <c r="P64" s="38">
        <v>0</v>
      </c>
      <c r="Q64" s="52">
        <v>107701000</v>
      </c>
      <c r="R64" s="38">
        <v>415</v>
      </c>
      <c r="S64" s="52">
        <f>1136959500-107701000</f>
        <v>1029258500</v>
      </c>
      <c r="T64" s="43">
        <f t="shared" si="9"/>
        <v>415</v>
      </c>
      <c r="U64" s="44">
        <f t="shared" si="12"/>
        <v>107.51295336787565</v>
      </c>
      <c r="V64" s="45" t="s">
        <v>231</v>
      </c>
      <c r="W64" s="41">
        <f t="shared" si="10"/>
        <v>1136959500</v>
      </c>
      <c r="X64" s="44">
        <f t="shared" si="11"/>
        <v>98.835962967792412</v>
      </c>
      <c r="Y64" s="45" t="s">
        <v>231</v>
      </c>
      <c r="Z64" s="44">
        <f t="shared" si="4"/>
        <v>415</v>
      </c>
      <c r="AA64" s="41">
        <f t="shared" si="5"/>
        <v>1136959500</v>
      </c>
      <c r="AB64" s="44"/>
      <c r="AC64" s="45"/>
      <c r="AD64" s="44"/>
      <c r="AE64" s="18"/>
      <c r="AH64" s="34"/>
    </row>
    <row r="65" spans="1:34" ht="95.25" customHeight="1" x14ac:dyDescent="0.3">
      <c r="A65" s="35"/>
      <c r="B65" s="24"/>
      <c r="C65" s="37" t="s">
        <v>54</v>
      </c>
      <c r="D65" s="37" t="s">
        <v>144</v>
      </c>
      <c r="E65" s="38">
        <v>386</v>
      </c>
      <c r="F65" s="39" t="s">
        <v>242</v>
      </c>
      <c r="G65" s="91">
        <v>527579550</v>
      </c>
      <c r="H65" s="51">
        <v>509</v>
      </c>
      <c r="I65" s="42">
        <v>434573030</v>
      </c>
      <c r="J65" s="57">
        <v>386</v>
      </c>
      <c r="K65" s="52">
        <v>582494000</v>
      </c>
      <c r="L65" s="57">
        <v>0</v>
      </c>
      <c r="M65" s="52">
        <v>5436000</v>
      </c>
      <c r="N65" s="74">
        <v>607</v>
      </c>
      <c r="O65" s="52">
        <v>299068250</v>
      </c>
      <c r="P65" s="38">
        <v>0</v>
      </c>
      <c r="Q65" s="52">
        <v>81979010</v>
      </c>
      <c r="R65" s="38">
        <v>406</v>
      </c>
      <c r="S65" s="52">
        <f>567976260-81979010-299068250-5436000</f>
        <v>181493000</v>
      </c>
      <c r="T65" s="43">
        <f t="shared" si="9"/>
        <v>1013</v>
      </c>
      <c r="U65" s="44">
        <f t="shared" si="12"/>
        <v>262.43523316062175</v>
      </c>
      <c r="V65" s="45" t="s">
        <v>231</v>
      </c>
      <c r="W65" s="41">
        <f t="shared" si="10"/>
        <v>567976260</v>
      </c>
      <c r="X65" s="44">
        <f t="shared" si="11"/>
        <v>97.507658447984014</v>
      </c>
      <c r="Y65" s="45" t="s">
        <v>231</v>
      </c>
      <c r="Z65" s="44">
        <f t="shared" si="4"/>
        <v>1522</v>
      </c>
      <c r="AA65" s="41">
        <f t="shared" si="5"/>
        <v>1002549290</v>
      </c>
      <c r="AB65" s="44"/>
      <c r="AC65" s="45"/>
      <c r="AD65" s="44"/>
      <c r="AE65" s="18"/>
      <c r="AH65" s="34"/>
    </row>
    <row r="66" spans="1:34" ht="77.5" x14ac:dyDescent="0.3">
      <c r="A66" s="35"/>
      <c r="B66" s="24"/>
      <c r="C66" s="85" t="s">
        <v>192</v>
      </c>
      <c r="D66" s="85" t="s">
        <v>247</v>
      </c>
      <c r="E66" s="57">
        <v>8754</v>
      </c>
      <c r="F66" s="39" t="s">
        <v>242</v>
      </c>
      <c r="G66" s="92">
        <v>3834094000</v>
      </c>
      <c r="H66" s="57">
        <v>0</v>
      </c>
      <c r="I66" s="52">
        <v>206446397</v>
      </c>
      <c r="J66" s="96"/>
      <c r="K66" s="52"/>
      <c r="L66" s="51"/>
      <c r="M66" s="52"/>
      <c r="N66" s="172"/>
      <c r="O66" s="28"/>
      <c r="P66" s="51"/>
      <c r="Q66" s="28"/>
      <c r="R66" s="51"/>
      <c r="S66" s="52"/>
      <c r="T66" s="43"/>
      <c r="U66" s="44"/>
      <c r="V66" s="45"/>
      <c r="W66" s="41"/>
      <c r="X66" s="44"/>
      <c r="Y66" s="45"/>
      <c r="Z66" s="44">
        <f t="shared" si="4"/>
        <v>0</v>
      </c>
      <c r="AA66" s="41">
        <f t="shared" si="5"/>
        <v>206446397</v>
      </c>
      <c r="AB66" s="44"/>
      <c r="AC66" s="45"/>
      <c r="AD66" s="44"/>
      <c r="AE66" s="18"/>
      <c r="AH66" s="34"/>
    </row>
    <row r="67" spans="1:34" ht="84" customHeight="1" x14ac:dyDescent="0.3">
      <c r="A67" s="35"/>
      <c r="B67" s="24"/>
      <c r="C67" s="25" t="s">
        <v>55</v>
      </c>
      <c r="D67" s="25" t="s">
        <v>145</v>
      </c>
      <c r="E67" s="77">
        <v>100</v>
      </c>
      <c r="F67" s="27" t="s">
        <v>231</v>
      </c>
      <c r="G67" s="28">
        <f>G68</f>
        <v>50000000000</v>
      </c>
      <c r="H67" s="86">
        <f>14/21*100</f>
        <v>66.666666666666657</v>
      </c>
      <c r="I67" s="28">
        <f>I68</f>
        <v>50275666496</v>
      </c>
      <c r="J67" s="86">
        <v>85.71</v>
      </c>
      <c r="K67" s="28">
        <f>K68</f>
        <v>22603506000</v>
      </c>
      <c r="L67" s="86">
        <v>0</v>
      </c>
      <c r="M67" s="28">
        <f>M68</f>
        <v>10836000</v>
      </c>
      <c r="N67" s="88">
        <v>0</v>
      </c>
      <c r="O67" s="28">
        <f>O68</f>
        <v>2262811988</v>
      </c>
      <c r="P67" s="86">
        <f>18/21*100</f>
        <v>85.714285714285708</v>
      </c>
      <c r="Q67" s="28">
        <f>Q68</f>
        <v>6895707543</v>
      </c>
      <c r="R67" s="86">
        <f>18/21*100</f>
        <v>85.714285714285708</v>
      </c>
      <c r="S67" s="28">
        <f>S68</f>
        <v>12050589430</v>
      </c>
      <c r="T67" s="29">
        <f t="shared" ref="T67:T81" si="13">SUM(L67,N67,P67,R67)</f>
        <v>171.42857142857142</v>
      </c>
      <c r="U67" s="30">
        <f t="shared" ref="U67:U77" si="14">T67/J67*100</f>
        <v>200.01000050002503</v>
      </c>
      <c r="V67" s="31" t="s">
        <v>231</v>
      </c>
      <c r="W67" s="32">
        <f t="shared" ref="W67:W81" si="15">SUM(M67,O67,Q67,S67)</f>
        <v>21219944961</v>
      </c>
      <c r="X67" s="30">
        <f t="shared" ref="X67:X81" si="16">W67/K67*100</f>
        <v>93.878998067821868</v>
      </c>
      <c r="Y67" s="31" t="s">
        <v>231</v>
      </c>
      <c r="Z67" s="30">
        <f t="shared" si="4"/>
        <v>238.09523809523807</v>
      </c>
      <c r="AA67" s="32">
        <f t="shared" si="5"/>
        <v>71495611457</v>
      </c>
      <c r="AB67" s="30"/>
      <c r="AC67" s="31"/>
      <c r="AD67" s="30"/>
      <c r="AE67" s="18"/>
      <c r="AH67" s="34"/>
    </row>
    <row r="68" spans="1:34" ht="229.5" customHeight="1" x14ac:dyDescent="0.3">
      <c r="A68" s="35"/>
      <c r="B68" s="24"/>
      <c r="C68" s="25" t="s">
        <v>56</v>
      </c>
      <c r="D68" s="25" t="s">
        <v>146</v>
      </c>
      <c r="E68" s="26">
        <v>6</v>
      </c>
      <c r="F68" s="27" t="s">
        <v>248</v>
      </c>
      <c r="G68" s="28">
        <f>SUM(G69:G70)</f>
        <v>50000000000</v>
      </c>
      <c r="H68" s="77">
        <v>13</v>
      </c>
      <c r="I68" s="28">
        <f>SUM(I69:I70)</f>
        <v>50275666496</v>
      </c>
      <c r="J68" s="26">
        <f>J70</f>
        <v>2</v>
      </c>
      <c r="K68" s="28">
        <f>SUM(K69:K70)</f>
        <v>22603506000</v>
      </c>
      <c r="L68" s="26">
        <f>L70</f>
        <v>0</v>
      </c>
      <c r="M68" s="28">
        <f>SUM(M69:M70)</f>
        <v>10836000</v>
      </c>
      <c r="N68" s="90">
        <v>0</v>
      </c>
      <c r="O68" s="28">
        <f>SUM(O69:O70)</f>
        <v>2262811988</v>
      </c>
      <c r="P68" s="26">
        <v>1</v>
      </c>
      <c r="Q68" s="28">
        <f>SUM(Q69:Q70)</f>
        <v>6895707543</v>
      </c>
      <c r="R68" s="26">
        <v>3</v>
      </c>
      <c r="S68" s="28">
        <f>SUM(S69:S70)</f>
        <v>12050589430</v>
      </c>
      <c r="T68" s="29">
        <f t="shared" si="13"/>
        <v>4</v>
      </c>
      <c r="U68" s="30">
        <f t="shared" si="14"/>
        <v>200</v>
      </c>
      <c r="V68" s="31" t="s">
        <v>231</v>
      </c>
      <c r="W68" s="32">
        <f t="shared" si="15"/>
        <v>21219944961</v>
      </c>
      <c r="X68" s="30">
        <f t="shared" si="16"/>
        <v>93.878998067821868</v>
      </c>
      <c r="Y68" s="31" t="s">
        <v>231</v>
      </c>
      <c r="Z68" s="30">
        <f t="shared" si="4"/>
        <v>17</v>
      </c>
      <c r="AA68" s="32">
        <f t="shared" si="5"/>
        <v>71495611457</v>
      </c>
      <c r="AB68" s="30"/>
      <c r="AC68" s="31"/>
      <c r="AD68" s="30"/>
      <c r="AE68" s="18"/>
      <c r="AH68" s="34"/>
    </row>
    <row r="69" spans="1:34" ht="257.5" customHeight="1" x14ac:dyDescent="0.3">
      <c r="A69" s="35"/>
      <c r="B69" s="24"/>
      <c r="C69" s="37" t="s">
        <v>57</v>
      </c>
      <c r="D69" s="37" t="s">
        <v>147</v>
      </c>
      <c r="E69" s="38">
        <f>J69*3</f>
        <v>300</v>
      </c>
      <c r="F69" s="81" t="s">
        <v>233</v>
      </c>
      <c r="G69" s="82">
        <v>56400000</v>
      </c>
      <c r="H69" s="51">
        <v>70</v>
      </c>
      <c r="I69" s="42">
        <v>60372000</v>
      </c>
      <c r="J69" s="38">
        <v>100</v>
      </c>
      <c r="K69" s="52">
        <v>158894000</v>
      </c>
      <c r="L69" s="38">
        <v>14</v>
      </c>
      <c r="M69" s="52">
        <v>5436000</v>
      </c>
      <c r="N69" s="74">
        <v>0</v>
      </c>
      <c r="O69" s="52">
        <v>32830000</v>
      </c>
      <c r="P69" s="38">
        <v>78</v>
      </c>
      <c r="Q69" s="52">
        <v>35445520</v>
      </c>
      <c r="R69" s="38">
        <v>42</v>
      </c>
      <c r="S69" s="52">
        <f>124141820-35445520-32830000-5436000</f>
        <v>50430300</v>
      </c>
      <c r="T69" s="43">
        <f t="shared" si="13"/>
        <v>134</v>
      </c>
      <c r="U69" s="44">
        <f t="shared" si="14"/>
        <v>134</v>
      </c>
      <c r="V69" s="45" t="s">
        <v>231</v>
      </c>
      <c r="W69" s="41">
        <f t="shared" si="15"/>
        <v>124141820</v>
      </c>
      <c r="X69" s="44">
        <f t="shared" si="16"/>
        <v>78.128702153637022</v>
      </c>
      <c r="Y69" s="45" t="s">
        <v>231</v>
      </c>
      <c r="Z69" s="44">
        <f t="shared" si="4"/>
        <v>204</v>
      </c>
      <c r="AA69" s="41">
        <f t="shared" si="5"/>
        <v>184513820</v>
      </c>
      <c r="AB69" s="44"/>
      <c r="AC69" s="45"/>
      <c r="AD69" s="44"/>
      <c r="AE69" s="18"/>
      <c r="AH69" s="34"/>
    </row>
    <row r="70" spans="1:34" ht="190" customHeight="1" x14ac:dyDescent="0.3">
      <c r="A70" s="35"/>
      <c r="B70" s="24"/>
      <c r="C70" s="37" t="s">
        <v>58</v>
      </c>
      <c r="D70" s="37" t="s">
        <v>148</v>
      </c>
      <c r="E70" s="38">
        <v>6</v>
      </c>
      <c r="F70" s="81" t="s">
        <v>233</v>
      </c>
      <c r="G70" s="97">
        <v>49943600000</v>
      </c>
      <c r="H70" s="51">
        <v>4</v>
      </c>
      <c r="I70" s="42">
        <v>50215294496</v>
      </c>
      <c r="J70" s="38">
        <v>2</v>
      </c>
      <c r="K70" s="52">
        <v>22444612000</v>
      </c>
      <c r="L70" s="38">
        <v>0</v>
      </c>
      <c r="M70" s="52">
        <v>5400000</v>
      </c>
      <c r="N70" s="74">
        <v>0</v>
      </c>
      <c r="O70" s="52">
        <v>2229981988</v>
      </c>
      <c r="P70" s="38">
        <v>1</v>
      </c>
      <c r="Q70" s="52">
        <v>6860262023</v>
      </c>
      <c r="R70" s="38">
        <v>2</v>
      </c>
      <c r="S70" s="52">
        <f>21095803141-6860262023-2229981988-5400000</f>
        <v>12000159130</v>
      </c>
      <c r="T70" s="43">
        <f t="shared" si="13"/>
        <v>3</v>
      </c>
      <c r="U70" s="44">
        <f t="shared" si="14"/>
        <v>150</v>
      </c>
      <c r="V70" s="45" t="s">
        <v>231</v>
      </c>
      <c r="W70" s="41">
        <f t="shared" si="15"/>
        <v>21095803141</v>
      </c>
      <c r="X70" s="44">
        <f t="shared" si="16"/>
        <v>93.990500441709585</v>
      </c>
      <c r="Y70" s="45" t="s">
        <v>231</v>
      </c>
      <c r="Z70" s="44">
        <f t="shared" si="4"/>
        <v>7</v>
      </c>
      <c r="AA70" s="41">
        <f t="shared" si="5"/>
        <v>71311097637</v>
      </c>
      <c r="AB70" s="44"/>
      <c r="AC70" s="45"/>
      <c r="AD70" s="44"/>
      <c r="AE70" s="18"/>
      <c r="AH70" s="34"/>
    </row>
    <row r="71" spans="1:34" ht="46.5" x14ac:dyDescent="0.3">
      <c r="A71" s="98"/>
      <c r="B71" s="99"/>
      <c r="C71" s="100" t="s">
        <v>59</v>
      </c>
      <c r="D71" s="100" t="s">
        <v>149</v>
      </c>
      <c r="E71" s="101">
        <v>70.400000000000006</v>
      </c>
      <c r="F71" s="102" t="s">
        <v>231</v>
      </c>
      <c r="G71" s="103">
        <f>G72</f>
        <v>65786454175</v>
      </c>
      <c r="H71" s="101">
        <v>68.37</v>
      </c>
      <c r="I71" s="103">
        <f>I72</f>
        <v>45667668342</v>
      </c>
      <c r="J71" s="104">
        <v>69.53</v>
      </c>
      <c r="K71" s="103">
        <f>K72</f>
        <v>81238202380</v>
      </c>
      <c r="L71" s="105">
        <v>68.37</v>
      </c>
      <c r="M71" s="103">
        <f>M72</f>
        <v>32400000</v>
      </c>
      <c r="N71" s="105">
        <v>68.040000000000006</v>
      </c>
      <c r="O71" s="103">
        <f>O72</f>
        <v>1642749334</v>
      </c>
      <c r="P71" s="105">
        <v>68.53</v>
      </c>
      <c r="Q71" s="103">
        <f>Q72</f>
        <v>26365716478</v>
      </c>
      <c r="R71" s="105">
        <v>69.53</v>
      </c>
      <c r="S71" s="103">
        <f>S72</f>
        <v>37672522544</v>
      </c>
      <c r="T71" s="104">
        <f t="shared" si="13"/>
        <v>274.47000000000003</v>
      </c>
      <c r="U71" s="104">
        <f t="shared" si="14"/>
        <v>394.75046742413349</v>
      </c>
      <c r="V71" s="106" t="s">
        <v>231</v>
      </c>
      <c r="W71" s="107">
        <f t="shared" si="15"/>
        <v>65713388356</v>
      </c>
      <c r="X71" s="104">
        <f t="shared" si="16"/>
        <v>80.889761751028061</v>
      </c>
      <c r="Y71" s="106" t="s">
        <v>231</v>
      </c>
      <c r="Z71" s="104">
        <f t="shared" si="4"/>
        <v>342.84000000000003</v>
      </c>
      <c r="AA71" s="107">
        <f t="shared" si="5"/>
        <v>111381056698</v>
      </c>
      <c r="AB71" s="104"/>
      <c r="AC71" s="106"/>
      <c r="AD71" s="104"/>
      <c r="AE71" s="108"/>
      <c r="AH71" s="34"/>
    </row>
    <row r="72" spans="1:34" ht="77.5" x14ac:dyDescent="0.3">
      <c r="A72" s="98"/>
      <c r="B72" s="99"/>
      <c r="C72" s="100" t="s">
        <v>60</v>
      </c>
      <c r="D72" s="100" t="s">
        <v>150</v>
      </c>
      <c r="E72" s="101">
        <f>J72+7.5</f>
        <v>41.45</v>
      </c>
      <c r="F72" s="102" t="s">
        <v>243</v>
      </c>
      <c r="G72" s="103">
        <f>SUM(G73:G81)</f>
        <v>65786454175</v>
      </c>
      <c r="H72" s="101">
        <f>SUM(H75:H76)</f>
        <v>19.989999999999998</v>
      </c>
      <c r="I72" s="103">
        <f>SUM(I73:I81)</f>
        <v>45667668342</v>
      </c>
      <c r="J72" s="104">
        <f>SUM(J74:J76)</f>
        <v>33.950000000000003</v>
      </c>
      <c r="K72" s="103">
        <f>SUM(K73:K81)</f>
        <v>81238202380</v>
      </c>
      <c r="L72" s="104">
        <f>SUM(L75:L76)</f>
        <v>0</v>
      </c>
      <c r="M72" s="103">
        <f>SUM(M73:M81)</f>
        <v>32400000</v>
      </c>
      <c r="N72" s="104">
        <v>0</v>
      </c>
      <c r="O72" s="103">
        <f>SUM(O73:O81)</f>
        <v>1642749334</v>
      </c>
      <c r="P72" s="104">
        <v>0</v>
      </c>
      <c r="Q72" s="103">
        <f>SUM(Q73:Q81)</f>
        <v>26365716478</v>
      </c>
      <c r="R72" s="104">
        <f>SUM(R74:R76)</f>
        <v>26.35</v>
      </c>
      <c r="S72" s="103">
        <f>SUM(S73:S81)</f>
        <v>37672522544</v>
      </c>
      <c r="T72" s="104">
        <f t="shared" si="13"/>
        <v>26.35</v>
      </c>
      <c r="U72" s="104">
        <f t="shared" si="14"/>
        <v>77.614138438880715</v>
      </c>
      <c r="V72" s="106" t="s">
        <v>231</v>
      </c>
      <c r="W72" s="107">
        <f t="shared" si="15"/>
        <v>65713388356</v>
      </c>
      <c r="X72" s="104">
        <f t="shared" si="16"/>
        <v>80.889761751028061</v>
      </c>
      <c r="Y72" s="106" t="s">
        <v>231</v>
      </c>
      <c r="Z72" s="104">
        <f>H72+T72</f>
        <v>46.34</v>
      </c>
      <c r="AA72" s="107">
        <f t="shared" si="5"/>
        <v>111381056698</v>
      </c>
      <c r="AB72" s="104"/>
      <c r="AC72" s="106"/>
      <c r="AD72" s="104"/>
      <c r="AE72" s="108"/>
      <c r="AH72" s="34"/>
    </row>
    <row r="73" spans="1:34" ht="31" x14ac:dyDescent="0.3">
      <c r="A73" s="98"/>
      <c r="B73" s="99"/>
      <c r="C73" s="110" t="s">
        <v>61</v>
      </c>
      <c r="D73" s="110" t="s">
        <v>151</v>
      </c>
      <c r="E73" s="111">
        <v>0.9</v>
      </c>
      <c r="F73" s="112" t="s">
        <v>243</v>
      </c>
      <c r="G73" s="67">
        <v>1000000000</v>
      </c>
      <c r="H73" s="111">
        <v>0.3</v>
      </c>
      <c r="I73" s="113">
        <v>1239107100</v>
      </c>
      <c r="J73" s="114">
        <v>0.5</v>
      </c>
      <c r="K73" s="115">
        <v>5912777380</v>
      </c>
      <c r="L73" s="111">
        <v>0</v>
      </c>
      <c r="M73" s="115">
        <v>0</v>
      </c>
      <c r="N73" s="111">
        <v>0</v>
      </c>
      <c r="O73" s="115">
        <v>0</v>
      </c>
      <c r="P73" s="111">
        <v>0</v>
      </c>
      <c r="Q73" s="115">
        <v>3991099980</v>
      </c>
      <c r="R73" s="111">
        <v>0.65</v>
      </c>
      <c r="S73" s="115">
        <v>1016890170</v>
      </c>
      <c r="T73" s="114">
        <f t="shared" si="13"/>
        <v>0.65</v>
      </c>
      <c r="U73" s="114">
        <f t="shared" si="14"/>
        <v>130</v>
      </c>
      <c r="V73" s="117" t="s">
        <v>231</v>
      </c>
      <c r="W73" s="118">
        <f t="shared" si="15"/>
        <v>5007990150</v>
      </c>
      <c r="X73" s="114">
        <f t="shared" si="16"/>
        <v>84.697762627416893</v>
      </c>
      <c r="Y73" s="117" t="s">
        <v>231</v>
      </c>
      <c r="Z73" s="114">
        <f t="shared" si="4"/>
        <v>0.95</v>
      </c>
      <c r="AA73" s="118">
        <f t="shared" si="5"/>
        <v>6247097250</v>
      </c>
      <c r="AB73" s="114"/>
      <c r="AC73" s="117"/>
      <c r="AD73" s="114"/>
      <c r="AE73" s="108"/>
      <c r="AH73" s="34"/>
    </row>
    <row r="74" spans="1:34" ht="62" x14ac:dyDescent="0.3">
      <c r="A74" s="98"/>
      <c r="B74" s="99"/>
      <c r="C74" s="110" t="s">
        <v>62</v>
      </c>
      <c r="D74" s="119" t="s">
        <v>152</v>
      </c>
      <c r="E74" s="111">
        <f>J74</f>
        <v>3.1</v>
      </c>
      <c r="F74" s="112" t="s">
        <v>243</v>
      </c>
      <c r="G74" s="67">
        <f>K74</f>
        <v>4821709200</v>
      </c>
      <c r="H74" s="111">
        <v>0</v>
      </c>
      <c r="I74" s="113">
        <v>0</v>
      </c>
      <c r="J74" s="114">
        <v>3.1</v>
      </c>
      <c r="K74" s="115">
        <v>4821709200</v>
      </c>
      <c r="L74" s="111">
        <v>0</v>
      </c>
      <c r="M74" s="115">
        <v>0</v>
      </c>
      <c r="N74" s="111">
        <v>0</v>
      </c>
      <c r="O74" s="115">
        <v>0</v>
      </c>
      <c r="P74" s="111">
        <v>0.51</v>
      </c>
      <c r="Q74" s="115">
        <v>999581000</v>
      </c>
      <c r="R74" s="111">
        <v>2.08</v>
      </c>
      <c r="S74" s="115">
        <v>3274345615</v>
      </c>
      <c r="T74" s="114">
        <f t="shared" si="13"/>
        <v>2.59</v>
      </c>
      <c r="U74" s="114">
        <f t="shared" si="14"/>
        <v>83.548387096774192</v>
      </c>
      <c r="V74" s="117" t="s">
        <v>231</v>
      </c>
      <c r="W74" s="118">
        <f t="shared" si="15"/>
        <v>4273926615</v>
      </c>
      <c r="X74" s="114">
        <f t="shared" si="16"/>
        <v>88.639244668674749</v>
      </c>
      <c r="Y74" s="117" t="s">
        <v>231</v>
      </c>
      <c r="Z74" s="114">
        <f t="shared" si="4"/>
        <v>2.59</v>
      </c>
      <c r="AA74" s="118">
        <f t="shared" si="5"/>
        <v>4273926615</v>
      </c>
      <c r="AB74" s="114"/>
      <c r="AC74" s="117"/>
      <c r="AD74" s="114"/>
      <c r="AE74" s="108"/>
      <c r="AH74" s="34"/>
    </row>
    <row r="75" spans="1:34" ht="62" x14ac:dyDescent="0.3">
      <c r="A75" s="98"/>
      <c r="B75" s="99"/>
      <c r="C75" s="110" t="s">
        <v>63</v>
      </c>
      <c r="D75" s="119" t="s">
        <v>153</v>
      </c>
      <c r="E75" s="111">
        <f>SUM(J75+5)</f>
        <v>11.95</v>
      </c>
      <c r="F75" s="112" t="s">
        <v>243</v>
      </c>
      <c r="G75" s="67">
        <v>12761833025</v>
      </c>
      <c r="H75" s="111">
        <v>7.05</v>
      </c>
      <c r="I75" s="113">
        <v>10776027287</v>
      </c>
      <c r="J75" s="114">
        <v>6.95</v>
      </c>
      <c r="K75" s="115">
        <v>15354031700</v>
      </c>
      <c r="L75" s="111">
        <v>0</v>
      </c>
      <c r="M75" s="115">
        <v>5400000</v>
      </c>
      <c r="N75" s="111">
        <v>0</v>
      </c>
      <c r="O75" s="115">
        <v>175003475</v>
      </c>
      <c r="P75" s="111">
        <v>0.91</v>
      </c>
      <c r="Q75" s="115">
        <v>6825203708</v>
      </c>
      <c r="R75" s="111">
        <v>6.51</v>
      </c>
      <c r="S75" s="115">
        <v>8210837663</v>
      </c>
      <c r="T75" s="114">
        <f t="shared" si="13"/>
        <v>7.42</v>
      </c>
      <c r="U75" s="114">
        <f t="shared" si="14"/>
        <v>106.76258992805757</v>
      </c>
      <c r="V75" s="117" t="s">
        <v>231</v>
      </c>
      <c r="W75" s="118">
        <f t="shared" si="15"/>
        <v>15216444846</v>
      </c>
      <c r="X75" s="114">
        <f t="shared" si="16"/>
        <v>99.103904064494017</v>
      </c>
      <c r="Y75" s="117" t="s">
        <v>231</v>
      </c>
      <c r="Z75" s="114">
        <f t="shared" si="4"/>
        <v>14.469999999999999</v>
      </c>
      <c r="AA75" s="118">
        <f t="shared" si="5"/>
        <v>25992472133</v>
      </c>
      <c r="AB75" s="114"/>
      <c r="AC75" s="117"/>
      <c r="AD75" s="114"/>
      <c r="AE75" s="108"/>
      <c r="AH75" s="34"/>
    </row>
    <row r="76" spans="1:34" ht="46.5" x14ac:dyDescent="0.3">
      <c r="A76" s="98"/>
      <c r="B76" s="99"/>
      <c r="C76" s="110" t="s">
        <v>64</v>
      </c>
      <c r="D76" s="119" t="s">
        <v>154</v>
      </c>
      <c r="E76" s="111">
        <f>SUM(J76+2.5)</f>
        <v>26.4</v>
      </c>
      <c r="F76" s="112" t="s">
        <v>243</v>
      </c>
      <c r="G76" s="67">
        <v>10485066975</v>
      </c>
      <c r="H76" s="111">
        <v>12.94</v>
      </c>
      <c r="I76" s="113">
        <v>15880639673</v>
      </c>
      <c r="J76" s="114">
        <v>23.9</v>
      </c>
      <c r="K76" s="115">
        <v>30117438100</v>
      </c>
      <c r="L76" s="120">
        <v>0</v>
      </c>
      <c r="M76" s="115">
        <v>5400000</v>
      </c>
      <c r="N76" s="120">
        <v>0</v>
      </c>
      <c r="O76" s="115">
        <v>952082384</v>
      </c>
      <c r="P76" s="120">
        <v>0</v>
      </c>
      <c r="Q76" s="115">
        <v>9633415800</v>
      </c>
      <c r="R76" s="120">
        <v>17.760000000000002</v>
      </c>
      <c r="S76" s="115">
        <v>17345240736</v>
      </c>
      <c r="T76" s="114">
        <f t="shared" si="13"/>
        <v>17.760000000000002</v>
      </c>
      <c r="U76" s="114">
        <f t="shared" si="14"/>
        <v>74.309623430962361</v>
      </c>
      <c r="V76" s="117" t="s">
        <v>231</v>
      </c>
      <c r="W76" s="118">
        <f t="shared" si="15"/>
        <v>27936138920</v>
      </c>
      <c r="X76" s="114">
        <f t="shared" si="16"/>
        <v>92.757354816311562</v>
      </c>
      <c r="Y76" s="117" t="s">
        <v>231</v>
      </c>
      <c r="Z76" s="114">
        <f t="shared" si="4"/>
        <v>30.700000000000003</v>
      </c>
      <c r="AA76" s="118">
        <f t="shared" si="5"/>
        <v>43816778593</v>
      </c>
      <c r="AB76" s="114"/>
      <c r="AC76" s="117"/>
      <c r="AD76" s="114"/>
      <c r="AE76" s="108"/>
      <c r="AH76" s="34"/>
    </row>
    <row r="77" spans="1:34" ht="62" x14ac:dyDescent="0.3">
      <c r="A77" s="98"/>
      <c r="B77" s="99"/>
      <c r="C77" s="110" t="s">
        <v>65</v>
      </c>
      <c r="D77" s="119" t="s">
        <v>155</v>
      </c>
      <c r="E77" s="111">
        <f>SUM(J77+1.53)</f>
        <v>6.375</v>
      </c>
      <c r="F77" s="112" t="s">
        <v>243</v>
      </c>
      <c r="G77" s="67">
        <v>13288453000</v>
      </c>
      <c r="H77" s="111">
        <v>17.95</v>
      </c>
      <c r="I77" s="113">
        <v>5330974101</v>
      </c>
      <c r="J77" s="114">
        <v>4.8449999999999998</v>
      </c>
      <c r="K77" s="115">
        <v>9109264000</v>
      </c>
      <c r="L77" s="120">
        <v>0</v>
      </c>
      <c r="M77" s="115">
        <v>5400000</v>
      </c>
      <c r="N77" s="111">
        <v>0</v>
      </c>
      <c r="O77" s="115">
        <v>399871725</v>
      </c>
      <c r="P77" s="111">
        <v>4.34</v>
      </c>
      <c r="Q77" s="115">
        <v>3844756050</v>
      </c>
      <c r="R77" s="120">
        <v>11.18</v>
      </c>
      <c r="S77" s="115">
        <v>4814572320</v>
      </c>
      <c r="T77" s="114">
        <f t="shared" si="13"/>
        <v>15.52</v>
      </c>
      <c r="U77" s="114">
        <f t="shared" si="14"/>
        <v>320.33023735810116</v>
      </c>
      <c r="V77" s="117" t="s">
        <v>231</v>
      </c>
      <c r="W77" s="118">
        <f t="shared" si="15"/>
        <v>9064600095</v>
      </c>
      <c r="X77" s="114">
        <f t="shared" si="16"/>
        <v>99.509687006546301</v>
      </c>
      <c r="Y77" s="117" t="s">
        <v>231</v>
      </c>
      <c r="Z77" s="114">
        <f t="shared" si="4"/>
        <v>33.47</v>
      </c>
      <c r="AA77" s="118">
        <f t="shared" si="5"/>
        <v>14395574196</v>
      </c>
      <c r="AB77" s="114"/>
      <c r="AC77" s="117"/>
      <c r="AD77" s="114"/>
      <c r="AE77" s="108"/>
      <c r="AH77" s="34"/>
    </row>
    <row r="78" spans="1:34" ht="77.5" x14ac:dyDescent="0.3">
      <c r="A78" s="98"/>
      <c r="B78" s="99"/>
      <c r="C78" s="110" t="s">
        <v>66</v>
      </c>
      <c r="D78" s="119" t="s">
        <v>156</v>
      </c>
      <c r="E78" s="111">
        <f>J78+2</f>
        <v>3</v>
      </c>
      <c r="F78" s="112" t="s">
        <v>243</v>
      </c>
      <c r="G78" s="67">
        <v>10485066975</v>
      </c>
      <c r="H78" s="111">
        <v>2.62</v>
      </c>
      <c r="I78" s="113">
        <v>484451026</v>
      </c>
      <c r="J78" s="114">
        <v>1</v>
      </c>
      <c r="K78" s="115">
        <v>1775044000</v>
      </c>
      <c r="L78" s="120">
        <v>0</v>
      </c>
      <c r="M78" s="115">
        <v>5400000</v>
      </c>
      <c r="N78" s="120">
        <v>0</v>
      </c>
      <c r="O78" s="115">
        <v>5436000</v>
      </c>
      <c r="P78" s="120">
        <v>0</v>
      </c>
      <c r="Q78" s="115">
        <v>749209520</v>
      </c>
      <c r="R78" s="120">
        <v>0.44</v>
      </c>
      <c r="S78" s="115">
        <v>810411800</v>
      </c>
      <c r="T78" s="114">
        <f t="shared" si="13"/>
        <v>0.44</v>
      </c>
      <c r="U78" s="114">
        <f>T78/J78*100</f>
        <v>44</v>
      </c>
      <c r="V78" s="117" t="s">
        <v>231</v>
      </c>
      <c r="W78" s="118">
        <f t="shared" si="15"/>
        <v>1570457320</v>
      </c>
      <c r="X78" s="114">
        <f t="shared" si="16"/>
        <v>88.474275567253542</v>
      </c>
      <c r="Y78" s="117" t="s">
        <v>231</v>
      </c>
      <c r="Z78" s="114">
        <f t="shared" si="4"/>
        <v>3.06</v>
      </c>
      <c r="AA78" s="118">
        <f t="shared" si="5"/>
        <v>2054908346</v>
      </c>
      <c r="AB78" s="114"/>
      <c r="AC78" s="117"/>
      <c r="AD78" s="114"/>
      <c r="AE78" s="108"/>
      <c r="AH78" s="34"/>
    </row>
    <row r="79" spans="1:34" ht="46.5" x14ac:dyDescent="0.3">
      <c r="A79" s="98"/>
      <c r="B79" s="99"/>
      <c r="C79" s="110" t="s">
        <v>67</v>
      </c>
      <c r="D79" s="119" t="s">
        <v>157</v>
      </c>
      <c r="E79" s="121">
        <f>SUM(H79+J79+11)</f>
        <v>139.6</v>
      </c>
      <c r="F79" s="112" t="s">
        <v>242</v>
      </c>
      <c r="G79" s="67">
        <v>1000000000</v>
      </c>
      <c r="H79" s="111">
        <v>128.6</v>
      </c>
      <c r="I79" s="113">
        <v>2582773630</v>
      </c>
      <c r="J79" s="114">
        <v>0</v>
      </c>
      <c r="K79" s="115">
        <v>12201500000</v>
      </c>
      <c r="L79" s="121">
        <v>0</v>
      </c>
      <c r="M79" s="115">
        <v>0</v>
      </c>
      <c r="N79" s="121">
        <v>0</v>
      </c>
      <c r="O79" s="115">
        <v>0</v>
      </c>
      <c r="P79" s="121">
        <v>0</v>
      </c>
      <c r="Q79" s="115">
        <v>0</v>
      </c>
      <c r="R79" s="121">
        <v>0</v>
      </c>
      <c r="S79" s="115">
        <v>889640000</v>
      </c>
      <c r="T79" s="114">
        <f t="shared" si="13"/>
        <v>0</v>
      </c>
      <c r="U79" s="114">
        <v>0</v>
      </c>
      <c r="V79" s="117" t="s">
        <v>231</v>
      </c>
      <c r="W79" s="118">
        <f t="shared" si="15"/>
        <v>889640000</v>
      </c>
      <c r="X79" s="114">
        <f t="shared" si="16"/>
        <v>7.2912346842601323</v>
      </c>
      <c r="Y79" s="117" t="s">
        <v>231</v>
      </c>
      <c r="Z79" s="114">
        <f t="shared" si="4"/>
        <v>128.6</v>
      </c>
      <c r="AA79" s="118">
        <f t="shared" si="5"/>
        <v>3472413630</v>
      </c>
      <c r="AB79" s="114"/>
      <c r="AC79" s="117"/>
      <c r="AD79" s="114"/>
      <c r="AE79" s="108"/>
      <c r="AH79" s="34"/>
    </row>
    <row r="80" spans="1:34" ht="62" x14ac:dyDescent="0.3">
      <c r="A80" s="98"/>
      <c r="B80" s="99"/>
      <c r="C80" s="110" t="s">
        <v>68</v>
      </c>
      <c r="D80" s="119" t="s">
        <v>158</v>
      </c>
      <c r="E80" s="111">
        <f>SUM(H80+J80+10)</f>
        <v>178.2</v>
      </c>
      <c r="F80" s="112" t="s">
        <v>242</v>
      </c>
      <c r="G80" s="67">
        <v>10337925000</v>
      </c>
      <c r="H80" s="111">
        <v>143.19999999999999</v>
      </c>
      <c r="I80" s="113">
        <v>9066513217</v>
      </c>
      <c r="J80" s="114">
        <v>25</v>
      </c>
      <c r="K80" s="115">
        <v>958894000</v>
      </c>
      <c r="L80" s="120">
        <v>0</v>
      </c>
      <c r="M80" s="115">
        <v>5400000</v>
      </c>
      <c r="N80" s="120">
        <v>0</v>
      </c>
      <c r="O80" s="115">
        <v>104919750</v>
      </c>
      <c r="P80" s="120">
        <v>0</v>
      </c>
      <c r="Q80" s="115">
        <v>215826320</v>
      </c>
      <c r="R80" s="120">
        <v>45.4</v>
      </c>
      <c r="S80" s="115">
        <v>625112000</v>
      </c>
      <c r="T80" s="114">
        <f t="shared" si="13"/>
        <v>45.4</v>
      </c>
      <c r="U80" s="114">
        <f>T80/J80*100</f>
        <v>181.6</v>
      </c>
      <c r="V80" s="117" t="s">
        <v>231</v>
      </c>
      <c r="W80" s="118">
        <f t="shared" si="15"/>
        <v>951258070</v>
      </c>
      <c r="X80" s="114">
        <f t="shared" si="16"/>
        <v>99.20367319015449</v>
      </c>
      <c r="Y80" s="117" t="s">
        <v>231</v>
      </c>
      <c r="Z80" s="114">
        <f t="shared" ref="Z80:Z110" si="17">H80+T80</f>
        <v>188.6</v>
      </c>
      <c r="AA80" s="118">
        <f t="shared" ref="AA80:AA103" si="18">I80+W80</f>
        <v>10017771287</v>
      </c>
      <c r="AB80" s="114"/>
      <c r="AC80" s="117"/>
      <c r="AD80" s="114"/>
      <c r="AE80" s="108"/>
      <c r="AH80" s="34"/>
    </row>
    <row r="81" spans="1:34" ht="77.5" x14ac:dyDescent="0.3">
      <c r="A81" s="98"/>
      <c r="B81" s="99"/>
      <c r="C81" s="110" t="s">
        <v>69</v>
      </c>
      <c r="D81" s="119" t="s">
        <v>159</v>
      </c>
      <c r="E81" s="121">
        <f>SUM(H81+J81+10)</f>
        <v>223.35</v>
      </c>
      <c r="F81" s="112" t="s">
        <v>242</v>
      </c>
      <c r="G81" s="67">
        <v>1606400000</v>
      </c>
      <c r="H81" s="111">
        <v>169.6</v>
      </c>
      <c r="I81" s="113">
        <v>307182308</v>
      </c>
      <c r="J81" s="114">
        <v>43.75</v>
      </c>
      <c r="K81" s="115">
        <v>987544000</v>
      </c>
      <c r="L81" s="121">
        <v>0</v>
      </c>
      <c r="M81" s="115">
        <v>5400000</v>
      </c>
      <c r="N81" s="121">
        <v>0</v>
      </c>
      <c r="O81" s="115">
        <v>5436000</v>
      </c>
      <c r="P81" s="121">
        <v>0</v>
      </c>
      <c r="Q81" s="115">
        <v>106624100</v>
      </c>
      <c r="R81" s="245">
        <v>75</v>
      </c>
      <c r="S81" s="115">
        <v>685472240</v>
      </c>
      <c r="T81" s="114">
        <f t="shared" si="13"/>
        <v>75</v>
      </c>
      <c r="U81" s="114">
        <f>T81/J81*100</f>
        <v>171.42857142857142</v>
      </c>
      <c r="V81" s="117" t="s">
        <v>231</v>
      </c>
      <c r="W81" s="118">
        <f t="shared" si="15"/>
        <v>802932340</v>
      </c>
      <c r="X81" s="114">
        <f t="shared" si="16"/>
        <v>81.305981303111565</v>
      </c>
      <c r="Y81" s="117" t="s">
        <v>231</v>
      </c>
      <c r="Z81" s="114">
        <f t="shared" si="17"/>
        <v>244.6</v>
      </c>
      <c r="AA81" s="118">
        <f t="shared" si="18"/>
        <v>1110114648</v>
      </c>
      <c r="AB81" s="114"/>
      <c r="AC81" s="117"/>
      <c r="AD81" s="114"/>
      <c r="AE81" s="108"/>
      <c r="AH81" s="34"/>
    </row>
    <row r="82" spans="1:34" ht="186" x14ac:dyDescent="0.3">
      <c r="A82" s="35"/>
      <c r="B82" s="24"/>
      <c r="C82" s="85" t="s">
        <v>249</v>
      </c>
      <c r="D82" s="85" t="s">
        <v>250</v>
      </c>
      <c r="E82" s="120">
        <v>2</v>
      </c>
      <c r="F82" s="122" t="s">
        <v>233</v>
      </c>
      <c r="G82" s="123">
        <v>199400000</v>
      </c>
      <c r="H82" s="76">
        <v>2</v>
      </c>
      <c r="I82" s="124">
        <v>195970000</v>
      </c>
      <c r="J82" s="116"/>
      <c r="K82" s="123"/>
      <c r="L82" s="125"/>
      <c r="M82" s="123"/>
      <c r="N82" s="120"/>
      <c r="O82" s="123"/>
      <c r="P82" s="125"/>
      <c r="Q82" s="123"/>
      <c r="R82" s="125"/>
      <c r="S82" s="123"/>
      <c r="T82" s="126"/>
      <c r="U82" s="127"/>
      <c r="V82" s="128"/>
      <c r="W82" s="129"/>
      <c r="X82" s="127"/>
      <c r="Y82" s="128"/>
      <c r="Z82" s="127">
        <f t="shared" si="17"/>
        <v>2</v>
      </c>
      <c r="AA82" s="129">
        <f t="shared" si="18"/>
        <v>195970000</v>
      </c>
      <c r="AB82" s="127"/>
      <c r="AC82" s="128"/>
      <c r="AD82" s="127"/>
      <c r="AE82" s="130"/>
      <c r="AH82" s="34"/>
    </row>
    <row r="83" spans="1:34" ht="97.5" customHeight="1" x14ac:dyDescent="0.3">
      <c r="A83" s="35"/>
      <c r="B83" s="24"/>
      <c r="C83" s="25" t="s">
        <v>70</v>
      </c>
      <c r="D83" s="100" t="s">
        <v>160</v>
      </c>
      <c r="E83" s="131">
        <v>100</v>
      </c>
      <c r="F83" s="132" t="s">
        <v>231</v>
      </c>
      <c r="G83" s="133">
        <f>G84+G91+G101</f>
        <v>75000000</v>
      </c>
      <c r="H83" s="131">
        <v>34</v>
      </c>
      <c r="I83" s="133">
        <f>I84+I91+I101</f>
        <v>137832550</v>
      </c>
      <c r="J83" s="109">
        <v>64</v>
      </c>
      <c r="K83" s="133">
        <v>650593650</v>
      </c>
      <c r="L83" s="134">
        <v>0</v>
      </c>
      <c r="M83" s="133">
        <f>M84+M91+M101</f>
        <v>8657500</v>
      </c>
      <c r="N83" s="105">
        <v>0</v>
      </c>
      <c r="O83" s="133">
        <f>O84+O91+O101</f>
        <v>6434500</v>
      </c>
      <c r="P83" s="105">
        <v>0</v>
      </c>
      <c r="Q83" s="133">
        <f>Q84+Q91+Q101</f>
        <v>14743020</v>
      </c>
      <c r="R83" s="134">
        <v>0</v>
      </c>
      <c r="S83" s="133">
        <v>108630498</v>
      </c>
      <c r="T83" s="135">
        <f t="shared" ref="T83:T107" si="19">SUM(L83,N83,P83,R83)</f>
        <v>0</v>
      </c>
      <c r="U83" s="136">
        <f t="shared" ref="U83:U107" si="20">T83/J83*100</f>
        <v>0</v>
      </c>
      <c r="V83" s="137" t="s">
        <v>231</v>
      </c>
      <c r="W83" s="138">
        <f t="shared" ref="W83:W103" si="21">SUM(M83,O83,Q83,S83)</f>
        <v>138465518</v>
      </c>
      <c r="X83" s="136">
        <f t="shared" ref="X83:X103" si="22">W83/K83*100</f>
        <v>21.282949503119188</v>
      </c>
      <c r="Y83" s="137" t="s">
        <v>231</v>
      </c>
      <c r="Z83" s="136">
        <f t="shared" si="17"/>
        <v>34</v>
      </c>
      <c r="AA83" s="138">
        <f t="shared" si="18"/>
        <v>276298068</v>
      </c>
      <c r="AB83" s="136"/>
      <c r="AC83" s="137"/>
      <c r="AD83" s="136"/>
      <c r="AE83" s="130"/>
      <c r="AH83" s="34"/>
    </row>
    <row r="84" spans="1:34" ht="62" x14ac:dyDescent="0.3">
      <c r="A84" s="35"/>
      <c r="B84" s="24"/>
      <c r="C84" s="25" t="s">
        <v>71</v>
      </c>
      <c r="D84" s="25" t="s">
        <v>161</v>
      </c>
      <c r="E84" s="134">
        <v>180</v>
      </c>
      <c r="F84" s="132" t="s">
        <v>236</v>
      </c>
      <c r="G84" s="133">
        <f>SUM(G85:G90)</f>
        <v>75000000</v>
      </c>
      <c r="H84" s="131">
        <v>150</v>
      </c>
      <c r="I84" s="133">
        <f>SUM(I85:I90)</f>
        <v>137832550</v>
      </c>
      <c r="J84" s="134">
        <v>150</v>
      </c>
      <c r="K84" s="133">
        <v>402039200</v>
      </c>
      <c r="L84" s="134">
        <v>0</v>
      </c>
      <c r="M84" s="133">
        <f>SUM(M85:M90)</f>
        <v>3257500</v>
      </c>
      <c r="N84" s="105">
        <v>0</v>
      </c>
      <c r="O84" s="133">
        <f>SUM(O85:O90)</f>
        <v>1034500</v>
      </c>
      <c r="P84" s="105">
        <v>0</v>
      </c>
      <c r="Q84" s="133">
        <f>SUM(Q85:Q90)</f>
        <v>2844800</v>
      </c>
      <c r="R84" s="134">
        <v>0</v>
      </c>
      <c r="S84" s="133">
        <v>6804498</v>
      </c>
      <c r="T84" s="135">
        <f t="shared" si="19"/>
        <v>0</v>
      </c>
      <c r="U84" s="136">
        <f t="shared" si="20"/>
        <v>0</v>
      </c>
      <c r="V84" s="137" t="s">
        <v>231</v>
      </c>
      <c r="W84" s="138">
        <f t="shared" si="21"/>
        <v>13941298</v>
      </c>
      <c r="X84" s="136">
        <f t="shared" si="22"/>
        <v>3.4676464384567471</v>
      </c>
      <c r="Y84" s="137" t="s">
        <v>231</v>
      </c>
      <c r="Z84" s="136">
        <f t="shared" si="17"/>
        <v>150</v>
      </c>
      <c r="AA84" s="138">
        <f t="shared" si="18"/>
        <v>151773848</v>
      </c>
      <c r="AB84" s="136"/>
      <c r="AC84" s="137"/>
      <c r="AD84" s="136"/>
      <c r="AE84" s="130"/>
      <c r="AH84" s="34"/>
    </row>
    <row r="85" spans="1:34" ht="124" x14ac:dyDescent="0.3">
      <c r="A85" s="35"/>
      <c r="B85" s="24"/>
      <c r="C85" s="37" t="s">
        <v>72</v>
      </c>
      <c r="D85" s="37" t="s">
        <v>162</v>
      </c>
      <c r="E85" s="125">
        <v>180</v>
      </c>
      <c r="F85" s="122" t="s">
        <v>233</v>
      </c>
      <c r="G85" s="139">
        <v>2000000</v>
      </c>
      <c r="H85" s="76">
        <v>137</v>
      </c>
      <c r="I85" s="124">
        <v>4870000</v>
      </c>
      <c r="J85" s="140">
        <v>150</v>
      </c>
      <c r="K85" s="123">
        <v>10000000</v>
      </c>
      <c r="L85" s="125">
        <v>0</v>
      </c>
      <c r="M85" s="123">
        <f>2050000+1207500</f>
        <v>3257500</v>
      </c>
      <c r="N85" s="120">
        <v>0</v>
      </c>
      <c r="O85" s="123">
        <v>1034500</v>
      </c>
      <c r="P85" s="120">
        <v>0</v>
      </c>
      <c r="Q85" s="123">
        <v>764300</v>
      </c>
      <c r="R85" s="125">
        <v>0</v>
      </c>
      <c r="S85" s="123">
        <v>2063500</v>
      </c>
      <c r="T85" s="126">
        <f t="shared" si="19"/>
        <v>0</v>
      </c>
      <c r="U85" s="127">
        <f t="shared" si="20"/>
        <v>0</v>
      </c>
      <c r="V85" s="128" t="s">
        <v>231</v>
      </c>
      <c r="W85" s="129">
        <f t="shared" si="21"/>
        <v>7119800</v>
      </c>
      <c r="X85" s="127">
        <f t="shared" si="22"/>
        <v>71.197999999999993</v>
      </c>
      <c r="Y85" s="128" t="s">
        <v>231</v>
      </c>
      <c r="Z85" s="127">
        <f t="shared" si="17"/>
        <v>137</v>
      </c>
      <c r="AA85" s="129">
        <f t="shared" si="18"/>
        <v>11989800</v>
      </c>
      <c r="AB85" s="127"/>
      <c r="AC85" s="128"/>
      <c r="AD85" s="127"/>
      <c r="AE85" s="130"/>
      <c r="AH85" s="34"/>
    </row>
    <row r="86" spans="1:34" ht="186" x14ac:dyDescent="0.3">
      <c r="A86" s="35"/>
      <c r="B86" s="24"/>
      <c r="C86" s="37" t="s">
        <v>73</v>
      </c>
      <c r="D86" s="37" t="s">
        <v>163</v>
      </c>
      <c r="E86" s="125">
        <v>8</v>
      </c>
      <c r="F86" s="122" t="s">
        <v>236</v>
      </c>
      <c r="G86" s="139">
        <v>2000000</v>
      </c>
      <c r="H86" s="76">
        <v>8</v>
      </c>
      <c r="I86" s="124">
        <v>12800000</v>
      </c>
      <c r="J86" s="140">
        <v>8</v>
      </c>
      <c r="K86" s="123">
        <v>86850000</v>
      </c>
      <c r="L86" s="125">
        <v>0</v>
      </c>
      <c r="M86" s="123">
        <v>0</v>
      </c>
      <c r="N86" s="120">
        <v>0</v>
      </c>
      <c r="O86" s="123">
        <v>0</v>
      </c>
      <c r="P86" s="120">
        <v>0</v>
      </c>
      <c r="Q86" s="123">
        <v>0</v>
      </c>
      <c r="R86" s="120">
        <v>0</v>
      </c>
      <c r="S86" s="123">
        <v>0</v>
      </c>
      <c r="T86" s="126">
        <f t="shared" si="19"/>
        <v>0</v>
      </c>
      <c r="U86" s="127">
        <f t="shared" si="20"/>
        <v>0</v>
      </c>
      <c r="V86" s="128" t="s">
        <v>231</v>
      </c>
      <c r="W86" s="129">
        <f t="shared" si="21"/>
        <v>0</v>
      </c>
      <c r="X86" s="127">
        <f t="shared" si="22"/>
        <v>0</v>
      </c>
      <c r="Y86" s="128" t="s">
        <v>231</v>
      </c>
      <c r="Z86" s="127">
        <f t="shared" si="17"/>
        <v>8</v>
      </c>
      <c r="AA86" s="129">
        <f t="shared" si="18"/>
        <v>12800000</v>
      </c>
      <c r="AB86" s="127"/>
      <c r="AC86" s="128"/>
      <c r="AD86" s="127"/>
      <c r="AE86" s="130"/>
      <c r="AH86" s="34"/>
    </row>
    <row r="87" spans="1:34" ht="170.5" x14ac:dyDescent="0.3">
      <c r="A87" s="35"/>
      <c r="B87" s="24"/>
      <c r="C87" s="37" t="s">
        <v>74</v>
      </c>
      <c r="D87" s="37" t="s">
        <v>164</v>
      </c>
      <c r="E87" s="125"/>
      <c r="F87" s="122"/>
      <c r="G87" s="139"/>
      <c r="H87" s="141"/>
      <c r="I87" s="124"/>
      <c r="J87" s="140">
        <v>1</v>
      </c>
      <c r="K87" s="123">
        <v>6000000</v>
      </c>
      <c r="L87" s="125">
        <v>0</v>
      </c>
      <c r="M87" s="123">
        <v>0</v>
      </c>
      <c r="N87" s="120">
        <v>0</v>
      </c>
      <c r="O87" s="123">
        <v>0</v>
      </c>
      <c r="P87" s="120">
        <v>0</v>
      </c>
      <c r="Q87" s="123">
        <v>1390500</v>
      </c>
      <c r="R87" s="125">
        <v>0</v>
      </c>
      <c r="S87" s="123">
        <v>1151100</v>
      </c>
      <c r="T87" s="126">
        <f t="shared" si="19"/>
        <v>0</v>
      </c>
      <c r="U87" s="127">
        <f t="shared" si="20"/>
        <v>0</v>
      </c>
      <c r="V87" s="128" t="s">
        <v>231</v>
      </c>
      <c r="W87" s="129">
        <f t="shared" si="21"/>
        <v>2541600</v>
      </c>
      <c r="X87" s="127">
        <f t="shared" si="22"/>
        <v>42.36</v>
      </c>
      <c r="Y87" s="128" t="s">
        <v>231</v>
      </c>
      <c r="Z87" s="127">
        <f t="shared" si="17"/>
        <v>0</v>
      </c>
      <c r="AA87" s="129">
        <f t="shared" si="18"/>
        <v>2541600</v>
      </c>
      <c r="AB87" s="127"/>
      <c r="AC87" s="128"/>
      <c r="AD87" s="127"/>
      <c r="AE87" s="130"/>
      <c r="AH87" s="34"/>
    </row>
    <row r="88" spans="1:34" ht="104.15" customHeight="1" x14ac:dyDescent="0.3">
      <c r="A88" s="35"/>
      <c r="B88" s="24"/>
      <c r="C88" s="37" t="s">
        <v>75</v>
      </c>
      <c r="D88" s="37" t="s">
        <v>288</v>
      </c>
      <c r="E88" s="125">
        <v>175</v>
      </c>
      <c r="F88" s="122" t="s">
        <v>233</v>
      </c>
      <c r="G88" s="139">
        <v>69000000</v>
      </c>
      <c r="H88" s="76">
        <v>150</v>
      </c>
      <c r="I88" s="124">
        <v>118518550</v>
      </c>
      <c r="J88" s="140">
        <v>1</v>
      </c>
      <c r="K88" s="123">
        <v>267900000</v>
      </c>
      <c r="L88" s="125">
        <v>0</v>
      </c>
      <c r="M88" s="123">
        <v>0</v>
      </c>
      <c r="N88" s="120">
        <v>0</v>
      </c>
      <c r="O88" s="123">
        <v>0</v>
      </c>
      <c r="P88" s="120">
        <v>0</v>
      </c>
      <c r="Q88" s="123">
        <v>690000</v>
      </c>
      <c r="R88" s="125"/>
      <c r="S88" s="123">
        <v>13628989</v>
      </c>
      <c r="T88" s="126">
        <f t="shared" si="19"/>
        <v>0</v>
      </c>
      <c r="U88" s="127">
        <f t="shared" si="20"/>
        <v>0</v>
      </c>
      <c r="V88" s="128" t="s">
        <v>231</v>
      </c>
      <c r="W88" s="129">
        <f t="shared" si="21"/>
        <v>14318989</v>
      </c>
      <c r="X88" s="127">
        <f t="shared" si="22"/>
        <v>5.3449007092198579</v>
      </c>
      <c r="Y88" s="128" t="s">
        <v>231</v>
      </c>
      <c r="Z88" s="127">
        <f t="shared" si="17"/>
        <v>150</v>
      </c>
      <c r="AA88" s="129">
        <f t="shared" si="18"/>
        <v>132837539</v>
      </c>
      <c r="AB88" s="127"/>
      <c r="AC88" s="128"/>
      <c r="AD88" s="127"/>
      <c r="AE88" s="130"/>
      <c r="AH88" s="34"/>
    </row>
    <row r="89" spans="1:34" ht="124" x14ac:dyDescent="0.3">
      <c r="A89" s="35"/>
      <c r="B89" s="24"/>
      <c r="C89" s="37" t="s">
        <v>76</v>
      </c>
      <c r="D89" s="37" t="s">
        <v>165</v>
      </c>
      <c r="E89" s="125">
        <v>175</v>
      </c>
      <c r="F89" s="122" t="s">
        <v>236</v>
      </c>
      <c r="G89" s="139">
        <v>2000000</v>
      </c>
      <c r="H89" s="76">
        <v>137</v>
      </c>
      <c r="I89" s="124">
        <v>1644000</v>
      </c>
      <c r="J89" s="140">
        <v>150</v>
      </c>
      <c r="K89" s="123">
        <v>21299200</v>
      </c>
      <c r="L89" s="125">
        <v>0</v>
      </c>
      <c r="M89" s="123">
        <v>0</v>
      </c>
      <c r="N89" s="120">
        <v>0</v>
      </c>
      <c r="O89" s="123">
        <v>0</v>
      </c>
      <c r="P89" s="120">
        <v>0</v>
      </c>
      <c r="Q89" s="123">
        <v>0</v>
      </c>
      <c r="R89" s="125">
        <v>0</v>
      </c>
      <c r="S89" s="123">
        <v>0</v>
      </c>
      <c r="T89" s="126">
        <f t="shared" si="19"/>
        <v>0</v>
      </c>
      <c r="U89" s="127">
        <f t="shared" si="20"/>
        <v>0</v>
      </c>
      <c r="V89" s="128" t="s">
        <v>231</v>
      </c>
      <c r="W89" s="129">
        <f t="shared" si="21"/>
        <v>0</v>
      </c>
      <c r="X89" s="127">
        <f t="shared" si="22"/>
        <v>0</v>
      </c>
      <c r="Y89" s="128" t="s">
        <v>231</v>
      </c>
      <c r="Z89" s="127">
        <f t="shared" si="17"/>
        <v>137</v>
      </c>
      <c r="AA89" s="129">
        <f t="shared" si="18"/>
        <v>1644000</v>
      </c>
      <c r="AB89" s="127"/>
      <c r="AC89" s="128"/>
      <c r="AD89" s="127"/>
      <c r="AE89" s="130"/>
      <c r="AH89" s="34"/>
    </row>
    <row r="90" spans="1:34" ht="124" x14ac:dyDescent="0.3">
      <c r="A90" s="35"/>
      <c r="B90" s="24"/>
      <c r="C90" s="37" t="s">
        <v>77</v>
      </c>
      <c r="D90" s="37" t="s">
        <v>166</v>
      </c>
      <c r="E90" s="125"/>
      <c r="F90" s="122" t="s">
        <v>233</v>
      </c>
      <c r="G90" s="139"/>
      <c r="H90" s="141"/>
      <c r="I90" s="124"/>
      <c r="J90" s="140">
        <v>150</v>
      </c>
      <c r="K90" s="123">
        <v>9990000</v>
      </c>
      <c r="L90" s="125">
        <v>0</v>
      </c>
      <c r="M90" s="123">
        <v>0</v>
      </c>
      <c r="N90" s="120">
        <v>0</v>
      </c>
      <c r="O90" s="123">
        <v>0</v>
      </c>
      <c r="P90" s="120">
        <v>0</v>
      </c>
      <c r="Q90" s="123">
        <v>0</v>
      </c>
      <c r="R90" s="125">
        <v>0</v>
      </c>
      <c r="S90" s="123">
        <v>0</v>
      </c>
      <c r="T90" s="126">
        <f t="shared" si="19"/>
        <v>0</v>
      </c>
      <c r="U90" s="127">
        <f t="shared" si="20"/>
        <v>0</v>
      </c>
      <c r="V90" s="128" t="s">
        <v>231</v>
      </c>
      <c r="W90" s="129">
        <f t="shared" si="21"/>
        <v>0</v>
      </c>
      <c r="X90" s="127">
        <f t="shared" si="22"/>
        <v>0</v>
      </c>
      <c r="Y90" s="128" t="s">
        <v>231</v>
      </c>
      <c r="Z90" s="127">
        <f t="shared" si="17"/>
        <v>0</v>
      </c>
      <c r="AA90" s="129">
        <f t="shared" si="18"/>
        <v>0</v>
      </c>
      <c r="AB90" s="127"/>
      <c r="AC90" s="128"/>
      <c r="AD90" s="127"/>
      <c r="AE90" s="130"/>
      <c r="AH90" s="34"/>
    </row>
    <row r="91" spans="1:34" ht="136" customHeight="1" x14ac:dyDescent="0.3">
      <c r="A91" s="35"/>
      <c r="B91" s="24"/>
      <c r="C91" s="25" t="s">
        <v>78</v>
      </c>
      <c r="D91" s="25"/>
      <c r="E91" s="26"/>
      <c r="F91" s="27"/>
      <c r="G91" s="28">
        <f>SUM(G92:G100)</f>
        <v>0</v>
      </c>
      <c r="H91" s="84"/>
      <c r="I91" s="28">
        <f>SUM(I92:I100)</f>
        <v>0</v>
      </c>
      <c r="J91" s="26">
        <v>150</v>
      </c>
      <c r="K91" s="28">
        <v>100554900</v>
      </c>
      <c r="L91" s="26">
        <v>0</v>
      </c>
      <c r="M91" s="28">
        <f>SUM(M92:M100)</f>
        <v>5400000</v>
      </c>
      <c r="N91" s="90">
        <v>0</v>
      </c>
      <c r="O91" s="28">
        <f>SUM(O92:O100)</f>
        <v>5400000</v>
      </c>
      <c r="P91" s="90">
        <v>0</v>
      </c>
      <c r="Q91" s="28">
        <f>SUM(Q92:Q100)</f>
        <v>11898220</v>
      </c>
      <c r="R91" s="26">
        <v>0</v>
      </c>
      <c r="S91" s="28">
        <v>1937000</v>
      </c>
      <c r="T91" s="29">
        <f t="shared" si="19"/>
        <v>0</v>
      </c>
      <c r="U91" s="30">
        <f t="shared" si="20"/>
        <v>0</v>
      </c>
      <c r="V91" s="31" t="s">
        <v>231</v>
      </c>
      <c r="W91" s="32">
        <f t="shared" si="21"/>
        <v>24635220</v>
      </c>
      <c r="X91" s="30">
        <f t="shared" si="22"/>
        <v>24.499273531175508</v>
      </c>
      <c r="Y91" s="31" t="s">
        <v>231</v>
      </c>
      <c r="Z91" s="30">
        <f t="shared" si="17"/>
        <v>0</v>
      </c>
      <c r="AA91" s="32">
        <f t="shared" si="18"/>
        <v>24635220</v>
      </c>
      <c r="AB91" s="30"/>
      <c r="AC91" s="31"/>
      <c r="AD91" s="30"/>
      <c r="AE91" s="18"/>
      <c r="AH91" s="34"/>
    </row>
    <row r="92" spans="1:34" ht="93" x14ac:dyDescent="0.3">
      <c r="A92" s="35"/>
      <c r="B92" s="24"/>
      <c r="C92" s="37" t="s">
        <v>79</v>
      </c>
      <c r="D92" s="37" t="s">
        <v>167</v>
      </c>
      <c r="E92" s="38"/>
      <c r="F92" s="39" t="s">
        <v>234</v>
      </c>
      <c r="G92" s="50"/>
      <c r="H92" s="84"/>
      <c r="I92" s="42"/>
      <c r="J92" s="140">
        <v>150</v>
      </c>
      <c r="K92" s="52">
        <v>24999000</v>
      </c>
      <c r="L92" s="38">
        <v>0</v>
      </c>
      <c r="M92" s="52">
        <v>5400000</v>
      </c>
      <c r="N92" s="74">
        <v>0</v>
      </c>
      <c r="O92" s="52">
        <v>5400000</v>
      </c>
      <c r="P92" s="74">
        <v>0</v>
      </c>
      <c r="Q92" s="52">
        <v>7258320</v>
      </c>
      <c r="R92" s="38">
        <v>0</v>
      </c>
      <c r="S92" s="52">
        <v>3600000</v>
      </c>
      <c r="T92" s="43">
        <f t="shared" si="19"/>
        <v>0</v>
      </c>
      <c r="U92" s="44">
        <f t="shared" si="20"/>
        <v>0</v>
      </c>
      <c r="V92" s="45" t="s">
        <v>231</v>
      </c>
      <c r="W92" s="41">
        <f t="shared" si="21"/>
        <v>21658320</v>
      </c>
      <c r="X92" s="44">
        <f t="shared" si="22"/>
        <v>86.636745469818791</v>
      </c>
      <c r="Y92" s="45" t="s">
        <v>231</v>
      </c>
      <c r="Z92" s="44">
        <f t="shared" si="17"/>
        <v>0</v>
      </c>
      <c r="AA92" s="41">
        <f t="shared" si="18"/>
        <v>21658320</v>
      </c>
      <c r="AB92" s="44"/>
      <c r="AC92" s="45"/>
      <c r="AD92" s="44"/>
      <c r="AE92" s="18"/>
      <c r="AH92" s="34"/>
    </row>
    <row r="93" spans="1:34" ht="124" x14ac:dyDescent="0.3">
      <c r="A93" s="35"/>
      <c r="B93" s="24"/>
      <c r="C93" s="37" t="s">
        <v>80</v>
      </c>
      <c r="D93" s="37" t="s">
        <v>168</v>
      </c>
      <c r="E93" s="38"/>
      <c r="F93" s="39" t="s">
        <v>233</v>
      </c>
      <c r="G93" s="50"/>
      <c r="H93" s="84"/>
      <c r="I93" s="42"/>
      <c r="J93" s="140">
        <v>150</v>
      </c>
      <c r="K93" s="52">
        <v>50000000</v>
      </c>
      <c r="L93" s="38">
        <v>0</v>
      </c>
      <c r="M93" s="52">
        <v>0</v>
      </c>
      <c r="N93" s="74">
        <v>0</v>
      </c>
      <c r="O93" s="52">
        <v>0</v>
      </c>
      <c r="P93" s="74">
        <v>0</v>
      </c>
      <c r="Q93" s="52">
        <v>0</v>
      </c>
      <c r="R93" s="38">
        <v>0</v>
      </c>
      <c r="S93" s="52">
        <v>0</v>
      </c>
      <c r="T93" s="43">
        <f t="shared" si="19"/>
        <v>0</v>
      </c>
      <c r="U93" s="44">
        <f t="shared" si="20"/>
        <v>0</v>
      </c>
      <c r="V93" s="45" t="s">
        <v>231</v>
      </c>
      <c r="W93" s="41">
        <f t="shared" si="21"/>
        <v>0</v>
      </c>
      <c r="X93" s="44">
        <f t="shared" si="22"/>
        <v>0</v>
      </c>
      <c r="Y93" s="45" t="s">
        <v>231</v>
      </c>
      <c r="Z93" s="44">
        <f t="shared" si="17"/>
        <v>0</v>
      </c>
      <c r="AA93" s="41">
        <f t="shared" si="18"/>
        <v>0</v>
      </c>
      <c r="AB93" s="44"/>
      <c r="AC93" s="45"/>
      <c r="AD93" s="44"/>
      <c r="AE93" s="18"/>
      <c r="AH93" s="34"/>
    </row>
    <row r="94" spans="1:34" ht="139.5" x14ac:dyDescent="0.3">
      <c r="A94" s="35"/>
      <c r="B94" s="24"/>
      <c r="C94" s="37" t="s">
        <v>81</v>
      </c>
      <c r="D94" s="37" t="s">
        <v>169</v>
      </c>
      <c r="E94" s="38"/>
      <c r="F94" s="39" t="s">
        <v>236</v>
      </c>
      <c r="G94" s="50"/>
      <c r="H94" s="84"/>
      <c r="I94" s="42"/>
      <c r="J94" s="140">
        <v>150</v>
      </c>
      <c r="K94" s="52">
        <v>4999900</v>
      </c>
      <c r="L94" s="38">
        <v>0</v>
      </c>
      <c r="M94" s="52">
        <v>0</v>
      </c>
      <c r="N94" s="74">
        <v>0</v>
      </c>
      <c r="O94" s="52">
        <v>0</v>
      </c>
      <c r="P94" s="74">
        <v>0</v>
      </c>
      <c r="Q94" s="52">
        <v>4639900</v>
      </c>
      <c r="R94" s="38">
        <v>0</v>
      </c>
      <c r="S94" s="52">
        <v>0</v>
      </c>
      <c r="T94" s="43">
        <f t="shared" si="19"/>
        <v>0</v>
      </c>
      <c r="U94" s="44">
        <f t="shared" si="20"/>
        <v>0</v>
      </c>
      <c r="V94" s="45" t="s">
        <v>231</v>
      </c>
      <c r="W94" s="41">
        <f t="shared" si="21"/>
        <v>4639900</v>
      </c>
      <c r="X94" s="44">
        <f t="shared" si="22"/>
        <v>92.799855997119934</v>
      </c>
      <c r="Y94" s="45" t="s">
        <v>231</v>
      </c>
      <c r="Z94" s="44">
        <f t="shared" si="17"/>
        <v>0</v>
      </c>
      <c r="AA94" s="41">
        <f t="shared" si="18"/>
        <v>4639900</v>
      </c>
      <c r="AB94" s="44"/>
      <c r="AC94" s="45"/>
      <c r="AD94" s="44"/>
      <c r="AE94" s="18"/>
      <c r="AH94" s="34"/>
    </row>
    <row r="95" spans="1:34" ht="77.5" x14ac:dyDescent="0.3">
      <c r="A95" s="35"/>
      <c r="B95" s="24"/>
      <c r="C95" s="37" t="s">
        <v>82</v>
      </c>
      <c r="D95" s="37" t="s">
        <v>170</v>
      </c>
      <c r="E95" s="38"/>
      <c r="F95" s="39" t="s">
        <v>233</v>
      </c>
      <c r="G95" s="50"/>
      <c r="H95" s="84"/>
      <c r="I95" s="42"/>
      <c r="J95" s="140">
        <v>150</v>
      </c>
      <c r="K95" s="52">
        <v>3426000</v>
      </c>
      <c r="L95" s="38">
        <v>0</v>
      </c>
      <c r="M95" s="52">
        <v>0</v>
      </c>
      <c r="N95" s="74">
        <v>0</v>
      </c>
      <c r="O95" s="52">
        <v>0</v>
      </c>
      <c r="P95" s="74">
        <v>0</v>
      </c>
      <c r="Q95" s="52">
        <v>0</v>
      </c>
      <c r="R95" s="38">
        <v>0</v>
      </c>
      <c r="S95" s="52">
        <v>0</v>
      </c>
      <c r="T95" s="43">
        <f t="shared" si="19"/>
        <v>0</v>
      </c>
      <c r="U95" s="44">
        <f t="shared" si="20"/>
        <v>0</v>
      </c>
      <c r="V95" s="45" t="s">
        <v>231</v>
      </c>
      <c r="W95" s="41">
        <f t="shared" si="21"/>
        <v>0</v>
      </c>
      <c r="X95" s="44">
        <f t="shared" si="22"/>
        <v>0</v>
      </c>
      <c r="Y95" s="45" t="s">
        <v>231</v>
      </c>
      <c r="Z95" s="44">
        <f t="shared" si="17"/>
        <v>0</v>
      </c>
      <c r="AA95" s="41">
        <f t="shared" si="18"/>
        <v>0</v>
      </c>
      <c r="AB95" s="44"/>
      <c r="AC95" s="45"/>
      <c r="AD95" s="44"/>
      <c r="AE95" s="18"/>
      <c r="AH95" s="34"/>
    </row>
    <row r="96" spans="1:34" ht="93" x14ac:dyDescent="0.3">
      <c r="A96" s="35"/>
      <c r="B96" s="24"/>
      <c r="C96" s="37" t="s">
        <v>83</v>
      </c>
      <c r="D96" s="37" t="s">
        <v>171</v>
      </c>
      <c r="E96" s="38"/>
      <c r="F96" s="39" t="s">
        <v>233</v>
      </c>
      <c r="G96" s="50"/>
      <c r="H96" s="84"/>
      <c r="I96" s="42"/>
      <c r="J96" s="140">
        <v>150</v>
      </c>
      <c r="K96" s="52">
        <v>3426000</v>
      </c>
      <c r="L96" s="38">
        <v>0</v>
      </c>
      <c r="M96" s="52">
        <v>0</v>
      </c>
      <c r="N96" s="74">
        <v>0</v>
      </c>
      <c r="O96" s="52">
        <v>0</v>
      </c>
      <c r="P96" s="74">
        <v>0</v>
      </c>
      <c r="Q96" s="52">
        <v>0</v>
      </c>
      <c r="R96" s="38">
        <v>0</v>
      </c>
      <c r="S96" s="52">
        <v>0</v>
      </c>
      <c r="T96" s="43">
        <f t="shared" si="19"/>
        <v>0</v>
      </c>
      <c r="U96" s="44">
        <f t="shared" si="20"/>
        <v>0</v>
      </c>
      <c r="V96" s="45" t="s">
        <v>231</v>
      </c>
      <c r="W96" s="41">
        <f t="shared" si="21"/>
        <v>0</v>
      </c>
      <c r="X96" s="44">
        <f t="shared" si="22"/>
        <v>0</v>
      </c>
      <c r="Y96" s="45" t="s">
        <v>231</v>
      </c>
      <c r="Z96" s="44">
        <f t="shared" si="17"/>
        <v>0</v>
      </c>
      <c r="AA96" s="41">
        <f t="shared" si="18"/>
        <v>0</v>
      </c>
      <c r="AB96" s="44"/>
      <c r="AC96" s="45"/>
      <c r="AD96" s="44"/>
      <c r="AE96" s="18"/>
      <c r="AH96" s="34"/>
    </row>
    <row r="97" spans="1:34" ht="62" x14ac:dyDescent="0.3">
      <c r="A97" s="35"/>
      <c r="B97" s="24"/>
      <c r="C97" s="37" t="s">
        <v>84</v>
      </c>
      <c r="D97" s="37" t="s">
        <v>172</v>
      </c>
      <c r="E97" s="38"/>
      <c r="F97" s="39" t="s">
        <v>233</v>
      </c>
      <c r="G97" s="50"/>
      <c r="H97" s="84"/>
      <c r="I97" s="42"/>
      <c r="J97" s="140">
        <v>150</v>
      </c>
      <c r="K97" s="52">
        <v>3426000</v>
      </c>
      <c r="L97" s="38">
        <v>0</v>
      </c>
      <c r="M97" s="52">
        <v>0</v>
      </c>
      <c r="N97" s="74">
        <v>0</v>
      </c>
      <c r="O97" s="52">
        <v>0</v>
      </c>
      <c r="P97" s="74">
        <v>0</v>
      </c>
      <c r="Q97" s="52">
        <v>0</v>
      </c>
      <c r="R97" s="38">
        <v>0</v>
      </c>
      <c r="S97" s="52">
        <v>0</v>
      </c>
      <c r="T97" s="43">
        <f t="shared" si="19"/>
        <v>0</v>
      </c>
      <c r="U97" s="44">
        <f t="shared" si="20"/>
        <v>0</v>
      </c>
      <c r="V97" s="45" t="s">
        <v>231</v>
      </c>
      <c r="W97" s="41">
        <f t="shared" si="21"/>
        <v>0</v>
      </c>
      <c r="X97" s="44">
        <f t="shared" si="22"/>
        <v>0</v>
      </c>
      <c r="Y97" s="45" t="s">
        <v>231</v>
      </c>
      <c r="Z97" s="44">
        <f t="shared" si="17"/>
        <v>0</v>
      </c>
      <c r="AA97" s="41">
        <f t="shared" si="18"/>
        <v>0</v>
      </c>
      <c r="AB97" s="44"/>
      <c r="AC97" s="45"/>
      <c r="AD97" s="44"/>
      <c r="AE97" s="18"/>
      <c r="AH97" s="34"/>
    </row>
    <row r="98" spans="1:34" ht="110.25" customHeight="1" x14ac:dyDescent="0.3">
      <c r="A98" s="35"/>
      <c r="B98" s="24"/>
      <c r="C98" s="37" t="s">
        <v>85</v>
      </c>
      <c r="D98" s="37" t="s">
        <v>173</v>
      </c>
      <c r="E98" s="38"/>
      <c r="F98" s="39" t="s">
        <v>233</v>
      </c>
      <c r="G98" s="50"/>
      <c r="H98" s="84"/>
      <c r="I98" s="42"/>
      <c r="J98" s="140">
        <v>150</v>
      </c>
      <c r="K98" s="52">
        <v>3426000</v>
      </c>
      <c r="L98" s="38">
        <v>0</v>
      </c>
      <c r="M98" s="52">
        <v>0</v>
      </c>
      <c r="N98" s="74">
        <v>0</v>
      </c>
      <c r="O98" s="52">
        <v>0</v>
      </c>
      <c r="P98" s="74">
        <v>0</v>
      </c>
      <c r="Q98" s="52">
        <v>0</v>
      </c>
      <c r="R98" s="38">
        <v>0</v>
      </c>
      <c r="S98" s="52">
        <v>0</v>
      </c>
      <c r="T98" s="43">
        <f t="shared" si="19"/>
        <v>0</v>
      </c>
      <c r="U98" s="44">
        <f t="shared" si="20"/>
        <v>0</v>
      </c>
      <c r="V98" s="45" t="s">
        <v>231</v>
      </c>
      <c r="W98" s="41">
        <f t="shared" si="21"/>
        <v>0</v>
      </c>
      <c r="X98" s="44">
        <f t="shared" si="22"/>
        <v>0</v>
      </c>
      <c r="Y98" s="45" t="s">
        <v>231</v>
      </c>
      <c r="Z98" s="44">
        <f t="shared" si="17"/>
        <v>0</v>
      </c>
      <c r="AA98" s="41">
        <f t="shared" si="18"/>
        <v>0</v>
      </c>
      <c r="AB98" s="44"/>
      <c r="AC98" s="45"/>
      <c r="AD98" s="44"/>
      <c r="AE98" s="18"/>
      <c r="AH98" s="34"/>
    </row>
    <row r="99" spans="1:34" ht="87" customHeight="1" x14ac:dyDescent="0.3">
      <c r="A99" s="35"/>
      <c r="B99" s="24"/>
      <c r="C99" s="37" t="s">
        <v>86</v>
      </c>
      <c r="D99" s="37" t="s">
        <v>174</v>
      </c>
      <c r="E99" s="38"/>
      <c r="F99" s="39" t="s">
        <v>233</v>
      </c>
      <c r="G99" s="50"/>
      <c r="H99" s="84"/>
      <c r="I99" s="42"/>
      <c r="J99" s="140">
        <v>150</v>
      </c>
      <c r="K99" s="52">
        <v>3426000</v>
      </c>
      <c r="L99" s="38">
        <v>0</v>
      </c>
      <c r="M99" s="52">
        <v>0</v>
      </c>
      <c r="N99" s="74">
        <v>0</v>
      </c>
      <c r="O99" s="52">
        <v>0</v>
      </c>
      <c r="P99" s="74">
        <v>0</v>
      </c>
      <c r="Q99" s="52">
        <v>0</v>
      </c>
      <c r="R99" s="38">
        <v>0</v>
      </c>
      <c r="S99" s="52">
        <v>0</v>
      </c>
      <c r="T99" s="43">
        <f t="shared" si="19"/>
        <v>0</v>
      </c>
      <c r="U99" s="44">
        <f t="shared" si="20"/>
        <v>0</v>
      </c>
      <c r="V99" s="45" t="s">
        <v>231</v>
      </c>
      <c r="W99" s="41">
        <f t="shared" si="21"/>
        <v>0</v>
      </c>
      <c r="X99" s="44">
        <f t="shared" si="22"/>
        <v>0</v>
      </c>
      <c r="Y99" s="45" t="s">
        <v>231</v>
      </c>
      <c r="Z99" s="44">
        <f t="shared" si="17"/>
        <v>0</v>
      </c>
      <c r="AA99" s="41">
        <f t="shared" si="18"/>
        <v>0</v>
      </c>
      <c r="AB99" s="44"/>
      <c r="AC99" s="45"/>
      <c r="AD99" s="44"/>
      <c r="AE99" s="18"/>
      <c r="AH99" s="34"/>
    </row>
    <row r="100" spans="1:34" ht="94.5" customHeight="1" x14ac:dyDescent="0.3">
      <c r="A100" s="35"/>
      <c r="B100" s="24"/>
      <c r="C100" s="37" t="s">
        <v>87</v>
      </c>
      <c r="D100" s="37" t="s">
        <v>175</v>
      </c>
      <c r="E100" s="38"/>
      <c r="F100" s="39" t="s">
        <v>233</v>
      </c>
      <c r="G100" s="50"/>
      <c r="H100" s="84"/>
      <c r="I100" s="42"/>
      <c r="J100" s="140">
        <v>150</v>
      </c>
      <c r="K100" s="52">
        <v>3426000</v>
      </c>
      <c r="L100" s="38">
        <v>0</v>
      </c>
      <c r="M100" s="52">
        <v>0</v>
      </c>
      <c r="N100" s="74">
        <v>0</v>
      </c>
      <c r="O100" s="52">
        <v>0</v>
      </c>
      <c r="P100" s="74">
        <v>0</v>
      </c>
      <c r="Q100" s="52">
        <v>0</v>
      </c>
      <c r="R100" s="38">
        <v>0</v>
      </c>
      <c r="S100" s="52">
        <v>0</v>
      </c>
      <c r="T100" s="43">
        <f t="shared" si="19"/>
        <v>0</v>
      </c>
      <c r="U100" s="44">
        <f t="shared" si="20"/>
        <v>0</v>
      </c>
      <c r="V100" s="45" t="s">
        <v>231</v>
      </c>
      <c r="W100" s="41">
        <f t="shared" si="21"/>
        <v>0</v>
      </c>
      <c r="X100" s="44">
        <f t="shared" si="22"/>
        <v>0</v>
      </c>
      <c r="Y100" s="45" t="s">
        <v>231</v>
      </c>
      <c r="Z100" s="44">
        <f t="shared" si="17"/>
        <v>0</v>
      </c>
      <c r="AA100" s="41">
        <f t="shared" si="18"/>
        <v>0</v>
      </c>
      <c r="AB100" s="44"/>
      <c r="AC100" s="45"/>
      <c r="AD100" s="44"/>
      <c r="AE100" s="18"/>
      <c r="AH100" s="34"/>
    </row>
    <row r="101" spans="1:34" ht="120.5" customHeight="1" x14ac:dyDescent="0.3">
      <c r="A101" s="35"/>
      <c r="B101" s="24"/>
      <c r="C101" s="25" t="s">
        <v>88</v>
      </c>
      <c r="D101" s="25"/>
      <c r="E101" s="26"/>
      <c r="F101" s="27"/>
      <c r="G101" s="28">
        <f>SUM(G102)</f>
        <v>0</v>
      </c>
      <c r="H101" s="84"/>
      <c r="I101" s="28">
        <f>SUM(I102)</f>
        <v>0</v>
      </c>
      <c r="J101" s="26">
        <v>150</v>
      </c>
      <c r="K101" s="28">
        <v>147999550</v>
      </c>
      <c r="L101" s="26">
        <v>0</v>
      </c>
      <c r="M101" s="28">
        <f>SUM(M102)</f>
        <v>0</v>
      </c>
      <c r="N101" s="90">
        <v>0</v>
      </c>
      <c r="O101" s="28">
        <f>SUM(O102)</f>
        <v>0</v>
      </c>
      <c r="P101" s="90">
        <v>0</v>
      </c>
      <c r="Q101" s="28">
        <f>SUM(Q102)</f>
        <v>0</v>
      </c>
      <c r="R101" s="26">
        <v>0</v>
      </c>
      <c r="S101" s="28">
        <v>99889000</v>
      </c>
      <c r="T101" s="29">
        <f t="shared" si="19"/>
        <v>0</v>
      </c>
      <c r="U101" s="30">
        <f t="shared" si="20"/>
        <v>0</v>
      </c>
      <c r="V101" s="31" t="s">
        <v>231</v>
      </c>
      <c r="W101" s="32">
        <f t="shared" si="21"/>
        <v>99889000</v>
      </c>
      <c r="X101" s="30">
        <f t="shared" si="22"/>
        <v>67.492772782079399</v>
      </c>
      <c r="Y101" s="31" t="s">
        <v>231</v>
      </c>
      <c r="Z101" s="30">
        <f t="shared" si="17"/>
        <v>0</v>
      </c>
      <c r="AA101" s="32">
        <f t="shared" si="18"/>
        <v>99889000</v>
      </c>
      <c r="AB101" s="30"/>
      <c r="AC101" s="31"/>
      <c r="AD101" s="30"/>
      <c r="AE101" s="18"/>
      <c r="AH101" s="34"/>
    </row>
    <row r="102" spans="1:34" ht="124" x14ac:dyDescent="0.3">
      <c r="A102" s="35"/>
      <c r="B102" s="24"/>
      <c r="C102" s="37" t="s">
        <v>89</v>
      </c>
      <c r="D102" s="37" t="s">
        <v>176</v>
      </c>
      <c r="E102" s="38"/>
      <c r="F102" s="39" t="s">
        <v>233</v>
      </c>
      <c r="G102" s="50"/>
      <c r="H102" s="84"/>
      <c r="I102" s="42"/>
      <c r="J102" s="140">
        <v>150</v>
      </c>
      <c r="K102" s="52">
        <v>147999550</v>
      </c>
      <c r="L102" s="38">
        <v>0</v>
      </c>
      <c r="M102" s="52">
        <v>0</v>
      </c>
      <c r="N102" s="74">
        <v>0</v>
      </c>
      <c r="O102" s="52">
        <v>0</v>
      </c>
      <c r="P102" s="74">
        <v>0</v>
      </c>
      <c r="Q102" s="52">
        <v>0</v>
      </c>
      <c r="R102" s="38">
        <v>0</v>
      </c>
      <c r="S102" s="52">
        <v>105889000</v>
      </c>
      <c r="T102" s="43">
        <f t="shared" si="19"/>
        <v>0</v>
      </c>
      <c r="U102" s="44">
        <f t="shared" si="20"/>
        <v>0</v>
      </c>
      <c r="V102" s="45" t="s">
        <v>231</v>
      </c>
      <c r="W102" s="41">
        <f t="shared" si="21"/>
        <v>105889000</v>
      </c>
      <c r="X102" s="44">
        <f t="shared" si="22"/>
        <v>71.546839162686652</v>
      </c>
      <c r="Y102" s="45" t="s">
        <v>231</v>
      </c>
      <c r="Z102" s="44">
        <f t="shared" si="17"/>
        <v>0</v>
      </c>
      <c r="AA102" s="41">
        <f t="shared" si="18"/>
        <v>105889000</v>
      </c>
      <c r="AB102" s="44"/>
      <c r="AC102" s="45"/>
      <c r="AD102" s="44"/>
      <c r="AE102" s="18"/>
      <c r="AH102" s="34"/>
    </row>
    <row r="103" spans="1:34" ht="93" x14ac:dyDescent="0.3">
      <c r="A103" s="35"/>
      <c r="B103" s="24"/>
      <c r="C103" s="142" t="s">
        <v>251</v>
      </c>
      <c r="D103" s="100" t="s">
        <v>177</v>
      </c>
      <c r="E103" s="26">
        <v>90</v>
      </c>
      <c r="F103" s="27" t="s">
        <v>231</v>
      </c>
      <c r="G103" s="143">
        <f>G104+G106+G109</f>
        <v>1000000000</v>
      </c>
      <c r="H103" s="47">
        <v>70</v>
      </c>
      <c r="I103" s="143">
        <f>I104+I106+I109</f>
        <v>117939250</v>
      </c>
      <c r="J103" s="26">
        <v>80</v>
      </c>
      <c r="K103" s="143">
        <v>1429073400</v>
      </c>
      <c r="L103" s="26">
        <v>0</v>
      </c>
      <c r="M103" s="143">
        <f>M104+M106+M109</f>
        <v>10836000</v>
      </c>
      <c r="N103" s="74">
        <v>0</v>
      </c>
      <c r="O103" s="143">
        <f>O104+O106+O109</f>
        <v>12280000</v>
      </c>
      <c r="P103" s="74">
        <v>0</v>
      </c>
      <c r="Q103" s="143">
        <f>Q104+Q106+Q109</f>
        <v>27908340</v>
      </c>
      <c r="R103" s="38">
        <v>47.514098016239053</v>
      </c>
      <c r="S103" s="143">
        <v>679011336</v>
      </c>
      <c r="T103" s="29">
        <f t="shared" si="19"/>
        <v>47.514098016239053</v>
      </c>
      <c r="U103" s="30">
        <f t="shared" si="20"/>
        <v>59.392622520298822</v>
      </c>
      <c r="V103" s="31" t="s">
        <v>231</v>
      </c>
      <c r="W103" s="144">
        <f t="shared" si="21"/>
        <v>730035676</v>
      </c>
      <c r="X103" s="145">
        <f t="shared" si="22"/>
        <v>51.084547231793699</v>
      </c>
      <c r="Y103" s="23" t="s">
        <v>231</v>
      </c>
      <c r="Z103" s="30">
        <f t="shared" si="17"/>
        <v>117.51409801623905</v>
      </c>
      <c r="AA103" s="144">
        <f t="shared" si="18"/>
        <v>847974926</v>
      </c>
      <c r="AB103" s="30"/>
      <c r="AC103" s="31"/>
      <c r="AD103" s="145"/>
      <c r="AE103" s="18"/>
      <c r="AH103" s="34"/>
    </row>
    <row r="104" spans="1:34" ht="180.75" customHeight="1" x14ac:dyDescent="0.3">
      <c r="A104" s="35"/>
      <c r="B104" s="24"/>
      <c r="C104" s="25" t="s">
        <v>90</v>
      </c>
      <c r="D104" s="25" t="s">
        <v>178</v>
      </c>
      <c r="E104" s="26">
        <v>1</v>
      </c>
      <c r="F104" s="27" t="s">
        <v>233</v>
      </c>
      <c r="G104" s="28">
        <f>SUM(G105)</f>
        <v>275000000</v>
      </c>
      <c r="H104" s="77">
        <v>0</v>
      </c>
      <c r="I104" s="28">
        <f>SUM(I105)</f>
        <v>0</v>
      </c>
      <c r="J104" s="146">
        <v>1</v>
      </c>
      <c r="K104" s="28">
        <v>687725000</v>
      </c>
      <c r="L104" s="26">
        <v>0</v>
      </c>
      <c r="M104" s="28">
        <f>SUM(M105)</f>
        <v>0</v>
      </c>
      <c r="N104" s="90">
        <v>0</v>
      </c>
      <c r="O104" s="28">
        <f>SUM(O105)</f>
        <v>0</v>
      </c>
      <c r="P104" s="90">
        <v>0</v>
      </c>
      <c r="Q104" s="28">
        <f>SUM(Q105)</f>
        <v>0</v>
      </c>
      <c r="R104" s="26"/>
      <c r="S104" s="28">
        <v>410839500</v>
      </c>
      <c r="T104" s="29">
        <f t="shared" si="19"/>
        <v>0</v>
      </c>
      <c r="U104" s="30">
        <f t="shared" si="20"/>
        <v>0</v>
      </c>
      <c r="V104" s="31" t="s">
        <v>231</v>
      </c>
      <c r="W104" s="32">
        <f>SUM(M104,O104,Q104,S104)</f>
        <v>410839500</v>
      </c>
      <c r="X104" s="30">
        <f>W104/K104*100</f>
        <v>59.738921807408488</v>
      </c>
      <c r="Y104" s="31" t="s">
        <v>231</v>
      </c>
      <c r="Z104" s="30">
        <f t="shared" si="17"/>
        <v>0</v>
      </c>
      <c r="AA104" s="32">
        <f t="shared" ref="AA104:AA110" si="23">I104+W104</f>
        <v>410839500</v>
      </c>
      <c r="AB104" s="30"/>
      <c r="AC104" s="31"/>
      <c r="AD104" s="30"/>
      <c r="AE104" s="18"/>
      <c r="AH104" s="34"/>
    </row>
    <row r="105" spans="1:34" ht="155" x14ac:dyDescent="0.3">
      <c r="A105" s="35"/>
      <c r="B105" s="24"/>
      <c r="C105" s="37" t="s">
        <v>91</v>
      </c>
      <c r="D105" s="37" t="s">
        <v>179</v>
      </c>
      <c r="E105" s="38">
        <v>1</v>
      </c>
      <c r="F105" s="39" t="s">
        <v>233</v>
      </c>
      <c r="G105" s="50">
        <v>275000000</v>
      </c>
      <c r="H105" s="51">
        <v>0</v>
      </c>
      <c r="I105" s="42">
        <v>0</v>
      </c>
      <c r="J105" s="38">
        <v>1</v>
      </c>
      <c r="K105" s="52">
        <v>687725000</v>
      </c>
      <c r="L105" s="38">
        <v>0</v>
      </c>
      <c r="M105" s="52">
        <v>0</v>
      </c>
      <c r="N105" s="74">
        <v>0</v>
      </c>
      <c r="O105" s="52">
        <v>0</v>
      </c>
      <c r="P105" s="74">
        <v>0</v>
      </c>
      <c r="Q105" s="52"/>
      <c r="R105" s="38"/>
      <c r="S105" s="52">
        <v>410839500</v>
      </c>
      <c r="T105" s="43">
        <f t="shared" si="19"/>
        <v>0</v>
      </c>
      <c r="U105" s="44">
        <f t="shared" si="20"/>
        <v>0</v>
      </c>
      <c r="V105" s="45" t="s">
        <v>231</v>
      </c>
      <c r="W105" s="41">
        <f>SUM(M105,O105,Q105,S105)</f>
        <v>410839500</v>
      </c>
      <c r="X105" s="44">
        <f>W105/K105*100</f>
        <v>59.738921807408488</v>
      </c>
      <c r="Y105" s="45" t="s">
        <v>231</v>
      </c>
      <c r="Z105" s="44">
        <f t="shared" si="17"/>
        <v>0</v>
      </c>
      <c r="AA105" s="41">
        <f t="shared" si="23"/>
        <v>410839500</v>
      </c>
      <c r="AB105" s="44"/>
      <c r="AC105" s="45"/>
      <c r="AD105" s="44"/>
      <c r="AE105" s="18"/>
      <c r="AH105" s="34"/>
    </row>
    <row r="106" spans="1:34" ht="149.25" customHeight="1" x14ac:dyDescent="0.3">
      <c r="A106" s="35"/>
      <c r="B106" s="24"/>
      <c r="C106" s="25" t="s">
        <v>92</v>
      </c>
      <c r="D106" s="25" t="s">
        <v>180</v>
      </c>
      <c r="E106" s="26">
        <v>1</v>
      </c>
      <c r="F106" s="27" t="s">
        <v>233</v>
      </c>
      <c r="G106" s="28">
        <f>SUM(G107:G108)</f>
        <v>275000000</v>
      </c>
      <c r="H106" s="77">
        <v>1</v>
      </c>
      <c r="I106" s="28">
        <f>SUM(I107:I108)</f>
        <v>68557750</v>
      </c>
      <c r="J106" s="26">
        <v>2</v>
      </c>
      <c r="K106" s="28">
        <v>548150000</v>
      </c>
      <c r="L106" s="26">
        <v>0</v>
      </c>
      <c r="M106" s="28">
        <f>SUM(M107)</f>
        <v>0</v>
      </c>
      <c r="N106" s="90">
        <v>0</v>
      </c>
      <c r="O106" s="28">
        <f>SUM(O107)</f>
        <v>1480000</v>
      </c>
      <c r="P106" s="90">
        <v>0</v>
      </c>
      <c r="Q106" s="28">
        <f>SUM(Q107)</f>
        <v>0</v>
      </c>
      <c r="R106" s="26">
        <v>2</v>
      </c>
      <c r="S106" s="28">
        <v>237205366</v>
      </c>
      <c r="T106" s="29">
        <f t="shared" si="19"/>
        <v>2</v>
      </c>
      <c r="U106" s="30">
        <f t="shared" si="20"/>
        <v>100</v>
      </c>
      <c r="V106" s="31" t="s">
        <v>231</v>
      </c>
      <c r="W106" s="32">
        <f>SUM(M106,O106,Q106,S106)</f>
        <v>238685366</v>
      </c>
      <c r="X106" s="30">
        <f>W106/K106*100</f>
        <v>43.543804797956767</v>
      </c>
      <c r="Y106" s="31" t="s">
        <v>231</v>
      </c>
      <c r="Z106" s="30">
        <f t="shared" si="17"/>
        <v>3</v>
      </c>
      <c r="AA106" s="32">
        <f t="shared" si="23"/>
        <v>307243116</v>
      </c>
      <c r="AB106" s="30"/>
      <c r="AC106" s="31"/>
      <c r="AD106" s="30"/>
      <c r="AE106" s="18"/>
      <c r="AH106" s="34"/>
    </row>
    <row r="107" spans="1:34" ht="108.5" x14ac:dyDescent="0.3">
      <c r="A107" s="35"/>
      <c r="B107" s="24"/>
      <c r="C107" s="37" t="s">
        <v>93</v>
      </c>
      <c r="D107" s="37" t="s">
        <v>181</v>
      </c>
      <c r="E107" s="38"/>
      <c r="F107" s="39" t="s">
        <v>233</v>
      </c>
      <c r="G107" s="50"/>
      <c r="H107" s="84"/>
      <c r="I107" s="42"/>
      <c r="J107" s="38">
        <v>2</v>
      </c>
      <c r="K107" s="52">
        <v>548150000</v>
      </c>
      <c r="L107" s="38">
        <v>0</v>
      </c>
      <c r="M107" s="52">
        <v>0</v>
      </c>
      <c r="N107" s="74">
        <v>0</v>
      </c>
      <c r="O107" s="52">
        <v>1480000</v>
      </c>
      <c r="P107" s="74">
        <v>0</v>
      </c>
      <c r="Q107" s="52"/>
      <c r="R107" s="38">
        <v>2</v>
      </c>
      <c r="S107" s="52">
        <v>240205356</v>
      </c>
      <c r="T107" s="43">
        <f t="shared" si="19"/>
        <v>2</v>
      </c>
      <c r="U107" s="44">
        <f t="shared" si="20"/>
        <v>100</v>
      </c>
      <c r="V107" s="45" t="s">
        <v>231</v>
      </c>
      <c r="W107" s="41">
        <f>SUM(M107,O107,Q107,S107)</f>
        <v>241685356</v>
      </c>
      <c r="X107" s="44">
        <f>W107/K107*100</f>
        <v>44.091098421964794</v>
      </c>
      <c r="Y107" s="45" t="s">
        <v>231</v>
      </c>
      <c r="Z107" s="44">
        <f t="shared" si="17"/>
        <v>2</v>
      </c>
      <c r="AA107" s="41">
        <f t="shared" si="23"/>
        <v>241685356</v>
      </c>
      <c r="AB107" s="44"/>
      <c r="AC107" s="45"/>
      <c r="AD107" s="44"/>
      <c r="AE107" s="18"/>
      <c r="AH107" s="34"/>
    </row>
    <row r="108" spans="1:34" ht="125.25" customHeight="1" x14ac:dyDescent="0.3">
      <c r="A108" s="35"/>
      <c r="B108" s="24"/>
      <c r="C108" s="85" t="s">
        <v>92</v>
      </c>
      <c r="D108" s="85" t="s">
        <v>193</v>
      </c>
      <c r="E108" s="38">
        <v>1</v>
      </c>
      <c r="F108" s="39" t="s">
        <v>233</v>
      </c>
      <c r="G108" s="50">
        <v>275000000</v>
      </c>
      <c r="H108" s="51">
        <v>1</v>
      </c>
      <c r="I108" s="42">
        <v>68557750</v>
      </c>
      <c r="J108" s="38"/>
      <c r="K108" s="52"/>
      <c r="L108" s="38"/>
      <c r="M108" s="52"/>
      <c r="N108" s="74"/>
      <c r="O108" s="52"/>
      <c r="P108" s="74"/>
      <c r="Q108" s="52"/>
      <c r="R108" s="38"/>
      <c r="S108" s="52"/>
      <c r="T108" s="43"/>
      <c r="U108" s="44"/>
      <c r="V108" s="45"/>
      <c r="W108" s="41"/>
      <c r="X108" s="44"/>
      <c r="Y108" s="45"/>
      <c r="Z108" s="44">
        <f t="shared" si="17"/>
        <v>1</v>
      </c>
      <c r="AA108" s="41">
        <f t="shared" si="23"/>
        <v>68557750</v>
      </c>
      <c r="AB108" s="44"/>
      <c r="AC108" s="45"/>
      <c r="AD108" s="44"/>
      <c r="AE108" s="18"/>
      <c r="AH108" s="34"/>
    </row>
    <row r="109" spans="1:34" ht="177.75" customHeight="1" x14ac:dyDescent="0.3">
      <c r="A109" s="35"/>
      <c r="B109" s="24"/>
      <c r="C109" s="25" t="s">
        <v>94</v>
      </c>
      <c r="D109" s="25" t="s">
        <v>182</v>
      </c>
      <c r="E109" s="77">
        <v>2</v>
      </c>
      <c r="F109" s="27" t="s">
        <v>233</v>
      </c>
      <c r="G109" s="28">
        <f>SUM(G110)</f>
        <v>450000000</v>
      </c>
      <c r="H109" s="77">
        <v>2</v>
      </c>
      <c r="I109" s="28">
        <f>SUM(I110)</f>
        <v>49381500</v>
      </c>
      <c r="J109" s="26">
        <v>2</v>
      </c>
      <c r="K109" s="28">
        <v>193198400</v>
      </c>
      <c r="L109" s="26">
        <v>0</v>
      </c>
      <c r="M109" s="28">
        <f>SUM(M110)</f>
        <v>10836000</v>
      </c>
      <c r="N109" s="90">
        <v>0</v>
      </c>
      <c r="O109" s="28">
        <f>SUM(O110)</f>
        <v>10800000</v>
      </c>
      <c r="P109" s="90">
        <v>0</v>
      </c>
      <c r="Q109" s="28">
        <f>SUM(Q110)</f>
        <v>27908340</v>
      </c>
      <c r="R109" s="26">
        <v>2</v>
      </c>
      <c r="S109" s="28">
        <f>SUM(S110)</f>
        <v>13610000</v>
      </c>
      <c r="T109" s="29">
        <f>SUM(L109,N109,P109,R109)</f>
        <v>2</v>
      </c>
      <c r="U109" s="30">
        <f>T109/J109*100</f>
        <v>100</v>
      </c>
      <c r="V109" s="31" t="s">
        <v>231</v>
      </c>
      <c r="W109" s="32">
        <f>SUM(M109,O109,Q109,S109)</f>
        <v>63154340</v>
      </c>
      <c r="X109" s="30">
        <f>W109/K109*100</f>
        <v>32.68885249567284</v>
      </c>
      <c r="Y109" s="31" t="s">
        <v>231</v>
      </c>
      <c r="Z109" s="30">
        <f t="shared" si="17"/>
        <v>4</v>
      </c>
      <c r="AA109" s="32">
        <f t="shared" si="23"/>
        <v>112535840</v>
      </c>
      <c r="AB109" s="30"/>
      <c r="AC109" s="31"/>
      <c r="AD109" s="30"/>
      <c r="AE109" s="18"/>
      <c r="AH109" s="34"/>
    </row>
    <row r="110" spans="1:34" ht="77.5" x14ac:dyDescent="0.3">
      <c r="A110" s="35"/>
      <c r="B110" s="24"/>
      <c r="C110" s="37" t="s">
        <v>95</v>
      </c>
      <c r="D110" s="37" t="s">
        <v>183</v>
      </c>
      <c r="E110" s="51">
        <v>2</v>
      </c>
      <c r="F110" s="39" t="s">
        <v>233</v>
      </c>
      <c r="G110" s="50">
        <v>450000000</v>
      </c>
      <c r="H110" s="51">
        <v>2</v>
      </c>
      <c r="I110" s="42">
        <v>49381500</v>
      </c>
      <c r="J110" s="38">
        <v>2</v>
      </c>
      <c r="K110" s="52">
        <v>193198400</v>
      </c>
      <c r="L110" s="38">
        <v>0</v>
      </c>
      <c r="M110" s="52">
        <v>10836000</v>
      </c>
      <c r="N110" s="74">
        <v>0</v>
      </c>
      <c r="O110" s="52">
        <v>10800000</v>
      </c>
      <c r="P110" s="74">
        <v>0</v>
      </c>
      <c r="Q110" s="52">
        <v>27908340</v>
      </c>
      <c r="R110" s="38">
        <v>2</v>
      </c>
      <c r="S110" s="52">
        <v>13610000</v>
      </c>
      <c r="T110" s="43">
        <f>SUM(L110,N110,P110,R110)</f>
        <v>2</v>
      </c>
      <c r="U110" s="44">
        <f>T110/J110*100</f>
        <v>100</v>
      </c>
      <c r="V110" s="45" t="s">
        <v>231</v>
      </c>
      <c r="W110" s="41">
        <f>SUM(M110,O110,Q110,S110)</f>
        <v>63154340</v>
      </c>
      <c r="X110" s="44">
        <f>W110/K110*100</f>
        <v>32.68885249567284</v>
      </c>
      <c r="Y110" s="45" t="s">
        <v>231</v>
      </c>
      <c r="Z110" s="44">
        <f t="shared" si="17"/>
        <v>4</v>
      </c>
      <c r="AA110" s="41">
        <f t="shared" si="23"/>
        <v>112535840</v>
      </c>
      <c r="AB110" s="44"/>
      <c r="AC110" s="45"/>
      <c r="AD110" s="44"/>
      <c r="AE110" s="18"/>
      <c r="AH110" s="34"/>
    </row>
    <row r="111" spans="1:34" ht="25" customHeight="1" x14ac:dyDescent="0.35">
      <c r="A111" s="182" t="s">
        <v>252</v>
      </c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47">
        <f>AVERAGE(U16:U110)</f>
        <v>104.6298304272492</v>
      </c>
      <c r="V111" s="148"/>
      <c r="W111" s="149"/>
      <c r="X111" s="147">
        <f>AVERAGE(X16,X39,X53,X57,X61,X67,X71,X83,X103)</f>
        <v>79.83005670126505</v>
      </c>
      <c r="Y111" s="148"/>
      <c r="Z111" s="150"/>
      <c r="AA111" s="150"/>
      <c r="AB111" s="150"/>
      <c r="AC111" s="148"/>
      <c r="AD111" s="151"/>
      <c r="AE111" s="18"/>
    </row>
    <row r="112" spans="1:34" ht="25" customHeight="1" x14ac:dyDescent="0.35">
      <c r="A112" s="182" t="s">
        <v>194</v>
      </c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52" t="str">
        <f>IF(U111&gt;=91,"Sangat Tinggi",IF(U111&gt;=76,"Tinggi",IF(U111&gt;=66,"Sedang",IF(U111&gt;=51,"Rendah",IF(U111&lt;=50,"Sangat Rendah")))))</f>
        <v>Sangat Tinggi</v>
      </c>
      <c r="V112" s="148"/>
      <c r="W112" s="153"/>
      <c r="X112" s="152" t="str">
        <f>IF(X111&gt;=91,"Sangat Tinggi",IF(X111&gt;=76,"Tinggi",IF(X111&gt;=66,"Sedang",IF(X111&gt;=51,"Rendah",IF(X111&lt;=50,"Sangat Rendah")))))</f>
        <v>Tinggi</v>
      </c>
      <c r="Y112" s="148"/>
      <c r="Z112" s="154"/>
      <c r="AA112" s="155"/>
      <c r="AB112" s="154"/>
      <c r="AC112" s="148"/>
      <c r="AD112" s="156"/>
      <c r="AE112" s="18"/>
    </row>
    <row r="113" spans="1:31" ht="25" customHeight="1" x14ac:dyDescent="0.3">
      <c r="A113" s="184" t="s">
        <v>253</v>
      </c>
      <c r="B113" s="184"/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"/>
    </row>
    <row r="114" spans="1:31" ht="25" customHeight="1" x14ac:dyDescent="0.3">
      <c r="A114" s="157" t="s">
        <v>254</v>
      </c>
      <c r="B114" s="158"/>
      <c r="C114" s="158"/>
      <c r="D114" s="159" t="s">
        <v>255</v>
      </c>
      <c r="E114" s="158" t="s">
        <v>256</v>
      </c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60"/>
      <c r="AE114" s="18"/>
    </row>
    <row r="115" spans="1:31" ht="25" customHeight="1" x14ac:dyDescent="0.3">
      <c r="A115" s="161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60"/>
      <c r="AE115" s="18"/>
    </row>
    <row r="116" spans="1:31" ht="25" customHeight="1" x14ac:dyDescent="0.3">
      <c r="A116" s="161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60"/>
      <c r="AE116" s="18"/>
    </row>
    <row r="117" spans="1:31" ht="25" customHeight="1" x14ac:dyDescent="0.3">
      <c r="A117" s="161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60"/>
      <c r="AE117" s="18"/>
    </row>
    <row r="118" spans="1:31" ht="25" customHeight="1" x14ac:dyDescent="0.3">
      <c r="A118" s="184" t="s">
        <v>257</v>
      </c>
      <c r="B118" s="184"/>
      <c r="C118" s="184"/>
      <c r="D118" s="184"/>
      <c r="E118" s="184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"/>
    </row>
    <row r="119" spans="1:31" ht="25" customHeight="1" x14ac:dyDescent="0.3">
      <c r="A119" s="157" t="s">
        <v>254</v>
      </c>
      <c r="B119" s="159"/>
      <c r="C119" s="159"/>
      <c r="D119" s="159" t="s">
        <v>255</v>
      </c>
      <c r="E119" s="159" t="s">
        <v>258</v>
      </c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62"/>
      <c r="AE119" s="18"/>
    </row>
    <row r="120" spans="1:31" ht="25" customHeight="1" x14ac:dyDescent="0.3">
      <c r="A120" s="161"/>
      <c r="B120" s="158"/>
      <c r="C120" s="158"/>
      <c r="D120" s="158" t="s">
        <v>259</v>
      </c>
      <c r="E120" s="158" t="s">
        <v>260</v>
      </c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60"/>
      <c r="AE120" s="18"/>
    </row>
    <row r="121" spans="1:31" ht="25" customHeight="1" x14ac:dyDescent="0.3">
      <c r="A121" s="161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60"/>
      <c r="AE121" s="18"/>
    </row>
    <row r="122" spans="1:31" ht="25" customHeight="1" x14ac:dyDescent="0.3">
      <c r="A122" s="161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60"/>
      <c r="AE122" s="18"/>
    </row>
    <row r="123" spans="1:31" ht="25" customHeight="1" x14ac:dyDescent="0.3">
      <c r="A123" s="185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  <c r="AA123" s="186"/>
      <c r="AB123" s="186"/>
      <c r="AC123" s="186"/>
      <c r="AD123" s="187"/>
      <c r="AE123" s="18"/>
    </row>
    <row r="124" spans="1:31" ht="25" customHeight="1" x14ac:dyDescent="0.3">
      <c r="A124" s="184" t="s">
        <v>261</v>
      </c>
      <c r="B124" s="184"/>
      <c r="C124" s="184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"/>
    </row>
    <row r="125" spans="1:31" ht="25" customHeight="1" x14ac:dyDescent="0.3">
      <c r="A125" s="161" t="s">
        <v>262</v>
      </c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60"/>
      <c r="AE125" s="18"/>
    </row>
    <row r="126" spans="1:31" ht="25" customHeight="1" x14ac:dyDescent="0.3">
      <c r="A126" s="157" t="s">
        <v>254</v>
      </c>
      <c r="B126" s="163"/>
      <c r="C126" s="163"/>
      <c r="D126" s="159" t="s">
        <v>255</v>
      </c>
      <c r="E126" s="158" t="s">
        <v>263</v>
      </c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4"/>
      <c r="AE126" s="18"/>
    </row>
    <row r="127" spans="1:31" ht="25" customHeight="1" x14ac:dyDescent="0.3">
      <c r="A127" s="185"/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  <c r="Z127" s="186"/>
      <c r="AA127" s="186"/>
      <c r="AB127" s="186"/>
      <c r="AC127" s="186"/>
      <c r="AD127" s="187"/>
      <c r="AE127" s="18"/>
    </row>
    <row r="128" spans="1:31" ht="25" customHeight="1" x14ac:dyDescent="0.3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188"/>
      <c r="AD128" s="188"/>
      <c r="AE128" s="165"/>
    </row>
    <row r="129" spans="1:32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"/>
      <c r="W129" s="1"/>
      <c r="X129" s="1"/>
      <c r="Y129" s="2"/>
      <c r="Z129" s="1"/>
      <c r="AA129" s="1"/>
      <c r="AB129" s="1"/>
      <c r="AC129" s="2"/>
      <c r="AD129" s="1"/>
    </row>
    <row r="130" spans="1:32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79" t="s">
        <v>264</v>
      </c>
      <c r="U130" s="179"/>
      <c r="V130" s="179"/>
      <c r="W130" s="179"/>
      <c r="X130" s="179"/>
      <c r="Y130" s="2"/>
      <c r="Z130" s="1"/>
      <c r="AA130" s="179" t="s">
        <v>265</v>
      </c>
      <c r="AB130" s="179"/>
      <c r="AC130" s="179"/>
      <c r="AD130" s="179"/>
      <c r="AE130" s="179"/>
      <c r="AF130" s="179"/>
    </row>
    <row r="131" spans="1:32" ht="15.5" x14ac:dyDescent="0.35">
      <c r="A131" s="16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79" t="s">
        <v>266</v>
      </c>
      <c r="U131" s="179"/>
      <c r="V131" s="179"/>
      <c r="W131" s="179"/>
      <c r="X131" s="179"/>
      <c r="Y131" s="2"/>
      <c r="Z131" s="1"/>
      <c r="AA131" s="179" t="s">
        <v>267</v>
      </c>
      <c r="AB131" s="179"/>
      <c r="AC131" s="179"/>
      <c r="AD131" s="179"/>
      <c r="AE131" s="179"/>
      <c r="AF131" s="179"/>
    </row>
    <row r="132" spans="1:32" ht="15.5" x14ac:dyDescent="0.35">
      <c r="T132" s="179" t="s">
        <v>96</v>
      </c>
      <c r="U132" s="179"/>
      <c r="V132" s="179"/>
      <c r="W132" s="179"/>
      <c r="X132" s="179"/>
      <c r="AA132" s="179" t="s">
        <v>268</v>
      </c>
      <c r="AB132" s="179"/>
      <c r="AC132" s="179"/>
      <c r="AD132" s="179"/>
      <c r="AE132" s="179"/>
      <c r="AF132" s="179"/>
    </row>
    <row r="133" spans="1:32" ht="15.5" x14ac:dyDescent="0.35">
      <c r="T133" s="179" t="s">
        <v>97</v>
      </c>
      <c r="U133" s="179"/>
      <c r="V133" s="179"/>
      <c r="W133" s="179"/>
      <c r="X133" s="179"/>
      <c r="AA133" s="179" t="s">
        <v>97</v>
      </c>
      <c r="AB133" s="179"/>
      <c r="AC133" s="179"/>
      <c r="AD133" s="179"/>
      <c r="AE133" s="179"/>
      <c r="AF133" s="179"/>
    </row>
    <row r="134" spans="1:32" ht="30" customHeight="1" x14ac:dyDescent="0.35">
      <c r="A134" s="167" t="s">
        <v>187</v>
      </c>
      <c r="B134" s="167" t="s">
        <v>269</v>
      </c>
      <c r="C134" s="167" t="s">
        <v>270</v>
      </c>
      <c r="K134" s="177"/>
      <c r="S134" s="178">
        <f>W16+W39+W53+W57+W61+W67+W71+W83+W103</f>
        <v>145721340728</v>
      </c>
      <c r="T134" s="1"/>
      <c r="U134" s="1"/>
      <c r="V134" s="2"/>
      <c r="W134" s="1"/>
      <c r="AA134" s="1"/>
      <c r="AB134" s="2"/>
      <c r="AC134" s="1"/>
      <c r="AD134" s="2"/>
      <c r="AE134" s="1"/>
    </row>
    <row r="135" spans="1:32" ht="26" x14ac:dyDescent="0.35">
      <c r="A135" s="168" t="s">
        <v>271</v>
      </c>
      <c r="B135" s="168" t="s">
        <v>272</v>
      </c>
      <c r="C135" s="168" t="s">
        <v>273</v>
      </c>
      <c r="T135" s="180" t="s">
        <v>98</v>
      </c>
      <c r="U135" s="180"/>
      <c r="V135" s="180"/>
      <c r="W135" s="180"/>
      <c r="X135" s="180"/>
      <c r="AA135" s="180" t="s">
        <v>274</v>
      </c>
      <c r="AB135" s="180"/>
      <c r="AC135" s="180"/>
      <c r="AD135" s="180"/>
      <c r="AE135" s="180"/>
      <c r="AF135" s="180"/>
    </row>
    <row r="136" spans="1:32" ht="26" x14ac:dyDescent="0.3">
      <c r="A136" s="168" t="s">
        <v>275</v>
      </c>
      <c r="B136" s="168" t="s">
        <v>276</v>
      </c>
      <c r="C136" s="168" t="s">
        <v>277</v>
      </c>
      <c r="T136" s="181" t="s">
        <v>99</v>
      </c>
      <c r="U136" s="181"/>
      <c r="V136" s="181"/>
      <c r="W136" s="181"/>
      <c r="X136" s="181"/>
      <c r="AA136" s="181" t="s">
        <v>278</v>
      </c>
      <c r="AB136" s="181"/>
      <c r="AC136" s="181"/>
      <c r="AD136" s="181"/>
      <c r="AE136" s="181"/>
      <c r="AF136" s="181"/>
    </row>
    <row r="137" spans="1:32" ht="26" x14ac:dyDescent="0.3">
      <c r="A137" s="168" t="s">
        <v>279</v>
      </c>
      <c r="B137" s="168" t="s">
        <v>280</v>
      </c>
      <c r="C137" s="168" t="s">
        <v>281</v>
      </c>
    </row>
    <row r="138" spans="1:32" ht="26" x14ac:dyDescent="0.4">
      <c r="A138" s="168" t="s">
        <v>282</v>
      </c>
      <c r="B138" s="168" t="s">
        <v>283</v>
      </c>
      <c r="C138" s="168" t="s">
        <v>284</v>
      </c>
      <c r="W138" s="170"/>
    </row>
    <row r="139" spans="1:32" ht="26" x14ac:dyDescent="0.3">
      <c r="A139" s="168" t="s">
        <v>285</v>
      </c>
      <c r="B139" s="169" t="s">
        <v>286</v>
      </c>
      <c r="C139" s="168" t="s">
        <v>287</v>
      </c>
    </row>
  </sheetData>
  <mergeCells count="91">
    <mergeCell ref="A6:AD6"/>
    <mergeCell ref="A1:AD1"/>
    <mergeCell ref="A2:AD2"/>
    <mergeCell ref="A3:AD3"/>
    <mergeCell ref="A4:AD4"/>
    <mergeCell ref="A5:AD5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N10:O10"/>
    <mergeCell ref="P10:Q10"/>
    <mergeCell ref="R10:S10"/>
    <mergeCell ref="T10:Y10"/>
    <mergeCell ref="Z10:AA10"/>
    <mergeCell ref="Q11:Q12"/>
    <mergeCell ref="E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R11:R12"/>
    <mergeCell ref="S11:S12"/>
    <mergeCell ref="U11:V11"/>
    <mergeCell ref="X11:Y11"/>
    <mergeCell ref="AB11:AC11"/>
    <mergeCell ref="U12:V12"/>
    <mergeCell ref="X12:Y12"/>
    <mergeCell ref="AB12:AC12"/>
    <mergeCell ref="A111:T111"/>
    <mergeCell ref="A13:A15"/>
    <mergeCell ref="B13:B15"/>
    <mergeCell ref="C13:C15"/>
    <mergeCell ref="D13:D15"/>
    <mergeCell ref="E13:F15"/>
    <mergeCell ref="G13:G15"/>
    <mergeCell ref="H13:H15"/>
    <mergeCell ref="I13:I15"/>
    <mergeCell ref="J13:J15"/>
    <mergeCell ref="K13:K15"/>
    <mergeCell ref="L13:L15"/>
    <mergeCell ref="T132:X132"/>
    <mergeCell ref="AA132:AF132"/>
    <mergeCell ref="A112:T112"/>
    <mergeCell ref="A113:AD113"/>
    <mergeCell ref="A118:AD118"/>
    <mergeCell ref="A123:AD123"/>
    <mergeCell ref="A124:AD124"/>
    <mergeCell ref="A127:AD127"/>
    <mergeCell ref="A128:AD128"/>
    <mergeCell ref="T130:X130"/>
    <mergeCell ref="AA130:AF130"/>
    <mergeCell ref="T131:X131"/>
    <mergeCell ref="AA131:AF131"/>
    <mergeCell ref="T133:X133"/>
    <mergeCell ref="AA133:AF133"/>
    <mergeCell ref="T135:X135"/>
    <mergeCell ref="AA135:AF135"/>
    <mergeCell ref="T136:X136"/>
    <mergeCell ref="AA136:AF136"/>
  </mergeCells>
  <printOptions horizontalCentered="1"/>
  <pageMargins left="0.23622047244094491" right="0.23622047244094491" top="3.937007874015748E-2" bottom="3.937007874015748E-2" header="0" footer="0"/>
  <pageSetup paperSize="14" scale="2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Formulir E.81 DPUTR</vt:lpstr>
      <vt:lpstr>'Formulir E.81 DPUTR'!Print_Area</vt:lpstr>
      <vt:lpstr>'Formulir E.81 DPUTR'!Print_Titles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Ella</dc:creator>
  <cp:lastModifiedBy>user</cp:lastModifiedBy>
  <dcterms:created xsi:type="dcterms:W3CDTF">2022-07-08T01:21:26Z</dcterms:created>
  <dcterms:modified xsi:type="dcterms:W3CDTF">2023-01-11T11:54:43Z</dcterms:modified>
</cp:coreProperties>
</file>