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E0B679AC-6472-4D70-BDD4-1058B0BC5A6C}" xr6:coauthVersionLast="47" xr6:coauthVersionMax="47" xr10:uidLastSave="{00000000-0000-0000-0000-000000000000}"/>
  <bookViews>
    <workbookView xWindow="11184" yWindow="0" windowWidth="11892" windowHeight="12240" xr2:uid="{00000000-000D-0000-FFFF-FFFF00000000}"/>
  </bookViews>
  <sheets>
    <sheet name="Dinas PPKBPPPA (TW IV)" sheetId="3" r:id="rId1"/>
    <sheet name="Dinas PPKBPPPA" sheetId="2" r:id="rId2"/>
  </sheets>
  <definedNames>
    <definedName name="OLE_LINK1" localSheetId="1">'Dinas PPKBPPPA'!$C$15</definedName>
    <definedName name="OLE_LINK1" localSheetId="0">'Dinas PPKBPPPA (TW IV)'!$C$18</definedName>
    <definedName name="_xlnm.Print_Area" localSheetId="1">'Dinas PPKBPPPA'!$A$1:$AF$117</definedName>
    <definedName name="_xlnm.Print_Area" localSheetId="0">'Dinas PPKBPPPA (TW IV)'!$A$1:$AF$120</definedName>
    <definedName name="_xlnm.Print_Titles" localSheetId="1">'Dinas PPKBPPPA'!$7:$12</definedName>
    <definedName name="_xlnm.Print_Titles" localSheetId="0">'Dinas PPKBPPPA (TW IV)'!$7:$12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7" i="3" l="1"/>
  <c r="T98" i="3"/>
  <c r="T88" i="3"/>
  <c r="T86" i="3"/>
  <c r="T85" i="3"/>
  <c r="R78" i="3"/>
  <c r="AA73" i="3"/>
  <c r="T74" i="3"/>
  <c r="Z74" i="3" s="1"/>
  <c r="U74" i="3" s="1"/>
  <c r="S72" i="3"/>
  <c r="S71" i="3" s="1"/>
  <c r="S69" i="3" s="1"/>
  <c r="S63" i="3" s="1"/>
  <c r="T69" i="3"/>
  <c r="U69" i="3" s="1"/>
  <c r="T68" i="3"/>
  <c r="T66" i="3"/>
  <c r="T64" i="3"/>
  <c r="R63" i="3"/>
  <c r="N63" i="3"/>
  <c r="P63" i="3"/>
  <c r="S66" i="3"/>
  <c r="S74" i="3"/>
  <c r="Q78" i="3"/>
  <c r="S78" i="3"/>
  <c r="S79" i="3"/>
  <c r="S84" i="3"/>
  <c r="S86" i="3"/>
  <c r="Q86" i="3"/>
  <c r="S92" i="3"/>
  <c r="S95" i="3"/>
  <c r="Q95" i="3"/>
  <c r="S96" i="3"/>
  <c r="Q96" i="3"/>
  <c r="S18" i="3"/>
  <c r="Q18" i="3"/>
  <c r="S99" i="3"/>
  <c r="S98" i="3"/>
  <c r="S97" i="3"/>
  <c r="S94" i="3"/>
  <c r="M94" i="3"/>
  <c r="M95" i="3"/>
  <c r="S93" i="3"/>
  <c r="S90" i="3"/>
  <c r="S89" i="3"/>
  <c r="S88" i="3"/>
  <c r="S87" i="3"/>
  <c r="S85" i="3"/>
  <c r="S81" i="3"/>
  <c r="S80" i="3"/>
  <c r="S77" i="3"/>
  <c r="S76" i="3"/>
  <c r="S75" i="3"/>
  <c r="S70" i="3"/>
  <c r="Q64" i="3"/>
  <c r="S64" i="3"/>
  <c r="S68" i="3"/>
  <c r="S67" i="3"/>
  <c r="S65" i="3"/>
  <c r="R57" i="3"/>
  <c r="T54" i="3"/>
  <c r="S48" i="3"/>
  <c r="S47" i="3"/>
  <c r="T46" i="3"/>
  <c r="Q46" i="3"/>
  <c r="S44" i="3"/>
  <c r="S43" i="3" s="1"/>
  <c r="S42" i="3" s="1"/>
  <c r="N40" i="3"/>
  <c r="P40" i="3"/>
  <c r="J40" i="3"/>
  <c r="T36" i="3"/>
  <c r="S33" i="3"/>
  <c r="T34" i="3"/>
  <c r="U21" i="3"/>
  <c r="T21" i="3"/>
  <c r="U22" i="3"/>
  <c r="S24" i="3"/>
  <c r="Q21" i="3"/>
  <c r="T17" i="3"/>
  <c r="U17" i="3" s="1"/>
  <c r="T16" i="3"/>
  <c r="U16" i="3" s="1"/>
  <c r="T15" i="3"/>
  <c r="U15" i="3" s="1"/>
  <c r="T14" i="3"/>
  <c r="U14" i="3" s="1"/>
  <c r="T40" i="3" l="1"/>
  <c r="U40" i="3" s="1"/>
  <c r="S46" i="3"/>
  <c r="S45" i="3" s="1"/>
  <c r="W99" i="3" l="1"/>
  <c r="AA99" i="3" s="1"/>
  <c r="T99" i="3"/>
  <c r="Z99" i="3" s="1"/>
  <c r="G99" i="3"/>
  <c r="W98" i="3"/>
  <c r="Z98" i="3"/>
  <c r="O97" i="3"/>
  <c r="O96" i="3" s="1"/>
  <c r="G97" i="3"/>
  <c r="G96" i="3" s="1"/>
  <c r="G95" i="3" s="1"/>
  <c r="T96" i="3"/>
  <c r="M96" i="3"/>
  <c r="K96" i="3"/>
  <c r="K95" i="3" s="1"/>
  <c r="I96" i="3"/>
  <c r="I95" i="3" s="1"/>
  <c r="N95" i="3"/>
  <c r="T95" i="3" s="1"/>
  <c r="J95" i="3"/>
  <c r="W94" i="3"/>
  <c r="T94" i="3"/>
  <c r="Z94" i="3" s="1"/>
  <c r="W93" i="3"/>
  <c r="AA93" i="3" s="1"/>
  <c r="T93" i="3"/>
  <c r="G93" i="3"/>
  <c r="G92" i="3" s="1"/>
  <c r="T92" i="3"/>
  <c r="U92" i="3" s="1"/>
  <c r="Q92" i="3"/>
  <c r="O92" i="3"/>
  <c r="M92" i="3"/>
  <c r="K92" i="3"/>
  <c r="I92" i="3"/>
  <c r="AA91" i="3"/>
  <c r="Z91" i="3"/>
  <c r="T90" i="3"/>
  <c r="M90" i="3"/>
  <c r="M86" i="3" s="1"/>
  <c r="J90" i="3"/>
  <c r="G90" i="3"/>
  <c r="T89" i="3"/>
  <c r="U89" i="3" s="1"/>
  <c r="O89" i="3"/>
  <c r="W89" i="3" s="1"/>
  <c r="G89" i="3"/>
  <c r="Z88" i="3"/>
  <c r="O88" i="3"/>
  <c r="G88" i="3"/>
  <c r="W87" i="3"/>
  <c r="X87" i="3" s="1"/>
  <c r="T87" i="3"/>
  <c r="U87" i="3" s="1"/>
  <c r="U86" i="3"/>
  <c r="K86" i="3"/>
  <c r="I86" i="3"/>
  <c r="W85" i="3"/>
  <c r="Z85" i="3"/>
  <c r="T84" i="3"/>
  <c r="Q84" i="3"/>
  <c r="O84" i="3"/>
  <c r="M84" i="3"/>
  <c r="K84" i="3"/>
  <c r="I84" i="3"/>
  <c r="G84" i="3"/>
  <c r="AA83" i="3"/>
  <c r="Z83" i="3"/>
  <c r="AA82" i="3"/>
  <c r="Z82" i="3"/>
  <c r="T81" i="3"/>
  <c r="O81" i="3"/>
  <c r="W81" i="3" s="1"/>
  <c r="T80" i="3"/>
  <c r="Z80" i="3" s="1"/>
  <c r="O80" i="3"/>
  <c r="W80" i="3" s="1"/>
  <c r="G80" i="3"/>
  <c r="G79" i="3" s="1"/>
  <c r="T79" i="3"/>
  <c r="Z79" i="3" s="1"/>
  <c r="Q79" i="3"/>
  <c r="M79" i="3"/>
  <c r="K79" i="3"/>
  <c r="I79" i="3"/>
  <c r="P78" i="3"/>
  <c r="N78" i="3"/>
  <c r="L78" i="3"/>
  <c r="W77" i="3"/>
  <c r="T77" i="3"/>
  <c r="Z77" i="3" s="1"/>
  <c r="W76" i="3"/>
  <c r="X76" i="3" s="1"/>
  <c r="T76" i="3"/>
  <c r="W75" i="3"/>
  <c r="AA75" i="3" s="1"/>
  <c r="T75" i="3"/>
  <c r="U75" i="3" s="1"/>
  <c r="G75" i="3"/>
  <c r="G74" i="3" s="1"/>
  <c r="Q74" i="3"/>
  <c r="O74" i="3"/>
  <c r="M74" i="3"/>
  <c r="K74" i="3"/>
  <c r="I74" i="3"/>
  <c r="W73" i="3"/>
  <c r="T73" i="3"/>
  <c r="Z73" i="3" s="1"/>
  <c r="G73" i="3"/>
  <c r="G72" i="3" s="1"/>
  <c r="T72" i="3"/>
  <c r="Z72" i="3" s="1"/>
  <c r="U72" i="3" s="1"/>
  <c r="Q72" i="3"/>
  <c r="O72" i="3"/>
  <c r="M72" i="3"/>
  <c r="K72" i="3"/>
  <c r="K71" i="3" s="1"/>
  <c r="I72" i="3"/>
  <c r="T71" i="3"/>
  <c r="Z71" i="3" s="1"/>
  <c r="U71" i="3" s="1"/>
  <c r="W70" i="3"/>
  <c r="X70" i="3" s="1"/>
  <c r="T70" i="3"/>
  <c r="K69" i="3"/>
  <c r="I69" i="3"/>
  <c r="G69" i="3"/>
  <c r="W68" i="3"/>
  <c r="Z68" i="3"/>
  <c r="P67" i="3"/>
  <c r="T67" i="3" s="1"/>
  <c r="M67" i="3"/>
  <c r="M66" i="3" s="1"/>
  <c r="G67" i="3"/>
  <c r="G66" i="3" s="1"/>
  <c r="Z66" i="3"/>
  <c r="Q66" i="3"/>
  <c r="K66" i="3"/>
  <c r="I66" i="3"/>
  <c r="W65" i="3"/>
  <c r="X65" i="3" s="1"/>
  <c r="T65" i="3"/>
  <c r="U65" i="3" s="1"/>
  <c r="U64" i="3"/>
  <c r="O64" i="3"/>
  <c r="M64" i="3"/>
  <c r="K64" i="3"/>
  <c r="I64" i="3"/>
  <c r="G64" i="3"/>
  <c r="T63" i="3"/>
  <c r="L63" i="3"/>
  <c r="AA62" i="3"/>
  <c r="Z62" i="3"/>
  <c r="AA61" i="3"/>
  <c r="Z61" i="3"/>
  <c r="T60" i="3"/>
  <c r="Z60" i="3" s="1"/>
  <c r="O60" i="3"/>
  <c r="G60" i="3"/>
  <c r="G59" i="3" s="1"/>
  <c r="T59" i="3"/>
  <c r="Z59" i="3" s="1"/>
  <c r="Q59" i="3"/>
  <c r="M59" i="3"/>
  <c r="K59" i="3"/>
  <c r="I59" i="3"/>
  <c r="T58" i="3"/>
  <c r="Z58" i="3" s="1"/>
  <c r="U58" i="3" s="1"/>
  <c r="M58" i="3"/>
  <c r="G58" i="3"/>
  <c r="G57" i="3" s="1"/>
  <c r="Q57" i="3"/>
  <c r="P57" i="3"/>
  <c r="T57" i="3" s="1"/>
  <c r="K57" i="3"/>
  <c r="K56" i="3" s="1"/>
  <c r="I57" i="3"/>
  <c r="I56" i="3" s="1"/>
  <c r="L56" i="3"/>
  <c r="T55" i="3"/>
  <c r="O55" i="3"/>
  <c r="S55" i="3" s="1"/>
  <c r="S54" i="3" s="1"/>
  <c r="G55" i="3"/>
  <c r="G54" i="3" s="1"/>
  <c r="Q54" i="3"/>
  <c r="M54" i="3"/>
  <c r="K54" i="3"/>
  <c r="I54" i="3"/>
  <c r="T53" i="3"/>
  <c r="U53" i="3" s="1"/>
  <c r="O53" i="3"/>
  <c r="G53" i="3"/>
  <c r="G52" i="3" s="1"/>
  <c r="T52" i="3"/>
  <c r="U52" i="3" s="1"/>
  <c r="Q52" i="3"/>
  <c r="Q51" i="3" s="1"/>
  <c r="M52" i="3"/>
  <c r="K52" i="3"/>
  <c r="I52" i="3"/>
  <c r="L51" i="3"/>
  <c r="T51" i="3" s="1"/>
  <c r="AA50" i="3"/>
  <c r="Z50" i="3"/>
  <c r="Z49" i="3"/>
  <c r="I49" i="3"/>
  <c r="AA49" i="3" s="1"/>
  <c r="G49" i="3"/>
  <c r="W48" i="3"/>
  <c r="AA48" i="3" s="1"/>
  <c r="T48" i="3"/>
  <c r="Z48" i="3" s="1"/>
  <c r="W47" i="3"/>
  <c r="AA47" i="3" s="1"/>
  <c r="P47" i="3"/>
  <c r="T47" i="3" s="1"/>
  <c r="Z47" i="3" s="1"/>
  <c r="Q45" i="3"/>
  <c r="O46" i="3"/>
  <c r="O45" i="3" s="1"/>
  <c r="M46" i="3"/>
  <c r="K46" i="3"/>
  <c r="K45" i="3" s="1"/>
  <c r="I46" i="3"/>
  <c r="G46" i="3"/>
  <c r="M45" i="3"/>
  <c r="L45" i="3"/>
  <c r="W44" i="3"/>
  <c r="AA44" i="3" s="1"/>
  <c r="T44" i="3"/>
  <c r="Z44" i="3" s="1"/>
  <c r="G44" i="3"/>
  <c r="G43" i="3" s="1"/>
  <c r="G42" i="3" s="1"/>
  <c r="T43" i="3"/>
  <c r="Q43" i="3"/>
  <c r="Q42" i="3" s="1"/>
  <c r="O43" i="3"/>
  <c r="O42" i="3" s="1"/>
  <c r="M43" i="3"/>
  <c r="M42" i="3" s="1"/>
  <c r="K43" i="3"/>
  <c r="K42" i="3" s="1"/>
  <c r="I43" i="3"/>
  <c r="B43" i="3"/>
  <c r="T42" i="3"/>
  <c r="J42" i="3"/>
  <c r="I42" i="3"/>
  <c r="H42" i="3"/>
  <c r="T41" i="3"/>
  <c r="Z41" i="3" s="1"/>
  <c r="O41" i="3"/>
  <c r="G41" i="3"/>
  <c r="Z40" i="3"/>
  <c r="O40" i="3"/>
  <c r="G40" i="3"/>
  <c r="G39" i="3" s="1"/>
  <c r="T39" i="3"/>
  <c r="U39" i="3" s="1"/>
  <c r="Q39" i="3"/>
  <c r="M39" i="3"/>
  <c r="K39" i="3"/>
  <c r="I39" i="3"/>
  <c r="E39" i="3"/>
  <c r="T38" i="3"/>
  <c r="M38" i="3"/>
  <c r="M35" i="3" s="1"/>
  <c r="G38" i="3"/>
  <c r="T37" i="3"/>
  <c r="Z37" i="3" s="1"/>
  <c r="O37" i="3"/>
  <c r="G37" i="3"/>
  <c r="W36" i="3"/>
  <c r="AA36" i="3" s="1"/>
  <c r="Z36" i="3"/>
  <c r="G36" i="3"/>
  <c r="T35" i="3"/>
  <c r="Q35" i="3"/>
  <c r="K35" i="3"/>
  <c r="I35" i="3"/>
  <c r="E35" i="3"/>
  <c r="W34" i="3"/>
  <c r="AA34" i="3" s="1"/>
  <c r="U34" i="3"/>
  <c r="G34" i="3"/>
  <c r="G33" i="3" s="1"/>
  <c r="T33" i="3"/>
  <c r="U33" i="3" s="1"/>
  <c r="Q33" i="3"/>
  <c r="O33" i="3"/>
  <c r="M33" i="3"/>
  <c r="K33" i="3"/>
  <c r="I33" i="3"/>
  <c r="E33" i="3"/>
  <c r="T32" i="3"/>
  <c r="Z32" i="3" s="1"/>
  <c r="O32" i="3"/>
  <c r="G32" i="3"/>
  <c r="T31" i="3"/>
  <c r="Z31" i="3" s="1"/>
  <c r="O31" i="3"/>
  <c r="G31" i="3"/>
  <c r="T30" i="3"/>
  <c r="Z30" i="3" s="1"/>
  <c r="O30" i="3"/>
  <c r="G30" i="3"/>
  <c r="T29" i="3"/>
  <c r="Z29" i="3" s="1"/>
  <c r="O29" i="3"/>
  <c r="G29" i="3"/>
  <c r="T28" i="3"/>
  <c r="Z28" i="3" s="1"/>
  <c r="O28" i="3"/>
  <c r="G28" i="3"/>
  <c r="W27" i="3"/>
  <c r="AA27" i="3" s="1"/>
  <c r="T27" i="3"/>
  <c r="Z27" i="3" s="1"/>
  <c r="G27" i="3"/>
  <c r="T26" i="3"/>
  <c r="Q26" i="3"/>
  <c r="M26" i="3"/>
  <c r="K26" i="3"/>
  <c r="I26" i="3"/>
  <c r="H26" i="3"/>
  <c r="E26" i="3"/>
  <c r="AH25" i="3"/>
  <c r="W25" i="3"/>
  <c r="AA25" i="3" s="1"/>
  <c r="T25" i="3"/>
  <c r="Z25" i="3" s="1"/>
  <c r="G25" i="3"/>
  <c r="AH24" i="3"/>
  <c r="W24" i="3"/>
  <c r="X24" i="3" s="1"/>
  <c r="T24" i="3"/>
  <c r="Z24" i="3" s="1"/>
  <c r="G24" i="3"/>
  <c r="T23" i="3"/>
  <c r="Z23" i="3" s="1"/>
  <c r="O23" i="3"/>
  <c r="W23" i="3" s="1"/>
  <c r="X23" i="3" s="1"/>
  <c r="G23" i="3"/>
  <c r="O22" i="3"/>
  <c r="G22" i="3"/>
  <c r="M21" i="3"/>
  <c r="K21" i="3"/>
  <c r="I21" i="3"/>
  <c r="H21" i="3"/>
  <c r="E21" i="3"/>
  <c r="W20" i="3"/>
  <c r="AA20" i="3" s="1"/>
  <c r="T20" i="3"/>
  <c r="Z20" i="3" s="1"/>
  <c r="G20" i="3"/>
  <c r="E20" i="3"/>
  <c r="W19" i="3"/>
  <c r="AA19" i="3" s="1"/>
  <c r="T19" i="3"/>
  <c r="U19" i="3" s="1"/>
  <c r="G19" i="3"/>
  <c r="G18" i="3" s="1"/>
  <c r="E19" i="3"/>
  <c r="O18" i="3"/>
  <c r="M18" i="3"/>
  <c r="K18" i="3"/>
  <c r="I18" i="3"/>
  <c r="Z14" i="3"/>
  <c r="T13" i="3"/>
  <c r="Z13" i="3" s="1"/>
  <c r="P54" i="2"/>
  <c r="T49" i="2"/>
  <c r="U49" i="2" s="1"/>
  <c r="N92" i="2"/>
  <c r="T90" i="2"/>
  <c r="T91" i="2"/>
  <c r="T89" i="2"/>
  <c r="L75" i="2"/>
  <c r="N75" i="2"/>
  <c r="P75" i="2"/>
  <c r="L53" i="2"/>
  <c r="L48" i="2"/>
  <c r="P44" i="2"/>
  <c r="P64" i="2"/>
  <c r="J39" i="2"/>
  <c r="H39" i="2"/>
  <c r="T82" i="2"/>
  <c r="P15" i="2"/>
  <c r="S28" i="3" l="1"/>
  <c r="S32" i="3"/>
  <c r="W32" i="3" s="1"/>
  <c r="T45" i="3"/>
  <c r="U45" i="3" s="1"/>
  <c r="O59" i="3"/>
  <c r="W59" i="3" s="1"/>
  <c r="AA59" i="3" s="1"/>
  <c r="S60" i="3"/>
  <c r="S59" i="3" s="1"/>
  <c r="S31" i="3"/>
  <c r="W31" i="3" s="1"/>
  <c r="U90" i="3"/>
  <c r="W41" i="3"/>
  <c r="AA41" i="3" s="1"/>
  <c r="S41" i="3"/>
  <c r="S53" i="3"/>
  <c r="S52" i="3" s="1"/>
  <c r="S51" i="3" s="1"/>
  <c r="W22" i="3"/>
  <c r="X22" i="3" s="1"/>
  <c r="S22" i="3"/>
  <c r="S21" i="3" s="1"/>
  <c r="S37" i="3"/>
  <c r="W37" i="3" s="1"/>
  <c r="W40" i="3"/>
  <c r="AA40" i="3" s="1"/>
  <c r="S40" i="3"/>
  <c r="S39" i="3" s="1"/>
  <c r="K78" i="3"/>
  <c r="G86" i="3"/>
  <c r="G78" i="3" s="1"/>
  <c r="U95" i="3"/>
  <c r="S30" i="3"/>
  <c r="W30" i="3" s="1"/>
  <c r="G45" i="3"/>
  <c r="W60" i="3"/>
  <c r="AA60" i="3" s="1"/>
  <c r="Z65" i="3"/>
  <c r="S29" i="3"/>
  <c r="W29" i="3" s="1"/>
  <c r="I45" i="3"/>
  <c r="I71" i="3"/>
  <c r="Q71" i="3"/>
  <c r="Q69" i="3" s="1"/>
  <c r="G35" i="3"/>
  <c r="I78" i="3"/>
  <c r="X25" i="3"/>
  <c r="U31" i="3"/>
  <c r="X34" i="3"/>
  <c r="U66" i="3"/>
  <c r="G26" i="3"/>
  <c r="Z34" i="3"/>
  <c r="G63" i="3"/>
  <c r="U20" i="3"/>
  <c r="W42" i="3"/>
  <c r="AA42" i="3" s="1"/>
  <c r="O52" i="3"/>
  <c r="AA65" i="3"/>
  <c r="Z33" i="3"/>
  <c r="Z42" i="3"/>
  <c r="U42" i="3" s="1"/>
  <c r="W33" i="3"/>
  <c r="AA33" i="3" s="1"/>
  <c r="AA24" i="3"/>
  <c r="X75" i="3"/>
  <c r="X19" i="3"/>
  <c r="G51" i="3"/>
  <c r="Q63" i="3"/>
  <c r="U41" i="3"/>
  <c r="K51" i="3"/>
  <c r="Z53" i="3"/>
  <c r="X20" i="3"/>
  <c r="Z39" i="3"/>
  <c r="W45" i="3"/>
  <c r="X45" i="3" s="1"/>
  <c r="M78" i="3"/>
  <c r="U29" i="3"/>
  <c r="U37" i="3"/>
  <c r="U48" i="3"/>
  <c r="Q56" i="3"/>
  <c r="K63" i="3"/>
  <c r="AA70" i="3"/>
  <c r="O71" i="3"/>
  <c r="O69" i="3" s="1"/>
  <c r="U77" i="3"/>
  <c r="AA87" i="3"/>
  <c r="W92" i="3"/>
  <c r="AA92" i="3" s="1"/>
  <c r="U94" i="3"/>
  <c r="U99" i="3"/>
  <c r="W97" i="3"/>
  <c r="AA97" i="3" s="1"/>
  <c r="X42" i="3"/>
  <c r="Z52" i="3"/>
  <c r="O67" i="3"/>
  <c r="O66" i="3" s="1"/>
  <c r="O63" i="3" s="1"/>
  <c r="Z75" i="3"/>
  <c r="X99" i="3"/>
  <c r="AA23" i="3"/>
  <c r="Z19" i="3"/>
  <c r="AH23" i="3"/>
  <c r="O39" i="3"/>
  <c r="W39" i="3" s="1"/>
  <c r="G21" i="3"/>
  <c r="U36" i="3"/>
  <c r="O38" i="3"/>
  <c r="U59" i="3"/>
  <c r="Z90" i="3"/>
  <c r="U98" i="3"/>
  <c r="T78" i="3"/>
  <c r="U78" i="3" s="1"/>
  <c r="Q13" i="3"/>
  <c r="Z64" i="3"/>
  <c r="Z69" i="3"/>
  <c r="U73" i="3"/>
  <c r="Z86" i="3"/>
  <c r="O21" i="3"/>
  <c r="W21" i="3" s="1"/>
  <c r="X21" i="3" s="1"/>
  <c r="G56" i="3"/>
  <c r="O26" i="3"/>
  <c r="T18" i="3"/>
  <c r="K13" i="3"/>
  <c r="U44" i="3"/>
  <c r="M51" i="3"/>
  <c r="U68" i="3"/>
  <c r="AA76" i="3"/>
  <c r="U85" i="3"/>
  <c r="AA81" i="3"/>
  <c r="X81" i="3"/>
  <c r="U96" i="3"/>
  <c r="Z96" i="3"/>
  <c r="AH22" i="3"/>
  <c r="Z35" i="3"/>
  <c r="U35" i="3"/>
  <c r="Z45" i="3"/>
  <c r="W55" i="3"/>
  <c r="O54" i="3"/>
  <c r="O51" i="3" s="1"/>
  <c r="W66" i="3"/>
  <c r="X66" i="3" s="1"/>
  <c r="X68" i="3"/>
  <c r="AA68" i="3"/>
  <c r="Z26" i="3"/>
  <c r="U26" i="3"/>
  <c r="U28" i="3"/>
  <c r="U30" i="3"/>
  <c r="U32" i="3"/>
  <c r="U51" i="3"/>
  <c r="Z51" i="3"/>
  <c r="Z55" i="3"/>
  <c r="U55" i="3"/>
  <c r="U70" i="3"/>
  <c r="Z70" i="3"/>
  <c r="Z76" i="3"/>
  <c r="U76" i="3"/>
  <c r="Z81" i="3"/>
  <c r="U81" i="3"/>
  <c r="W84" i="3"/>
  <c r="W43" i="3"/>
  <c r="U47" i="3"/>
  <c r="U57" i="3"/>
  <c r="Z57" i="3"/>
  <c r="O79" i="3"/>
  <c r="Z95" i="3"/>
  <c r="O95" i="3"/>
  <c r="W95" i="3" s="1"/>
  <c r="W96" i="3"/>
  <c r="I51" i="3"/>
  <c r="W72" i="3"/>
  <c r="W88" i="3"/>
  <c r="AA94" i="3"/>
  <c r="X94" i="3"/>
  <c r="Z97" i="3"/>
  <c r="U97" i="3"/>
  <c r="Z21" i="3"/>
  <c r="U27" i="3"/>
  <c r="I13" i="3"/>
  <c r="Z38" i="3"/>
  <c r="U38" i="3"/>
  <c r="W46" i="3"/>
  <c r="Z56" i="3"/>
  <c r="U56" i="3"/>
  <c r="U60" i="3"/>
  <c r="Z63" i="3"/>
  <c r="U63" i="3"/>
  <c r="Z84" i="3"/>
  <c r="U84" i="3"/>
  <c r="U43" i="3"/>
  <c r="Z43" i="3"/>
  <c r="W51" i="3"/>
  <c r="U67" i="3"/>
  <c r="Z67" i="3"/>
  <c r="W74" i="3"/>
  <c r="M71" i="3"/>
  <c r="AA22" i="3"/>
  <c r="X40" i="3"/>
  <c r="I63" i="3"/>
  <c r="AA77" i="3"/>
  <c r="X77" i="3"/>
  <c r="AA89" i="3"/>
  <c r="X89" i="3"/>
  <c r="U13" i="3"/>
  <c r="U54" i="3"/>
  <c r="Z54" i="3"/>
  <c r="X80" i="3"/>
  <c r="AA80" i="3"/>
  <c r="W18" i="3"/>
  <c r="M13" i="3"/>
  <c r="Z22" i="3"/>
  <c r="Z46" i="3"/>
  <c r="U46" i="3"/>
  <c r="X48" i="3"/>
  <c r="G71" i="3"/>
  <c r="X85" i="3"/>
  <c r="AA85" i="3"/>
  <c r="Z93" i="3"/>
  <c r="U93" i="3"/>
  <c r="X98" i="3"/>
  <c r="AA98" i="3"/>
  <c r="M57" i="3"/>
  <c r="W64" i="3"/>
  <c r="X64" i="3" s="1"/>
  <c r="O90" i="3"/>
  <c r="W90" i="3" s="1"/>
  <c r="U23" i="3"/>
  <c r="U24" i="3"/>
  <c r="U25" i="3"/>
  <c r="X27" i="3"/>
  <c r="X36" i="3"/>
  <c r="X44" i="3"/>
  <c r="X47" i="3"/>
  <c r="O58" i="3"/>
  <c r="W67" i="3"/>
  <c r="X73" i="3"/>
  <c r="U79" i="3"/>
  <c r="U80" i="3"/>
  <c r="X93" i="3"/>
  <c r="U88" i="3"/>
  <c r="Z87" i="3"/>
  <c r="Z89" i="3"/>
  <c r="Z92" i="3"/>
  <c r="Q93" i="2"/>
  <c r="Q92" i="2" s="1"/>
  <c r="Q89" i="2"/>
  <c r="Q83" i="2"/>
  <c r="Q81" i="2"/>
  <c r="Q76" i="2"/>
  <c r="Q71" i="2"/>
  <c r="Q69" i="2"/>
  <c r="Q63" i="2"/>
  <c r="Q61" i="2"/>
  <c r="Q56" i="2"/>
  <c r="Q54" i="2"/>
  <c r="Q51" i="2"/>
  <c r="Q49" i="2"/>
  <c r="Q43" i="2"/>
  <c r="Q42" i="2" s="1"/>
  <c r="Q40" i="2"/>
  <c r="Q39" i="2" s="1"/>
  <c r="Q36" i="2"/>
  <c r="Q32" i="2"/>
  <c r="Q30" i="2"/>
  <c r="Q23" i="2"/>
  <c r="Q15" i="2"/>
  <c r="X30" i="3" l="1"/>
  <c r="AA30" i="3"/>
  <c r="X31" i="3"/>
  <c r="AA31" i="3"/>
  <c r="AA32" i="3"/>
  <c r="X32" i="3"/>
  <c r="X29" i="3"/>
  <c r="AA29" i="3"/>
  <c r="AA37" i="3"/>
  <c r="X37" i="3"/>
  <c r="O57" i="3"/>
  <c r="O56" i="3" s="1"/>
  <c r="S58" i="3"/>
  <c r="S57" i="3" s="1"/>
  <c r="S56" i="3" s="1"/>
  <c r="W52" i="3"/>
  <c r="X52" i="3" s="1"/>
  <c r="X41" i="3"/>
  <c r="W53" i="3"/>
  <c r="S26" i="3"/>
  <c r="W26" i="3" s="1"/>
  <c r="X60" i="3"/>
  <c r="O35" i="3"/>
  <c r="S38" i="3"/>
  <c r="W38" i="3" s="1"/>
  <c r="AA38" i="3" s="1"/>
  <c r="W54" i="3"/>
  <c r="X54" i="3" s="1"/>
  <c r="W28" i="3"/>
  <c r="X59" i="3"/>
  <c r="AA45" i="3"/>
  <c r="X33" i="3"/>
  <c r="X51" i="3"/>
  <c r="G13" i="3"/>
  <c r="O13" i="3"/>
  <c r="Z78" i="3"/>
  <c r="AA21" i="3"/>
  <c r="X97" i="3"/>
  <c r="X92" i="3"/>
  <c r="X39" i="3"/>
  <c r="AA39" i="3"/>
  <c r="O86" i="3"/>
  <c r="W86" i="3" s="1"/>
  <c r="AA86" i="3" s="1"/>
  <c r="O78" i="3"/>
  <c r="W78" i="3" s="1"/>
  <c r="X78" i="3" s="1"/>
  <c r="U18" i="3"/>
  <c r="U100" i="3" s="1"/>
  <c r="U101" i="3" s="1"/>
  <c r="Z18" i="3"/>
  <c r="AA66" i="3"/>
  <c r="AA52" i="3"/>
  <c r="X90" i="3"/>
  <c r="AA90" i="3"/>
  <c r="AA95" i="3"/>
  <c r="X95" i="3"/>
  <c r="AA18" i="3"/>
  <c r="X18" i="3"/>
  <c r="AA72" i="3"/>
  <c r="X72" i="3"/>
  <c r="AA43" i="3"/>
  <c r="X43" i="3"/>
  <c r="X74" i="3"/>
  <c r="AA74" i="3"/>
  <c r="AA51" i="3"/>
  <c r="W71" i="3"/>
  <c r="M69" i="3"/>
  <c r="AA46" i="3"/>
  <c r="X46" i="3"/>
  <c r="AA96" i="3"/>
  <c r="X96" i="3"/>
  <c r="AA64" i="3"/>
  <c r="W58" i="3"/>
  <c r="AA84" i="3"/>
  <c r="X84" i="3"/>
  <c r="AA67" i="3"/>
  <c r="X67" i="3"/>
  <c r="AA55" i="3"/>
  <c r="X55" i="3"/>
  <c r="X38" i="3"/>
  <c r="M56" i="3"/>
  <c r="AA88" i="3"/>
  <c r="X88" i="3"/>
  <c r="AA54" i="3"/>
  <c r="W79" i="3"/>
  <c r="Q75" i="2"/>
  <c r="Q68" i="2"/>
  <c r="Q66" i="2" s="1"/>
  <c r="Q60" i="2" s="1"/>
  <c r="Q53" i="2"/>
  <c r="Q48" i="2"/>
  <c r="Q13" i="2"/>
  <c r="T37" i="2"/>
  <c r="T40" i="2"/>
  <c r="U40" i="2" s="1"/>
  <c r="T52" i="2"/>
  <c r="U52" i="2" s="1"/>
  <c r="T53" i="2"/>
  <c r="U53" i="2" s="1"/>
  <c r="T13" i="2"/>
  <c r="T14" i="2"/>
  <c r="U14" i="2" s="1"/>
  <c r="AA78" i="3" l="1"/>
  <c r="X86" i="3"/>
  <c r="AA26" i="3"/>
  <c r="X26" i="3"/>
  <c r="X53" i="3"/>
  <c r="AA53" i="3"/>
  <c r="AA28" i="3"/>
  <c r="X28" i="3"/>
  <c r="W35" i="3"/>
  <c r="W56" i="3"/>
  <c r="X56" i="3" s="1"/>
  <c r="W57" i="3"/>
  <c r="S35" i="3"/>
  <c r="S13" i="3"/>
  <c r="AH13" i="3" s="1"/>
  <c r="W13" i="3"/>
  <c r="X71" i="3"/>
  <c r="AA71" i="3"/>
  <c r="X58" i="3"/>
  <c r="AA58" i="3"/>
  <c r="W69" i="3"/>
  <c r="M63" i="3"/>
  <c r="W63" i="3" s="1"/>
  <c r="AA56" i="3"/>
  <c r="X57" i="3"/>
  <c r="AA57" i="3"/>
  <c r="X79" i="3"/>
  <c r="AA79" i="3"/>
  <c r="Z14" i="2"/>
  <c r="O38" i="2"/>
  <c r="O37" i="2"/>
  <c r="E36" i="2"/>
  <c r="M35" i="2"/>
  <c r="O35" i="2" s="1"/>
  <c r="O34" i="2"/>
  <c r="H18" i="2"/>
  <c r="E32" i="2"/>
  <c r="O30" i="2"/>
  <c r="E30" i="2"/>
  <c r="E23" i="2"/>
  <c r="H23" i="2"/>
  <c r="O29" i="2"/>
  <c r="O28" i="2"/>
  <c r="O27" i="2"/>
  <c r="O26" i="2"/>
  <c r="O25" i="2"/>
  <c r="M23" i="2"/>
  <c r="O20" i="2"/>
  <c r="O19" i="2"/>
  <c r="E18" i="2"/>
  <c r="E15" i="2"/>
  <c r="O15" i="2"/>
  <c r="M15" i="2"/>
  <c r="N15" i="2"/>
  <c r="L15" i="2"/>
  <c r="O94" i="2"/>
  <c r="O93" i="2" s="1"/>
  <c r="O92" i="2" s="1"/>
  <c r="J92" i="2"/>
  <c r="O89" i="2"/>
  <c r="M89" i="2"/>
  <c r="M87" i="2"/>
  <c r="M83" i="2" s="1"/>
  <c r="O86" i="2"/>
  <c r="O85" i="2"/>
  <c r="O78" i="2"/>
  <c r="O77" i="2"/>
  <c r="O81" i="2"/>
  <c r="M76" i="2"/>
  <c r="O71" i="2"/>
  <c r="M71" i="2"/>
  <c r="O69" i="2"/>
  <c r="M64" i="2"/>
  <c r="M63" i="2" s="1"/>
  <c r="O61" i="2"/>
  <c r="M61" i="2"/>
  <c r="O57" i="2"/>
  <c r="O56" i="2" s="1"/>
  <c r="M56" i="2"/>
  <c r="M55" i="2"/>
  <c r="O55" i="2" s="1"/>
  <c r="O54" i="2" s="1"/>
  <c r="O52" i="2"/>
  <c r="O51" i="2" s="1"/>
  <c r="O50" i="2"/>
  <c r="O49" i="2" s="1"/>
  <c r="O43" i="2"/>
  <c r="O42" i="2" s="1"/>
  <c r="M43" i="2"/>
  <c r="M42" i="2" s="1"/>
  <c r="W41" i="2"/>
  <c r="O40" i="2"/>
  <c r="O39" i="2" s="1"/>
  <c r="AA35" i="3" l="1"/>
  <c r="X35" i="3"/>
  <c r="X14" i="3"/>
  <c r="X17" i="3"/>
  <c r="X16" i="3"/>
  <c r="X15" i="3"/>
  <c r="X13" i="3"/>
  <c r="AA13" i="3"/>
  <c r="X63" i="3"/>
  <c r="AA63" i="3"/>
  <c r="X69" i="3"/>
  <c r="AA69" i="3"/>
  <c r="O18" i="2"/>
  <c r="O36" i="2"/>
  <c r="O32" i="2"/>
  <c r="O23" i="2"/>
  <c r="M54" i="2"/>
  <c r="M53" i="2" s="1"/>
  <c r="O64" i="2"/>
  <c r="O63" i="2" s="1"/>
  <c r="O87" i="2"/>
  <c r="O83" i="2" s="1"/>
  <c r="O76" i="2"/>
  <c r="O48" i="2"/>
  <c r="O68" i="2"/>
  <c r="O66" i="2" s="1"/>
  <c r="M75" i="2"/>
  <c r="O53" i="2"/>
  <c r="X100" i="3" l="1"/>
  <c r="X101" i="3" s="1"/>
  <c r="O60" i="2"/>
  <c r="O13" i="2"/>
  <c r="O75" i="2"/>
  <c r="K43" i="2"/>
  <c r="K42" i="2" s="1"/>
  <c r="G46" i="2"/>
  <c r="I46" i="2"/>
  <c r="I69" i="2"/>
  <c r="K89" i="2"/>
  <c r="I93" i="2"/>
  <c r="I92" i="2" s="1"/>
  <c r="K93" i="2"/>
  <c r="K92" i="2" s="1"/>
  <c r="I89" i="2"/>
  <c r="I83" i="2"/>
  <c r="K83" i="2"/>
  <c r="I81" i="2"/>
  <c r="K81" i="2"/>
  <c r="K76" i="2"/>
  <c r="I76" i="2"/>
  <c r="I71" i="2"/>
  <c r="K71" i="2"/>
  <c r="K66" i="2"/>
  <c r="G66" i="2"/>
  <c r="I66" i="2"/>
  <c r="I63" i="2"/>
  <c r="K63" i="2"/>
  <c r="G61" i="2"/>
  <c r="I61" i="2"/>
  <c r="K61" i="2"/>
  <c r="I56" i="2"/>
  <c r="K56" i="2"/>
  <c r="I54" i="2"/>
  <c r="K54" i="2"/>
  <c r="K51" i="2"/>
  <c r="I51" i="2"/>
  <c r="I49" i="2"/>
  <c r="G43" i="2"/>
  <c r="I43" i="2"/>
  <c r="I40" i="2"/>
  <c r="I39" i="2" s="1"/>
  <c r="K40" i="2"/>
  <c r="K39" i="2" s="1"/>
  <c r="I36" i="2"/>
  <c r="K36" i="2"/>
  <c r="I32" i="2"/>
  <c r="K32" i="2"/>
  <c r="I30" i="2"/>
  <c r="K30" i="2"/>
  <c r="K23" i="2"/>
  <c r="K18" i="2"/>
  <c r="K15" i="2"/>
  <c r="I23" i="2"/>
  <c r="I18" i="2"/>
  <c r="I15" i="2"/>
  <c r="W95" i="2"/>
  <c r="AA95" i="2" s="1"/>
  <c r="T95" i="2"/>
  <c r="U95" i="2" s="1"/>
  <c r="Z79" i="2"/>
  <c r="Z80" i="2"/>
  <c r="W73" i="2"/>
  <c r="AA73" i="2" s="1"/>
  <c r="T73" i="2"/>
  <c r="U73" i="2" s="1"/>
  <c r="W72" i="2"/>
  <c r="AA72" i="2" s="1"/>
  <c r="T72" i="2"/>
  <c r="U72" i="2" s="1"/>
  <c r="G72" i="2"/>
  <c r="G71" i="2" s="1"/>
  <c r="W67" i="2"/>
  <c r="AA67" i="2" s="1"/>
  <c r="T67" i="2"/>
  <c r="U67" i="2" s="1"/>
  <c r="T66" i="2"/>
  <c r="W62" i="2"/>
  <c r="AA62" i="2" s="1"/>
  <c r="T62" i="2"/>
  <c r="U62" i="2" s="1"/>
  <c r="T61" i="2"/>
  <c r="I60" i="2" l="1"/>
  <c r="I68" i="2"/>
  <c r="G42" i="2"/>
  <c r="K53" i="2"/>
  <c r="K75" i="2"/>
  <c r="I42" i="2"/>
  <c r="K60" i="2"/>
  <c r="X67" i="2"/>
  <c r="I53" i="2"/>
  <c r="I48" i="2"/>
  <c r="I75" i="2"/>
  <c r="X95" i="2"/>
  <c r="I13" i="2"/>
  <c r="Z95" i="2"/>
  <c r="X72" i="2"/>
  <c r="X73" i="2"/>
  <c r="Z73" i="2"/>
  <c r="Z72" i="2"/>
  <c r="Z66" i="2"/>
  <c r="U66" i="2"/>
  <c r="Z67" i="2"/>
  <c r="Z61" i="2"/>
  <c r="U61" i="2"/>
  <c r="X62" i="2"/>
  <c r="Z62" i="2"/>
  <c r="Z59" i="2"/>
  <c r="Z58" i="2"/>
  <c r="W45" i="2"/>
  <c r="AA45" i="2" s="1"/>
  <c r="T45" i="2"/>
  <c r="U45" i="2" s="1"/>
  <c r="W44" i="2"/>
  <c r="AA44" i="2" s="1"/>
  <c r="T44" i="2"/>
  <c r="U44" i="2" s="1"/>
  <c r="W43" i="2"/>
  <c r="T43" i="2"/>
  <c r="X44" i="2" l="1"/>
  <c r="X45" i="2"/>
  <c r="Z45" i="2"/>
  <c r="X43" i="2"/>
  <c r="AA43" i="2"/>
  <c r="U43" i="2"/>
  <c r="Z43" i="2"/>
  <c r="Z44" i="2"/>
  <c r="T85" i="2"/>
  <c r="T19" i="2"/>
  <c r="T15" i="2"/>
  <c r="Z15" i="2" s="1"/>
  <c r="G96" i="2" l="1"/>
  <c r="G94" i="2"/>
  <c r="G90" i="2"/>
  <c r="G89" i="2" s="1"/>
  <c r="G86" i="2"/>
  <c r="T84" i="2"/>
  <c r="G87" i="2"/>
  <c r="G85" i="2"/>
  <c r="G77" i="2"/>
  <c r="G76" i="2" s="1"/>
  <c r="G70" i="2"/>
  <c r="G69" i="2" s="1"/>
  <c r="G68" i="2" s="1"/>
  <c r="G64" i="2"/>
  <c r="G63" i="2" s="1"/>
  <c r="G60" i="2" s="1"/>
  <c r="G57" i="2"/>
  <c r="G56" i="2" s="1"/>
  <c r="G55" i="2"/>
  <c r="T51" i="2"/>
  <c r="G52" i="2"/>
  <c r="G50" i="2"/>
  <c r="G41" i="2"/>
  <c r="G38" i="2"/>
  <c r="G37" i="2"/>
  <c r="G35" i="2"/>
  <c r="G34" i="2"/>
  <c r="G33" i="2"/>
  <c r="G31" i="2"/>
  <c r="G29" i="2"/>
  <c r="G28" i="2"/>
  <c r="G27" i="2"/>
  <c r="G26" i="2"/>
  <c r="G25" i="2"/>
  <c r="G24" i="2"/>
  <c r="G22" i="2"/>
  <c r="G21" i="2"/>
  <c r="G20" i="2"/>
  <c r="G19" i="2"/>
  <c r="G17" i="2"/>
  <c r="G16" i="2"/>
  <c r="E16" i="2"/>
  <c r="E17" i="2"/>
  <c r="G83" i="2" l="1"/>
  <c r="G93" i="2"/>
  <c r="G92" i="2" s="1"/>
  <c r="U89" i="2"/>
  <c r="U85" i="2"/>
  <c r="T54" i="2" l="1"/>
  <c r="U54" i="2" s="1"/>
  <c r="G81" i="2"/>
  <c r="G75" i="2" s="1"/>
  <c r="Z54" i="2" l="1"/>
  <c r="G54" i="2"/>
  <c r="G53" i="2" s="1"/>
  <c r="G51" i="2"/>
  <c r="G49" i="2"/>
  <c r="G40" i="2"/>
  <c r="G39" i="2" s="1"/>
  <c r="G36" i="2"/>
  <c r="G32" i="2"/>
  <c r="G48" i="2" l="1"/>
  <c r="G30" i="2"/>
  <c r="G23" i="2" l="1"/>
  <c r="G18" i="2"/>
  <c r="G15" i="2"/>
  <c r="G13" i="2" l="1"/>
  <c r="T81" i="2"/>
  <c r="U81" i="2" s="1"/>
  <c r="B40" i="2" l="1"/>
  <c r="T83" i="2" l="1"/>
  <c r="U83" i="2" s="1"/>
  <c r="T60" i="2" l="1"/>
  <c r="L60" i="2"/>
  <c r="T63" i="2"/>
  <c r="U51" i="2" l="1"/>
  <c r="Z51" i="2"/>
  <c r="L42" i="2"/>
  <c r="T42" i="2" s="1"/>
  <c r="Z42" i="2" s="1"/>
  <c r="Z46" i="2"/>
  <c r="T96" i="2" l="1"/>
  <c r="W96" i="2"/>
  <c r="AA96" i="2" s="1"/>
  <c r="W94" i="2"/>
  <c r="X94" i="2" s="1"/>
  <c r="T94" i="2"/>
  <c r="T93" i="2"/>
  <c r="Z93" i="2" s="1"/>
  <c r="M93" i="2"/>
  <c r="M92" i="2" s="1"/>
  <c r="T92" i="2"/>
  <c r="W91" i="2"/>
  <c r="X91" i="2" s="1"/>
  <c r="U91" i="2"/>
  <c r="W90" i="2"/>
  <c r="X90" i="2" s="1"/>
  <c r="Z90" i="2"/>
  <c r="W89" i="2"/>
  <c r="AA89" i="2" s="1"/>
  <c r="W87" i="2"/>
  <c r="AA87" i="2" s="1"/>
  <c r="T87" i="2"/>
  <c r="J87" i="2"/>
  <c r="W86" i="2"/>
  <c r="X86" i="2" s="1"/>
  <c r="T86" i="2"/>
  <c r="U86" i="2" s="1"/>
  <c r="Z88" i="2"/>
  <c r="W85" i="2"/>
  <c r="W84" i="2"/>
  <c r="X84" i="2" s="1"/>
  <c r="Z84" i="2"/>
  <c r="W82" i="2"/>
  <c r="X82" i="2" s="1"/>
  <c r="Z82" i="2"/>
  <c r="Z81" i="2"/>
  <c r="M81" i="2"/>
  <c r="AA80" i="2"/>
  <c r="W78" i="2"/>
  <c r="AA78" i="2" s="1"/>
  <c r="T78" i="2"/>
  <c r="Z78" i="2" s="1"/>
  <c r="AA79" i="2"/>
  <c r="W77" i="2"/>
  <c r="AA77" i="2" s="1"/>
  <c r="T77" i="2"/>
  <c r="T76" i="2"/>
  <c r="Z76" i="2" s="1"/>
  <c r="T75" i="2"/>
  <c r="W74" i="2"/>
  <c r="AA74" i="2" s="1"/>
  <c r="T74" i="2"/>
  <c r="Z74" i="2" s="1"/>
  <c r="T71" i="2"/>
  <c r="Z71" i="2" s="1"/>
  <c r="U71" i="2" s="1"/>
  <c r="W70" i="2"/>
  <c r="X70" i="2" s="1"/>
  <c r="T70" i="2"/>
  <c r="U70" i="2" s="1"/>
  <c r="T69" i="2"/>
  <c r="M69" i="2"/>
  <c r="K69" i="2"/>
  <c r="K68" i="2" s="1"/>
  <c r="T68" i="2"/>
  <c r="W65" i="2"/>
  <c r="X65" i="2" s="1"/>
  <c r="T65" i="2"/>
  <c r="U65" i="2" s="1"/>
  <c r="W64" i="2"/>
  <c r="X64" i="2" s="1"/>
  <c r="T64" i="2"/>
  <c r="U64" i="2" s="1"/>
  <c r="U63" i="2"/>
  <c r="W57" i="2"/>
  <c r="X57" i="2" s="1"/>
  <c r="T57" i="2"/>
  <c r="Z57" i="2" s="1"/>
  <c r="AA59" i="2"/>
  <c r="T56" i="2"/>
  <c r="U56" i="2" s="1"/>
  <c r="T55" i="2"/>
  <c r="Z55" i="2" s="1"/>
  <c r="U55" i="2" s="1"/>
  <c r="M51" i="2"/>
  <c r="W50" i="2"/>
  <c r="X50" i="2" s="1"/>
  <c r="T50" i="2"/>
  <c r="M49" i="2"/>
  <c r="K49" i="2"/>
  <c r="K48" i="2" s="1"/>
  <c r="T48" i="2"/>
  <c r="AA47" i="2"/>
  <c r="AA41" i="2"/>
  <c r="T41" i="2"/>
  <c r="U41" i="2" s="1"/>
  <c r="Z40" i="2"/>
  <c r="M40" i="2"/>
  <c r="M39" i="2" s="1"/>
  <c r="T39" i="2"/>
  <c r="T38" i="2"/>
  <c r="U38" i="2" s="1"/>
  <c r="W38" i="2"/>
  <c r="AA38" i="2" s="1"/>
  <c r="U37" i="2"/>
  <c r="W37" i="2"/>
  <c r="T36" i="2"/>
  <c r="U36" i="2" s="1"/>
  <c r="M36" i="2"/>
  <c r="T35" i="2"/>
  <c r="U35" i="2" s="1"/>
  <c r="W35" i="2"/>
  <c r="W34" i="2"/>
  <c r="AA34" i="2" s="1"/>
  <c r="T34" i="2"/>
  <c r="U34" i="2" s="1"/>
  <c r="W33" i="2"/>
  <c r="X33" i="2" s="1"/>
  <c r="T33" i="2"/>
  <c r="Z33" i="2" s="1"/>
  <c r="T32" i="2"/>
  <c r="U32" i="2" s="1"/>
  <c r="M32" i="2"/>
  <c r="W31" i="2"/>
  <c r="AA31" i="2" s="1"/>
  <c r="T31" i="2"/>
  <c r="Z31" i="2" s="1"/>
  <c r="T30" i="2"/>
  <c r="U30" i="2" s="1"/>
  <c r="M30" i="2"/>
  <c r="T29" i="2"/>
  <c r="U29" i="2" s="1"/>
  <c r="W29" i="2"/>
  <c r="W28" i="2"/>
  <c r="X28" i="2" s="1"/>
  <c r="T28" i="2"/>
  <c r="U28" i="2" s="1"/>
  <c r="W27" i="2"/>
  <c r="AA27" i="2" s="1"/>
  <c r="T27" i="2"/>
  <c r="U27" i="2" s="1"/>
  <c r="W26" i="2"/>
  <c r="X26" i="2" s="1"/>
  <c r="T26" i="2"/>
  <c r="U26" i="2" s="1"/>
  <c r="T25" i="2"/>
  <c r="Z25" i="2" s="1"/>
  <c r="W25" i="2"/>
  <c r="W24" i="2"/>
  <c r="AA24" i="2" s="1"/>
  <c r="T24" i="2"/>
  <c r="U24" i="2" s="1"/>
  <c r="T23" i="2"/>
  <c r="U23" i="2" s="1"/>
  <c r="AH22" i="2"/>
  <c r="W22" i="2"/>
  <c r="AA22" i="2" s="1"/>
  <c r="T22" i="2"/>
  <c r="U22" i="2" s="1"/>
  <c r="AH21" i="2"/>
  <c r="W21" i="2"/>
  <c r="X21" i="2" s="1"/>
  <c r="T21" i="2"/>
  <c r="U21" i="2" s="1"/>
  <c r="T20" i="2"/>
  <c r="Z20" i="2" s="1"/>
  <c r="AH20" i="2"/>
  <c r="U19" i="2"/>
  <c r="AH19" i="2"/>
  <c r="M18" i="2"/>
  <c r="W17" i="2"/>
  <c r="AA17" i="2" s="1"/>
  <c r="T17" i="2"/>
  <c r="Z17" i="2" s="1"/>
  <c r="W16" i="2"/>
  <c r="X16" i="2" s="1"/>
  <c r="T16" i="2"/>
  <c r="U16" i="2" s="1"/>
  <c r="Z13" i="2"/>
  <c r="Z50" i="2" l="1"/>
  <c r="U50" i="2"/>
  <c r="M13" i="2"/>
  <c r="W18" i="2"/>
  <c r="Z48" i="2"/>
  <c r="U48" i="2"/>
  <c r="W63" i="2"/>
  <c r="AA63" i="2" s="1"/>
  <c r="W61" i="2"/>
  <c r="X31" i="2"/>
  <c r="Z27" i="2"/>
  <c r="U57" i="2"/>
  <c r="X74" i="2"/>
  <c r="K13" i="2"/>
  <c r="U25" i="2"/>
  <c r="Z35" i="2"/>
  <c r="AA65" i="2"/>
  <c r="Z69" i="2"/>
  <c r="U69" i="2" s="1"/>
  <c r="U82" i="2"/>
  <c r="X22" i="2"/>
  <c r="U17" i="2"/>
  <c r="Z19" i="2"/>
  <c r="Z52" i="2"/>
  <c r="Z23" i="2"/>
  <c r="T18" i="2"/>
  <c r="U18" i="2" s="1"/>
  <c r="U13" i="2"/>
  <c r="W23" i="2"/>
  <c r="AA23" i="2" s="1"/>
  <c r="U31" i="2"/>
  <c r="Z53" i="2"/>
  <c r="Z70" i="2"/>
  <c r="U74" i="2"/>
  <c r="W81" i="2"/>
  <c r="X81" i="2" s="1"/>
  <c r="AA94" i="2"/>
  <c r="U20" i="2"/>
  <c r="X24" i="2"/>
  <c r="W30" i="2"/>
  <c r="X30" i="2" s="1"/>
  <c r="W39" i="2"/>
  <c r="X39" i="2" s="1"/>
  <c r="Z65" i="2"/>
  <c r="W69" i="2"/>
  <c r="X69" i="2" s="1"/>
  <c r="X77" i="2"/>
  <c r="X87" i="2"/>
  <c r="Z56" i="2"/>
  <c r="Z64" i="2"/>
  <c r="Z63" i="2"/>
  <c r="X85" i="2"/>
  <c r="AA85" i="2"/>
  <c r="X37" i="2"/>
  <c r="AA37" i="2"/>
  <c r="W32" i="2"/>
  <c r="AA32" i="2" s="1"/>
  <c r="Z49" i="2"/>
  <c r="W83" i="2"/>
  <c r="AA83" i="2" s="1"/>
  <c r="W15" i="2"/>
  <c r="X17" i="2"/>
  <c r="U33" i="2"/>
  <c r="X34" i="2"/>
  <c r="W36" i="2"/>
  <c r="X41" i="2"/>
  <c r="M68" i="2"/>
  <c r="W71" i="2"/>
  <c r="U78" i="2"/>
  <c r="U84" i="2"/>
  <c r="U90" i="2"/>
  <c r="U93" i="2"/>
  <c r="U94" i="2"/>
  <c r="W52" i="2"/>
  <c r="X52" i="2" s="1"/>
  <c r="X27" i="2"/>
  <c r="W42" i="2"/>
  <c r="X42" i="2" s="1"/>
  <c r="AA50" i="2"/>
  <c r="U76" i="2"/>
  <c r="X78" i="2"/>
  <c r="AA86" i="2"/>
  <c r="AA29" i="2"/>
  <c r="X29" i="2"/>
  <c r="X35" i="2"/>
  <c r="AA35" i="2"/>
  <c r="X25" i="2"/>
  <c r="AA25" i="2"/>
  <c r="AA21" i="2"/>
  <c r="AA28" i="2"/>
  <c r="Z38" i="2"/>
  <c r="U87" i="2"/>
  <c r="Z87" i="2"/>
  <c r="Z29" i="2"/>
  <c r="AA33" i="2"/>
  <c r="Z34" i="2"/>
  <c r="Z36" i="2"/>
  <c r="W40" i="2"/>
  <c r="U75" i="2"/>
  <c r="Z75" i="2"/>
  <c r="U92" i="2"/>
  <c r="Z92" i="2"/>
  <c r="AA16" i="2"/>
  <c r="AA26" i="2"/>
  <c r="U42" i="2"/>
  <c r="U96" i="2"/>
  <c r="Z96" i="2"/>
  <c r="W19" i="2"/>
  <c r="W20" i="2"/>
  <c r="Z22" i="2"/>
  <c r="Z24" i="2"/>
  <c r="Z32" i="2"/>
  <c r="Z16" i="2"/>
  <c r="Z21" i="2"/>
  <c r="Z26" i="2"/>
  <c r="Z28" i="2"/>
  <c r="Z30" i="2"/>
  <c r="Z41" i="2"/>
  <c r="Z47" i="2"/>
  <c r="W49" i="2"/>
  <c r="M48" i="2"/>
  <c r="Z68" i="2"/>
  <c r="U68" i="2" s="1"/>
  <c r="AA91" i="2"/>
  <c r="W92" i="2"/>
  <c r="X96" i="2"/>
  <c r="Z37" i="2"/>
  <c r="X38" i="2"/>
  <c r="Z39" i="2"/>
  <c r="U39" i="2" s="1"/>
  <c r="W51" i="2"/>
  <c r="U60" i="2"/>
  <c r="Z60" i="2"/>
  <c r="U77" i="2"/>
  <c r="Z77" i="2"/>
  <c r="Z83" i="2"/>
  <c r="X89" i="2"/>
  <c r="AA84" i="2"/>
  <c r="W93" i="2"/>
  <c r="AA57" i="2"/>
  <c r="AA64" i="2"/>
  <c r="AA70" i="2"/>
  <c r="AA82" i="2"/>
  <c r="Z85" i="2"/>
  <c r="AA88" i="2"/>
  <c r="Z86" i="2"/>
  <c r="Z89" i="2"/>
  <c r="AA90" i="2"/>
  <c r="Z91" i="2"/>
  <c r="Z94" i="2"/>
  <c r="X15" i="2" l="1"/>
  <c r="AA15" i="2"/>
  <c r="X63" i="2"/>
  <c r="W68" i="2"/>
  <c r="X68" i="2" s="1"/>
  <c r="M66" i="2"/>
  <c r="X61" i="2"/>
  <c r="AA61" i="2"/>
  <c r="Z18" i="2"/>
  <c r="AA30" i="2"/>
  <c r="AA81" i="2"/>
  <c r="AA71" i="2"/>
  <c r="X71" i="2"/>
  <c r="X83" i="2"/>
  <c r="AA39" i="2"/>
  <c r="U15" i="2"/>
  <c r="U97" i="2" s="1"/>
  <c r="U98" i="2" s="1"/>
  <c r="AA52" i="2"/>
  <c r="X23" i="2"/>
  <c r="AA42" i="2"/>
  <c r="X32" i="2"/>
  <c r="AA69" i="2"/>
  <c r="W48" i="2"/>
  <c r="X48" i="2" s="1"/>
  <c r="AA36" i="2"/>
  <c r="X36" i="2"/>
  <c r="X18" i="2"/>
  <c r="AA92" i="2"/>
  <c r="X92" i="2"/>
  <c r="AA19" i="2"/>
  <c r="X19" i="2"/>
  <c r="AA46" i="2"/>
  <c r="X93" i="2"/>
  <c r="AA93" i="2"/>
  <c r="X40" i="2"/>
  <c r="AA40" i="2"/>
  <c r="X51" i="2"/>
  <c r="AA51" i="2"/>
  <c r="W13" i="2"/>
  <c r="AH13" i="2"/>
  <c r="AA49" i="2"/>
  <c r="X49" i="2"/>
  <c r="AA20" i="2"/>
  <c r="X20" i="2"/>
  <c r="AA68" i="2" l="1"/>
  <c r="W66" i="2"/>
  <c r="AA66" i="2" s="1"/>
  <c r="M60" i="2"/>
  <c r="W60" i="2" s="1"/>
  <c r="AA60" i="2" s="1"/>
  <c r="W75" i="2"/>
  <c r="AA75" i="2" s="1"/>
  <c r="AA48" i="2"/>
  <c r="AA18" i="2"/>
  <c r="W76" i="2"/>
  <c r="X76" i="2" s="1"/>
  <c r="X13" i="2"/>
  <c r="AA13" i="2"/>
  <c r="X60" i="2" l="1"/>
  <c r="X66" i="2"/>
  <c r="X75" i="2"/>
  <c r="AA76" i="2"/>
  <c r="AA58" i="2"/>
  <c r="W56" i="2"/>
  <c r="X56" i="2" l="1"/>
  <c r="AA56" i="2"/>
  <c r="W55" i="2"/>
  <c r="W54" i="2" l="1"/>
  <c r="W53" i="2"/>
  <c r="AA55" i="2"/>
  <c r="X55" i="2"/>
  <c r="AA53" i="2" l="1"/>
  <c r="X53" i="2"/>
  <c r="X54" i="2"/>
  <c r="AA54" i="2"/>
  <c r="X97" i="2" l="1"/>
  <c r="X9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Ultimate</author>
    <author>WINDOWS</author>
    <author>ASUS</author>
    <author>USER</author>
  </authors>
  <commentList>
    <comment ref="H42" authorId="0" shapeId="0" xr:uid="{37E2E7CB-0480-4B20-B72A-3F31FA391708}">
      <text>
        <r>
          <rPr>
            <b/>
            <sz val="9"/>
            <color indexed="81"/>
            <rFont val="Tahoma"/>
            <family val="2"/>
          </rPr>
          <t>ACER:</t>
        </r>
        <r>
          <rPr>
            <sz val="9"/>
            <color indexed="81"/>
            <rFont val="Tahoma"/>
            <family val="2"/>
          </rPr>
          <t xml:space="preserve">
2021 desa badaun 245
 total 2020 dan 2021 2944</t>
        </r>
      </text>
    </comment>
    <comment ref="J42" authorId="1" shapeId="0" xr:uid="{3B7CF6D0-D04E-462C-9051-03CFB93449F2}">
      <text>
        <r>
          <rPr>
            <sz val="14"/>
            <color indexed="81"/>
            <rFont val="Tahoma"/>
            <family val="2"/>
          </rPr>
          <t>Jumlah SKPD yang melaksanakan pemberdayaan perempuan dibagi jumlah SKPD dikali 100</t>
        </r>
      </text>
    </comment>
    <comment ref="L45" authorId="1" shapeId="0" xr:uid="{BEE093EE-7DC7-404B-9AB7-506D93FD312B}">
      <text>
        <r>
          <rPr>
            <b/>
            <sz val="12"/>
            <color indexed="81"/>
            <rFont val="Tahoma"/>
            <family val="2"/>
          </rPr>
          <t>Jan = 1
Feb = 2
Maret = 1
Total 4 Kasus</t>
        </r>
      </text>
    </comment>
    <comment ref="N45" authorId="1" shapeId="0" xr:uid="{FFBB796D-E9C5-41BE-9293-558A0922CC86}">
      <text>
        <r>
          <rPr>
            <b/>
            <sz val="12"/>
            <color indexed="81"/>
            <rFont val="Tahoma"/>
            <family val="2"/>
          </rPr>
          <t xml:space="preserve">April = 1
Mei = 1
Juni = 0
Total 2
</t>
        </r>
      </text>
    </comment>
    <comment ref="P45" authorId="1" shapeId="0" xr:uid="{F7176148-C347-4207-A461-0080BECD7400}">
      <text>
        <r>
          <rPr>
            <b/>
            <sz val="12"/>
            <color indexed="81"/>
            <rFont val="Tahoma"/>
            <family val="2"/>
          </rPr>
          <t xml:space="preserve">April = 1
Mei = 1
Juni = 0
Total 2
</t>
        </r>
      </text>
    </comment>
    <comment ref="R45" authorId="1" shapeId="0" xr:uid="{A9F578A7-8E57-4D8D-85B6-C79FE590176A}">
      <text>
        <r>
          <rPr>
            <b/>
            <sz val="12"/>
            <color indexed="81"/>
            <rFont val="Tahoma"/>
            <family val="2"/>
          </rPr>
          <t xml:space="preserve">Oktober = 0
november = 1
Desember = 1
Total 2
</t>
        </r>
      </text>
    </comment>
    <comment ref="N47" authorId="2" shapeId="0" xr:uid="{C700976F-C076-4DBE-90E0-D131417C1809}">
      <text>
        <r>
          <rPr>
            <b/>
            <sz val="9"/>
            <color indexed="81"/>
            <rFont val="Tahoma"/>
            <family val="2"/>
          </rPr>
          <t>WINDOWS:</t>
        </r>
        <r>
          <rPr>
            <sz val="9"/>
            <color indexed="81"/>
            <rFont val="Tahoma"/>
            <family val="2"/>
          </rPr>
          <t xml:space="preserve">
april 1, mei 1</t>
        </r>
      </text>
    </comment>
    <comment ref="P47" authorId="2" shapeId="0" xr:uid="{34BB2BE7-68FC-4C6A-8B4D-2CCBAFDB0237}">
      <text>
        <r>
          <rPr>
            <b/>
            <sz val="9"/>
            <color indexed="81"/>
            <rFont val="Tahoma"/>
            <family val="2"/>
          </rPr>
          <t>WINDOWS:</t>
        </r>
        <r>
          <rPr>
            <sz val="9"/>
            <color indexed="81"/>
            <rFont val="Tahoma"/>
            <family val="2"/>
          </rPr>
          <t xml:space="preserve">
Juli 1</t>
        </r>
      </text>
    </comment>
    <comment ref="R47" authorId="2" shapeId="0" xr:uid="{522D0BC7-1AE4-479F-9B52-E8FB3BE61CFC}">
      <text>
        <r>
          <rPr>
            <b/>
            <sz val="9"/>
            <color indexed="81"/>
            <rFont val="Tahoma"/>
            <family val="2"/>
          </rPr>
          <t>WINDOWS:</t>
        </r>
        <r>
          <rPr>
            <sz val="9"/>
            <color indexed="81"/>
            <rFont val="Tahoma"/>
            <family val="2"/>
          </rPr>
          <t xml:space="preserve">
November 1
Desember 1</t>
        </r>
      </text>
    </comment>
    <comment ref="L49" authorId="1" shapeId="0" xr:uid="{3EF4A744-6632-4D17-AE03-FC5A5082C21B}">
      <text>
        <r>
          <rPr>
            <b/>
            <sz val="12"/>
            <color indexed="81"/>
            <rFont val="Tahoma"/>
            <family val="2"/>
          </rPr>
          <t>Jan = 1
Feb = 2
Maret = 1
Total 4 Kasus</t>
        </r>
      </text>
    </comment>
    <comment ref="N49" authorId="1" shapeId="0" xr:uid="{A9B791FE-C760-4EA8-A5F1-B52103020C16}">
      <text>
        <r>
          <rPr>
            <b/>
            <sz val="12"/>
            <color indexed="81"/>
            <rFont val="Tahoma"/>
            <family val="2"/>
          </rPr>
          <t xml:space="preserve">April = 1
Mei = 0
Juni = 0
Total 1
</t>
        </r>
      </text>
    </comment>
    <comment ref="P49" authorId="1" shapeId="0" xr:uid="{78D12D13-137F-40C3-8C70-FC947B112F54}">
      <text>
        <r>
          <rPr>
            <b/>
            <sz val="12"/>
            <color indexed="81"/>
            <rFont val="Tahoma"/>
            <family val="2"/>
          </rPr>
          <t xml:space="preserve">April = 1
Mei = 0
Juni = 0
Total 1
</t>
        </r>
      </text>
    </comment>
    <comment ref="E52" authorId="0" shapeId="0" xr:uid="{45207772-A40C-4AD9-B3F0-33606DEB4D35}">
      <text>
        <r>
          <rPr>
            <b/>
            <sz val="9"/>
            <color indexed="81"/>
            <rFont val="Tahoma"/>
            <family val="2"/>
          </rPr>
          <t>ACER:</t>
        </r>
        <r>
          <rPr>
            <sz val="9"/>
            <color indexed="81"/>
            <rFont val="Tahoma"/>
            <family val="2"/>
          </rPr>
          <t xml:space="preserve">
1. Desa hariti
2. Desa malutu
3. Desa mandala
4. desa teluk labak
5. Desa muning baru
6. Desa panggungan
7. Desa Bajayau tengah
8. Desa Badaun
9. Desa Tambingkar
10. Desa Lungau</t>
        </r>
      </text>
    </comment>
    <comment ref="H52" authorId="0" shapeId="0" xr:uid="{E8AEF24B-B551-45D2-AD55-AE99B8F6D9C9}">
      <text>
        <r>
          <rPr>
            <b/>
            <sz val="9"/>
            <color indexed="81"/>
            <rFont val="Tahoma"/>
            <family val="2"/>
          </rPr>
          <t>ACER:</t>
        </r>
        <r>
          <rPr>
            <sz val="9"/>
            <color indexed="81"/>
            <rFont val="Tahoma"/>
            <family val="2"/>
          </rPr>
          <t xml:space="preserve">
1. Desa hariti
2. Desa malutu
3. Desa mandala
4. desa teluk labak
5. Desa muning baru
6. Desa panggungan
7. Desa Bajayau tengah
8. Desa Badaun</t>
        </r>
      </text>
    </comment>
    <comment ref="J52" authorId="0" shapeId="0" xr:uid="{EE48F2A0-0B2B-40A7-82EE-29ADB5669144}">
      <text>
        <r>
          <rPr>
            <b/>
            <sz val="9"/>
            <color indexed="81"/>
            <rFont val="Tahoma"/>
            <family val="2"/>
          </rPr>
          <t>ACER:</t>
        </r>
        <r>
          <rPr>
            <sz val="9"/>
            <color indexed="81"/>
            <rFont val="Tahoma"/>
            <family val="2"/>
          </rPr>
          <t xml:space="preserve">
1. Desa hariti
2. Desa malutu
3. Desa mandala
4. desa teluk labak
5. Desa muning baru
6. Desa panggungan
7. Desa Bajayau tengah
8. Desa Badaun
9. Desa Tambingkar</t>
        </r>
      </text>
    </comment>
    <comment ref="L52" authorId="2" shapeId="0" xr:uid="{7C13A6A3-C59E-4AEC-B3B9-4D1BCE812819}">
      <text>
        <r>
          <rPr>
            <b/>
            <sz val="9"/>
            <color indexed="81"/>
            <rFont val="Tahoma"/>
            <family val="2"/>
          </rPr>
          <t>WINDOWS:</t>
        </r>
        <r>
          <rPr>
            <sz val="9"/>
            <color indexed="81"/>
            <rFont val="Tahoma"/>
            <family val="2"/>
          </rPr>
          <t xml:space="preserve">
Ds. Tambingkar</t>
        </r>
      </text>
    </comment>
    <comment ref="J55" authorId="3" shapeId="0" xr:uid="{3D9FC0B1-C1F4-485E-8A39-53C0990A3F34}">
      <text>
        <r>
          <rPr>
            <sz val="12"/>
            <color indexed="81"/>
            <rFont val="Tahoma"/>
            <family val="2"/>
          </rPr>
          <t>blm revisi 60 DWP, 30 GATRI, 55 dan 60 GOW</t>
        </r>
      </text>
    </comment>
    <comment ref="L58" authorId="2" shapeId="0" xr:uid="{5282BABE-FB83-4FD0-A0BC-37F30F209053}">
      <text>
        <r>
          <rPr>
            <b/>
            <sz val="9"/>
            <color indexed="81"/>
            <rFont val="Tahoma"/>
            <family val="2"/>
          </rPr>
          <t>WINDOWS:</t>
        </r>
        <r>
          <rPr>
            <sz val="9"/>
            <color indexed="81"/>
            <rFont val="Tahoma"/>
            <family val="2"/>
          </rPr>
          <t xml:space="preserve">
1. FAD</t>
        </r>
      </text>
    </comment>
    <comment ref="N58" authorId="2" shapeId="0" xr:uid="{BC50ACD9-182E-4F9E-9D5E-1BB755DC58D0}">
      <text>
        <r>
          <rPr>
            <b/>
            <sz val="9"/>
            <color indexed="81"/>
            <rFont val="Tahoma"/>
            <family val="2"/>
          </rPr>
          <t>WINDOWS:</t>
        </r>
        <r>
          <rPr>
            <sz val="9"/>
            <color indexed="81"/>
            <rFont val="Tahoma"/>
            <family val="2"/>
          </rPr>
          <t xml:space="preserve">
1. SRA
2. Pesantren Ramah Anak
3. Puskesmas Ramah Anak
4. Masjid Ramah Anak
5. APSAI</t>
        </r>
      </text>
    </comment>
    <comment ref="E59" authorId="0" shapeId="0" xr:uid="{C2700926-C8D6-43E9-8728-26E604785CAB}">
      <text>
        <r>
          <rPr>
            <b/>
            <sz val="9"/>
            <color indexed="81"/>
            <rFont val="Tahoma"/>
            <family val="2"/>
          </rPr>
          <t>ACER:</t>
        </r>
        <r>
          <rPr>
            <sz val="9"/>
            <color indexed="81"/>
            <rFont val="Tahoma"/>
            <family val="2"/>
          </rPr>
          <t xml:space="preserve">
Desa bajayau dan desa mandala</t>
        </r>
      </text>
    </comment>
    <comment ref="H59" authorId="0" shapeId="0" xr:uid="{BD49B158-7EEB-415E-9AFC-2872D0DD5707}">
      <text>
        <r>
          <rPr>
            <b/>
            <sz val="9"/>
            <color indexed="81"/>
            <rFont val="Tahoma"/>
            <family val="2"/>
          </rPr>
          <t>ACER:</t>
        </r>
        <r>
          <rPr>
            <sz val="9"/>
            <color indexed="81"/>
            <rFont val="Tahoma"/>
            <family val="2"/>
          </rPr>
          <t xml:space="preserve">
desa jembatan merah dan desa baluti</t>
        </r>
      </text>
    </comment>
    <comment ref="L59" authorId="0" shapeId="0" xr:uid="{E6D0540B-B130-431E-8DF1-754B35205BB8}">
      <text>
        <r>
          <rPr>
            <b/>
            <sz val="9"/>
            <color indexed="81"/>
            <rFont val="Tahoma"/>
            <family val="2"/>
          </rPr>
          <t>ACER:</t>
        </r>
        <r>
          <rPr>
            <sz val="9"/>
            <color indexed="81"/>
            <rFont val="Tahoma"/>
            <family val="2"/>
          </rPr>
          <t xml:space="preserve">
Desa sungai raya selatan dan desa tambingkar</t>
        </r>
      </text>
    </comment>
    <comment ref="L60" authorId="2" shapeId="0" xr:uid="{E5088C43-C768-4AE7-BC7C-F2B08B0D307D}">
      <text>
        <r>
          <rPr>
            <b/>
            <sz val="9"/>
            <color indexed="81"/>
            <rFont val="Tahoma"/>
            <family val="2"/>
          </rPr>
          <t>WINDOWS:</t>
        </r>
        <r>
          <rPr>
            <sz val="9"/>
            <color indexed="81"/>
            <rFont val="Tahoma"/>
            <family val="2"/>
          </rPr>
          <t xml:space="preserve">
1. Video FAD Pencegahan Perkawinan
2. Video FAD Pencegahan Covid-19
3. Sertifikat KHA
</t>
        </r>
      </text>
    </comment>
    <comment ref="L63" authorId="4" shapeId="0" xr:uid="{7002A129-B48C-4F34-9CEC-7A2D153760AE}">
      <text>
        <r>
          <rPr>
            <b/>
            <sz val="12"/>
            <color indexed="81"/>
            <rFont val="Tahoma"/>
            <family val="2"/>
          </rPr>
          <t>KASUS ANAK</t>
        </r>
        <r>
          <rPr>
            <sz val="12"/>
            <color indexed="81"/>
            <rFont val="Tahoma"/>
            <family val="2"/>
          </rPr>
          <t xml:space="preserve">
 Jan = 1
Feb = 2
Maret = 1
Total 4 Kasus</t>
        </r>
      </text>
    </comment>
    <comment ref="N63" authorId="4" shapeId="0" xr:uid="{2098BF21-2B2A-4F7E-A80F-F1B147D85DFA}">
      <text>
        <r>
          <rPr>
            <sz val="12"/>
            <color indexed="81"/>
            <rFont val="Tahoma"/>
            <family val="2"/>
          </rPr>
          <t>April = 1
Mei = 3
Juni = 4
Total 8</t>
        </r>
      </text>
    </comment>
    <comment ref="P63" authorId="4" shapeId="0" xr:uid="{28643B8E-F38A-47FE-B1F1-BA4B89BFF78A}">
      <text>
        <r>
          <rPr>
            <sz val="12"/>
            <color indexed="81"/>
            <rFont val="Tahoma"/>
            <family val="2"/>
          </rPr>
          <t>Juli = 2
Agustus = 3
September = 4
Total 9</t>
        </r>
      </text>
    </comment>
    <comment ref="R63" authorId="4" shapeId="0" xr:uid="{39C9EBC7-AE23-4E8D-80E9-27B85D91854D}">
      <text>
        <r>
          <rPr>
            <sz val="12"/>
            <color indexed="81"/>
            <rFont val="Tahoma"/>
            <family val="2"/>
          </rPr>
          <t>Oktober = 4
November  = 2
Desember = 0
Total 6</t>
        </r>
      </text>
    </comment>
    <comment ref="N67" authorId="2" shapeId="0" xr:uid="{D34A320A-6FC6-4DD9-AFF7-35878F3D93D5}">
      <text>
        <r>
          <rPr>
            <b/>
            <sz val="9"/>
            <color indexed="81"/>
            <rFont val="Tahoma"/>
            <family val="2"/>
          </rPr>
          <t xml:space="preserve">WINDOWS:
</t>
        </r>
        <r>
          <rPr>
            <sz val="9"/>
            <color indexed="81"/>
            <rFont val="Tahoma"/>
            <family val="2"/>
          </rPr>
          <t>april 1, mei 3, juni 2</t>
        </r>
      </text>
    </comment>
    <comment ref="P67" authorId="2" shapeId="0" xr:uid="{3D3AF400-516D-4D55-B564-C7E3ECEC4184}">
      <text>
        <r>
          <rPr>
            <b/>
            <sz val="9"/>
            <color indexed="81"/>
            <rFont val="Tahoma"/>
            <family val="2"/>
          </rPr>
          <t xml:space="preserve">WINDOWS:
</t>
        </r>
        <r>
          <rPr>
            <sz val="9"/>
            <color indexed="81"/>
            <rFont val="Tahoma"/>
            <family val="2"/>
          </rPr>
          <t>juli 2, agustus 3, september 4</t>
        </r>
      </text>
    </comment>
    <comment ref="R67" authorId="4" shapeId="0" xr:uid="{61BB612A-2294-4FB6-B17E-5DBF81B47C94}">
      <text>
        <r>
          <rPr>
            <sz val="12"/>
            <color indexed="81"/>
            <rFont val="Tahoma"/>
            <family val="2"/>
          </rPr>
          <t>Oktober = 4
November  = 2
Desember = 0
Total 6</t>
        </r>
      </text>
    </comment>
    <comment ref="E74" authorId="0" shapeId="0" xr:uid="{93594009-04B5-4BF2-8BAA-9CED7D84AADF}">
      <text>
        <r>
          <rPr>
            <b/>
            <sz val="9"/>
            <color indexed="81"/>
            <rFont val="Tahoma"/>
            <family val="2"/>
          </rPr>
          <t>ACER:</t>
        </r>
        <r>
          <rPr>
            <sz val="9"/>
            <color indexed="81"/>
            <rFont val="Tahoma"/>
            <family val="2"/>
          </rPr>
          <t xml:space="preserve">
Desa Bajayau Lama</t>
        </r>
      </text>
    </comment>
    <comment ref="H74" authorId="0" shapeId="0" xr:uid="{E0FA619E-4285-4A0C-B108-5914D365515F}">
      <text>
        <r>
          <rPr>
            <b/>
            <sz val="9"/>
            <color indexed="81"/>
            <rFont val="Tahoma"/>
            <family val="2"/>
          </rPr>
          <t>ACER:</t>
        </r>
        <r>
          <rPr>
            <sz val="9"/>
            <color indexed="81"/>
            <rFont val="Tahoma"/>
            <family val="2"/>
          </rPr>
          <t xml:space="preserve">
Desa Lungau</t>
        </r>
      </text>
    </comment>
    <comment ref="J74" authorId="0" shapeId="0" xr:uid="{161C7EA0-AB97-4DA8-A970-47E19F196A2C}">
      <text>
        <r>
          <rPr>
            <b/>
            <sz val="9"/>
            <color indexed="81"/>
            <rFont val="Tahoma"/>
            <family val="2"/>
          </rPr>
          <t>ACER:</t>
        </r>
        <r>
          <rPr>
            <sz val="9"/>
            <color indexed="81"/>
            <rFont val="Tahoma"/>
            <family val="2"/>
          </rPr>
          <t xml:space="preserve">
Desa Parigi</t>
        </r>
      </text>
    </comment>
    <comment ref="N74" authorId="0" shapeId="0" xr:uid="{371202B0-62A2-4585-8FD6-78E4616D5E14}">
      <text>
        <r>
          <rPr>
            <b/>
            <sz val="9"/>
            <color indexed="81"/>
            <rFont val="Tahoma"/>
            <family val="2"/>
          </rPr>
          <t>ACER:</t>
        </r>
        <r>
          <rPr>
            <sz val="9"/>
            <color indexed="81"/>
            <rFont val="Tahoma"/>
            <family val="2"/>
          </rPr>
          <t xml:space="preserve">
Desa Parigi</t>
        </r>
      </text>
    </comment>
    <comment ref="H78" authorId="0" shapeId="0" xr:uid="{B8A188CA-8438-41F1-9AB1-4552250996A7}">
      <text>
        <r>
          <rPr>
            <b/>
            <sz val="9"/>
            <color indexed="81"/>
            <rFont val="Tahoma"/>
            <family val="2"/>
          </rPr>
          <t>Laporan bulan November
IUD 282
mow 722
MOP 42
IMPLAN 1790
TOTAL MKJP 2836
JML PUS 41134</t>
        </r>
      </text>
    </comment>
    <comment ref="L78" authorId="2" shapeId="0" xr:uid="{F65EFC48-00B4-4182-B543-D89770A14364}">
      <text>
        <r>
          <rPr>
            <b/>
            <sz val="9"/>
            <color indexed="81"/>
            <rFont val="Tahoma"/>
            <family val="2"/>
          </rPr>
          <t>WINDOWS:</t>
        </r>
        <r>
          <rPr>
            <sz val="9"/>
            <color indexed="81"/>
            <rFont val="Tahoma"/>
            <family val="2"/>
          </rPr>
          <t xml:space="preserve">
2017 total KB aktif MKJP
27174 Peserta KB Aktif</t>
        </r>
      </text>
    </comment>
    <comment ref="N78" authorId="2" shapeId="0" xr:uid="{28884A35-1FDE-4B15-B6F4-DA2EB691A4C2}">
      <text>
        <r>
          <rPr>
            <b/>
            <sz val="9"/>
            <color indexed="81"/>
            <rFont val="Tahoma"/>
            <family val="2"/>
          </rPr>
          <t>WINDOWS:</t>
        </r>
        <r>
          <rPr>
            <sz val="9"/>
            <color indexed="81"/>
            <rFont val="Tahoma"/>
            <family val="2"/>
          </rPr>
          <t xml:space="preserve">
1978 total KB aktif MKJP
26807  Peserta KB Aktif</t>
        </r>
      </text>
    </comment>
    <comment ref="P78" authorId="2" shapeId="0" xr:uid="{A6F18ACA-A158-4E14-B077-B38FB4B5781E}">
      <text>
        <r>
          <rPr>
            <b/>
            <sz val="9"/>
            <color indexed="81"/>
            <rFont val="Tahoma"/>
            <family val="2"/>
          </rPr>
          <t>WINDOWS:</t>
        </r>
        <r>
          <rPr>
            <sz val="9"/>
            <color indexed="81"/>
            <rFont val="Tahoma"/>
            <family val="2"/>
          </rPr>
          <t xml:space="preserve">
1978 total KB aktif MKJP
26807  Peserta KB Aktif</t>
        </r>
      </text>
    </comment>
    <comment ref="R78" authorId="2" shapeId="0" xr:uid="{11408189-9083-456E-B2E4-B643F3B53856}">
      <text>
        <r>
          <rPr>
            <b/>
            <sz val="9"/>
            <color indexed="81"/>
            <rFont val="Tahoma"/>
            <family val="2"/>
          </rPr>
          <t>WINDOWS:</t>
        </r>
        <r>
          <rPr>
            <sz val="9"/>
            <color indexed="81"/>
            <rFont val="Tahoma"/>
            <family val="2"/>
          </rPr>
          <t xml:space="preserve">
IAT = 1995
TIAL = 2555
total 4550
PUS = 36174</t>
        </r>
      </text>
    </comment>
    <comment ref="R84" authorId="2" shapeId="0" xr:uid="{CFD9EE8D-8BCA-435D-BCC4-EC07E7F5CE93}">
      <text>
        <r>
          <rPr>
            <b/>
            <sz val="9"/>
            <color indexed="81"/>
            <rFont val="Tahoma"/>
            <family val="2"/>
          </rPr>
          <t>WINDOWS:</t>
        </r>
        <r>
          <rPr>
            <sz val="9"/>
            <color indexed="81"/>
            <rFont val="Tahoma"/>
            <family val="2"/>
          </rPr>
          <t xml:space="preserve">
Laporan SIGA bln Desember (dallap tabel 11)</t>
        </r>
      </text>
    </comment>
    <comment ref="P88" authorId="2" shapeId="0" xr:uid="{8FC0A205-1C91-41D9-B126-26102EA34229}">
      <text>
        <r>
          <rPr>
            <b/>
            <sz val="9"/>
            <color indexed="81"/>
            <rFont val="Tahoma"/>
            <family val="2"/>
          </rPr>
          <t>WINDOWS:</t>
        </r>
        <r>
          <rPr>
            <sz val="9"/>
            <color indexed="81"/>
            <rFont val="Tahoma"/>
            <family val="2"/>
          </rPr>
          <t xml:space="preserve">
IMPLAN 1080
IUD 273
VASEKTOMI 22
TUBEKTOMI 617</t>
        </r>
      </text>
    </comment>
    <comment ref="R92" authorId="2" shapeId="0" xr:uid="{F7C44786-08FB-4D9D-B631-F9E21FA021FB}">
      <text>
        <r>
          <rPr>
            <b/>
            <sz val="9"/>
            <color indexed="81"/>
            <rFont val="Tahoma"/>
            <family val="2"/>
          </rPr>
          <t>WINDOWS:</t>
        </r>
        <r>
          <rPr>
            <sz val="9"/>
            <color indexed="81"/>
            <rFont val="Tahoma"/>
            <family val="2"/>
          </rPr>
          <t xml:space="preserve">
Laporan SIGA bln Desember (dallap tabel 11)</t>
        </r>
      </text>
    </comment>
    <comment ref="N97" authorId="2" shapeId="0" xr:uid="{7C0B8416-AF63-4B6E-9811-7B21DE8449E9}">
      <text>
        <r>
          <rPr>
            <b/>
            <sz val="9"/>
            <color indexed="81"/>
            <rFont val="Tahoma"/>
            <family val="2"/>
          </rPr>
          <t>WINDOWS:</t>
        </r>
        <r>
          <rPr>
            <sz val="9"/>
            <color indexed="81"/>
            <rFont val="Tahoma"/>
            <family val="2"/>
          </rPr>
          <t xml:space="preserve">
sisanya dihilangkan dialihkan anggarannya utk stunting</t>
        </r>
      </text>
    </comment>
    <comment ref="N99" authorId="2" shapeId="0" xr:uid="{62E60C73-31B9-4C8B-B318-9C2B5408944F}">
      <text>
        <r>
          <rPr>
            <b/>
            <sz val="9"/>
            <color indexed="81"/>
            <rFont val="Tahoma"/>
            <family val="2"/>
          </rPr>
          <t>WINDOWS:</t>
        </r>
        <r>
          <rPr>
            <sz val="9"/>
            <color indexed="81"/>
            <rFont val="Tahoma"/>
            <family val="2"/>
          </rPr>
          <t xml:space="preserve">
Kegiatan gelar dagang tidak bisa dilaksanakan krn anggaran dipotong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ACER</author>
    <author>Ultimate</author>
    <author>WINDOWS</author>
    <author>ASUS</author>
    <author>USER</author>
  </authors>
  <commentList>
    <comment ref="H39" authorId="0" shapeId="0" xr:uid="{00000000-0006-0000-0000-000002000000}">
      <text>
        <r>
          <rPr>
            <b/>
            <sz val="9"/>
            <color indexed="81"/>
            <rFont val="Tahoma"/>
            <family val="2"/>
          </rPr>
          <t>ACER:</t>
        </r>
        <r>
          <rPr>
            <sz val="9"/>
            <color indexed="81"/>
            <rFont val="Tahoma"/>
            <family val="2"/>
          </rPr>
          <t xml:space="preserve">
2021 desa badaun 245
 total 2020 dan 2021 2944</t>
        </r>
      </text>
    </comment>
    <comment ref="J39" authorId="1" shapeId="0" xr:uid="{00000000-0006-0000-0000-000003000000}">
      <text>
        <r>
          <rPr>
            <sz val="14"/>
            <color indexed="81"/>
            <rFont val="Tahoma"/>
            <family val="2"/>
          </rPr>
          <t>Jumlah SKPD yang melaksanakan pemberdayaan perempuan dibagi jumlah SKPD dikali 100</t>
        </r>
      </text>
    </comment>
    <comment ref="L42" authorId="1" shapeId="0" xr:uid="{00000000-0006-0000-0000-000004000000}">
      <text>
        <r>
          <rPr>
            <b/>
            <sz val="12"/>
            <color indexed="81"/>
            <rFont val="Tahoma"/>
            <family val="2"/>
          </rPr>
          <t>Jan = 1
Feb = 2
Maret = 1
Total 4 Kasus</t>
        </r>
      </text>
    </comment>
    <comment ref="N42" authorId="1" shapeId="0" xr:uid="{00000000-0006-0000-0000-000005000000}">
      <text>
        <r>
          <rPr>
            <b/>
            <sz val="12"/>
            <color indexed="81"/>
            <rFont val="Tahoma"/>
            <family val="2"/>
          </rPr>
          <t xml:space="preserve">April = 1
Mei = 1
Juni = 0
Total 2
</t>
        </r>
      </text>
    </comment>
    <comment ref="P42" authorId="1" shapeId="0" xr:uid="{00000000-0006-0000-0000-000006000000}">
      <text>
        <r>
          <rPr>
            <b/>
            <sz val="12"/>
            <color indexed="81"/>
            <rFont val="Tahoma"/>
            <family val="2"/>
          </rPr>
          <t xml:space="preserve">April = 1
Mei = 1
Juni = 0
Total 2
</t>
        </r>
      </text>
    </comment>
    <comment ref="N44" authorId="2" shapeId="0" xr:uid="{00000000-0006-0000-0000-000007000000}">
      <text>
        <r>
          <rPr>
            <b/>
            <sz val="9"/>
            <color indexed="81"/>
            <rFont val="Tahoma"/>
            <family val="2"/>
          </rPr>
          <t>WINDOWS:</t>
        </r>
        <r>
          <rPr>
            <sz val="9"/>
            <color indexed="81"/>
            <rFont val="Tahoma"/>
            <family val="2"/>
          </rPr>
          <t xml:space="preserve">
april 1, mei 1</t>
        </r>
      </text>
    </comment>
    <comment ref="P44" authorId="2" shapeId="0" xr:uid="{00000000-0006-0000-0000-000008000000}">
      <text>
        <r>
          <rPr>
            <b/>
            <sz val="9"/>
            <color indexed="81"/>
            <rFont val="Tahoma"/>
            <family val="2"/>
          </rPr>
          <t>WINDOWS:</t>
        </r>
        <r>
          <rPr>
            <sz val="9"/>
            <color indexed="81"/>
            <rFont val="Tahoma"/>
            <family val="2"/>
          </rPr>
          <t xml:space="preserve">
Juli 1</t>
        </r>
      </text>
    </comment>
    <comment ref="L46" authorId="1" shapeId="0" xr:uid="{00000000-0006-0000-0000-000009000000}">
      <text>
        <r>
          <rPr>
            <b/>
            <sz val="12"/>
            <color indexed="81"/>
            <rFont val="Tahoma"/>
            <family val="2"/>
          </rPr>
          <t>Jan = 1
Feb = 2
Maret = 1
Total 4 Kasus</t>
        </r>
      </text>
    </comment>
    <comment ref="N46" authorId="1" shapeId="0" xr:uid="{00000000-0006-0000-0000-00000A000000}">
      <text>
        <r>
          <rPr>
            <b/>
            <sz val="12"/>
            <color indexed="81"/>
            <rFont val="Tahoma"/>
            <family val="2"/>
          </rPr>
          <t xml:space="preserve">April = 1
Mei = 0
Juni = 0
Total 1
</t>
        </r>
      </text>
    </comment>
    <comment ref="P46" authorId="1" shapeId="0" xr:uid="{00000000-0006-0000-0000-00000B000000}">
      <text>
        <r>
          <rPr>
            <b/>
            <sz val="12"/>
            <color indexed="81"/>
            <rFont val="Tahoma"/>
            <family val="2"/>
          </rPr>
          <t xml:space="preserve">April = 1
Mei = 0
Juni = 0
Total 1
</t>
        </r>
      </text>
    </comment>
    <comment ref="E49" authorId="0" shapeId="0" xr:uid="{00000000-0006-0000-0000-00000C000000}">
      <text>
        <r>
          <rPr>
            <b/>
            <sz val="9"/>
            <color indexed="81"/>
            <rFont val="Tahoma"/>
            <family val="2"/>
          </rPr>
          <t>ACER:</t>
        </r>
        <r>
          <rPr>
            <sz val="9"/>
            <color indexed="81"/>
            <rFont val="Tahoma"/>
            <family val="2"/>
          </rPr>
          <t xml:space="preserve">
1. Desa hariti
2. Desa malutu
3. Desa mandala
4. desa teluk labak
5. Desa muning baru
6. Desa panggungan
7. Desa Bajayau tengah
8. Desa Badaun
9. Desa Tambingkar
10. Desa Lungau</t>
        </r>
      </text>
    </comment>
    <comment ref="H49" authorId="0" shapeId="0" xr:uid="{00000000-0006-0000-0000-00000D000000}">
      <text>
        <r>
          <rPr>
            <b/>
            <sz val="9"/>
            <color indexed="81"/>
            <rFont val="Tahoma"/>
            <family val="2"/>
          </rPr>
          <t>ACER:</t>
        </r>
        <r>
          <rPr>
            <sz val="9"/>
            <color indexed="81"/>
            <rFont val="Tahoma"/>
            <family val="2"/>
          </rPr>
          <t xml:space="preserve">
1. Desa hariti
2. Desa malutu
3. Desa mandala
4. desa teluk labak
5. Desa muning baru
6. Desa panggungan
7. Desa Bajayau tengah
8. Desa Badaun</t>
        </r>
      </text>
    </comment>
    <comment ref="J49" authorId="0" shapeId="0" xr:uid="{00000000-0006-0000-0000-00000E000000}">
      <text>
        <r>
          <rPr>
            <b/>
            <sz val="9"/>
            <color indexed="81"/>
            <rFont val="Tahoma"/>
            <family val="2"/>
          </rPr>
          <t>ACER:</t>
        </r>
        <r>
          <rPr>
            <sz val="9"/>
            <color indexed="81"/>
            <rFont val="Tahoma"/>
            <family val="2"/>
          </rPr>
          <t xml:space="preserve">
1. Desa hariti
2. Desa malutu
3. Desa mandala
4. desa teluk labak
5. Desa muning baru
6. Desa panggungan
7. Desa Bajayau tengah
8. Desa Badaun
9. Desa Tambingkar</t>
        </r>
      </text>
    </comment>
    <comment ref="L49" authorId="2" shapeId="0" xr:uid="{00000000-0006-0000-0000-00000F000000}">
      <text>
        <r>
          <rPr>
            <b/>
            <sz val="9"/>
            <color indexed="81"/>
            <rFont val="Tahoma"/>
            <family val="2"/>
          </rPr>
          <t>WINDOWS:</t>
        </r>
        <r>
          <rPr>
            <sz val="9"/>
            <color indexed="81"/>
            <rFont val="Tahoma"/>
            <family val="2"/>
          </rPr>
          <t xml:space="preserve">
Ds. Tambingkar</t>
        </r>
      </text>
    </comment>
    <comment ref="J52" authorId="3" shapeId="0" xr:uid="{00000000-0006-0000-0000-000010000000}">
      <text>
        <r>
          <rPr>
            <sz val="12"/>
            <color indexed="81"/>
            <rFont val="Tahoma"/>
            <family val="2"/>
          </rPr>
          <t>blm revisi 60 DWP, 30 GATRI, 55 dan 60 GOW</t>
        </r>
      </text>
    </comment>
    <comment ref="L55" authorId="2" shapeId="0" xr:uid="{00000000-0006-0000-0000-000011000000}">
      <text>
        <r>
          <rPr>
            <b/>
            <sz val="9"/>
            <color indexed="81"/>
            <rFont val="Tahoma"/>
            <family val="2"/>
          </rPr>
          <t>WINDOWS:</t>
        </r>
        <r>
          <rPr>
            <sz val="9"/>
            <color indexed="81"/>
            <rFont val="Tahoma"/>
            <family val="2"/>
          </rPr>
          <t xml:space="preserve">
1. FAD</t>
        </r>
      </text>
    </comment>
    <comment ref="N55" authorId="2" shapeId="0" xr:uid="{00000000-0006-0000-0000-000012000000}">
      <text>
        <r>
          <rPr>
            <b/>
            <sz val="9"/>
            <color indexed="81"/>
            <rFont val="Tahoma"/>
            <family val="2"/>
          </rPr>
          <t>WINDOWS:</t>
        </r>
        <r>
          <rPr>
            <sz val="9"/>
            <color indexed="81"/>
            <rFont val="Tahoma"/>
            <family val="2"/>
          </rPr>
          <t xml:space="preserve">
1. SRA
2. Pesantren Ramah Anak
3. Puskesmas Ramah Anak
4. Masjid Ramah Anak
5. APSAI</t>
        </r>
      </text>
    </comment>
    <comment ref="E56" authorId="0" shapeId="0" xr:uid="{00000000-0006-0000-0000-000014000000}">
      <text>
        <r>
          <rPr>
            <b/>
            <sz val="9"/>
            <color indexed="81"/>
            <rFont val="Tahoma"/>
            <family val="2"/>
          </rPr>
          <t>ACER:</t>
        </r>
        <r>
          <rPr>
            <sz val="9"/>
            <color indexed="81"/>
            <rFont val="Tahoma"/>
            <family val="2"/>
          </rPr>
          <t xml:space="preserve">
Desa bajayau dan desa mandala</t>
        </r>
      </text>
    </comment>
    <comment ref="H56" authorId="0" shapeId="0" xr:uid="{00000000-0006-0000-0000-000015000000}">
      <text>
        <r>
          <rPr>
            <b/>
            <sz val="9"/>
            <color indexed="81"/>
            <rFont val="Tahoma"/>
            <family val="2"/>
          </rPr>
          <t>ACER:</t>
        </r>
        <r>
          <rPr>
            <sz val="9"/>
            <color indexed="81"/>
            <rFont val="Tahoma"/>
            <family val="2"/>
          </rPr>
          <t xml:space="preserve">
desa jembatan merah dan desa baluti</t>
        </r>
      </text>
    </comment>
    <comment ref="L56" authorId="0" shapeId="0" xr:uid="{00000000-0006-0000-0000-000016000000}">
      <text>
        <r>
          <rPr>
            <b/>
            <sz val="9"/>
            <color indexed="81"/>
            <rFont val="Tahoma"/>
            <family val="2"/>
          </rPr>
          <t>ACER:</t>
        </r>
        <r>
          <rPr>
            <sz val="9"/>
            <color indexed="81"/>
            <rFont val="Tahoma"/>
            <family val="2"/>
          </rPr>
          <t xml:space="preserve">
Desa sungai raya selatan dan desa tambingkar</t>
        </r>
      </text>
    </comment>
    <comment ref="L57" authorId="2" shapeId="0" xr:uid="{00000000-0006-0000-0000-000017000000}">
      <text>
        <r>
          <rPr>
            <b/>
            <sz val="9"/>
            <color indexed="81"/>
            <rFont val="Tahoma"/>
            <family val="2"/>
          </rPr>
          <t>WINDOWS:</t>
        </r>
        <r>
          <rPr>
            <sz val="9"/>
            <color indexed="81"/>
            <rFont val="Tahoma"/>
            <family val="2"/>
          </rPr>
          <t xml:space="preserve">
1. Video FAD Pencegahan Perkawinan
2. Video FAD Pencegahan Covid-19
3. Sertifikat KHA
</t>
        </r>
      </text>
    </comment>
    <comment ref="L60" authorId="4" shapeId="0" xr:uid="{00000000-0006-0000-0000-000018000000}">
      <text>
        <r>
          <rPr>
            <b/>
            <sz val="12"/>
            <color indexed="81"/>
            <rFont val="Tahoma"/>
            <family val="2"/>
          </rPr>
          <t>KASUS ANAK</t>
        </r>
        <r>
          <rPr>
            <sz val="12"/>
            <color indexed="81"/>
            <rFont val="Tahoma"/>
            <family val="2"/>
          </rPr>
          <t xml:space="preserve">
 Jan = 1
Feb = 2
Maret = 1
Total 4 Kasus</t>
        </r>
      </text>
    </comment>
    <comment ref="N60" authorId="4" shapeId="0" xr:uid="{00000000-0006-0000-0000-000019000000}">
      <text>
        <r>
          <rPr>
            <sz val="12"/>
            <color indexed="81"/>
            <rFont val="Tahoma"/>
            <family val="2"/>
          </rPr>
          <t>April = 4
Mei = 3
Juni = 1
Total 8</t>
        </r>
      </text>
    </comment>
    <comment ref="P60" authorId="4" shapeId="0" xr:uid="{00000000-0006-0000-0000-00001A000000}">
      <text>
        <r>
          <rPr>
            <sz val="12"/>
            <color indexed="81"/>
            <rFont val="Tahoma"/>
            <family val="2"/>
          </rPr>
          <t>April = 4
Mei = 3
Juni = 1
Total 8</t>
        </r>
      </text>
    </comment>
    <comment ref="R60" authorId="4" shapeId="0" xr:uid="{00000000-0006-0000-0000-00001B000000}">
      <text>
        <r>
          <rPr>
            <sz val="12"/>
            <color indexed="81"/>
            <rFont val="Tahoma"/>
            <family val="2"/>
          </rPr>
          <t>1 seksual 
1 pendampingan abh (anak berhadapan hukum ) diversi kasus laka lantas
1 pendampingan abh penganiyaan /pembunuhan</t>
        </r>
      </text>
    </comment>
    <comment ref="R61" authorId="4" shapeId="0" xr:uid="{00000000-0006-0000-0000-00001C000000}">
      <text>
        <r>
          <rPr>
            <sz val="12"/>
            <color indexed="81"/>
            <rFont val="Tahoma"/>
            <family val="2"/>
          </rPr>
          <t>1 seksual 
1 pendampingan abh (anak berhadapan hukum ) diversi kasus laka lantas
1 pendampingan abh penganiyaan /pembunuhan</t>
        </r>
      </text>
    </comment>
    <comment ref="R63" authorId="4" shapeId="0" xr:uid="{00000000-0006-0000-0000-00001D000000}">
      <text>
        <r>
          <rPr>
            <sz val="12"/>
            <color indexed="81"/>
            <rFont val="Tahoma"/>
            <family val="2"/>
          </rPr>
          <t>1 seksual 
1 pendampingan abh (anak berhadapan hukum ) diversi kasus laka lantas
1 pendampingan abh penganiyaan /pembunuhan</t>
        </r>
      </text>
    </comment>
    <comment ref="N64" authorId="2" shapeId="0" xr:uid="{00000000-0006-0000-0000-00001E000000}">
      <text>
        <r>
          <rPr>
            <b/>
            <sz val="9"/>
            <color indexed="81"/>
            <rFont val="Tahoma"/>
            <family val="2"/>
          </rPr>
          <t xml:space="preserve">WINDOWS:
</t>
        </r>
        <r>
          <rPr>
            <sz val="9"/>
            <color indexed="81"/>
            <rFont val="Tahoma"/>
            <family val="2"/>
          </rPr>
          <t>april 1, mei 3, juni 2</t>
        </r>
      </text>
    </comment>
    <comment ref="P64" authorId="2" shapeId="0" xr:uid="{00000000-0006-0000-0000-00001F000000}">
      <text>
        <r>
          <rPr>
            <b/>
            <sz val="9"/>
            <color indexed="81"/>
            <rFont val="Tahoma"/>
            <family val="2"/>
          </rPr>
          <t xml:space="preserve">WINDOWS:
</t>
        </r>
        <r>
          <rPr>
            <sz val="9"/>
            <color indexed="81"/>
            <rFont val="Tahoma"/>
            <family val="2"/>
          </rPr>
          <t>juli 2, agustus 3, september 4</t>
        </r>
      </text>
    </comment>
    <comment ref="R66" authorId="4" shapeId="0" xr:uid="{00000000-0006-0000-0000-000020000000}">
      <text>
        <r>
          <rPr>
            <sz val="12"/>
            <color indexed="81"/>
            <rFont val="Tahoma"/>
            <family val="2"/>
          </rPr>
          <t>1 seksual 
1 pendampingan abh (anak berhadapan hukum ) diversi kasus laka lantas
1 pendampingan abh penganiyaan /pembunuhan</t>
        </r>
      </text>
    </comment>
    <comment ref="E71" authorId="0" shapeId="0" xr:uid="{00000000-0006-0000-0000-000021000000}">
      <text>
        <r>
          <rPr>
            <b/>
            <sz val="9"/>
            <color indexed="81"/>
            <rFont val="Tahoma"/>
            <family val="2"/>
          </rPr>
          <t>ACER:</t>
        </r>
        <r>
          <rPr>
            <sz val="9"/>
            <color indexed="81"/>
            <rFont val="Tahoma"/>
            <family val="2"/>
          </rPr>
          <t xml:space="preserve">
Desa Bajayau Lama</t>
        </r>
      </text>
    </comment>
    <comment ref="H71" authorId="0" shapeId="0" xr:uid="{00000000-0006-0000-0000-000022000000}">
      <text>
        <r>
          <rPr>
            <b/>
            <sz val="9"/>
            <color indexed="81"/>
            <rFont val="Tahoma"/>
            <family val="2"/>
          </rPr>
          <t>ACER:</t>
        </r>
        <r>
          <rPr>
            <sz val="9"/>
            <color indexed="81"/>
            <rFont val="Tahoma"/>
            <family val="2"/>
          </rPr>
          <t xml:space="preserve">
Desa Lungau</t>
        </r>
      </text>
    </comment>
    <comment ref="J71" authorId="0" shapeId="0" xr:uid="{00000000-0006-0000-0000-000023000000}">
      <text>
        <r>
          <rPr>
            <b/>
            <sz val="9"/>
            <color indexed="81"/>
            <rFont val="Tahoma"/>
            <family val="2"/>
          </rPr>
          <t>ACER:</t>
        </r>
        <r>
          <rPr>
            <sz val="9"/>
            <color indexed="81"/>
            <rFont val="Tahoma"/>
            <family val="2"/>
          </rPr>
          <t xml:space="preserve">
Desa Parigi</t>
        </r>
      </text>
    </comment>
    <comment ref="N71" authorId="0" shapeId="0" xr:uid="{00000000-0006-0000-0000-000024000000}">
      <text>
        <r>
          <rPr>
            <b/>
            <sz val="9"/>
            <color indexed="81"/>
            <rFont val="Tahoma"/>
            <family val="2"/>
          </rPr>
          <t>ACER:</t>
        </r>
        <r>
          <rPr>
            <sz val="9"/>
            <color indexed="81"/>
            <rFont val="Tahoma"/>
            <family val="2"/>
          </rPr>
          <t xml:space="preserve">
Desa Parigi</t>
        </r>
      </text>
    </comment>
    <comment ref="P71" authorId="0" shapeId="0" xr:uid="{00000000-0006-0000-0000-000025000000}">
      <text>
        <r>
          <rPr>
            <b/>
            <sz val="9"/>
            <color indexed="81"/>
            <rFont val="Tahoma"/>
            <family val="2"/>
          </rPr>
          <t>ACER:</t>
        </r>
        <r>
          <rPr>
            <sz val="9"/>
            <color indexed="81"/>
            <rFont val="Tahoma"/>
            <family val="2"/>
          </rPr>
          <t xml:space="preserve">
Desa Parigi</t>
        </r>
      </text>
    </comment>
    <comment ref="H75" authorId="0" shapeId="0" xr:uid="{00000000-0006-0000-0000-000026000000}">
      <text>
        <r>
          <rPr>
            <b/>
            <sz val="9"/>
            <color indexed="81"/>
            <rFont val="Tahoma"/>
            <family val="2"/>
          </rPr>
          <t>Laporan bulan November
IUD 282
mow 722
MOP 42
IMPLAN 1790
TOTAL MKJP 2836
JML PUS 41134</t>
        </r>
      </text>
    </comment>
    <comment ref="L75" authorId="2" shapeId="0" xr:uid="{00000000-0006-0000-0000-000027000000}">
      <text>
        <r>
          <rPr>
            <b/>
            <sz val="9"/>
            <color indexed="81"/>
            <rFont val="Tahoma"/>
            <family val="2"/>
          </rPr>
          <t>WINDOWS:</t>
        </r>
        <r>
          <rPr>
            <sz val="9"/>
            <color indexed="81"/>
            <rFont val="Tahoma"/>
            <family val="2"/>
          </rPr>
          <t xml:space="preserve">
2017 total KB aktif MKJP
27174 Peserta KB Aktif</t>
        </r>
      </text>
    </comment>
    <comment ref="N75" authorId="2" shapeId="0" xr:uid="{00000000-0006-0000-0000-000028000000}">
      <text>
        <r>
          <rPr>
            <b/>
            <sz val="9"/>
            <color indexed="81"/>
            <rFont val="Tahoma"/>
            <family val="2"/>
          </rPr>
          <t>WINDOWS:</t>
        </r>
        <r>
          <rPr>
            <sz val="9"/>
            <color indexed="81"/>
            <rFont val="Tahoma"/>
            <family val="2"/>
          </rPr>
          <t xml:space="preserve">
1978 total KB aktif MKJP
26807  Peserta KB Aktif</t>
        </r>
      </text>
    </comment>
    <comment ref="P75" authorId="2" shapeId="0" xr:uid="{00000000-0006-0000-0000-000029000000}">
      <text>
        <r>
          <rPr>
            <b/>
            <sz val="9"/>
            <color indexed="81"/>
            <rFont val="Tahoma"/>
            <family val="2"/>
          </rPr>
          <t>WINDOWS:</t>
        </r>
        <r>
          <rPr>
            <sz val="9"/>
            <color indexed="81"/>
            <rFont val="Tahoma"/>
            <family val="2"/>
          </rPr>
          <t xml:space="preserve">
1978 total KB aktif MKJP
26807  Peserta KB Aktif</t>
        </r>
      </text>
    </comment>
    <comment ref="P85" authorId="2" shapeId="0" xr:uid="{00CF8D56-F3C0-4F30-AED6-64E7EF84024F}">
      <text>
        <r>
          <rPr>
            <b/>
            <sz val="9"/>
            <color indexed="81"/>
            <rFont val="Tahoma"/>
            <family val="2"/>
          </rPr>
          <t>WINDOWS:</t>
        </r>
        <r>
          <rPr>
            <sz val="9"/>
            <color indexed="81"/>
            <rFont val="Tahoma"/>
            <family val="2"/>
          </rPr>
          <t xml:space="preserve">
IMPLAN 1080
IUD 273
VASEKTOMI 22
TUBEKTOMI 617</t>
        </r>
      </text>
    </comment>
    <comment ref="N94" authorId="2" shapeId="0" xr:uid="{00000000-0006-0000-0000-00002D000000}">
      <text>
        <r>
          <rPr>
            <b/>
            <sz val="9"/>
            <color indexed="81"/>
            <rFont val="Tahoma"/>
            <family val="2"/>
          </rPr>
          <t>WINDOWS:</t>
        </r>
        <r>
          <rPr>
            <sz val="9"/>
            <color indexed="81"/>
            <rFont val="Tahoma"/>
            <family val="2"/>
          </rPr>
          <t xml:space="preserve">
sisanya dihilangkan dialihkan anggarannya utk stunting</t>
        </r>
      </text>
    </comment>
    <comment ref="N96" authorId="2" shapeId="0" xr:uid="{00000000-0006-0000-0000-00002F000000}">
      <text>
        <r>
          <rPr>
            <b/>
            <sz val="9"/>
            <color indexed="81"/>
            <rFont val="Tahoma"/>
            <family val="2"/>
          </rPr>
          <t>WINDOWS:</t>
        </r>
        <r>
          <rPr>
            <sz val="9"/>
            <color indexed="81"/>
            <rFont val="Tahoma"/>
            <family val="2"/>
          </rPr>
          <t xml:space="preserve">
Kegiatan gelar dagang tidak bisa dilaksanakan krn anggaran dipotong</t>
        </r>
      </text>
    </comment>
  </commentList>
</comments>
</file>

<file path=xl/sharedStrings.xml><?xml version="1.0" encoding="utf-8"?>
<sst xmlns="http://schemas.openxmlformats.org/spreadsheetml/2006/main" count="1177" uniqueCount="273">
  <si>
    <t>EVALUASI TERHADAP HASIL RENCANA KERJA PERANGKAT DAERAH LINGKUP KABUPATEN</t>
  </si>
  <si>
    <t>RENCANA KERJA PERANGKAT DAERAH</t>
  </si>
  <si>
    <t>Indikator dan Target Kinerja Perangkat Daerah Kabupaten yang Mengacu Pada Sasaran RKPD Kabupaten</t>
  </si>
  <si>
    <t>No</t>
  </si>
  <si>
    <t>Sasaran</t>
  </si>
  <si>
    <t>Program/Kegiatan</t>
  </si>
  <si>
    <t>Target Renstra Perangkat Daerah Pada Tahun 2023</t>
  </si>
  <si>
    <t>Realisasi Kinerja Pada Triwulan</t>
  </si>
  <si>
    <t>SKPD Penanggung Jawab</t>
  </si>
  <si>
    <t>I</t>
  </si>
  <si>
    <t>II</t>
  </si>
  <si>
    <t>III</t>
  </si>
  <si>
    <t>IV</t>
  </si>
  <si>
    <t>K</t>
  </si>
  <si>
    <t>Rp</t>
  </si>
  <si>
    <t>[kolom (8-11)(K)]</t>
  </si>
  <si>
    <t>[kolom (8-11)(Rp)]</t>
  </si>
  <si>
    <t>[kolom (6)(K) + kolom (12)(K)]</t>
  </si>
  <si>
    <t>[kolom (6)(Rp) + kolom (12)(Rp)]</t>
  </si>
  <si>
    <t>[kolom (13)(K) : kolom (5)(K)] x 100%</t>
  </si>
  <si>
    <t>[Kolom (13)(Rp) : Kolom (5)(Rp)] x 100%</t>
  </si>
  <si>
    <t>Meningkatnya akuntabilitas Instansi Pemerintah dan Kualitas Pelayanan Publik</t>
  </si>
  <si>
    <t>Meningkatnya Kinerja Keuangan dan Kinerja Birokrasi</t>
  </si>
  <si>
    <t>Rata-rata Capaian Kinerja (%)</t>
  </si>
  <si>
    <t>Predikat Kinerja</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</si>
  <si>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</si>
  <si>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</si>
  <si>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</si>
  <si>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</si>
  <si>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</si>
  <si>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</si>
  <si>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</si>
  <si>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</si>
  <si>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</si>
  <si>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</si>
  <si>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</si>
  <si>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</si>
  <si>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</si>
  <si>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</si>
  <si>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</si>
  <si>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</si>
  <si>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</si>
  <si>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</si>
  <si>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DINAS PENGENDALIAN PENDUDUK, KELUARGA BERENCANA, PEMBERDAYAAN PEREMPUAN DAN PERLINDUNGAN ANAK</t>
  </si>
  <si>
    <t>Dinas Pengendalian Penduduk, Keluarga Berencana, Pemberdayaan Perempuan dan Perlindungan Anak</t>
  </si>
  <si>
    <t>Meningkatnya Pemberdayaan Responsif Gender dan Perlindungan Terhadap Anak</t>
  </si>
  <si>
    <t>Realisasi dan Tingkat Capaian Kinerja dan Anggaran Renja Perangkat Daerah yang Dievaluasi</t>
  </si>
  <si>
    <t>[kolom (12)(K) : kolom (7)(K)] x 100%</t>
  </si>
  <si>
    <t>Disusun</t>
  </si>
  <si>
    <t>Kabupaten Hulu Sungai Selatan</t>
  </si>
  <si>
    <t>Tindak lanjut yang diperlukan dalam triwulan berikutnya*): Mendorong percepatan kegiatan di lapangan dan optimalisasi koordinasi dengan stakeholder</t>
  </si>
  <si>
    <t>Tindak lanjut yang diperlukan dalam Renja Perangkat Daerah Kabupaten berikutnya*): Penyesuaian rencana dan target kinerja berdasarkan anggaran kegiatan</t>
  </si>
  <si>
    <t>Perencanaan, Penganggaran, dan Evaluasi Kinerja Perangkat Daerah</t>
  </si>
  <si>
    <t>Penyusunan Dokumen Perencanaan Perangkat Daerah</t>
  </si>
  <si>
    <t>Program Penunjang Urusan Pemerintahan Daerah Kabupaten/Kota</t>
  </si>
  <si>
    <t>Evaluasi Kinerja Perangkat Daerah</t>
  </si>
  <si>
    <t>Administrasi Keuangan Perangkat Daerah</t>
  </si>
  <si>
    <t>Penyediaan Gaji dan Tunjangan ASN</t>
  </si>
  <si>
    <t>Koordinasi dan Penyusunan Laporan Keuangan Akhir Tahun SKPD</t>
  </si>
  <si>
    <t>Koordinasi dan Penyusunan Laporan Keuangan Bulanan/Triwulanan/Semesteran SKPD</t>
  </si>
  <si>
    <t>Penyusunan Pelaporan dan Analisis Prognosis Realisasi Anggaran</t>
  </si>
  <si>
    <t>Penyediaan Komponen Instalasi Listrik/Penerangan Bangunan Kantor</t>
  </si>
  <si>
    <t>Penyediaan Peralatan dan Perlengkapan Kantor</t>
  </si>
  <si>
    <t>Penyediaan Bahan Logistik Kantor</t>
  </si>
  <si>
    <t>Penyediaan Barang Cetakan dan Penggandaan</t>
  </si>
  <si>
    <t>Penyediaan Bahan Bacaan dan Peraturan Perundang‑undangan</t>
  </si>
  <si>
    <t>Penyelenggaraan Rapat Koordinasi dan Konsultasi SKPD</t>
  </si>
  <si>
    <t>Pengadaan Barang Milik Daerah Penunjang Urusan Pemerintah Daerah</t>
  </si>
  <si>
    <t>Pengadaan Sarana dan Prasarana Gedung Kantor atau Bangunan Lainnya</t>
  </si>
  <si>
    <t>Penyediaan Jasa Penunjang Urusan Pemerintahan Daerah</t>
  </si>
  <si>
    <t>Penyediaan Jasa Surat Menyurat</t>
  </si>
  <si>
    <t>Penyediaan Jasa Komunikasi, Sumber Daya Air dan Listrik</t>
  </si>
  <si>
    <t>Penyediaan Jasa Pelayanan Umum Kantor</t>
  </si>
  <si>
    <t>Pemeliharaan Barang Milik Daerah Penunjang Urusan Pemerintahan Daerah</t>
  </si>
  <si>
    <t>Penyediaan Jasa Pemeliharaan, Biaya Pemeliharaan, Pajak dan Perizinan Kendaraan Dinas Operasional atau Lapangan</t>
  </si>
  <si>
    <t>Pemeliharaan/Rehabilitasi Sarana dan Prasarana Gedung Kantor atau Bangunan Lainnya</t>
  </si>
  <si>
    <t>Program Pengarus Utamaan Gender Dan Pemberdayaan Perempuan</t>
  </si>
  <si>
    <t>Pelembagaan Pengarusutamaan Gender (PUG) pada Lembaga Pemerintah Kewenangan Kabupaten/Kota</t>
  </si>
  <si>
    <t>Koordinasi dan Sinkronisasi Pelaksanaan PUG Kewenangan Kabupaten/Kota</t>
  </si>
  <si>
    <t>Program Perlindungan Perempuan</t>
  </si>
  <si>
    <t>Pencegahan Kekerasan terhadap Perempuan Lingkup Daerah Kabupaten/Kota</t>
  </si>
  <si>
    <t>Advokasi Kebijakan dan Pendampingan Layanan Perlindungan Perempuan Kewenangan Kabupaten/Kota</t>
  </si>
  <si>
    <t>Program Peningkatan Kualitas Keluarga</t>
  </si>
  <si>
    <t>Peningkatan Kualitas Keluarga dalam Mewujudkan Kesetaraan Gender (KG) dan Hak Anak Tingkat Daerah Kabupaten/Kota</t>
  </si>
  <si>
    <t>Pengembangan Kegiatan Masyarakat untuk Peningkatan Kualitas Keluarga Kewenangan Kabupaten/Kota</t>
  </si>
  <si>
    <t>Penguatan dan Pengembangan Lembaga Penyedia Layanan Peningkatan Kualitas Keluarga dalam Mewujudkan KG dan Hak Anak yang Wilayah Kerjanya dalam Daerah Kabupaten/Kota</t>
  </si>
  <si>
    <t>Peningkatan Kapasitas Sumber Daya Lembaga Penyedia Layanan Peningkatan Kualitas Keluarga Tingkat Daerah Kabupaten/Kota</t>
  </si>
  <si>
    <t>Program Pemenuhan Hak Anak (PHA)</t>
  </si>
  <si>
    <t>Pelembagaan PHA pada Lembaga Pemerintah, Nonpemerintah, dan Dunia Usaha Kewenangan Kabupaten/Kota</t>
  </si>
  <si>
    <t>Advokasi Kebijakan dan Pendampingan Pemenuhan Hak Anak pada Lembaga Pemerintah, Non Pemerintah, Media dan Dunia Usaha Kewenangan Kabupaten/Kota</t>
  </si>
  <si>
    <t>Penguatan dan Pengembangan Lembaga Penyedia Layanan Peningkatan Kualitas Hidup Anak Kewenangan Kabupaten/Kota</t>
  </si>
  <si>
    <t>Koordinasi dan Sinkronisasi Pelaksanaan Pendampingan Peningkatan Kualitas Hidup Anak Tingkat Daerah Kabupaten/Kota</t>
  </si>
  <si>
    <t>Pengembangan Komunikasi, Informasi dan Edukasi Pemenuhan Hak Anak bagi Lembaga Penyedia Layanan Peningkatan Kualitas Hidup Anak Tingkat Daerah Kabupaten/Kota</t>
  </si>
  <si>
    <t>Penguatan Jejaring antar Lembaga Penyedia Layanan Peningkatan Kualitas Hidup Anak Tingkat Daerah Kabupaten/Kota</t>
  </si>
  <si>
    <t>Program Perlindungan Khusus Anak</t>
  </si>
  <si>
    <t>Penyediaan Layanan Pengaduan Masyarakat bagi Anak yang Memerlukan Perlindungan Khusus Tingkat Daerah Kabupaten/Kota</t>
  </si>
  <si>
    <t>Koordinasi dan Sinkronisasi Pelaksanaan Pendampingan Anak yang Memerlukan Perlindungan Khusus Kewenangan Kabupaten/Kota</t>
  </si>
  <si>
    <t>Program Pembinaan Keluarga Berencana (KB)</t>
  </si>
  <si>
    <t>Pelaksanaan Advokasi, Komunikasi, Informasi dan Edukasi (KIE) Pengendalian Penduduk dan KB sesuai Kearifan Budaya Lokal</t>
  </si>
  <si>
    <t>Advokasi Program KKBPK kepada Stakeholders dan Mitra Kerja</t>
  </si>
  <si>
    <t>Program Pengendalian Penduduk</t>
  </si>
  <si>
    <t>Pemaduan dan Sinkronisasi Kebijakan Pemerintah Daerah Provinsi dengan Pemerintah Daerah Kabupaten/Kota dalam rangka Pengendalian Kuantitas Penduduk</t>
  </si>
  <si>
    <t>Penguatan Kerjasama Pelaksanaan Pendidikan Kependudukan Jalur Pendidikan Formal</t>
  </si>
  <si>
    <t>Pemetaan Perkiraan Pengendalian Penduduk Cakupan Daerah Kabupaten/Kota</t>
  </si>
  <si>
    <t>Membentuk Rumah Data Kependudukan di Kampung KB Untuk Memperkuat Integrasi Program KKBPK di Sektor Lain</t>
  </si>
  <si>
    <t>Pengendalian Program KKBPK</t>
  </si>
  <si>
    <t>Pengendalian dan Pendistribusian Kebutuhan Alat dan Obat Kontrasepsi serta Pelaksanaan Pelayanan KB di Daerah Kabupaten/Kota</t>
  </si>
  <si>
    <t>Peningkatan Kesertaan Penggunaan Metode Kontrasepsi Jangka Panjang (MKJP)</t>
  </si>
  <si>
    <t>Peningkatan Kompetensi Tenaga Pelayanan Keluarga Berencana dan Kesehatan Reproduksi</t>
  </si>
  <si>
    <t>Dukungan Operasional Pelayanan KB Bergerak</t>
  </si>
  <si>
    <t>Pemberdayaan dan Peningkatan Peran serta Organisasi Kemasyarakatan Tingkat Daerah Kabupaten/Kota dalam Pelaksanaan Pelayanan dan Pembinaan Kesertaan Ber‑KB</t>
  </si>
  <si>
    <t>Penguatan Peran serta Organisasi Kemasyarakatan dan Mitra Kerja Lainnya dalam Pelaksanaan Pelayanan dan Pembinaan Kesertaan Ber‑KB</t>
  </si>
  <si>
    <t>Program Pemberdayaan Dan Peningkatan Keluarga Sejahtera (KS)</t>
  </si>
  <si>
    <t>Pelaksanaan Pembangunan Keluarga melalui Pembinaan Ketahanan dan Kesejahteraan Keluarga</t>
  </si>
  <si>
    <t>Orientasi/Pelatihan Teknis Pelaksana/Kader Ketahanan dan Kesejahteraan Keluarga (BKB, BKR, BKL, PPPKS, PIK‑R dan Pemberdayaan Ekonomi Keluarga/UPPKS)</t>
  </si>
  <si>
    <t>Promosi dan Sosialisasi Kelompok Kegiatan Ketahanan dan Kesejahteraan Keluarga (BKB, BKR, BKL, PPPKS, PIK‑R dan Pemberdayaan Ekonomi Keluarga/UPPKS)</t>
  </si>
  <si>
    <t>Dok</t>
  </si>
  <si>
    <t>Administrasi Umum Perangkat Daerah</t>
  </si>
  <si>
    <t>%</t>
  </si>
  <si>
    <t>Penyediaan dan Distribusi Sarana KIE Program KKBPK (DAK Non Fisik)</t>
  </si>
  <si>
    <t>Pengelolaan Operasional dan Sarana Di Balai Penyuluhan KKBPK (DAK Non Fisik)</t>
  </si>
  <si>
    <t>Pendayagunaan Tenaga Penyuluh KB/Petugas Lapangan KB (PKB/PLKB)</t>
  </si>
  <si>
    <t>Pengendalian Pendistribusian Alat dan Obat Kontrasepsi dan Sarana Penunjang Pelayanan KB Ke Fasilitas Kesehatan Termasuk Jaringan dan Jejaringnya (DAK Non Fisik)</t>
  </si>
  <si>
    <t>Pelaksanaan dan Pengelolaan Program KKBPK di Kampung KB (DAK Non Fisik)</t>
  </si>
  <si>
    <t>Tingkat kepuasan pelayanan</t>
  </si>
  <si>
    <t>Organisasi</t>
  </si>
  <si>
    <t>Jumlah PUS yang ber KB menggunakan alat kontrasepsi</t>
  </si>
  <si>
    <t>Penyediaan Sarana Penunjang Pelayanan KB (DAK Fisik)</t>
  </si>
  <si>
    <t>PUS</t>
  </si>
  <si>
    <t>Persentase Cakupan Layanan Rujukan Lanjutan bagi Anak yang memerlukan perlindungan khusus Secara Komprehensif</t>
  </si>
  <si>
    <t>Faktor pendorong keberhasilan pencapaian: Produk hukum daerah yang menunjang, ketepatan pelaksanaan kegiatan sesuai rencana, dukungan mitra kerja dan stakeholder dan komitmen kepala daerah</t>
  </si>
  <si>
    <t>Target Kinerja dan Anggaran Renja Perangkat Daerah Tahun Berjalan (Tahun 2022) yang Dievaluasi</t>
  </si>
  <si>
    <t>Realisasi Kinerja dan Anggaran Renstra Perangkat Daerah s/d Tahun 2022</t>
  </si>
  <si>
    <t>Tingkat Capaian Kinerja dan Realisasi Anggaran Renstra Perangkat Daerah s/d Tahun 2022 (%)</t>
  </si>
  <si>
    <t>Realisasi Capaian Kinerja Renstra Perangkat Daerah sampai dengan Renja Perangkat Daerah Tahun Lalu (2021)</t>
  </si>
  <si>
    <t>Penyediaan Layanan Rujukan Lanjutan bagi Perempuan Korban Kekerasan yang Memerlukan Koordinasi Kewenangan Kabupaten/Kota</t>
  </si>
  <si>
    <t>Penyediaan Layanan Pengaduan Masyarakat bagi Perempuan Korban Kekerasan Kewenangan Kabupaten/Kota</t>
  </si>
  <si>
    <t>Koordinasi dan Sinkronisasi Pelaksanaan Penyediaan Layanan Rujukan Lanjutan bagi Perempuan Korban Kekerasan Kewenangan Kabupaten/Kota</t>
  </si>
  <si>
    <t>Penyediaan Layanan bagi Anak yang Memerlukan Perlindungan Khusus yang Memerlukan Koordinasi Tingkat Daerah Kabupaten/Kota</t>
  </si>
  <si>
    <t>Pencegahan Kekerasan Terhadap Anak yang Melibatkan para Pihak Lingkup Daerah Kabupaten/Kota</t>
  </si>
  <si>
    <t>Koordinasi dan Sinkronisasi Pencegahan Kekerasan terhadap Anak Kewenangan Kabupaten/Kota</t>
  </si>
  <si>
    <t>Penguatan dan Pengembangan Lembaga Penyedia Layanan bagi Anak yang Memerlukan Perlindungan Khusus Tingkat Daerah Kabupaten/Kota</t>
  </si>
  <si>
    <t>Koordinasi dan Sinkronisasi Peningkatan Kapasitas Sumber Daya Lembaga Penyedia Layanan Anak yang Memerlukan Perlindungan Khusus Tingkat Daerah Kabupaten/Kota</t>
  </si>
  <si>
    <t>Penyediaan Data dan Informasi Keluarga</t>
  </si>
  <si>
    <t>Pengolahan dan Pelaporan Data Pengendalian Lapangan dan Pelayanan KB</t>
  </si>
  <si>
    <t>Penyediaan Biaya Operasional bagi Pengelola dan Pelaksana (Kader) Ketahanan dan Kesejahteraan Keluarga (BKB, BKR, BKL, PPPKS, PIK-R dan Pemberdayaan Ekonomi Keluarga/UPPKS)</t>
  </si>
  <si>
    <t>Jumlah Dokumen Perencanaan Perangkat Daerah</t>
  </si>
  <si>
    <t>Jumlah Laporan Evaluasi Kinerja Perangkat Daerah</t>
  </si>
  <si>
    <t>Lap</t>
  </si>
  <si>
    <t>Jumlah Orang yang Menerima Gaji dan Tunjangan ASN</t>
  </si>
  <si>
    <t>Jumlah Laporan Keuangan Akhir Tahun SKPD dan Laporan Hasil Koordinasi Penyusunan Laporan Keuangan Akhir Tahun SKPD</t>
  </si>
  <si>
    <t>Jumlah Laporan Keuangan Bulanan/Triwulanan/Semesteran SKPD dan Laporan Koordinasi Penyusunan Laporan Keuangan Bulanan/Triwulanan/Semesteran SKPD</t>
  </si>
  <si>
    <t>Jumlah Dokumen Pelaporan dan Analisis Prognosis Realisasi Anggaran</t>
  </si>
  <si>
    <t>Org</t>
  </si>
  <si>
    <t>Jumlah Paket Komponen Instalasi Listrik/Penerangan Bangunan Kantor yang Disediakan</t>
  </si>
  <si>
    <t>Jumlah Paket Peralatan dan Perlengkapan Kantor yang Disediakan</t>
  </si>
  <si>
    <t>Jumlah Paket Bahan Logistik Kantor yang Disediakan</t>
  </si>
  <si>
    <t>Jumlah Paket Barang Cetakan dan Penggandaan yang Disediakan</t>
  </si>
  <si>
    <t>Jumlah Dokumen Bahan Bacaan dan Peraturan Perundang-Undangan yang Disediakan</t>
  </si>
  <si>
    <t>Jumlah Laporan Penyelenggaraan Rapat Koordinasi dan Konsultasi SKPD</t>
  </si>
  <si>
    <t>Paket</t>
  </si>
  <si>
    <t>Jumlah Unit Sarana dan Prasarana Gedung Kantor atau Bangunan Lainnya yang Disediakan</t>
  </si>
  <si>
    <t>Unit</t>
  </si>
  <si>
    <t>Jumlah Laporan Penyediaan Jasa Surat Menyurat</t>
  </si>
  <si>
    <t>Jumlah Laporan Penyediaan Jasa Komunikasi, Sumber Daya Air dan Listrik yang Disediakan</t>
  </si>
  <si>
    <t>Jumlah Laporan Penyediaan Jasa Pelayanan Umum Kantor yang Disediakan</t>
  </si>
  <si>
    <t>Jumlah Kendaraan Dinas Operasional atau Lapangan yang Dipelihara dan dibayarkan Pajak dan Perizinannya</t>
  </si>
  <si>
    <t>Jumlah Sarana dan Prasarana Gedung Kantor atau Bangunan Lainnya yang Dipelihara/Direhabilitasi</t>
  </si>
  <si>
    <t>Jumlah Dokumen Hasil Koordinasi dan Sinkronisasi Pelaksanaan Pengarustamaan Gender (PUG) Kewenangan Kabupaten/Kota</t>
  </si>
  <si>
    <t>Jumlah Perempuan Korban Kekerasan Tingkat Kabupaten/Kota yang Mendapatkan Layanan Pengaduan</t>
  </si>
  <si>
    <t>Jumlah Layanan Tindak Lanjut Pengaduan yang Memerlukan Koordinasi dan Sinkronisasi bagi Perempuan Korban Kekerasan Kewenangan Kabupaten/Kota</t>
  </si>
  <si>
    <t>Layanan</t>
  </si>
  <si>
    <t>Jumlah Perangkat Daerah yang Mendapat Advokasi dan Pendampingan Layanan Perlindungan Perempuan Kewenangan Kabupaten/Kota</t>
  </si>
  <si>
    <t>PD</t>
  </si>
  <si>
    <t>Jumlah Laporan Pengembangan Kegiatan Masyarakat untuk Peningkatan Kualitas Keluarga Kewenangan Kabupaten/Kota</t>
  </si>
  <si>
    <t>Jumlah sumberdaya Lembaga Penyedia Layanan Peningkatan Kualitas Keluarga yang mendapat Peningkatan Kapasitas Keluarga Kewenangan Kabupaten/Kota</t>
  </si>
  <si>
    <t>Jumlah Organisasi Pemerintah, Non Pemerintah, Media dan Dunia Usaha yang Mendapat Advokasi Kebijakan dan Pendampingan Pemenuhan Hak Anak pada Organisasi Pemerintah, Non Pemerintah, Media dan Dunia Usaha</t>
  </si>
  <si>
    <t>Jumlah Dokumen Komunikasi Informasi dan Edukasi (KIE) Pemenuhan Hak Anak bagi Lembaga Penyedia Layanan Peningkatan Kualitas Hidup Anak Kewenangan Kabupaten/Kota</t>
  </si>
  <si>
    <t>Jumlah Dokumen Hasil Koordinasi dan Sinkronisasi Pelaksanaan Peningkatan Kualitas Hidup Anak Kewenangan Kabupaten/Kota</t>
  </si>
  <si>
    <t>Jumlah Dokumen Hasil Penguatan Jejaring Antar Lembaga Penyedia Layanan Peningkatan Kualitas Hidup Anak Kewenangan Kabupaten/Kota</t>
  </si>
  <si>
    <t>Jumlah Dokumen Hasil Koordinasi dan Sinkronisasi Pencegahan Kekerasan terhadap Anak Kewenangan Kabupaten/Kota</t>
  </si>
  <si>
    <t>Jumlah Anak yang Memerlukan Perlindungan Khusus Mendapatkan Layanan Pengaduan Kewenangan Kabupaten/Kota</t>
  </si>
  <si>
    <t>Jumlah Layanan Tindak Lanjut Pengaduan yang Memerlukan Koordinasi dan Sinkronisasi bagi Anak yang Memerlukan Perlindungan Khusus Kewenangan Kabupaten/Kota</t>
  </si>
  <si>
    <t>Jumlah Dokumen Hasil Koordinasi dan Sinkronisasi Peningkatan Kapasitas Sumber Daya Lembaga Penyedia Layanan Anak yang Memerlukan Perlindungan Khusus Kewenangan Kabupaten/Kota</t>
  </si>
  <si>
    <t>Jumlah Dokumen Penguatan Kerja Sama Pelaksanaan Pendidikan Kependudukan Jalur Pendidikan Formal</t>
  </si>
  <si>
    <t>Jumlah Rumah Data Kependudukan di Kampung KB untuk Memperkuat Integrasi Program Bangga Kencana (Pembangunan Keluarga, Kependudukan, dan Keluarga Berencana) di Sektor Lain yang Dibentuk</t>
  </si>
  <si>
    <t>Jumlah Data dan Informasi Keluarga yang Tersedia</t>
  </si>
  <si>
    <t>Jumlah Dokumen Pengolahan dan Pelaporan Data Pengendalian Lapangan dan Pelayanan KB</t>
  </si>
  <si>
    <t>Jumlah Organisasi yang Mendapatkan Advokasi Program Bangga Kencana (Pembangunan Keluarga, Kependudukan, dan Keluarga Berencana) kepada Stakeholders dan Mitra Kerja</t>
  </si>
  <si>
    <t>Jumlah Laporan Hasil Pengelolaan Operasional dan Sarana Di Balai Penyuluhan Bangga Kencana (Pembangunan Keluarga, Kependudukan, dan Keluarga Berencana)</t>
  </si>
  <si>
    <t>Jumlah Unit Sarana Penyediaan dan Distribusi Sarana KIE Program Bangga Kencana (Pembangunan Keluarga, Kependudukan, dan Keluarga Berencana)</t>
  </si>
  <si>
    <t>Jumlah Laporan Hasil Pengendalian Program KKBPK</t>
  </si>
  <si>
    <t>Jumlah Kader Yang Mengikuti Penggerakanan Kader Institusi Masyarakat Pedesaan (IMP)</t>
  </si>
  <si>
    <t>Penggerakanan Kader Institusi Masyarakat Pedesaan (IMP)</t>
  </si>
  <si>
    <t>Jumlah Laporan Pengendalian Pendistribusian Alat dan Obat Kontrasepsi dan Sarana Penunjang Pelayanan KB Ke Fasilitas Kesehatan Termasuk Jaringan dan Jejaringnya</t>
  </si>
  <si>
    <t>Jumlah Orang yang Mengikuti Kesertaan Penggunaan Metode Kontrasepsi Jangka Panjang (MKJP)</t>
  </si>
  <si>
    <t>Jumlah Tenaga Pelayanan yang Mengikuti Peningkatan Kompetensi Tenaga Pelayanan Keluarga Berencana dan Kesehatan Reproduksi</t>
  </si>
  <si>
    <t>Jumlah Laporan Dukungan Operasional Pelayanan KB Bergerak</t>
  </si>
  <si>
    <t>Jumlah Unit Sarana Penunjang Pelayanan KB</t>
  </si>
  <si>
    <t>Jumlah Organisasi yang Mendapatkan Penguatan Peran serta Organisasi Kemasyarakatan dan Mitra Kerja Lainnya dalam Pelaksanaan Pelayanan dan Pembinaan Kesertaan Ber‑KB</t>
  </si>
  <si>
    <t>Jumlah Kampung KB yang Mengikuti Pelaksanaan dan Pengelolaan Program Bangga Kencana (Pembangunan Keluarga, Kependudukan, dan Keluarga Berencana)</t>
  </si>
  <si>
    <t>Kampung</t>
  </si>
  <si>
    <t>Jumlah Kader Pengelola dan Pelaksana (Kader) Ketahanan dan Kesejahteraan Keluarga (BKB, BKR, BKL, PPPKS, PIK-R dan Pemberdayaan Ekonomi Keluarga/UPPKS)</t>
  </si>
  <si>
    <t>Jumlah Laporan Hasil Promosi dan Sosialisasi Kelompok Kegiatan Ketahanan dan Kesejahteraan Keluarga (BKB, BKR, BKL, PPPKS, PIK‑R dan Pemberdayaan Ekonomi Keluarga/UPPKS)</t>
  </si>
  <si>
    <t>Jumlah institusi yang menerapkan anggaran yang responsif gender</t>
  </si>
  <si>
    <t>institusi</t>
  </si>
  <si>
    <t>Jumlah layanan standar</t>
  </si>
  <si>
    <t>layanan</t>
  </si>
  <si>
    <t>Jumlah desa PK2D</t>
  </si>
  <si>
    <t>desa</t>
  </si>
  <si>
    <t>Jumlah Lembaga Penyedia Layanan  Peningkatan  Kualitas  Keluarga</t>
  </si>
  <si>
    <t>lembaga</t>
  </si>
  <si>
    <t>Jumlah institusi yang melaksanakan fasilitasi pemenuhan hak anak</t>
  </si>
  <si>
    <t>Jumlah  perangkat  daerah  yang  melaksanakan  koordinasi  dan  mendapat  advokasi kebijakan dalam pencegahan kekerasan terhadap anak kewenangan kabupaten/kota</t>
  </si>
  <si>
    <t>Jumlah  lembaga  penyedia  layanan  bagi  anak  yang  melaksanakan koordinasi dan singkronisasi dalam pencegahan kekerasan terhadap anak</t>
  </si>
  <si>
    <t>PATBM</t>
  </si>
  <si>
    <t>kali</t>
  </si>
  <si>
    <t>Jumlah Rumah Data Kependudukan paripurna di Kampung KB</t>
  </si>
  <si>
    <t>buah</t>
  </si>
  <si>
    <t>Jumlah KIE Metode Kontrasepsi Jangka Panjang (MKJP)</t>
  </si>
  <si>
    <t>kegiatan</t>
  </si>
  <si>
    <t>faskes</t>
  </si>
  <si>
    <t>Jumlah desa yang memiliki kelompok kegiatan ketahanan yang lengkap</t>
  </si>
  <si>
    <t>Jumlah Kader yang Mengikuti Orientasi/Pelatihan Teknis Pelaksana/Kader Ketahanan dan Kesejahteraan Keluarga (BKB, BKR, BKL, PPPKS, PIK-R dan Pemberdayaan Ekonomi Keluarga/UPPKS)</t>
  </si>
  <si>
    <t>kader</t>
  </si>
  <si>
    <t>60</t>
  </si>
  <si>
    <t>Persentase pemenuhan aspek kualitas Dokumen AKIP</t>
  </si>
  <si>
    <t>Jumlah dokumen perencanaan dan evaluasi kinerja Dinas PPKBPPPA yang berkualitas</t>
  </si>
  <si>
    <t>dok</t>
  </si>
  <si>
    <t>Jumlah dokumen administrasi keuangan sesuai standar</t>
  </si>
  <si>
    <t>Jumlah pelayanan administrasi umum sesuai kebutuhan</t>
  </si>
  <si>
    <t>bln</t>
  </si>
  <si>
    <t>Jumlah penyediaan jasa penunjang pemerintah daerah sesuai kebutuhan</t>
  </si>
  <si>
    <t>Jumlah jasa pemeliharaan barang milik daerah penunjang urusan pemerintah daerah sesuai kebutuhan</t>
  </si>
  <si>
    <t>PERIODE PELAKSANAAN TRIWULAN III TAHUN 2022</t>
  </si>
  <si>
    <t>Kandangan,       Oktober 2022</t>
  </si>
  <si>
    <t>Kepala Dinas Pengendalian Penduduk, KBPPPA</t>
  </si>
  <si>
    <t>DIAN MARLIANA, S. STP., M. Si</t>
  </si>
  <si>
    <t>NIP. 19780312 199612 2 001</t>
  </si>
  <si>
    <r>
      <t>Indikator Kinerja Program (</t>
    </r>
    <r>
      <rPr>
        <b/>
        <i/>
        <sz val="14"/>
        <color theme="1"/>
        <rFont val="Cambria"/>
        <family val="1"/>
      </rPr>
      <t>Outcome</t>
    </r>
    <r>
      <rPr>
        <b/>
        <sz val="14"/>
        <color theme="1"/>
        <rFont val="Cambria"/>
        <family val="1"/>
      </rPr>
      <t>)/Kegiatan (</t>
    </r>
    <r>
      <rPr>
        <b/>
        <i/>
        <sz val="14"/>
        <color theme="1"/>
        <rFont val="Cambria"/>
        <family val="1"/>
      </rPr>
      <t>Output</t>
    </r>
    <r>
      <rPr>
        <b/>
        <sz val="14"/>
        <color theme="1"/>
        <rFont val="Cambria"/>
        <family val="1"/>
      </rPr>
      <t>)</t>
    </r>
  </si>
  <si>
    <t>Persentase Perangkat Daerah yang melaporkan data terpilah gender dan anak</t>
  </si>
  <si>
    <t>Persentase desa Peningkatan Kualitas Keluarga Daerah (PK2D)</t>
  </si>
  <si>
    <t>Persentase desa/kelurahan layak anak</t>
  </si>
  <si>
    <t>Jumlah institusi yang ber Konvensi Hak Anak</t>
  </si>
  <si>
    <t>Persentase pengaduan anak korban kekerasan yang ditindaklanjuti</t>
  </si>
  <si>
    <t>Persentase kampung Keluarga Berkualitas yang telah dibentuk</t>
  </si>
  <si>
    <t>75,00</t>
  </si>
  <si>
    <t>14,86</t>
  </si>
  <si>
    <t>29,73</t>
  </si>
  <si>
    <t xml:space="preserve"> Jumlah penyuluhan Keluarga Berencana</t>
  </si>
  <si>
    <t>Persentase kebutuhan ber-KB yang tidak terpenuhi (Unmeet Need)</t>
  </si>
  <si>
    <t>7,5</t>
  </si>
  <si>
    <t>8,16</t>
  </si>
  <si>
    <t>7,97</t>
  </si>
  <si>
    <t>Jumlah klinik KB di fasilitas kesehatan yang menerima alat dan obat kontrasepsi</t>
  </si>
  <si>
    <t xml:space="preserve">Jumlah Pasangan Usia Subur (PUS) yang ikut ber KB (mCPR) </t>
  </si>
  <si>
    <t>Persentase kelompok ketahanan keluarga yang berhasil guna</t>
  </si>
  <si>
    <t>76,19</t>
  </si>
  <si>
    <t>66,67</t>
  </si>
  <si>
    <t>Persentase pengaduan perempuan korban kekerasan yang ditindaklanjuti</t>
  </si>
  <si>
    <t xml:space="preserve"> </t>
  </si>
  <si>
    <t>Faktor penghambat pencapaian kinerja: kurangnya keterlibatan masyarakat dalam penyedia pelayanan perlindungan perempuan dan anak, kurangnya masyarakat yang berminat menjadi kader, ada sub kegiatan yg dialihkan peruntukannya dari yg sebelumnya utk sosialisasi menjadi penanganan stunting</t>
  </si>
  <si>
    <t>PERIODE PELAKSANAAN TRIWULAN IV TAHUN 2022</t>
  </si>
  <si>
    <t>Skor perencanaan Kinerja</t>
  </si>
  <si>
    <t>Nilai</t>
  </si>
  <si>
    <t>Skor pengukuran Kinerja</t>
  </si>
  <si>
    <t>Skor pelaporan Kinerja</t>
  </si>
  <si>
    <t>Skor evaluasi akuntabilitas Internal</t>
  </si>
  <si>
    <t>Skor Capaian Kinerja</t>
  </si>
  <si>
    <t>Jumlah laporan data objek kerja</t>
  </si>
  <si>
    <t>laporan</t>
  </si>
  <si>
    <t xml:space="preserve">Jumlah laporan keuangan </t>
  </si>
  <si>
    <t>Jumlah laporan barang persediaan dan barang milik daerah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</si>
</sst>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00_);_(* \(#,##0.00\);_(* &quot;-&quot;??_);_(@_)"/>
    <numFmt numFmtId="166" formatCode="_(* #,##0_);_(* \(#,##0\);_(* &quot;-&quot;??_);_(@_)"/>
  </numFmts>
  <fonts count="28"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2"/>
      <color theme="1"/>
      <name val="Arial"/>
      <family val="2"/>
    </font>
    <font>
      <sz val="12"/>
      <color theme="1"/>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b/>
      <u/>
      <sz val="12"/>
      <color theme="1"/>
      <name val="Arial"/>
      <family val="2"/>
    </font>
    <font>
      <sz val="14"/>
      <color indexed="81"/>
      <name val="Tahoma"/>
      <family val="2"/>
    </font>
    <font>
      <b/>
      <sz val="12"/>
      <color indexed="81"/>
      <name val="Tahoma"/>
      <family val="2"/>
    </font>
    <font>
      <sz val="9"/>
      <color indexed="81"/>
      <name val="Tahoma"/>
      <family val="2"/>
    </font>
    <font>
      <b/>
      <sz val="9"/>
      <color indexed="81"/>
      <name val="Tahoma"/>
      <family val="2"/>
    </font>
    <font>
      <sz val="14"/>
      <color theme="1"/>
      <name val="Arial"/>
      <family val="2"/>
    </font>
    <font>
      <sz val="12"/>
      <color indexed="81"/>
      <name val="Tahoma"/>
      <family val="2"/>
    </font>
    <font>
      <sz val="10"/>
      <name val="Arial"/>
      <family val="2"/>
    </font>
    <font>
      <b/>
      <sz val="14"/>
      <color theme="1"/>
      <name val="Cambria"/>
      <family val="1"/>
    </font>
    <font>
      <b/>
      <i/>
      <sz val="14"/>
      <color theme="1"/>
      <name val="Cambria"/>
      <family val="1"/>
    </font>
    <font>
      <sz val="14"/>
      <color theme="1"/>
      <name val="Cambria"/>
      <family val="1"/>
    </font>
    <font>
      <b/>
      <sz val="14"/>
      <color rgb="FF000000"/>
      <name val="Cambria"/>
      <family val="1"/>
    </font>
    <font>
      <sz val="14"/>
      <color rgb="FF000000"/>
      <name val="Cambria"/>
      <family val="1"/>
    </font>
    <font>
      <sz val="14"/>
      <name val="Cambria"/>
      <family val="1"/>
    </font>
    <font>
      <sz val="14"/>
      <color rgb="FFFF0000"/>
      <name val="Cambria"/>
      <family val="1"/>
    </font>
    <font>
      <b/>
      <sz val="14"/>
      <color rgb="FFFF0000"/>
      <name val="Cambria"/>
      <family val="1"/>
    </font>
    <font>
      <b/>
      <sz val="14"/>
      <name val="Cambria"/>
      <family val="1"/>
    </font>
    <font>
      <b/>
      <u/>
      <sz val="14"/>
      <color theme="1"/>
      <name val="Cambria"/>
      <family val="1"/>
    </font>
  </fonts>
  <fills count="9">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
      <patternFill patternType="solid">
        <fgColor theme="0"/>
        <bgColor indexed="64"/>
      </patternFill>
    </fill>
    <fill>
      <patternFill patternType="solid">
        <fgColor rgb="FF00B050"/>
        <bgColor indexed="64"/>
      </patternFill>
    </fill>
    <fill>
      <patternFill patternType="solid">
        <fgColor theme="4"/>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6" fillId="0" borderId="0"/>
    <xf numFmtId="9" fontId="1" fillId="0" borderId="0" applyFont="0" applyFill="0" applyBorder="0" applyAlignment="0" applyProtection="0"/>
    <xf numFmtId="0" fontId="17" fillId="0" borderId="0"/>
  </cellStyleXfs>
  <cellXfs count="266">
    <xf numFmtId="0" fontId="0" fillId="0" borderId="0" xfId="0"/>
    <xf numFmtId="0" fontId="2" fillId="0" borderId="0" xfId="0" applyFont="1"/>
    <xf numFmtId="0" fontId="2" fillId="0" borderId="0" xfId="0" applyFont="1" applyAlignment="1">
      <alignment horizontal="center"/>
    </xf>
    <xf numFmtId="0" fontId="5" fillId="0" borderId="0" xfId="0" applyFont="1"/>
    <xf numFmtId="0" fontId="7" fillId="5" borderId="16" xfId="3" applyFont="1" applyFill="1" applyBorder="1" applyAlignment="1">
      <alignment horizontal="center" vertical="center" wrapText="1"/>
    </xf>
    <xf numFmtId="0" fontId="7" fillId="0" borderId="16" xfId="3" applyFont="1" applyBorder="1" applyAlignment="1">
      <alignment horizontal="center" vertical="center" wrapText="1"/>
    </xf>
    <xf numFmtId="0" fontId="9" fillId="0" borderId="16" xfId="3" applyFont="1" applyBorder="1" applyAlignment="1">
      <alignment horizontal="center" vertical="center" wrapText="1"/>
    </xf>
    <xf numFmtId="0" fontId="4" fillId="0" borderId="0" xfId="0" applyFont="1"/>
    <xf numFmtId="0" fontId="5" fillId="0" borderId="0" xfId="0" applyFont="1" applyAlignment="1">
      <alignment horizontal="center"/>
    </xf>
    <xf numFmtId="0" fontId="2" fillId="6" borderId="0" xfId="0" applyFont="1" applyFill="1"/>
    <xf numFmtId="0" fontId="15" fillId="6" borderId="0" xfId="0" applyFont="1" applyFill="1"/>
    <xf numFmtId="0" fontId="15" fillId="0" borderId="0" xfId="0" applyFont="1" applyAlignment="1">
      <alignment horizontal="center"/>
    </xf>
    <xf numFmtId="0" fontId="15" fillId="0" borderId="0" xfId="0" applyFont="1"/>
    <xf numFmtId="0" fontId="15" fillId="3" borderId="0" xfId="0" applyFont="1" applyFill="1"/>
    <xf numFmtId="166" fontId="15" fillId="0" borderId="0" xfId="1" quotePrefix="1" applyNumberFormat="1" applyFont="1" applyFill="1" applyBorder="1" applyAlignment="1">
      <alignment vertical="top"/>
    </xf>
    <xf numFmtId="166" fontId="15" fillId="6" borderId="0" xfId="1" quotePrefix="1" applyNumberFormat="1" applyFont="1" applyFill="1" applyBorder="1" applyAlignment="1">
      <alignment vertical="top"/>
    </xf>
    <xf numFmtId="0" fontId="3" fillId="6" borderId="0" xfId="0" applyFont="1" applyFill="1"/>
    <xf numFmtId="0" fontId="3" fillId="0" borderId="0" xfId="0" applyFont="1"/>
    <xf numFmtId="166" fontId="3" fillId="0" borderId="0" xfId="1" quotePrefix="1" applyNumberFormat="1" applyFont="1" applyFill="1" applyBorder="1" applyAlignment="1">
      <alignment vertical="top"/>
    </xf>
    <xf numFmtId="0" fontId="18" fillId="2" borderId="15" xfId="0" applyFont="1" applyFill="1" applyBorder="1" applyAlignment="1">
      <alignment vertical="top" wrapText="1"/>
    </xf>
    <xf numFmtId="0" fontId="18" fillId="3" borderId="2" xfId="0" applyFont="1" applyFill="1" applyBorder="1" applyAlignment="1">
      <alignment horizontal="center"/>
    </xf>
    <xf numFmtId="0" fontId="18" fillId="3" borderId="12" xfId="0" applyFont="1" applyFill="1" applyBorder="1" applyAlignment="1">
      <alignment horizontal="center" vertical="top" wrapText="1"/>
    </xf>
    <xf numFmtId="0" fontId="18" fillId="3" borderId="2" xfId="0" applyFont="1" applyFill="1" applyBorder="1" applyAlignment="1">
      <alignment horizontal="center" vertical="top" wrapText="1"/>
    </xf>
    <xf numFmtId="0" fontId="20" fillId="3" borderId="11" xfId="0" applyFont="1" applyFill="1" applyBorder="1"/>
    <xf numFmtId="0" fontId="18" fillId="3" borderId="9" xfId="0" applyFont="1" applyFill="1" applyBorder="1" applyAlignment="1">
      <alignment horizontal="center" vertical="center"/>
    </xf>
    <xf numFmtId="0" fontId="18" fillId="3" borderId="2" xfId="0" applyFont="1" applyFill="1" applyBorder="1" applyAlignment="1">
      <alignment horizontal="center" vertical="center"/>
    </xf>
    <xf numFmtId="0" fontId="20" fillId="3" borderId="15" xfId="0" applyFont="1" applyFill="1" applyBorder="1"/>
    <xf numFmtId="0" fontId="20" fillId="0" borderId="0" xfId="0" applyFont="1"/>
    <xf numFmtId="0" fontId="18" fillId="0" borderId="0" xfId="0" applyFont="1"/>
    <xf numFmtId="0" fontId="18" fillId="0" borderId="6" xfId="0" applyFont="1" applyBorder="1" applyAlignment="1">
      <alignment horizontal="center" vertical="top"/>
    </xf>
    <xf numFmtId="0" fontId="18" fillId="0" borderId="2" xfId="0" applyFont="1" applyBorder="1" applyAlignment="1">
      <alignment horizontal="left" vertical="top" wrapText="1"/>
    </xf>
    <xf numFmtId="0" fontId="18" fillId="0" borderId="2" xfId="0" applyFont="1" applyBorder="1" applyAlignment="1">
      <alignment vertical="top" wrapText="1"/>
    </xf>
    <xf numFmtId="0" fontId="18" fillId="0" borderId="6" xfId="0" applyFont="1" applyBorder="1" applyAlignment="1">
      <alignment horizontal="center" vertical="top" wrapText="1"/>
    </xf>
    <xf numFmtId="9" fontId="18" fillId="0" borderId="3" xfId="0" applyNumberFormat="1" applyFont="1" applyBorder="1" applyAlignment="1">
      <alignment horizontal="center" vertical="top"/>
    </xf>
    <xf numFmtId="166" fontId="18" fillId="0" borderId="6" xfId="1" quotePrefix="1" applyNumberFormat="1" applyFont="1" applyFill="1" applyBorder="1" applyAlignment="1">
      <alignment vertical="top"/>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166" fontId="18" fillId="0" borderId="2" xfId="1" quotePrefix="1" applyNumberFormat="1" applyFont="1" applyFill="1" applyBorder="1" applyAlignment="1">
      <alignment vertical="top"/>
    </xf>
    <xf numFmtId="1" fontId="18" fillId="0" borderId="6" xfId="0" applyNumberFormat="1" applyFont="1" applyBorder="1" applyAlignment="1">
      <alignment horizontal="center" vertical="top" wrapText="1"/>
    </xf>
    <xf numFmtId="3" fontId="18" fillId="0" borderId="2" xfId="0" applyNumberFormat="1" applyFont="1" applyBorder="1" applyAlignment="1">
      <alignment horizontal="center" vertical="top"/>
    </xf>
    <xf numFmtId="1" fontId="18" fillId="0" borderId="2" xfId="0" applyNumberFormat="1" applyFont="1" applyBorder="1" applyAlignment="1">
      <alignment horizontal="center" vertical="top"/>
    </xf>
    <xf numFmtId="0" fontId="18" fillId="0" borderId="2" xfId="0" applyFont="1" applyBorder="1" applyAlignment="1">
      <alignment horizontal="center" vertical="top"/>
    </xf>
    <xf numFmtId="164" fontId="18" fillId="0" borderId="2" xfId="0" applyNumberFormat="1" applyFont="1" applyBorder="1" applyAlignment="1">
      <alignment vertical="top"/>
    </xf>
    <xf numFmtId="2" fontId="18" fillId="0" borderId="2" xfId="0" applyNumberFormat="1" applyFont="1" applyBorder="1" applyAlignment="1">
      <alignment horizontal="center" vertical="top"/>
    </xf>
    <xf numFmtId="0" fontId="18" fillId="0" borderId="11" xfId="0" applyFont="1" applyBorder="1" applyAlignment="1">
      <alignment horizontal="center" vertical="top" wrapText="1"/>
    </xf>
    <xf numFmtId="0" fontId="18" fillId="0" borderId="11" xfId="0" applyFont="1" applyBorder="1" applyAlignment="1">
      <alignment horizontal="left" vertical="top" wrapText="1"/>
    </xf>
    <xf numFmtId="166" fontId="18" fillId="0" borderId="15" xfId="1" quotePrefix="1" applyNumberFormat="1" applyFont="1" applyFill="1" applyBorder="1" applyAlignment="1">
      <alignment vertical="top"/>
    </xf>
    <xf numFmtId="164" fontId="18" fillId="0" borderId="15" xfId="0" applyNumberFormat="1" applyFont="1" applyBorder="1" applyAlignment="1">
      <alignment vertical="top"/>
    </xf>
    <xf numFmtId="0" fontId="18" fillId="0" borderId="15" xfId="0" applyFont="1" applyBorder="1" applyAlignment="1">
      <alignment horizontal="center" vertical="top"/>
    </xf>
    <xf numFmtId="2" fontId="18" fillId="0" borderId="15" xfId="0" applyNumberFormat="1" applyFont="1" applyBorder="1" applyAlignment="1">
      <alignment horizontal="center" vertical="top"/>
    </xf>
    <xf numFmtId="0" fontId="18" fillId="0" borderId="6" xfId="0" applyFont="1" applyBorder="1" applyAlignment="1">
      <alignment horizontal="left" vertical="top" wrapText="1"/>
    </xf>
    <xf numFmtId="0" fontId="21" fillId="0" borderId="2" xfId="0" applyFont="1" applyBorder="1" applyAlignment="1">
      <alignment horizontal="left" vertical="top" wrapText="1"/>
    </xf>
    <xf numFmtId="9" fontId="18" fillId="0" borderId="6" xfId="0" applyNumberFormat="1" applyFont="1" applyBorder="1" applyAlignment="1">
      <alignment horizontal="center" vertical="top"/>
    </xf>
    <xf numFmtId="0" fontId="18" fillId="0" borderId="2" xfId="0" applyFont="1" applyBorder="1" applyAlignment="1">
      <alignment horizontal="center" vertical="top" wrapText="1"/>
    </xf>
    <xf numFmtId="1" fontId="18" fillId="0" borderId="2" xfId="0" applyNumberFormat="1" applyFont="1" applyBorder="1" applyAlignment="1">
      <alignment horizontal="center" vertical="top" wrapText="1"/>
    </xf>
    <xf numFmtId="2" fontId="18" fillId="0" borderId="2" xfId="0" applyNumberFormat="1" applyFont="1" applyBorder="1" applyAlignment="1">
      <alignment horizontal="center" vertical="top" wrapText="1"/>
    </xf>
    <xf numFmtId="4" fontId="18" fillId="0" borderId="2" xfId="0" applyNumberFormat="1" applyFont="1" applyBorder="1" applyAlignment="1">
      <alignment horizontal="center" vertical="top"/>
    </xf>
    <xf numFmtId="3" fontId="18" fillId="0" borderId="15" xfId="0" applyNumberFormat="1" applyFont="1" applyBorder="1" applyAlignment="1">
      <alignment horizontal="center" vertical="top"/>
    </xf>
    <xf numFmtId="0" fontId="18" fillId="0" borderId="11" xfId="0" applyFont="1" applyBorder="1" applyAlignment="1">
      <alignment horizontal="center" vertical="top"/>
    </xf>
    <xf numFmtId="0" fontId="22" fillId="0" borderId="0" xfId="0" applyFont="1" applyAlignment="1">
      <alignment horizontal="left" vertical="top" wrapText="1"/>
    </xf>
    <xf numFmtId="0" fontId="20" fillId="0" borderId="2" xfId="0" applyFont="1" applyBorder="1" applyAlignment="1">
      <alignment horizontal="left" vertical="top" wrapText="1"/>
    </xf>
    <xf numFmtId="0" fontId="20" fillId="0" borderId="2" xfId="0" applyFont="1" applyBorder="1" applyAlignment="1">
      <alignment horizontal="center" vertical="top" wrapText="1"/>
    </xf>
    <xf numFmtId="9" fontId="20" fillId="0" borderId="2" xfId="0" applyNumberFormat="1" applyFont="1" applyBorder="1" applyAlignment="1">
      <alignment horizontal="center" vertical="top"/>
    </xf>
    <xf numFmtId="166" fontId="20" fillId="0" borderId="2" xfId="1" quotePrefix="1" applyNumberFormat="1" applyFont="1" applyFill="1" applyBorder="1" applyAlignment="1">
      <alignment vertical="top"/>
    </xf>
    <xf numFmtId="3" fontId="20" fillId="0" borderId="2" xfId="0" applyNumberFormat="1" applyFont="1" applyBorder="1" applyAlignment="1">
      <alignment horizontal="center" vertical="top"/>
    </xf>
    <xf numFmtId="1" fontId="20" fillId="0" borderId="2" xfId="0" applyNumberFormat="1" applyFont="1" applyBorder="1" applyAlignment="1">
      <alignment horizontal="center" vertical="top"/>
    </xf>
    <xf numFmtId="0" fontId="20" fillId="0" borderId="2" xfId="0" applyFont="1" applyBorder="1" applyAlignment="1">
      <alignment horizontal="center" vertical="top"/>
    </xf>
    <xf numFmtId="164" fontId="20" fillId="0" borderId="2" xfId="0" applyNumberFormat="1" applyFont="1" applyBorder="1" applyAlignment="1">
      <alignment vertical="top"/>
    </xf>
    <xf numFmtId="2" fontId="20" fillId="0" borderId="2" xfId="0" applyNumberFormat="1" applyFont="1" applyBorder="1" applyAlignment="1">
      <alignment horizontal="center" vertical="top"/>
    </xf>
    <xf numFmtId="0" fontId="20" fillId="0" borderId="11" xfId="0" applyFont="1" applyBorder="1"/>
    <xf numFmtId="0" fontId="20" fillId="0" borderId="6" xfId="0" applyFont="1" applyBorder="1" applyAlignment="1">
      <alignment horizontal="left" vertical="top" wrapText="1"/>
    </xf>
    <xf numFmtId="0" fontId="20" fillId="0" borderId="7" xfId="0" applyFont="1" applyBorder="1"/>
    <xf numFmtId="9" fontId="18" fillId="0" borderId="2" xfId="0" applyNumberFormat="1" applyFont="1" applyBorder="1" applyAlignment="1">
      <alignment horizontal="center" vertical="top"/>
    </xf>
    <xf numFmtId="1" fontId="18" fillId="0" borderId="15" xfId="0" applyNumberFormat="1" applyFont="1" applyBorder="1" applyAlignment="1">
      <alignment horizontal="center" vertical="top" wrapText="1"/>
    </xf>
    <xf numFmtId="0" fontId="20" fillId="0" borderId="15" xfId="0" applyFont="1" applyBorder="1" applyAlignment="1">
      <alignment horizontal="left" vertical="top" wrapText="1"/>
    </xf>
    <xf numFmtId="0" fontId="20" fillId="0" borderId="15" xfId="0" applyFont="1" applyBorder="1" applyAlignment="1">
      <alignment horizontal="center" vertical="top" wrapText="1"/>
    </xf>
    <xf numFmtId="9" fontId="20" fillId="0" borderId="15" xfId="0" applyNumberFormat="1" applyFont="1" applyBorder="1" applyAlignment="1">
      <alignment horizontal="center" vertical="top"/>
    </xf>
    <xf numFmtId="166" fontId="20" fillId="0" borderId="15" xfId="1" quotePrefix="1" applyNumberFormat="1" applyFont="1" applyFill="1" applyBorder="1" applyAlignment="1">
      <alignment vertical="top"/>
    </xf>
    <xf numFmtId="1" fontId="20" fillId="0" borderId="15" xfId="0" applyNumberFormat="1" applyFont="1" applyBorder="1" applyAlignment="1">
      <alignment horizontal="center" vertical="top" wrapText="1"/>
    </xf>
    <xf numFmtId="166" fontId="20" fillId="0" borderId="15" xfId="1" applyNumberFormat="1" applyFont="1" applyFill="1" applyBorder="1" applyAlignment="1">
      <alignment vertical="top"/>
    </xf>
    <xf numFmtId="1" fontId="20" fillId="0" borderId="15" xfId="0" applyNumberFormat="1" applyFont="1" applyBorder="1" applyAlignment="1">
      <alignment horizontal="center" vertical="top"/>
    </xf>
    <xf numFmtId="0" fontId="20" fillId="0" borderId="11" xfId="0" applyFont="1" applyBorder="1" applyAlignment="1">
      <alignment horizontal="center" vertical="top" wrapText="1"/>
    </xf>
    <xf numFmtId="0" fontId="20" fillId="0" borderId="2" xfId="0" applyFont="1" applyBorder="1" applyAlignment="1">
      <alignment vertical="top" wrapText="1"/>
    </xf>
    <xf numFmtId="166" fontId="20" fillId="0" borderId="2" xfId="1" applyNumberFormat="1" applyFont="1" applyFill="1" applyBorder="1" applyAlignment="1">
      <alignment vertical="top"/>
    </xf>
    <xf numFmtId="0" fontId="18" fillId="0" borderId="15" xfId="0" applyFont="1" applyBorder="1" applyAlignment="1">
      <alignment horizontal="left" vertical="top" wrapText="1"/>
    </xf>
    <xf numFmtId="9" fontId="18" fillId="0" borderId="15" xfId="0" applyNumberFormat="1" applyFont="1" applyBorder="1" applyAlignment="1">
      <alignment horizontal="center" vertical="top"/>
    </xf>
    <xf numFmtId="1" fontId="18" fillId="0" borderId="15" xfId="0" applyNumberFormat="1" applyFont="1" applyBorder="1" applyAlignment="1">
      <alignment horizontal="center" vertical="top"/>
    </xf>
    <xf numFmtId="0" fontId="23" fillId="0" borderId="2" xfId="0" applyFont="1" applyBorder="1" applyAlignment="1">
      <alignment vertical="top" wrapText="1"/>
    </xf>
    <xf numFmtId="166" fontId="20" fillId="6" borderId="2" xfId="1" quotePrefix="1" applyNumberFormat="1" applyFont="1" applyFill="1" applyBorder="1" applyAlignment="1">
      <alignment vertical="top"/>
    </xf>
    <xf numFmtId="0" fontId="20" fillId="0" borderId="15" xfId="0" applyFont="1" applyBorder="1"/>
    <xf numFmtId="2" fontId="18" fillId="0" borderId="2" xfId="4" applyNumberFormat="1" applyFont="1" applyFill="1" applyBorder="1" applyAlignment="1">
      <alignment horizontal="center" vertical="top" wrapText="1"/>
    </xf>
    <xf numFmtId="10" fontId="18" fillId="0" borderId="2" xfId="4" applyNumberFormat="1" applyFont="1" applyFill="1" applyBorder="1" applyAlignment="1">
      <alignment horizontal="center" vertical="top" wrapText="1"/>
    </xf>
    <xf numFmtId="2" fontId="18" fillId="0" borderId="11" xfId="0" applyNumberFormat="1" applyFont="1" applyBorder="1" applyAlignment="1">
      <alignment horizontal="left" vertical="top" wrapText="1"/>
    </xf>
    <xf numFmtId="9" fontId="18" fillId="0" borderId="2" xfId="0" applyNumberFormat="1" applyFont="1" applyBorder="1" applyAlignment="1">
      <alignment horizontal="center" vertical="top" wrapText="1"/>
    </xf>
    <xf numFmtId="1" fontId="18" fillId="0" borderId="2" xfId="4" applyNumberFormat="1" applyFont="1" applyFill="1" applyBorder="1" applyAlignment="1">
      <alignment horizontal="center" vertical="top" wrapText="1"/>
    </xf>
    <xf numFmtId="9" fontId="20" fillId="0" borderId="2" xfId="0" applyNumberFormat="1" applyFont="1" applyBorder="1" applyAlignment="1">
      <alignment horizontal="center" vertical="top" wrapText="1"/>
    </xf>
    <xf numFmtId="1" fontId="20" fillId="0" borderId="2" xfId="0" applyNumberFormat="1" applyFont="1" applyBorder="1" applyAlignment="1">
      <alignment horizontal="center" vertical="top" wrapText="1"/>
    </xf>
    <xf numFmtId="1" fontId="18" fillId="6" borderId="2" xfId="0" applyNumberFormat="1" applyFont="1" applyFill="1" applyBorder="1" applyAlignment="1">
      <alignment horizontal="center" vertical="top"/>
    </xf>
    <xf numFmtId="0" fontId="18" fillId="6" borderId="2" xfId="0" applyFont="1" applyFill="1" applyBorder="1" applyAlignment="1">
      <alignment horizontal="center" vertical="top"/>
    </xf>
    <xf numFmtId="164" fontId="18" fillId="6" borderId="2" xfId="0" applyNumberFormat="1" applyFont="1" applyFill="1" applyBorder="1" applyAlignment="1">
      <alignment vertical="top"/>
    </xf>
    <xf numFmtId="2" fontId="18" fillId="6" borderId="2" xfId="0" applyNumberFormat="1" applyFont="1" applyFill="1" applyBorder="1" applyAlignment="1">
      <alignment horizontal="center" vertical="top"/>
    </xf>
    <xf numFmtId="3" fontId="18" fillId="6" borderId="2" xfId="0" applyNumberFormat="1" applyFont="1" applyFill="1" applyBorder="1" applyAlignment="1">
      <alignment horizontal="center" vertical="top"/>
    </xf>
    <xf numFmtId="0" fontId="20" fillId="6" borderId="11" xfId="0" applyFont="1" applyFill="1" applyBorder="1"/>
    <xf numFmtId="0" fontId="18" fillId="7" borderId="15" xfId="0" applyFont="1" applyFill="1" applyBorder="1" applyAlignment="1">
      <alignment horizontal="left" vertical="top" wrapText="1"/>
    </xf>
    <xf numFmtId="0" fontId="18" fillId="7" borderId="2" xfId="0" applyFont="1" applyFill="1" applyBorder="1" applyAlignment="1">
      <alignment horizontal="left" vertical="top" wrapText="1"/>
    </xf>
    <xf numFmtId="0" fontId="20" fillId="7" borderId="15" xfId="0" applyFont="1" applyFill="1" applyBorder="1" applyAlignment="1">
      <alignment horizontal="left" vertical="top" wrapText="1"/>
    </xf>
    <xf numFmtId="0" fontId="20" fillId="7" borderId="2" xfId="0" applyFont="1" applyFill="1" applyBorder="1" applyAlignment="1">
      <alignment horizontal="left" vertical="top" wrapText="1"/>
    </xf>
    <xf numFmtId="4" fontId="18" fillId="0" borderId="6" xfId="0" applyNumberFormat="1" applyFont="1" applyBorder="1" applyAlignment="1">
      <alignment horizontal="center" vertical="top"/>
    </xf>
    <xf numFmtId="164" fontId="18" fillId="0" borderId="6" xfId="0" applyNumberFormat="1" applyFont="1" applyBorder="1" applyAlignment="1">
      <alignment vertical="top"/>
    </xf>
    <xf numFmtId="2" fontId="18" fillId="0" borderId="6" xfId="0" applyNumberFormat="1" applyFont="1" applyBorder="1" applyAlignment="1">
      <alignment horizontal="center" vertical="top"/>
    </xf>
    <xf numFmtId="0" fontId="20" fillId="0" borderId="6" xfId="0" applyFont="1" applyBorder="1" applyAlignment="1">
      <alignment horizontal="center" vertical="top" wrapText="1"/>
    </xf>
    <xf numFmtId="9" fontId="20" fillId="0" borderId="6" xfId="0" applyNumberFormat="1" applyFont="1" applyBorder="1" applyAlignment="1">
      <alignment horizontal="center" vertical="top" wrapText="1"/>
    </xf>
    <xf numFmtId="166" fontId="20" fillId="0" borderId="6" xfId="1" quotePrefix="1" applyNumberFormat="1" applyFont="1" applyFill="1" applyBorder="1" applyAlignment="1">
      <alignment vertical="top"/>
    </xf>
    <xf numFmtId="3" fontId="18" fillId="0" borderId="2" xfId="0" applyNumberFormat="1" applyFont="1" applyBorder="1" applyAlignment="1">
      <alignment horizontal="center" vertical="top" wrapText="1"/>
    </xf>
    <xf numFmtId="3" fontId="18" fillId="0" borderId="2" xfId="2" applyNumberFormat="1" applyFont="1" applyFill="1" applyBorder="1" applyAlignment="1">
      <alignment horizontal="center" vertical="top"/>
    </xf>
    <xf numFmtId="3" fontId="20" fillId="0" borderId="2" xfId="0" applyNumberFormat="1" applyFont="1" applyBorder="1" applyAlignment="1">
      <alignment horizontal="center" vertical="top" wrapText="1"/>
    </xf>
    <xf numFmtId="0" fontId="18" fillId="0" borderId="2" xfId="0" applyFont="1" applyBorder="1" applyAlignment="1">
      <alignment vertical="center" wrapText="1"/>
    </xf>
    <xf numFmtId="1" fontId="20" fillId="0" borderId="2" xfId="2" applyNumberFormat="1" applyFont="1" applyFill="1" applyBorder="1" applyAlignment="1">
      <alignment horizontal="center" vertical="top" wrapText="1"/>
    </xf>
    <xf numFmtId="0" fontId="18" fillId="0" borderId="15" xfId="0" applyFont="1" applyBorder="1" applyAlignment="1">
      <alignment horizontal="center" vertical="top" wrapText="1"/>
    </xf>
    <xf numFmtId="0" fontId="18" fillId="0" borderId="11" xfId="0" applyFont="1" applyBorder="1"/>
    <xf numFmtId="9" fontId="18" fillId="0" borderId="15" xfId="0" applyNumberFormat="1" applyFont="1" applyBorder="1" applyAlignment="1">
      <alignment horizontal="center" vertical="top" wrapText="1"/>
    </xf>
    <xf numFmtId="0" fontId="18" fillId="6" borderId="15" xfId="0" applyFont="1" applyFill="1" applyBorder="1" applyAlignment="1">
      <alignment horizontal="left" vertical="top" wrapText="1"/>
    </xf>
    <xf numFmtId="164" fontId="20" fillId="0" borderId="6" xfId="0" applyNumberFormat="1" applyFont="1" applyBorder="1" applyAlignment="1">
      <alignment vertical="top"/>
    </xf>
    <xf numFmtId="0" fontId="20" fillId="0" borderId="11" xfId="0" applyFont="1" applyBorder="1" applyAlignment="1">
      <alignment horizontal="left" vertical="top" wrapText="1"/>
    </xf>
    <xf numFmtId="0" fontId="18" fillId="0" borderId="5" xfId="0" applyFont="1" applyBorder="1" applyAlignment="1">
      <alignment horizontal="left" vertical="top" wrapText="1"/>
    </xf>
    <xf numFmtId="9" fontId="18" fillId="0" borderId="3" xfId="0" applyNumberFormat="1" applyFont="1" applyBorder="1" applyAlignment="1">
      <alignment horizontal="center" vertical="top" wrapText="1"/>
    </xf>
    <xf numFmtId="2" fontId="18" fillId="0" borderId="6" xfId="0" applyNumberFormat="1" applyFont="1" applyBorder="1" applyAlignment="1">
      <alignment horizontal="center" vertical="top" wrapText="1"/>
    </xf>
    <xf numFmtId="0" fontId="18" fillId="0" borderId="14" xfId="0" applyFont="1" applyBorder="1" applyAlignment="1">
      <alignment horizontal="center" vertical="top" wrapText="1"/>
    </xf>
    <xf numFmtId="165" fontId="18" fillId="0" borderId="2" xfId="1" quotePrefix="1" applyFont="1" applyFill="1" applyBorder="1" applyAlignment="1">
      <alignment vertical="top"/>
    </xf>
    <xf numFmtId="0" fontId="18" fillId="0" borderId="12" xfId="0" applyFont="1" applyBorder="1" applyAlignment="1">
      <alignment horizontal="center" vertical="top"/>
    </xf>
    <xf numFmtId="2" fontId="18" fillId="0" borderId="14" xfId="0" applyNumberFormat="1" applyFont="1" applyBorder="1" applyAlignment="1">
      <alignment horizontal="center" vertical="top"/>
    </xf>
    <xf numFmtId="2" fontId="18" fillId="0" borderId="15" xfId="0" applyNumberFormat="1" applyFont="1" applyBorder="1" applyAlignment="1">
      <alignment horizontal="center" vertical="top" wrapText="1"/>
    </xf>
    <xf numFmtId="4" fontId="18" fillId="0" borderId="15" xfId="0" applyNumberFormat="1" applyFont="1" applyBorder="1" applyAlignment="1">
      <alignment horizontal="center" vertical="top"/>
    </xf>
    <xf numFmtId="4" fontId="18" fillId="0" borderId="2" xfId="0" applyNumberFormat="1" applyFont="1" applyBorder="1" applyAlignment="1">
      <alignment horizontal="center" vertical="top" wrapText="1"/>
    </xf>
    <xf numFmtId="0" fontId="18" fillId="0" borderId="2" xfId="4" applyNumberFormat="1" applyFont="1" applyFill="1" applyBorder="1" applyAlignment="1">
      <alignment horizontal="center" vertical="top" wrapText="1"/>
    </xf>
    <xf numFmtId="166" fontId="20" fillId="0" borderId="2" xfId="1" quotePrefix="1" applyNumberFormat="1" applyFont="1" applyFill="1" applyBorder="1" applyAlignment="1">
      <alignment horizontal="center" vertical="top"/>
    </xf>
    <xf numFmtId="2" fontId="20" fillId="4" borderId="2" xfId="0" applyNumberFormat="1" applyFont="1" applyFill="1" applyBorder="1" applyAlignment="1">
      <alignment horizontal="center" vertical="center"/>
    </xf>
    <xf numFmtId="0" fontId="20" fillId="4" borderId="12" xfId="0" applyFont="1" applyFill="1" applyBorder="1" applyAlignment="1">
      <alignment horizontal="center"/>
    </xf>
    <xf numFmtId="2" fontId="20" fillId="4" borderId="13" xfId="0" applyNumberFormat="1" applyFont="1" applyFill="1" applyBorder="1" applyAlignment="1">
      <alignment horizontal="right"/>
    </xf>
    <xf numFmtId="0" fontId="20" fillId="4" borderId="13" xfId="0" applyFont="1" applyFill="1" applyBorder="1" applyAlignment="1">
      <alignment horizontal="center"/>
    </xf>
    <xf numFmtId="2" fontId="20" fillId="4" borderId="14" xfId="0" applyNumberFormat="1" applyFont="1" applyFill="1" applyBorder="1" applyAlignment="1">
      <alignment horizontal="right"/>
    </xf>
    <xf numFmtId="0" fontId="20" fillId="4" borderId="2" xfId="0" applyFont="1" applyFill="1" applyBorder="1" applyAlignment="1">
      <alignment horizontal="left"/>
    </xf>
    <xf numFmtId="0" fontId="20" fillId="4" borderId="13" xfId="0" applyFont="1" applyFill="1" applyBorder="1"/>
    <xf numFmtId="0" fontId="20" fillId="4" borderId="13" xfId="0" applyFont="1" applyFill="1" applyBorder="1" applyAlignment="1">
      <alignment horizontal="left"/>
    </xf>
    <xf numFmtId="0" fontId="20" fillId="4" borderId="14" xfId="0" applyFont="1" applyFill="1" applyBorder="1"/>
    <xf numFmtId="1" fontId="24" fillId="0" borderId="2" xfId="0" applyNumberFormat="1" applyFont="1" applyBorder="1" applyAlignment="1">
      <alignment horizontal="center" vertical="top"/>
    </xf>
    <xf numFmtId="0" fontId="24" fillId="0" borderId="2" xfId="0" applyFont="1" applyBorder="1" applyAlignment="1">
      <alignment horizontal="center" vertical="top"/>
    </xf>
    <xf numFmtId="164" fontId="24" fillId="0" borderId="2" xfId="0" applyNumberFormat="1" applyFont="1" applyBorder="1" applyAlignment="1">
      <alignment vertical="top"/>
    </xf>
    <xf numFmtId="2" fontId="24" fillId="0" borderId="2" xfId="0" applyNumberFormat="1" applyFont="1" applyBorder="1" applyAlignment="1">
      <alignment horizontal="center" vertical="top"/>
    </xf>
    <xf numFmtId="1" fontId="25" fillId="0" borderId="2" xfId="0" applyNumberFormat="1" applyFont="1" applyBorder="1" applyAlignment="1">
      <alignment horizontal="center" vertical="top"/>
    </xf>
    <xf numFmtId="0" fontId="25" fillId="0" borderId="2" xfId="0" applyFont="1" applyBorder="1" applyAlignment="1">
      <alignment horizontal="center" vertical="top"/>
    </xf>
    <xf numFmtId="164" fontId="25" fillId="0" borderId="2" xfId="0" applyNumberFormat="1" applyFont="1" applyBorder="1" applyAlignment="1">
      <alignment vertical="top"/>
    </xf>
    <xf numFmtId="2" fontId="25" fillId="0" borderId="2" xfId="0" applyNumberFormat="1" applyFont="1" applyBorder="1" applyAlignment="1">
      <alignment horizontal="center" vertical="top"/>
    </xf>
    <xf numFmtId="0" fontId="18" fillId="8" borderId="5" xfId="0" applyFont="1" applyFill="1" applyBorder="1" applyAlignment="1">
      <alignment horizontal="center" vertical="top" wrapText="1"/>
    </xf>
    <xf numFmtId="1" fontId="18" fillId="8" borderId="2" xfId="0" applyNumberFormat="1" applyFont="1" applyFill="1" applyBorder="1" applyAlignment="1">
      <alignment horizontal="center" vertical="top" wrapText="1"/>
    </xf>
    <xf numFmtId="0" fontId="20" fillId="8" borderId="2" xfId="0" applyFont="1" applyFill="1" applyBorder="1" applyAlignment="1">
      <alignment horizontal="center" vertical="top" wrapText="1"/>
    </xf>
    <xf numFmtId="1" fontId="18" fillId="8" borderId="15" xfId="0" applyNumberFormat="1" applyFont="1" applyFill="1" applyBorder="1" applyAlignment="1">
      <alignment horizontal="center" vertical="top" wrapText="1"/>
    </xf>
    <xf numFmtId="1" fontId="20" fillId="8" borderId="15" xfId="0" applyNumberFormat="1" applyFont="1" applyFill="1" applyBorder="1" applyAlignment="1">
      <alignment horizontal="center" vertical="top"/>
    </xf>
    <xf numFmtId="1" fontId="20" fillId="8" borderId="15" xfId="0" applyNumberFormat="1" applyFont="1" applyFill="1" applyBorder="1" applyAlignment="1">
      <alignment horizontal="center" vertical="top" wrapText="1"/>
    </xf>
    <xf numFmtId="0" fontId="18" fillId="8" borderId="2" xfId="0" applyFont="1" applyFill="1" applyBorder="1" applyAlignment="1">
      <alignment horizontal="center" vertical="top" wrapText="1"/>
    </xf>
    <xf numFmtId="2" fontId="18" fillId="8" borderId="2" xfId="4" applyNumberFormat="1" applyFont="1" applyFill="1" applyBorder="1" applyAlignment="1">
      <alignment horizontal="center" vertical="top" wrapText="1"/>
    </xf>
    <xf numFmtId="1" fontId="18" fillId="8" borderId="2" xfId="4" applyNumberFormat="1" applyFont="1" applyFill="1" applyBorder="1" applyAlignment="1">
      <alignment horizontal="center" vertical="top" wrapText="1"/>
    </xf>
    <xf numFmtId="166" fontId="18" fillId="8" borderId="2" xfId="1" quotePrefix="1" applyNumberFormat="1" applyFont="1" applyFill="1" applyBorder="1" applyAlignment="1">
      <alignment vertical="top"/>
    </xf>
    <xf numFmtId="166" fontId="20" fillId="8" borderId="2" xfId="1" quotePrefix="1" applyNumberFormat="1" applyFont="1" applyFill="1" applyBorder="1" applyAlignment="1">
      <alignment vertical="top"/>
    </xf>
    <xf numFmtId="2" fontId="18" fillId="8" borderId="2" xfId="0" applyNumberFormat="1" applyFont="1" applyFill="1" applyBorder="1" applyAlignment="1">
      <alignment horizontal="center" vertical="top" wrapText="1"/>
    </xf>
    <xf numFmtId="1" fontId="18" fillId="8" borderId="6" xfId="0" applyNumberFormat="1" applyFont="1" applyFill="1" applyBorder="1" applyAlignment="1">
      <alignment horizontal="center" vertical="top" wrapText="1"/>
    </xf>
    <xf numFmtId="0" fontId="20" fillId="8" borderId="6" xfId="0" applyFont="1" applyFill="1" applyBorder="1" applyAlignment="1">
      <alignment horizontal="center" vertical="top" wrapText="1"/>
    </xf>
    <xf numFmtId="3" fontId="18" fillId="8" borderId="2" xfId="0" applyNumberFormat="1" applyFont="1" applyFill="1" applyBorder="1" applyAlignment="1">
      <alignment horizontal="center" vertical="top" wrapText="1"/>
    </xf>
    <xf numFmtId="3" fontId="20" fillId="8" borderId="2" xfId="0" applyNumberFormat="1" applyFont="1" applyFill="1" applyBorder="1" applyAlignment="1">
      <alignment horizontal="center" vertical="top" wrapText="1"/>
    </xf>
    <xf numFmtId="165" fontId="18" fillId="8" borderId="2" xfId="1" quotePrefix="1" applyFont="1" applyFill="1" applyBorder="1" applyAlignment="1">
      <alignment vertical="top"/>
    </xf>
    <xf numFmtId="3" fontId="18" fillId="8" borderId="2" xfId="0" applyNumberFormat="1" applyFont="1" applyFill="1" applyBorder="1" applyAlignment="1">
      <alignment horizontal="center" vertical="top"/>
    </xf>
    <xf numFmtId="4" fontId="18" fillId="8" borderId="2" xfId="0" applyNumberFormat="1" applyFont="1" applyFill="1" applyBorder="1" applyAlignment="1">
      <alignment horizontal="center" vertical="top" wrapText="1"/>
    </xf>
    <xf numFmtId="3" fontId="20" fillId="8" borderId="2" xfId="0" applyNumberFormat="1" applyFont="1" applyFill="1" applyBorder="1" applyAlignment="1">
      <alignment horizontal="center" vertical="top"/>
    </xf>
    <xf numFmtId="166" fontId="20" fillId="8" borderId="2" xfId="1" quotePrefix="1" applyNumberFormat="1" applyFont="1" applyFill="1" applyBorder="1" applyAlignment="1">
      <alignment horizontal="center" vertical="top"/>
    </xf>
    <xf numFmtId="3" fontId="25" fillId="0" borderId="2" xfId="0" applyNumberFormat="1" applyFont="1" applyBorder="1" applyAlignment="1">
      <alignment horizontal="center" vertical="top"/>
    </xf>
    <xf numFmtId="1" fontId="23" fillId="0" borderId="2" xfId="0" applyNumberFormat="1" applyFont="1" applyBorder="1" applyAlignment="1">
      <alignment horizontal="center" vertical="top"/>
    </xf>
    <xf numFmtId="0" fontId="23" fillId="0" borderId="2" xfId="0" applyFont="1" applyBorder="1" applyAlignment="1">
      <alignment horizontal="center" vertical="top"/>
    </xf>
    <xf numFmtId="164" fontId="23" fillId="0" borderId="2" xfId="0" applyNumberFormat="1" applyFont="1" applyBorder="1" applyAlignment="1">
      <alignment vertical="top"/>
    </xf>
    <xf numFmtId="2" fontId="23" fillId="0" borderId="2" xfId="0" applyNumberFormat="1" applyFont="1" applyBorder="1" applyAlignment="1">
      <alignment horizontal="center" vertical="top"/>
    </xf>
    <xf numFmtId="166" fontId="5" fillId="8" borderId="2" xfId="1" quotePrefix="1" applyNumberFormat="1" applyFont="1" applyFill="1" applyBorder="1" applyAlignment="1">
      <alignment vertical="top"/>
    </xf>
    <xf numFmtId="2" fontId="4" fillId="0" borderId="2" xfId="0" applyNumberFormat="1" applyFont="1" applyBorder="1" applyAlignment="1">
      <alignment horizontal="center" vertical="top" wrapText="1"/>
    </xf>
    <xf numFmtId="1" fontId="18" fillId="6" borderId="2" xfId="0" applyNumberFormat="1" applyFont="1" applyFill="1" applyBorder="1" applyAlignment="1">
      <alignment horizontal="center" vertical="top" wrapText="1"/>
    </xf>
    <xf numFmtId="0" fontId="20" fillId="6" borderId="2" xfId="0" applyFont="1" applyFill="1" applyBorder="1" applyAlignment="1">
      <alignment horizontal="center" vertical="top" wrapText="1"/>
    </xf>
    <xf numFmtId="1" fontId="18" fillId="6" borderId="15" xfId="0" applyNumberFormat="1" applyFont="1" applyFill="1" applyBorder="1" applyAlignment="1">
      <alignment horizontal="center" vertical="top" wrapText="1"/>
    </xf>
    <xf numFmtId="1" fontId="20" fillId="6" borderId="15" xfId="0" applyNumberFormat="1" applyFont="1" applyFill="1" applyBorder="1" applyAlignment="1">
      <alignment horizontal="center" vertical="top"/>
    </xf>
    <xf numFmtId="1" fontId="20" fillId="6" borderId="15" xfId="0" applyNumberFormat="1" applyFont="1" applyFill="1" applyBorder="1" applyAlignment="1">
      <alignment horizontal="center" vertical="top" wrapText="1"/>
    </xf>
    <xf numFmtId="0" fontId="18" fillId="6" borderId="2" xfId="0" applyFont="1" applyFill="1" applyBorder="1" applyAlignment="1">
      <alignment horizontal="center" vertical="top" wrapText="1"/>
    </xf>
    <xf numFmtId="2" fontId="18" fillId="6" borderId="2" xfId="4" applyNumberFormat="1" applyFont="1" applyFill="1" applyBorder="1" applyAlignment="1">
      <alignment horizontal="center" vertical="top" wrapText="1"/>
    </xf>
    <xf numFmtId="1" fontId="18" fillId="6" borderId="2" xfId="4" applyNumberFormat="1" applyFont="1" applyFill="1" applyBorder="1" applyAlignment="1">
      <alignment horizontal="center" vertical="top" wrapText="1"/>
    </xf>
    <xf numFmtId="166" fontId="18" fillId="6" borderId="2" xfId="1" quotePrefix="1" applyNumberFormat="1" applyFont="1" applyFill="1" applyBorder="1" applyAlignment="1">
      <alignment vertical="top"/>
    </xf>
    <xf numFmtId="2" fontId="18" fillId="6" borderId="2" xfId="0" applyNumberFormat="1" applyFont="1" applyFill="1" applyBorder="1" applyAlignment="1">
      <alignment horizontal="center" vertical="top" wrapText="1"/>
    </xf>
    <xf numFmtId="1" fontId="18" fillId="6" borderId="6" xfId="0" applyNumberFormat="1" applyFont="1" applyFill="1" applyBorder="1" applyAlignment="1">
      <alignment horizontal="center" vertical="top" wrapText="1"/>
    </xf>
    <xf numFmtId="0" fontId="20" fillId="6" borderId="6" xfId="0" applyFont="1" applyFill="1" applyBorder="1" applyAlignment="1">
      <alignment horizontal="center" vertical="top" wrapText="1"/>
    </xf>
    <xf numFmtId="3" fontId="18" fillId="6" borderId="2" xfId="0" applyNumberFormat="1" applyFont="1" applyFill="1" applyBorder="1" applyAlignment="1">
      <alignment horizontal="center" vertical="top" wrapText="1"/>
    </xf>
    <xf numFmtId="3" fontId="20" fillId="6" borderId="2" xfId="0" applyNumberFormat="1" applyFont="1" applyFill="1" applyBorder="1" applyAlignment="1">
      <alignment horizontal="center" vertical="top" wrapText="1"/>
    </xf>
    <xf numFmtId="165" fontId="18" fillId="6" borderId="2" xfId="1" quotePrefix="1" applyFont="1" applyFill="1" applyBorder="1" applyAlignment="1">
      <alignment vertical="top"/>
    </xf>
    <xf numFmtId="4" fontId="18" fillId="6" borderId="2" xfId="0" applyNumberFormat="1" applyFont="1" applyFill="1" applyBorder="1" applyAlignment="1">
      <alignment horizontal="center" vertical="top" wrapText="1"/>
    </xf>
    <xf numFmtId="166" fontId="5" fillId="6" borderId="2" xfId="1" quotePrefix="1" applyNumberFormat="1" applyFont="1" applyFill="1" applyBorder="1" applyAlignment="1">
      <alignment vertical="top"/>
    </xf>
    <xf numFmtId="3" fontId="20" fillId="6" borderId="2" xfId="0" applyNumberFormat="1" applyFont="1" applyFill="1" applyBorder="1" applyAlignment="1">
      <alignment horizontal="center" vertical="top"/>
    </xf>
    <xf numFmtId="166" fontId="20" fillId="6" borderId="2" xfId="1" quotePrefix="1" applyNumberFormat="1" applyFont="1" applyFill="1" applyBorder="1" applyAlignment="1">
      <alignment horizontal="center" vertical="top"/>
    </xf>
    <xf numFmtId="0" fontId="4" fillId="0" borderId="2" xfId="0" applyFont="1" applyBorder="1" applyAlignment="1">
      <alignment horizontal="left" vertical="top" wrapText="1"/>
    </xf>
    <xf numFmtId="0" fontId="4" fillId="0" borderId="2" xfId="0" applyFont="1" applyBorder="1" applyAlignment="1">
      <alignment horizontal="center" vertical="top" wrapText="1"/>
    </xf>
    <xf numFmtId="9" fontId="4" fillId="0" borderId="2" xfId="0" applyNumberFormat="1" applyFont="1" applyBorder="1" applyAlignment="1">
      <alignment horizontal="center" vertical="top"/>
    </xf>
    <xf numFmtId="0" fontId="18" fillId="0" borderId="3" xfId="0" applyFont="1" applyBorder="1" applyAlignment="1">
      <alignment horizontal="center" vertical="top"/>
    </xf>
    <xf numFmtId="0" fontId="18" fillId="0" borderId="7" xfId="0" applyFont="1" applyBorder="1" applyAlignment="1">
      <alignment horizontal="center" vertical="top"/>
    </xf>
    <xf numFmtId="0" fontId="18" fillId="0" borderId="9" xfId="0" applyFont="1" applyBorder="1" applyAlignment="1">
      <alignment horizontal="center" vertical="top"/>
    </xf>
    <xf numFmtId="0" fontId="21" fillId="0" borderId="6" xfId="0" applyFont="1" applyBorder="1" applyAlignment="1">
      <alignment vertical="top" wrapText="1"/>
    </xf>
    <xf numFmtId="0" fontId="21" fillId="0" borderId="11" xfId="0" applyFont="1" applyBorder="1" applyAlignment="1">
      <alignment vertical="top" wrapText="1"/>
    </xf>
    <xf numFmtId="0" fontId="21" fillId="0" borderId="15" xfId="0" applyFont="1" applyBorder="1" applyAlignment="1">
      <alignment vertical="top" wrapText="1"/>
    </xf>
    <xf numFmtId="0" fontId="4" fillId="0" borderId="15" xfId="0" applyFont="1" applyBorder="1" applyAlignment="1">
      <alignment horizontal="center" vertical="top" wrapText="1"/>
    </xf>
    <xf numFmtId="0" fontId="18" fillId="0" borderId="0" xfId="0" applyFont="1" applyAlignment="1">
      <alignment horizontal="center" vertical="top" wrapText="1"/>
    </xf>
    <xf numFmtId="9" fontId="18" fillId="0" borderId="6" xfId="0" applyNumberFormat="1" applyFont="1" applyBorder="1" applyAlignment="1">
      <alignment horizontal="center" vertical="top" wrapText="1"/>
    </xf>
    <xf numFmtId="1" fontId="26" fillId="0" borderId="2" xfId="0" applyNumberFormat="1" applyFont="1" applyBorder="1" applyAlignment="1">
      <alignment horizontal="center" vertical="top"/>
    </xf>
    <xf numFmtId="0" fontId="26" fillId="0" borderId="2" xfId="0" applyFont="1" applyBorder="1" applyAlignment="1">
      <alignment horizontal="center" vertical="top"/>
    </xf>
    <xf numFmtId="164" fontId="26" fillId="0" borderId="2" xfId="0" applyNumberFormat="1" applyFont="1" applyBorder="1" applyAlignment="1">
      <alignment vertical="top"/>
    </xf>
    <xf numFmtId="2" fontId="26" fillId="0" borderId="2" xfId="0" applyNumberFormat="1" applyFont="1" applyBorder="1" applyAlignment="1">
      <alignment horizontal="center" vertical="top"/>
    </xf>
    <xf numFmtId="0" fontId="18" fillId="0" borderId="1" xfId="0" applyFont="1" applyBorder="1" applyAlignment="1">
      <alignment horizontal="left"/>
    </xf>
    <xf numFmtId="0" fontId="18" fillId="0" borderId="0" xfId="0" applyFont="1" applyAlignment="1">
      <alignment horizontal="center"/>
    </xf>
    <xf numFmtId="0" fontId="18" fillId="0" borderId="0" xfId="0" applyFont="1" applyAlignment="1">
      <alignment horizontal="center" vertical="top"/>
    </xf>
    <xf numFmtId="0" fontId="18" fillId="0" borderId="0" xfId="0" applyFont="1" applyAlignment="1">
      <alignment horizontal="left" vertical="top"/>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3" borderId="12" xfId="0" applyFont="1" applyFill="1" applyBorder="1" applyAlignment="1">
      <alignment horizontal="center"/>
    </xf>
    <xf numFmtId="0" fontId="18" fillId="3" borderId="13" xfId="0" applyFont="1" applyFill="1" applyBorder="1" applyAlignment="1">
      <alignment horizontal="center"/>
    </xf>
    <xf numFmtId="0" fontId="18" fillId="3" borderId="14" xfId="0" applyFont="1" applyFill="1" applyBorder="1" applyAlignment="1">
      <alignment horizontal="center"/>
    </xf>
    <xf numFmtId="0" fontId="18" fillId="3" borderId="6"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2" xfId="0" applyFont="1" applyFill="1" applyBorder="1" applyAlignment="1">
      <alignment horizontal="center" vertical="top" wrapText="1"/>
    </xf>
    <xf numFmtId="0" fontId="18" fillId="3" borderId="13" xfId="0" applyFont="1" applyFill="1" applyBorder="1" applyAlignment="1">
      <alignment horizontal="center" vertical="top" wrapText="1"/>
    </xf>
    <xf numFmtId="0" fontId="18" fillId="3" borderId="14" xfId="0" applyFont="1" applyFill="1" applyBorder="1" applyAlignment="1">
      <alignment horizontal="center" vertical="top" wrapText="1"/>
    </xf>
    <xf numFmtId="0" fontId="18" fillId="3" borderId="12" xfId="0" applyFont="1" applyFill="1" applyBorder="1" applyAlignment="1">
      <alignment horizontal="center" vertical="top"/>
    </xf>
    <xf numFmtId="0" fontId="18" fillId="3" borderId="14" xfId="0" applyFont="1" applyFill="1" applyBorder="1" applyAlignment="1">
      <alignment horizontal="center" vertical="top"/>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5" fillId="0" borderId="0" xfId="0" applyFont="1" applyAlignment="1">
      <alignment horizontal="center"/>
    </xf>
    <xf numFmtId="0" fontId="20" fillId="4" borderId="12" xfId="0" applyFont="1" applyFill="1" applyBorder="1" applyAlignment="1">
      <alignment horizontal="right"/>
    </xf>
    <xf numFmtId="0" fontId="20" fillId="4" borderId="13" xfId="0" applyFont="1" applyFill="1" applyBorder="1" applyAlignment="1">
      <alignment horizontal="right"/>
    </xf>
    <xf numFmtId="0" fontId="20" fillId="4" borderId="2" xfId="0" applyFont="1" applyFill="1" applyBorder="1" applyAlignment="1">
      <alignment horizontal="left" vertical="top"/>
    </xf>
    <xf numFmtId="0" fontId="10" fillId="0" borderId="0" xfId="0" applyFont="1" applyAlignment="1">
      <alignment horizontal="center"/>
    </xf>
    <xf numFmtId="0" fontId="5" fillId="0" borderId="0" xfId="0" applyFont="1" applyAlignment="1">
      <alignment horizontal="center" vertical="top"/>
    </xf>
    <xf numFmtId="0" fontId="21" fillId="0" borderId="6" xfId="0" applyFont="1" applyBorder="1" applyAlignment="1">
      <alignment horizontal="left" vertical="top" wrapText="1"/>
    </xf>
    <xf numFmtId="0" fontId="21" fillId="0" borderId="15" xfId="0" applyFont="1" applyBorder="1" applyAlignment="1">
      <alignment horizontal="left" vertical="top" wrapText="1"/>
    </xf>
    <xf numFmtId="0" fontId="18" fillId="8" borderId="3" xfId="0" applyFont="1" applyFill="1" applyBorder="1" applyAlignment="1">
      <alignment horizontal="center" vertical="center"/>
    </xf>
    <xf numFmtId="0" fontId="18" fillId="8" borderId="9" xfId="0" applyFont="1" applyFill="1" applyBorder="1" applyAlignment="1">
      <alignment horizontal="center" vertical="center"/>
    </xf>
    <xf numFmtId="10" fontId="4" fillId="0" borderId="2" xfId="4" quotePrefix="1" applyNumberFormat="1" applyFont="1" applyFill="1" applyBorder="1" applyAlignment="1">
      <alignment vertical="top"/>
    </xf>
    <xf numFmtId="166" fontId="4" fillId="0" borderId="2" xfId="1" quotePrefix="1" applyNumberFormat="1" applyFont="1" applyFill="1" applyBorder="1" applyAlignment="1">
      <alignment vertical="top"/>
    </xf>
    <xf numFmtId="4" fontId="27" fillId="0" borderId="2" xfId="0" applyNumberFormat="1" applyFont="1" applyBorder="1" applyAlignment="1">
      <alignment horizontal="center" vertical="top"/>
    </xf>
  </cellXfs>
  <cellStyles count="6">
    <cellStyle name="Comma" xfId="1" builtinId="3"/>
    <cellStyle name="Comma [0]" xfId="2" builtinId="6"/>
    <cellStyle name="Normal" xfId="0" builtinId="0"/>
    <cellStyle name="Normal 13 10" xfId="5" xr:uid="{00000000-0005-0000-0000-000003000000}"/>
    <cellStyle name="Normal 2" xfId="3" xr:uid="{00000000-0005-0000-0000-000004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DA19-6785-4BF4-A1E3-9B58C95969BC}">
  <sheetPr>
    <tabColor theme="9" tint="-0.249977111117893"/>
  </sheetPr>
  <dimension ref="A1:AK116"/>
  <sheetViews>
    <sheetView tabSelected="1" showRuler="0" view="pageBreakPreview" topLeftCell="A7" zoomScale="40" zoomScaleNormal="40" zoomScaleSheetLayoutView="40" zoomScalePageLayoutView="55" workbookViewId="0">
      <pane xSplit="4" ySplit="6" topLeftCell="E99" activePane="bottomRight" state="frozen"/>
      <selection activeCell="A7" sqref="A7"/>
      <selection pane="topRight" activeCell="E7" sqref="E7"/>
      <selection pane="bottomLeft" activeCell="A13" sqref="A13"/>
      <selection pane="bottomRight" activeCell="A103" sqref="A103:AD103"/>
    </sheetView>
  </sheetViews>
  <sheetFormatPr defaultColWidth="9.109375" defaultRowHeight="13.8" x14ac:dyDescent="0.25"/>
  <cols>
    <col min="1" max="1" width="6.44140625" style="1" customWidth="1"/>
    <col min="2" max="2" width="18" style="1" customWidth="1"/>
    <col min="3" max="3" width="21.5546875" style="1" customWidth="1"/>
    <col min="4" max="4" width="78.109375" style="1" customWidth="1"/>
    <col min="5" max="5" width="18.109375" style="1" bestFit="1" customWidth="1"/>
    <col min="6" max="6" width="9.109375" style="1" customWidth="1"/>
    <col min="7" max="7" width="24.44140625" style="1" bestFit="1" customWidth="1"/>
    <col min="8" max="8" width="11.77734375" style="1" bestFit="1" customWidth="1"/>
    <col min="9" max="9" width="23.21875" style="1" bestFit="1" customWidth="1"/>
    <col min="10" max="10" width="20.5546875" style="1" customWidth="1"/>
    <col min="11" max="11" width="28.6640625" style="1" customWidth="1"/>
    <col min="12" max="12" width="13.109375" style="1" customWidth="1"/>
    <col min="13" max="13" width="25.33203125" style="1" customWidth="1"/>
    <col min="14" max="14" width="21.88671875" style="1" customWidth="1"/>
    <col min="15" max="15" width="22.77734375" style="1" bestFit="1" customWidth="1"/>
    <col min="16" max="16" width="10.77734375" style="1" bestFit="1" customWidth="1"/>
    <col min="17" max="17" width="22.44140625" style="1" bestFit="1" customWidth="1"/>
    <col min="18" max="18" width="13.77734375" style="1" customWidth="1"/>
    <col min="19" max="19" width="21.88671875" style="1" bestFit="1" customWidth="1"/>
    <col min="20" max="20" width="16.77734375" style="1" customWidth="1"/>
    <col min="21" max="21" width="12.77734375" style="1" customWidth="1"/>
    <col min="22" max="22" width="5.5546875" style="2" customWidth="1"/>
    <col min="23" max="23" width="21.88671875" style="1" customWidth="1"/>
    <col min="24" max="24" width="11.88671875" style="1" customWidth="1"/>
    <col min="25" max="25" width="5.5546875" style="2" customWidth="1"/>
    <col min="26" max="26" width="11.109375" style="1" customWidth="1"/>
    <col min="27" max="27" width="23.21875" style="1" bestFit="1" customWidth="1"/>
    <col min="28" max="28" width="8" style="1" customWidth="1"/>
    <col min="29" max="29" width="5.5546875" style="2" customWidth="1"/>
    <col min="30" max="30" width="10.109375" style="1" customWidth="1"/>
    <col min="31" max="31" width="20.109375" style="1" customWidth="1"/>
    <col min="32" max="32" width="4.109375" style="9" customWidth="1"/>
    <col min="33" max="37" width="19.5546875" style="1" customWidth="1"/>
    <col min="38" max="16384" width="9.109375" style="1"/>
  </cols>
  <sheetData>
    <row r="1" spans="1:37" ht="17.399999999999999" x14ac:dyDescent="0.3">
      <c r="A1" s="217" t="s">
        <v>0</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7"/>
    </row>
    <row r="2" spans="1:37" ht="17.399999999999999" x14ac:dyDescent="0.3">
      <c r="A2" s="217" t="s">
        <v>1</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8"/>
    </row>
    <row r="3" spans="1:37" ht="17.399999999999999" x14ac:dyDescent="0.3">
      <c r="A3" s="217" t="s">
        <v>43</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8"/>
    </row>
    <row r="4" spans="1:37" ht="17.399999999999999" x14ac:dyDescent="0.3">
      <c r="A4" s="218" t="s">
        <v>262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7"/>
    </row>
    <row r="5" spans="1:37" ht="17.399999999999999" x14ac:dyDescent="0.3">
      <c r="A5" s="219" t="s">
        <v>2</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7"/>
    </row>
    <row r="6" spans="1:37" ht="17.399999999999999" x14ac:dyDescent="0.3">
      <c r="A6" s="216" t="s">
        <v>43</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7"/>
    </row>
    <row r="7" spans="1:37" s="12" customFormat="1" ht="81" customHeight="1" x14ac:dyDescent="0.3">
      <c r="A7" s="226" t="s">
        <v>3</v>
      </c>
      <c r="B7" s="226" t="s">
        <v>4</v>
      </c>
      <c r="C7" s="227" t="s">
        <v>5</v>
      </c>
      <c r="D7" s="227" t="s">
        <v>239</v>
      </c>
      <c r="E7" s="220" t="s">
        <v>6</v>
      </c>
      <c r="F7" s="221"/>
      <c r="G7" s="228"/>
      <c r="H7" s="220" t="s">
        <v>134</v>
      </c>
      <c r="I7" s="228"/>
      <c r="J7" s="220" t="s">
        <v>131</v>
      </c>
      <c r="K7" s="221"/>
      <c r="L7" s="220" t="s">
        <v>7</v>
      </c>
      <c r="M7" s="221"/>
      <c r="N7" s="221"/>
      <c r="O7" s="221"/>
      <c r="P7" s="221"/>
      <c r="Q7" s="221"/>
      <c r="R7" s="221"/>
      <c r="S7" s="228"/>
      <c r="T7" s="220" t="s">
        <v>46</v>
      </c>
      <c r="U7" s="221"/>
      <c r="V7" s="221"/>
      <c r="W7" s="221"/>
      <c r="X7" s="221"/>
      <c r="Y7" s="228"/>
      <c r="Z7" s="220" t="s">
        <v>132</v>
      </c>
      <c r="AA7" s="228"/>
      <c r="AB7" s="220" t="s">
        <v>133</v>
      </c>
      <c r="AC7" s="221"/>
      <c r="AD7" s="221"/>
      <c r="AE7" s="224" t="s">
        <v>8</v>
      </c>
      <c r="AF7" s="10"/>
      <c r="AG7" s="11"/>
      <c r="AH7" s="11"/>
      <c r="AI7" s="11"/>
      <c r="AJ7" s="11"/>
      <c r="AK7" s="11"/>
    </row>
    <row r="8" spans="1:37" s="12" customFormat="1" ht="18" customHeight="1" x14ac:dyDescent="0.3">
      <c r="A8" s="226"/>
      <c r="B8" s="226"/>
      <c r="C8" s="227"/>
      <c r="D8" s="227"/>
      <c r="E8" s="229"/>
      <c r="F8" s="230"/>
      <c r="G8" s="231"/>
      <c r="H8" s="229"/>
      <c r="I8" s="231"/>
      <c r="J8" s="222"/>
      <c r="K8" s="223"/>
      <c r="L8" s="222"/>
      <c r="M8" s="223"/>
      <c r="N8" s="223"/>
      <c r="O8" s="223"/>
      <c r="P8" s="223"/>
      <c r="Q8" s="223"/>
      <c r="R8" s="223"/>
      <c r="S8" s="232"/>
      <c r="T8" s="222"/>
      <c r="U8" s="223"/>
      <c r="V8" s="223"/>
      <c r="W8" s="223"/>
      <c r="X8" s="223"/>
      <c r="Y8" s="232"/>
      <c r="Z8" s="222"/>
      <c r="AA8" s="232"/>
      <c r="AB8" s="222"/>
      <c r="AC8" s="223"/>
      <c r="AD8" s="223"/>
      <c r="AE8" s="225"/>
      <c r="AF8" s="10"/>
    </row>
    <row r="9" spans="1:37" s="12" customFormat="1" ht="15.75" customHeight="1" x14ac:dyDescent="0.3">
      <c r="A9" s="226"/>
      <c r="B9" s="226"/>
      <c r="C9" s="227"/>
      <c r="D9" s="227"/>
      <c r="E9" s="222"/>
      <c r="F9" s="223"/>
      <c r="G9" s="232"/>
      <c r="H9" s="222"/>
      <c r="I9" s="232"/>
      <c r="J9" s="247">
        <v>2022</v>
      </c>
      <c r="K9" s="248"/>
      <c r="L9" s="233" t="s">
        <v>9</v>
      </c>
      <c r="M9" s="235"/>
      <c r="N9" s="233" t="s">
        <v>10</v>
      </c>
      <c r="O9" s="235"/>
      <c r="P9" s="233" t="s">
        <v>11</v>
      </c>
      <c r="Q9" s="235"/>
      <c r="R9" s="233" t="s">
        <v>12</v>
      </c>
      <c r="S9" s="235"/>
      <c r="T9" s="233">
        <v>2022</v>
      </c>
      <c r="U9" s="234"/>
      <c r="V9" s="234"/>
      <c r="W9" s="234"/>
      <c r="X9" s="234"/>
      <c r="Y9" s="235"/>
      <c r="Z9" s="233">
        <v>2022</v>
      </c>
      <c r="AA9" s="235"/>
      <c r="AB9" s="233">
        <v>2022</v>
      </c>
      <c r="AC9" s="234"/>
      <c r="AD9" s="235"/>
      <c r="AE9" s="19"/>
      <c r="AF9" s="10"/>
    </row>
    <row r="10" spans="1:37" s="13" customFormat="1" ht="17.399999999999999" x14ac:dyDescent="0.3">
      <c r="A10" s="239">
        <v>1</v>
      </c>
      <c r="B10" s="239">
        <v>2</v>
      </c>
      <c r="C10" s="239">
        <v>3</v>
      </c>
      <c r="D10" s="239">
        <v>4</v>
      </c>
      <c r="E10" s="242">
        <v>5</v>
      </c>
      <c r="F10" s="243"/>
      <c r="G10" s="244"/>
      <c r="H10" s="242">
        <v>6</v>
      </c>
      <c r="I10" s="244"/>
      <c r="J10" s="245">
        <v>7</v>
      </c>
      <c r="K10" s="246"/>
      <c r="L10" s="245">
        <v>8</v>
      </c>
      <c r="M10" s="246"/>
      <c r="N10" s="245">
        <v>9</v>
      </c>
      <c r="O10" s="246"/>
      <c r="P10" s="245">
        <v>10</v>
      </c>
      <c r="Q10" s="246"/>
      <c r="R10" s="245">
        <v>11</v>
      </c>
      <c r="S10" s="246"/>
      <c r="T10" s="236">
        <v>12</v>
      </c>
      <c r="U10" s="237"/>
      <c r="V10" s="237"/>
      <c r="W10" s="237"/>
      <c r="X10" s="237"/>
      <c r="Y10" s="238"/>
      <c r="Z10" s="236">
        <v>13</v>
      </c>
      <c r="AA10" s="238"/>
      <c r="AB10" s="236">
        <v>14</v>
      </c>
      <c r="AC10" s="237"/>
      <c r="AD10" s="238"/>
      <c r="AE10" s="20">
        <v>15</v>
      </c>
      <c r="AF10" s="10"/>
    </row>
    <row r="11" spans="1:37" s="13" customFormat="1" ht="87" customHeight="1" x14ac:dyDescent="0.3">
      <c r="A11" s="240"/>
      <c r="B11" s="240"/>
      <c r="C11" s="240"/>
      <c r="D11" s="240"/>
      <c r="E11" s="249" t="s">
        <v>13</v>
      </c>
      <c r="F11" s="250"/>
      <c r="G11" s="241" t="s">
        <v>14</v>
      </c>
      <c r="H11" s="249" t="s">
        <v>13</v>
      </c>
      <c r="I11" s="241" t="s">
        <v>14</v>
      </c>
      <c r="J11" s="249" t="s">
        <v>13</v>
      </c>
      <c r="K11" s="239" t="s">
        <v>14</v>
      </c>
      <c r="L11" s="249" t="s">
        <v>13</v>
      </c>
      <c r="M11" s="239" t="s">
        <v>14</v>
      </c>
      <c r="N11" s="249" t="s">
        <v>13</v>
      </c>
      <c r="O11" s="239" t="s">
        <v>14</v>
      </c>
      <c r="P11" s="249" t="s">
        <v>13</v>
      </c>
      <c r="Q11" s="239" t="s">
        <v>14</v>
      </c>
      <c r="R11" s="249" t="s">
        <v>13</v>
      </c>
      <c r="S11" s="239" t="s">
        <v>14</v>
      </c>
      <c r="T11" s="21" t="s">
        <v>15</v>
      </c>
      <c r="U11" s="242" t="s">
        <v>47</v>
      </c>
      <c r="V11" s="244"/>
      <c r="W11" s="22" t="s">
        <v>16</v>
      </c>
      <c r="X11" s="242" t="s">
        <v>47</v>
      </c>
      <c r="Y11" s="244"/>
      <c r="Z11" s="21" t="s">
        <v>17</v>
      </c>
      <c r="AA11" s="22" t="s">
        <v>18</v>
      </c>
      <c r="AB11" s="242" t="s">
        <v>19</v>
      </c>
      <c r="AC11" s="244"/>
      <c r="AD11" s="22" t="s">
        <v>20</v>
      </c>
      <c r="AE11" s="23"/>
      <c r="AF11" s="10"/>
    </row>
    <row r="12" spans="1:37" s="13" customFormat="1" ht="17.399999999999999" x14ac:dyDescent="0.3">
      <c r="A12" s="240"/>
      <c r="B12" s="240"/>
      <c r="C12" s="241"/>
      <c r="D12" s="241"/>
      <c r="E12" s="251"/>
      <c r="F12" s="252"/>
      <c r="G12" s="239"/>
      <c r="H12" s="251"/>
      <c r="I12" s="239"/>
      <c r="J12" s="251"/>
      <c r="K12" s="240"/>
      <c r="L12" s="251"/>
      <c r="M12" s="241"/>
      <c r="N12" s="251"/>
      <c r="O12" s="241"/>
      <c r="P12" s="251"/>
      <c r="Q12" s="241"/>
      <c r="R12" s="251"/>
      <c r="S12" s="241"/>
      <c r="T12" s="24" t="s">
        <v>13</v>
      </c>
      <c r="U12" s="251" t="s">
        <v>13</v>
      </c>
      <c r="V12" s="252"/>
      <c r="W12" s="25" t="s">
        <v>14</v>
      </c>
      <c r="X12" s="251" t="s">
        <v>14</v>
      </c>
      <c r="Y12" s="252"/>
      <c r="Z12" s="24" t="s">
        <v>13</v>
      </c>
      <c r="AA12" s="25" t="s">
        <v>14</v>
      </c>
      <c r="AB12" s="251" t="s">
        <v>13</v>
      </c>
      <c r="AC12" s="252"/>
      <c r="AD12" s="25" t="s">
        <v>14</v>
      </c>
      <c r="AE12" s="26"/>
      <c r="AF12" s="10"/>
    </row>
    <row r="13" spans="1:37" s="12" customFormat="1" ht="121.8" customHeight="1" x14ac:dyDescent="0.3">
      <c r="A13" s="203">
        <v>1</v>
      </c>
      <c r="B13" s="50" t="s">
        <v>21</v>
      </c>
      <c r="C13" s="206" t="s">
        <v>54</v>
      </c>
      <c r="D13" s="200" t="s">
        <v>263</v>
      </c>
      <c r="E13" s="201">
        <v>26</v>
      </c>
      <c r="F13" s="202" t="s">
        <v>264</v>
      </c>
      <c r="G13" s="37">
        <f>G18+G21+G26+G33+G35+G39</f>
        <v>10540660887</v>
      </c>
      <c r="H13" s="53">
        <v>25.28</v>
      </c>
      <c r="I13" s="37">
        <f>I18+I21+I26+I33+I35+I39</f>
        <v>6425858917</v>
      </c>
      <c r="J13" s="201">
        <v>26</v>
      </c>
      <c r="K13" s="37">
        <f>K18+K21+K26+K33+K35+K39</f>
        <v>3604759455</v>
      </c>
      <c r="L13" s="201">
        <v>26</v>
      </c>
      <c r="M13" s="37">
        <f>M18+M21+M26+M33+M35+M39</f>
        <v>582894437</v>
      </c>
      <c r="N13" s="201">
        <v>26</v>
      </c>
      <c r="O13" s="37">
        <f>O18+O21+O26+O33+O35+O39</f>
        <v>1006655472</v>
      </c>
      <c r="P13" s="201">
        <v>26</v>
      </c>
      <c r="Q13" s="37">
        <f>Q18+Q21+Q26+Q33+Q35+Q39</f>
        <v>795798855</v>
      </c>
      <c r="R13" s="201">
        <v>26</v>
      </c>
      <c r="S13" s="37">
        <f>3431963235-Q13-O13-M13</f>
        <v>1046614471</v>
      </c>
      <c r="T13" s="39">
        <f>AVERAGE(L13,N13,P13,R13)</f>
        <v>26</v>
      </c>
      <c r="U13" s="40">
        <f t="shared" ref="U13:U41" si="0">T13/J13*100</f>
        <v>100</v>
      </c>
      <c r="V13" s="41" t="s">
        <v>118</v>
      </c>
      <c r="W13" s="42">
        <f>SUM(M13,O13,Q13,S13)</f>
        <v>3431963235</v>
      </c>
      <c r="X13" s="43">
        <f t="shared" ref="X13:X48" si="1">W13/K13*100</f>
        <v>95.206442422660913</v>
      </c>
      <c r="Y13" s="29" t="s">
        <v>118</v>
      </c>
      <c r="Z13" s="39">
        <f t="shared" ref="Z13:Z44" si="2">SUM(H13,T13)</f>
        <v>51.28</v>
      </c>
      <c r="AA13" s="42">
        <f t="shared" ref="AA13:AA79" si="3">SUM(I13,W13)</f>
        <v>9857822152</v>
      </c>
      <c r="AB13" s="43"/>
      <c r="AC13" s="41" t="s">
        <v>118</v>
      </c>
      <c r="AD13" s="43"/>
      <c r="AE13" s="44" t="s">
        <v>44</v>
      </c>
      <c r="AF13" s="10"/>
      <c r="AH13" s="14">
        <f>M13+O13+Q13+S13</f>
        <v>3431963235</v>
      </c>
    </row>
    <row r="14" spans="1:37" s="12" customFormat="1" ht="17.399999999999999" x14ac:dyDescent="0.3">
      <c r="A14" s="204"/>
      <c r="B14" s="45"/>
      <c r="C14" s="207"/>
      <c r="D14" s="200" t="s">
        <v>265</v>
      </c>
      <c r="E14" s="201">
        <v>22</v>
      </c>
      <c r="F14" s="202" t="s">
        <v>264</v>
      </c>
      <c r="G14" s="37"/>
      <c r="H14" s="53">
        <v>21.25</v>
      </c>
      <c r="I14" s="37"/>
      <c r="J14" s="201">
        <v>22</v>
      </c>
      <c r="K14" s="37"/>
      <c r="L14" s="201">
        <v>22</v>
      </c>
      <c r="M14" s="46"/>
      <c r="N14" s="209">
        <v>22</v>
      </c>
      <c r="O14" s="46"/>
      <c r="P14" s="209">
        <v>22</v>
      </c>
      <c r="Q14" s="46"/>
      <c r="R14" s="209">
        <v>22</v>
      </c>
      <c r="S14" s="46"/>
      <c r="T14" s="39">
        <f>AVERAGE(L14,N14,P14,R14)</f>
        <v>22</v>
      </c>
      <c r="U14" s="40">
        <f t="shared" si="0"/>
        <v>100</v>
      </c>
      <c r="V14" s="41" t="s">
        <v>118</v>
      </c>
      <c r="W14" s="47"/>
      <c r="X14" s="43">
        <f>W13/K13*100</f>
        <v>95.206442422660913</v>
      </c>
      <c r="Y14" s="29" t="s">
        <v>118</v>
      </c>
      <c r="Z14" s="39">
        <f t="shared" si="2"/>
        <v>43.25</v>
      </c>
      <c r="AA14" s="47"/>
      <c r="AB14" s="49"/>
      <c r="AC14" s="48"/>
      <c r="AD14" s="49"/>
      <c r="AE14" s="44"/>
      <c r="AF14" s="10"/>
      <c r="AH14" s="14"/>
    </row>
    <row r="15" spans="1:37" s="12" customFormat="1" ht="17.399999999999999" x14ac:dyDescent="0.3">
      <c r="A15" s="204"/>
      <c r="B15" s="45"/>
      <c r="C15" s="207"/>
      <c r="D15" s="200" t="s">
        <v>266</v>
      </c>
      <c r="E15" s="201">
        <v>12</v>
      </c>
      <c r="F15" s="202" t="s">
        <v>264</v>
      </c>
      <c r="G15" s="37"/>
      <c r="H15" s="53">
        <v>12.9</v>
      </c>
      <c r="I15" s="37"/>
      <c r="J15" s="201">
        <v>12</v>
      </c>
      <c r="K15" s="37"/>
      <c r="L15" s="201">
        <v>12</v>
      </c>
      <c r="M15" s="46"/>
      <c r="N15" s="201">
        <v>12</v>
      </c>
      <c r="O15" s="46"/>
      <c r="P15" s="201">
        <v>12</v>
      </c>
      <c r="Q15" s="46"/>
      <c r="R15" s="201">
        <v>12</v>
      </c>
      <c r="S15" s="46"/>
      <c r="T15" s="39">
        <f>AVERAGE(L15,N15,P15,R15)</f>
        <v>12</v>
      </c>
      <c r="U15" s="40">
        <f t="shared" si="0"/>
        <v>100</v>
      </c>
      <c r="V15" s="41" t="s">
        <v>118</v>
      </c>
      <c r="W15" s="47"/>
      <c r="X15" s="43">
        <f>W13/K13*100</f>
        <v>95.206442422660913</v>
      </c>
      <c r="Y15" s="29" t="s">
        <v>118</v>
      </c>
      <c r="Z15" s="57"/>
      <c r="AA15" s="47"/>
      <c r="AB15" s="49"/>
      <c r="AC15" s="48"/>
      <c r="AD15" s="49"/>
      <c r="AE15" s="44"/>
      <c r="AF15" s="10"/>
      <c r="AH15" s="14"/>
    </row>
    <row r="16" spans="1:37" s="12" customFormat="1" ht="17.399999999999999" x14ac:dyDescent="0.3">
      <c r="A16" s="204"/>
      <c r="B16" s="45"/>
      <c r="C16" s="207"/>
      <c r="D16" s="200" t="s">
        <v>267</v>
      </c>
      <c r="E16" s="201">
        <v>8.5</v>
      </c>
      <c r="F16" s="202" t="s">
        <v>264</v>
      </c>
      <c r="G16" s="37"/>
      <c r="H16" s="53">
        <v>7.83</v>
      </c>
      <c r="I16" s="37"/>
      <c r="J16" s="201">
        <v>8.5</v>
      </c>
      <c r="K16" s="37"/>
      <c r="L16" s="201">
        <v>8.5</v>
      </c>
      <c r="M16" s="46"/>
      <c r="N16" s="201">
        <v>8.5</v>
      </c>
      <c r="O16" s="46"/>
      <c r="P16" s="201">
        <v>8.5</v>
      </c>
      <c r="Q16" s="46"/>
      <c r="R16" s="201">
        <v>8.5</v>
      </c>
      <c r="S16" s="46"/>
      <c r="T16" s="56">
        <f>AVERAGE(L16,N16,P16,R16)</f>
        <v>8.5</v>
      </c>
      <c r="U16" s="40">
        <f t="shared" si="0"/>
        <v>100</v>
      </c>
      <c r="V16" s="41" t="s">
        <v>118</v>
      </c>
      <c r="W16" s="47"/>
      <c r="X16" s="43">
        <f>W13/K13*100</f>
        <v>95.206442422660913</v>
      </c>
      <c r="Y16" s="29" t="s">
        <v>118</v>
      </c>
      <c r="Z16" s="57"/>
      <c r="AA16" s="47"/>
      <c r="AB16" s="49"/>
      <c r="AC16" s="48"/>
      <c r="AD16" s="49"/>
      <c r="AE16" s="44"/>
      <c r="AF16" s="10"/>
      <c r="AH16" s="14"/>
    </row>
    <row r="17" spans="1:34" s="12" customFormat="1" ht="17.399999999999999" x14ac:dyDescent="0.3">
      <c r="A17" s="205"/>
      <c r="B17" s="84"/>
      <c r="C17" s="208"/>
      <c r="D17" s="200" t="s">
        <v>268</v>
      </c>
      <c r="E17" s="201">
        <v>13</v>
      </c>
      <c r="F17" s="202" t="s">
        <v>264</v>
      </c>
      <c r="G17" s="46"/>
      <c r="H17" s="210">
        <v>12.92</v>
      </c>
      <c r="I17" s="46"/>
      <c r="J17" s="209">
        <v>13</v>
      </c>
      <c r="K17" s="46"/>
      <c r="L17" s="201">
        <v>13</v>
      </c>
      <c r="M17" s="46"/>
      <c r="N17" s="201">
        <v>13</v>
      </c>
      <c r="O17" s="46"/>
      <c r="P17" s="201">
        <v>13</v>
      </c>
      <c r="Q17" s="46"/>
      <c r="R17" s="201">
        <v>13</v>
      </c>
      <c r="S17" s="46"/>
      <c r="T17" s="39">
        <f>AVERAGE(L17,N17,P17,R17)</f>
        <v>13</v>
      </c>
      <c r="U17" s="40">
        <f t="shared" si="0"/>
        <v>100</v>
      </c>
      <c r="V17" s="41" t="s">
        <v>118</v>
      </c>
      <c r="W17" s="47"/>
      <c r="X17" s="43">
        <f>W13/K13*100</f>
        <v>95.206442422660913</v>
      </c>
      <c r="Y17" s="29" t="s">
        <v>118</v>
      </c>
      <c r="Z17" s="57"/>
      <c r="AA17" s="47"/>
      <c r="AB17" s="49"/>
      <c r="AC17" s="48"/>
      <c r="AD17" s="49"/>
      <c r="AE17" s="44"/>
      <c r="AF17" s="10"/>
      <c r="AH17" s="14"/>
    </row>
    <row r="18" spans="1:34" s="12" customFormat="1" ht="100.95" customHeight="1" x14ac:dyDescent="0.3">
      <c r="A18" s="58">
        <v>2</v>
      </c>
      <c r="B18" s="45" t="s">
        <v>22</v>
      </c>
      <c r="C18" s="51" t="s">
        <v>52</v>
      </c>
      <c r="D18" s="30" t="s">
        <v>269</v>
      </c>
      <c r="E18" s="32">
        <v>12</v>
      </c>
      <c r="F18" s="211" t="s">
        <v>270</v>
      </c>
      <c r="G18" s="46">
        <f>SUM(G19:G20)</f>
        <v>26594400</v>
      </c>
      <c r="H18" s="32">
        <v>12</v>
      </c>
      <c r="I18" s="46">
        <f>SUM(I19:I20)</f>
        <v>14467700</v>
      </c>
      <c r="J18" s="53">
        <v>12</v>
      </c>
      <c r="K18" s="46">
        <f>SUM(K19:K20)</f>
        <v>7594400</v>
      </c>
      <c r="L18" s="54">
        <v>3</v>
      </c>
      <c r="M18" s="37">
        <f>SUM(M19:M20)</f>
        <v>0</v>
      </c>
      <c r="N18" s="54">
        <v>3</v>
      </c>
      <c r="O18" s="37">
        <f>SUM(O19:O20)</f>
        <v>0</v>
      </c>
      <c r="P18" s="181">
        <v>3</v>
      </c>
      <c r="Q18" s="37">
        <f>SUM(Q19:Q20)</f>
        <v>2184500</v>
      </c>
      <c r="R18" s="181">
        <v>3</v>
      </c>
      <c r="S18" s="37">
        <f>SUM(S19:S20)</f>
        <v>5409900</v>
      </c>
      <c r="T18" s="56">
        <f>SUM(L18,N18,P18,R18)</f>
        <v>12</v>
      </c>
      <c r="U18" s="43">
        <f t="shared" si="0"/>
        <v>100</v>
      </c>
      <c r="V18" s="41" t="s">
        <v>118</v>
      </c>
      <c r="W18" s="47">
        <f t="shared" ref="W18:W48" si="4">SUM(M18,O18,Q18,S18)</f>
        <v>7594400</v>
      </c>
      <c r="X18" s="49">
        <f t="shared" si="1"/>
        <v>100</v>
      </c>
      <c r="Y18" s="48" t="s">
        <v>118</v>
      </c>
      <c r="Z18" s="57">
        <f>SUM(H18,T18)</f>
        <v>24</v>
      </c>
      <c r="AA18" s="47">
        <f>SUM(I18,W18)</f>
        <v>22062100</v>
      </c>
      <c r="AB18" s="49"/>
      <c r="AC18" s="48" t="s">
        <v>118</v>
      </c>
      <c r="AD18" s="49"/>
      <c r="AE18" s="44"/>
      <c r="AF18" s="10"/>
      <c r="AH18" s="14"/>
    </row>
    <row r="19" spans="1:34" s="12" customFormat="1" ht="69.599999999999994" customHeight="1" x14ac:dyDescent="0.3">
      <c r="A19" s="58"/>
      <c r="B19" s="45"/>
      <c r="C19" s="59" t="s">
        <v>53</v>
      </c>
      <c r="D19" s="60" t="s">
        <v>146</v>
      </c>
      <c r="E19" s="61">
        <f>5*3</f>
        <v>15</v>
      </c>
      <c r="F19" s="62" t="s">
        <v>116</v>
      </c>
      <c r="G19" s="63">
        <f>8000000+6398100+8000000</f>
        <v>22398100</v>
      </c>
      <c r="H19" s="61">
        <v>10</v>
      </c>
      <c r="I19" s="63">
        <v>12967700</v>
      </c>
      <c r="J19" s="61">
        <v>5</v>
      </c>
      <c r="K19" s="63">
        <v>6398100</v>
      </c>
      <c r="L19" s="61">
        <v>1</v>
      </c>
      <c r="M19" s="63">
        <v>0</v>
      </c>
      <c r="N19" s="61">
        <v>1</v>
      </c>
      <c r="O19" s="63">
        <v>0</v>
      </c>
      <c r="P19" s="182">
        <v>2</v>
      </c>
      <c r="Q19" s="63">
        <v>2184500</v>
      </c>
      <c r="R19" s="61">
        <v>1</v>
      </c>
      <c r="S19" s="63">
        <v>4213600</v>
      </c>
      <c r="T19" s="64">
        <f>SUM(L19,N19,P19,R19)</f>
        <v>5</v>
      </c>
      <c r="U19" s="65">
        <f t="shared" si="0"/>
        <v>100</v>
      </c>
      <c r="V19" s="66" t="s">
        <v>118</v>
      </c>
      <c r="W19" s="67">
        <f t="shared" si="4"/>
        <v>6398100</v>
      </c>
      <c r="X19" s="68">
        <f t="shared" si="1"/>
        <v>100</v>
      </c>
      <c r="Y19" s="66" t="s">
        <v>118</v>
      </c>
      <c r="Z19" s="64">
        <f t="shared" si="2"/>
        <v>15</v>
      </c>
      <c r="AA19" s="67">
        <f t="shared" si="3"/>
        <v>19365800</v>
      </c>
      <c r="AB19" s="68"/>
      <c r="AC19" s="66" t="s">
        <v>118</v>
      </c>
      <c r="AD19" s="68"/>
      <c r="AE19" s="69"/>
      <c r="AF19" s="10"/>
      <c r="AH19" s="14"/>
    </row>
    <row r="20" spans="1:34" s="12" customFormat="1" ht="54.6" customHeight="1" x14ac:dyDescent="0.3">
      <c r="A20" s="58"/>
      <c r="B20" s="45"/>
      <c r="C20" s="70" t="s">
        <v>55</v>
      </c>
      <c r="D20" s="60" t="s">
        <v>147</v>
      </c>
      <c r="E20" s="61">
        <f>10*3</f>
        <v>30</v>
      </c>
      <c r="F20" s="62" t="s">
        <v>148</v>
      </c>
      <c r="G20" s="63">
        <f>1500000+1196300+1500000</f>
        <v>4196300</v>
      </c>
      <c r="H20" s="61">
        <v>20</v>
      </c>
      <c r="I20" s="63">
        <v>1500000</v>
      </c>
      <c r="J20" s="61">
        <v>10</v>
      </c>
      <c r="K20" s="63">
        <v>1196300</v>
      </c>
      <c r="L20" s="61">
        <v>2</v>
      </c>
      <c r="M20" s="63">
        <v>0</v>
      </c>
      <c r="N20" s="61">
        <v>3</v>
      </c>
      <c r="O20" s="63">
        <v>0</v>
      </c>
      <c r="P20" s="182">
        <v>3</v>
      </c>
      <c r="Q20" s="63">
        <v>0</v>
      </c>
      <c r="R20" s="61">
        <v>2</v>
      </c>
      <c r="S20" s="63">
        <v>1196300</v>
      </c>
      <c r="T20" s="64">
        <f>SUM(L20,N20,P20,R20)</f>
        <v>10</v>
      </c>
      <c r="U20" s="65">
        <f t="shared" si="0"/>
        <v>100</v>
      </c>
      <c r="V20" s="66" t="s">
        <v>118</v>
      </c>
      <c r="W20" s="67">
        <f t="shared" si="4"/>
        <v>1196300</v>
      </c>
      <c r="X20" s="68">
        <f t="shared" si="1"/>
        <v>100</v>
      </c>
      <c r="Y20" s="66" t="s">
        <v>118</v>
      </c>
      <c r="Z20" s="64">
        <f t="shared" si="2"/>
        <v>30</v>
      </c>
      <c r="AA20" s="67">
        <f t="shared" si="3"/>
        <v>2696300</v>
      </c>
      <c r="AB20" s="68"/>
      <c r="AC20" s="66" t="s">
        <v>118</v>
      </c>
      <c r="AD20" s="68"/>
      <c r="AE20" s="69"/>
      <c r="AF20" s="10"/>
      <c r="AH20" s="14"/>
    </row>
    <row r="21" spans="1:34" s="12" customFormat="1" ht="68.400000000000006" customHeight="1" x14ac:dyDescent="0.3">
      <c r="A21" s="71"/>
      <c r="B21" s="69"/>
      <c r="C21" s="50" t="s">
        <v>56</v>
      </c>
      <c r="D21" s="30" t="s">
        <v>271</v>
      </c>
      <c r="E21" s="53">
        <f>14*3</f>
        <v>42</v>
      </c>
      <c r="F21" s="72" t="s">
        <v>228</v>
      </c>
      <c r="G21" s="46">
        <f>SUM(G22:G25)</f>
        <v>9295861668</v>
      </c>
      <c r="H21" s="53">
        <f>14*3</f>
        <v>42</v>
      </c>
      <c r="I21" s="46">
        <f>SUM(I22:I25)</f>
        <v>5635043043</v>
      </c>
      <c r="J21" s="73">
        <v>12</v>
      </c>
      <c r="K21" s="46">
        <f>SUM(K22:K25)</f>
        <v>2939743786</v>
      </c>
      <c r="L21" s="73">
        <v>3</v>
      </c>
      <c r="M21" s="46">
        <f>SUM(M22:M25)</f>
        <v>536566108</v>
      </c>
      <c r="N21" s="73">
        <v>3</v>
      </c>
      <c r="O21" s="46">
        <f>SUM(O22:O25)</f>
        <v>890640938</v>
      </c>
      <c r="P21" s="183">
        <v>3</v>
      </c>
      <c r="Q21" s="46">
        <f>SUM(Q22:Q25)</f>
        <v>729377446</v>
      </c>
      <c r="R21" s="73">
        <v>3</v>
      </c>
      <c r="S21" s="46">
        <f>SUM(S22:S25)</f>
        <v>632306239</v>
      </c>
      <c r="T21" s="39">
        <f>SUM(L21,N21,P21,R21)</f>
        <v>12</v>
      </c>
      <c r="U21" s="43">
        <f>T21/J21*100</f>
        <v>100</v>
      </c>
      <c r="V21" s="41" t="s">
        <v>118</v>
      </c>
      <c r="W21" s="42">
        <f>SUM(M21,O21,Q21,S21)</f>
        <v>2788890731</v>
      </c>
      <c r="X21" s="43">
        <f t="shared" si="1"/>
        <v>94.868496509171635</v>
      </c>
      <c r="Y21" s="41" t="s">
        <v>118</v>
      </c>
      <c r="Z21" s="39">
        <f t="shared" si="2"/>
        <v>54</v>
      </c>
      <c r="AA21" s="42">
        <f t="shared" si="3"/>
        <v>8423933774</v>
      </c>
      <c r="AB21" s="43"/>
      <c r="AC21" s="41" t="s">
        <v>118</v>
      </c>
      <c r="AD21" s="43"/>
      <c r="AE21" s="69"/>
      <c r="AF21" s="10"/>
      <c r="AH21" s="14"/>
    </row>
    <row r="22" spans="1:34" s="12" customFormat="1" ht="52.2" x14ac:dyDescent="0.3">
      <c r="A22" s="58"/>
      <c r="B22" s="45"/>
      <c r="C22" s="60" t="s">
        <v>57</v>
      </c>
      <c r="D22" s="74" t="s">
        <v>149</v>
      </c>
      <c r="E22" s="75">
        <v>25</v>
      </c>
      <c r="F22" s="76" t="s">
        <v>153</v>
      </c>
      <c r="G22" s="77">
        <f>3219343943+2843166082+3219343943</f>
        <v>9281853968</v>
      </c>
      <c r="H22" s="78">
        <v>52</v>
      </c>
      <c r="I22" s="79">
        <v>5627798043</v>
      </c>
      <c r="J22" s="61">
        <v>25</v>
      </c>
      <c r="K22" s="77">
        <v>2935735936</v>
      </c>
      <c r="L22" s="61">
        <v>25</v>
      </c>
      <c r="M22" s="77">
        <v>536031358</v>
      </c>
      <c r="N22" s="61">
        <v>25</v>
      </c>
      <c r="O22" s="77">
        <f>1425047546-M22</f>
        <v>889016188</v>
      </c>
      <c r="P22" s="182">
        <v>25</v>
      </c>
      <c r="Q22" s="77">
        <v>727647146</v>
      </c>
      <c r="R22" s="80">
        <v>22</v>
      </c>
      <c r="S22" s="77">
        <f>2784882931-Q22-O22-M22</f>
        <v>632188239</v>
      </c>
      <c r="T22" s="64">
        <v>22</v>
      </c>
      <c r="U22" s="65">
        <f>T22/J22*100</f>
        <v>88</v>
      </c>
      <c r="V22" s="66" t="s">
        <v>118</v>
      </c>
      <c r="W22" s="67">
        <f t="shared" si="4"/>
        <v>2784882931</v>
      </c>
      <c r="X22" s="68">
        <f t="shared" si="1"/>
        <v>94.861492712946784</v>
      </c>
      <c r="Y22" s="66" t="s">
        <v>118</v>
      </c>
      <c r="Z22" s="64">
        <f t="shared" si="2"/>
        <v>74</v>
      </c>
      <c r="AA22" s="67">
        <f t="shared" si="3"/>
        <v>8412680974</v>
      </c>
      <c r="AB22" s="68"/>
      <c r="AC22" s="66" t="s">
        <v>118</v>
      </c>
      <c r="AD22" s="68"/>
      <c r="AE22" s="81"/>
      <c r="AF22" s="10"/>
      <c r="AH22" s="14">
        <f>M22+O22+Q22+S22</f>
        <v>2784882931</v>
      </c>
    </row>
    <row r="23" spans="1:34" s="12" customFormat="1" ht="87" x14ac:dyDescent="0.3">
      <c r="A23" s="58"/>
      <c r="B23" s="45"/>
      <c r="C23" s="82" t="s">
        <v>58</v>
      </c>
      <c r="D23" s="60" t="s">
        <v>150</v>
      </c>
      <c r="E23" s="61">
        <v>1</v>
      </c>
      <c r="F23" s="76" t="s">
        <v>148</v>
      </c>
      <c r="G23" s="63">
        <f>2000000+1602500+2000000</f>
        <v>5602500</v>
      </c>
      <c r="H23" s="61">
        <v>2</v>
      </c>
      <c r="I23" s="83">
        <v>4245000</v>
      </c>
      <c r="J23" s="61">
        <v>1</v>
      </c>
      <c r="K23" s="63">
        <v>1602650</v>
      </c>
      <c r="L23" s="61">
        <v>1</v>
      </c>
      <c r="M23" s="63">
        <v>534750</v>
      </c>
      <c r="N23" s="61">
        <v>0</v>
      </c>
      <c r="O23" s="63">
        <f>1602600-M23</f>
        <v>1067850</v>
      </c>
      <c r="P23" s="182">
        <v>0</v>
      </c>
      <c r="Q23" s="63">
        <v>0</v>
      </c>
      <c r="R23" s="61">
        <v>0</v>
      </c>
      <c r="S23" s="63">
        <v>0</v>
      </c>
      <c r="T23" s="64">
        <f t="shared" ref="T23:T44" si="5">SUM(L23,N23,P23,R23)</f>
        <v>1</v>
      </c>
      <c r="U23" s="65">
        <f t="shared" si="0"/>
        <v>100</v>
      </c>
      <c r="V23" s="66" t="s">
        <v>118</v>
      </c>
      <c r="W23" s="67">
        <f t="shared" si="4"/>
        <v>1602600</v>
      </c>
      <c r="X23" s="68">
        <f t="shared" si="1"/>
        <v>99.99688016722304</v>
      </c>
      <c r="Y23" s="66" t="s">
        <v>118</v>
      </c>
      <c r="Z23" s="64">
        <f t="shared" si="2"/>
        <v>3</v>
      </c>
      <c r="AA23" s="67">
        <f t="shared" si="3"/>
        <v>5847600</v>
      </c>
      <c r="AB23" s="68"/>
      <c r="AC23" s="66" t="s">
        <v>118</v>
      </c>
      <c r="AD23" s="68"/>
      <c r="AE23" s="69"/>
      <c r="AF23" s="10"/>
      <c r="AH23" s="14">
        <f>M23+O23+Q23+S23</f>
        <v>1602600</v>
      </c>
    </row>
    <row r="24" spans="1:34" s="12" customFormat="1" ht="121.8" x14ac:dyDescent="0.3">
      <c r="A24" s="58"/>
      <c r="B24" s="45"/>
      <c r="C24" s="60" t="s">
        <v>59</v>
      </c>
      <c r="D24" s="60" t="s">
        <v>151</v>
      </c>
      <c r="E24" s="61">
        <v>12</v>
      </c>
      <c r="F24" s="76" t="s">
        <v>148</v>
      </c>
      <c r="G24" s="63">
        <f>1500000+1202400+1500000</f>
        <v>4202400</v>
      </c>
      <c r="H24" s="61">
        <v>24</v>
      </c>
      <c r="I24" s="83">
        <v>1500000</v>
      </c>
      <c r="J24" s="61">
        <v>12</v>
      </c>
      <c r="K24" s="63">
        <v>1202400</v>
      </c>
      <c r="L24" s="61">
        <v>3</v>
      </c>
      <c r="M24" s="63">
        <v>0</v>
      </c>
      <c r="N24" s="61">
        <v>3</v>
      </c>
      <c r="O24" s="63">
        <v>556900</v>
      </c>
      <c r="P24" s="182">
        <v>3</v>
      </c>
      <c r="Q24" s="63">
        <v>527500</v>
      </c>
      <c r="R24" s="61">
        <v>3</v>
      </c>
      <c r="S24" s="63">
        <f>1202400-Q24-O24</f>
        <v>118000</v>
      </c>
      <c r="T24" s="64">
        <f t="shared" si="5"/>
        <v>12</v>
      </c>
      <c r="U24" s="65">
        <f t="shared" si="0"/>
        <v>100</v>
      </c>
      <c r="V24" s="66" t="s">
        <v>118</v>
      </c>
      <c r="W24" s="67">
        <f t="shared" si="4"/>
        <v>1202400</v>
      </c>
      <c r="X24" s="68">
        <f t="shared" si="1"/>
        <v>100</v>
      </c>
      <c r="Y24" s="66" t="s">
        <v>118</v>
      </c>
      <c r="Z24" s="64">
        <f t="shared" si="2"/>
        <v>36</v>
      </c>
      <c r="AA24" s="67">
        <f t="shared" si="3"/>
        <v>2702400</v>
      </c>
      <c r="AB24" s="68"/>
      <c r="AC24" s="66" t="s">
        <v>118</v>
      </c>
      <c r="AD24" s="68"/>
      <c r="AE24" s="69"/>
      <c r="AF24" s="10"/>
      <c r="AH24" s="14">
        <f>M24+O24+Q24+S24</f>
        <v>1202400</v>
      </c>
    </row>
    <row r="25" spans="1:34" s="12" customFormat="1" ht="87" x14ac:dyDescent="0.3">
      <c r="A25" s="58"/>
      <c r="B25" s="45"/>
      <c r="C25" s="74" t="s">
        <v>60</v>
      </c>
      <c r="D25" s="60" t="s">
        <v>152</v>
      </c>
      <c r="E25" s="61">
        <v>1</v>
      </c>
      <c r="F25" s="76" t="s">
        <v>116</v>
      </c>
      <c r="G25" s="63">
        <f>1500000+1202800+1500000</f>
        <v>4202800</v>
      </c>
      <c r="H25" s="61">
        <v>2</v>
      </c>
      <c r="I25" s="83">
        <v>1500000</v>
      </c>
      <c r="J25" s="61">
        <v>1</v>
      </c>
      <c r="K25" s="63">
        <v>1202800</v>
      </c>
      <c r="L25" s="61">
        <v>0</v>
      </c>
      <c r="M25" s="63">
        <v>0</v>
      </c>
      <c r="N25" s="80">
        <v>0</v>
      </c>
      <c r="O25" s="63">
        <v>0</v>
      </c>
      <c r="P25" s="184">
        <v>1</v>
      </c>
      <c r="Q25" s="63">
        <v>1202800</v>
      </c>
      <c r="R25" s="80">
        <v>0</v>
      </c>
      <c r="S25" s="63">
        <v>0</v>
      </c>
      <c r="T25" s="64">
        <f t="shared" si="5"/>
        <v>1</v>
      </c>
      <c r="U25" s="65">
        <f t="shared" si="0"/>
        <v>100</v>
      </c>
      <c r="V25" s="66" t="s">
        <v>118</v>
      </c>
      <c r="W25" s="67">
        <f t="shared" si="4"/>
        <v>1202800</v>
      </c>
      <c r="X25" s="68">
        <f t="shared" si="1"/>
        <v>100</v>
      </c>
      <c r="Y25" s="66" t="s">
        <v>118</v>
      </c>
      <c r="Z25" s="64">
        <f t="shared" si="2"/>
        <v>3</v>
      </c>
      <c r="AA25" s="67">
        <f t="shared" si="3"/>
        <v>2702800</v>
      </c>
      <c r="AB25" s="68"/>
      <c r="AC25" s="66" t="s">
        <v>118</v>
      </c>
      <c r="AD25" s="68"/>
      <c r="AE25" s="69"/>
      <c r="AF25" s="10"/>
      <c r="AH25" s="14">
        <f>M25+O25+Q25+S25</f>
        <v>1202800</v>
      </c>
    </row>
    <row r="26" spans="1:34" s="12" customFormat="1" ht="84.6" customHeight="1" x14ac:dyDescent="0.3">
      <c r="A26" s="58"/>
      <c r="B26" s="45"/>
      <c r="C26" s="84" t="s">
        <v>117</v>
      </c>
      <c r="D26" s="30" t="s">
        <v>272</v>
      </c>
      <c r="E26" s="73">
        <f>12*4</f>
        <v>48</v>
      </c>
      <c r="F26" s="85" t="s">
        <v>231</v>
      </c>
      <c r="G26" s="37">
        <f>SUM(G27:G32)</f>
        <v>550566400</v>
      </c>
      <c r="H26" s="73">
        <f>12*3</f>
        <v>36</v>
      </c>
      <c r="I26" s="37">
        <f>SUM(I27:I32)</f>
        <v>354138593</v>
      </c>
      <c r="J26" s="73">
        <v>12</v>
      </c>
      <c r="K26" s="37">
        <f>SUM(K27:K32)</f>
        <v>272666850</v>
      </c>
      <c r="L26" s="73">
        <v>3</v>
      </c>
      <c r="M26" s="37">
        <f>SUM(M27:M32)</f>
        <v>22501900</v>
      </c>
      <c r="N26" s="73">
        <v>3</v>
      </c>
      <c r="O26" s="37">
        <f>SUM(O27:O32)</f>
        <v>73677000</v>
      </c>
      <c r="P26" s="183">
        <v>3</v>
      </c>
      <c r="Q26" s="37">
        <f>SUM(Q27:Q32)</f>
        <v>18137900</v>
      </c>
      <c r="R26" s="183">
        <v>3</v>
      </c>
      <c r="S26" s="37">
        <f>SUM(S27:S32)</f>
        <v>158136633</v>
      </c>
      <c r="T26" s="39">
        <f t="shared" si="5"/>
        <v>12</v>
      </c>
      <c r="U26" s="212">
        <f t="shared" si="0"/>
        <v>100</v>
      </c>
      <c r="V26" s="150" t="s">
        <v>118</v>
      </c>
      <c r="W26" s="151">
        <f t="shared" si="4"/>
        <v>272453433</v>
      </c>
      <c r="X26" s="152">
        <f t="shared" si="1"/>
        <v>99.921729759228157</v>
      </c>
      <c r="Y26" s="150" t="s">
        <v>118</v>
      </c>
      <c r="Z26" s="174">
        <f t="shared" si="2"/>
        <v>48</v>
      </c>
      <c r="AA26" s="42">
        <f t="shared" si="3"/>
        <v>626592026</v>
      </c>
      <c r="AB26" s="43"/>
      <c r="AC26" s="41" t="s">
        <v>118</v>
      </c>
      <c r="AD26" s="43"/>
      <c r="AE26" s="69"/>
      <c r="AF26" s="10"/>
      <c r="AH26" s="14"/>
    </row>
    <row r="27" spans="1:34" s="12" customFormat="1" ht="104.4" x14ac:dyDescent="0.3">
      <c r="A27" s="58"/>
      <c r="B27" s="45"/>
      <c r="C27" s="74" t="s">
        <v>61</v>
      </c>
      <c r="D27" s="60" t="s">
        <v>154</v>
      </c>
      <c r="E27" s="78">
        <v>12</v>
      </c>
      <c r="F27" s="62" t="s">
        <v>160</v>
      </c>
      <c r="G27" s="63">
        <f>2075000+1290600+2075000</f>
        <v>5440600</v>
      </c>
      <c r="H27" s="78">
        <v>24</v>
      </c>
      <c r="I27" s="63">
        <v>2075000</v>
      </c>
      <c r="J27" s="78">
        <v>12</v>
      </c>
      <c r="K27" s="63">
        <v>1290600</v>
      </c>
      <c r="L27" s="78">
        <v>3</v>
      </c>
      <c r="M27" s="63">
        <v>0</v>
      </c>
      <c r="N27" s="78">
        <v>3</v>
      </c>
      <c r="O27" s="63">
        <v>1243000</v>
      </c>
      <c r="P27" s="185">
        <v>3</v>
      </c>
      <c r="Q27" s="63">
        <v>0</v>
      </c>
      <c r="R27" s="185">
        <v>3</v>
      </c>
      <c r="S27" s="63">
        <v>0</v>
      </c>
      <c r="T27" s="64">
        <f t="shared" si="5"/>
        <v>12</v>
      </c>
      <c r="U27" s="65">
        <f t="shared" si="0"/>
        <v>100</v>
      </c>
      <c r="V27" s="66" t="s">
        <v>118</v>
      </c>
      <c r="W27" s="67">
        <f t="shared" si="4"/>
        <v>1243000</v>
      </c>
      <c r="X27" s="68">
        <f t="shared" si="1"/>
        <v>96.311792964512634</v>
      </c>
      <c r="Y27" s="66" t="s">
        <v>118</v>
      </c>
      <c r="Z27" s="64">
        <f t="shared" si="2"/>
        <v>36</v>
      </c>
      <c r="AA27" s="67">
        <f t="shared" si="3"/>
        <v>3318000</v>
      </c>
      <c r="AB27" s="68"/>
      <c r="AC27" s="66" t="s">
        <v>118</v>
      </c>
      <c r="AD27" s="68"/>
      <c r="AE27" s="69"/>
      <c r="AF27" s="10"/>
      <c r="AH27" s="14"/>
    </row>
    <row r="28" spans="1:34" s="12" customFormat="1" ht="63.75" customHeight="1" x14ac:dyDescent="0.3">
      <c r="A28" s="58"/>
      <c r="B28" s="45"/>
      <c r="C28" s="74" t="s">
        <v>62</v>
      </c>
      <c r="D28" s="60" t="s">
        <v>155</v>
      </c>
      <c r="E28" s="78">
        <v>12</v>
      </c>
      <c r="F28" s="62" t="s">
        <v>160</v>
      </c>
      <c r="G28" s="63">
        <f>29505300+33041900+33041900</f>
        <v>95589100</v>
      </c>
      <c r="H28" s="78">
        <v>24</v>
      </c>
      <c r="I28" s="63">
        <v>29505300</v>
      </c>
      <c r="J28" s="78">
        <v>12</v>
      </c>
      <c r="K28" s="63">
        <v>33041900</v>
      </c>
      <c r="L28" s="78">
        <v>3</v>
      </c>
      <c r="M28" s="63">
        <v>1210000</v>
      </c>
      <c r="N28" s="78">
        <v>3</v>
      </c>
      <c r="O28" s="63">
        <f>15910300-M28</f>
        <v>14700300</v>
      </c>
      <c r="P28" s="185">
        <v>3</v>
      </c>
      <c r="Q28" s="63">
        <v>7383000</v>
      </c>
      <c r="R28" s="185">
        <v>3</v>
      </c>
      <c r="S28" s="63">
        <f>33041700-Q28-O28-M28</f>
        <v>9748400</v>
      </c>
      <c r="T28" s="64">
        <f t="shared" si="5"/>
        <v>12</v>
      </c>
      <c r="U28" s="65">
        <f t="shared" si="0"/>
        <v>100</v>
      </c>
      <c r="V28" s="66" t="s">
        <v>118</v>
      </c>
      <c r="W28" s="67">
        <f t="shared" si="4"/>
        <v>33041700</v>
      </c>
      <c r="X28" s="68">
        <f t="shared" si="1"/>
        <v>99.999394707931444</v>
      </c>
      <c r="Y28" s="66" t="s">
        <v>118</v>
      </c>
      <c r="Z28" s="64">
        <f t="shared" si="2"/>
        <v>36</v>
      </c>
      <c r="AA28" s="67">
        <f t="shared" si="3"/>
        <v>62547000</v>
      </c>
      <c r="AB28" s="68"/>
      <c r="AC28" s="66" t="s">
        <v>118</v>
      </c>
      <c r="AD28" s="68"/>
      <c r="AE28" s="69"/>
      <c r="AF28" s="10"/>
      <c r="AH28" s="14"/>
    </row>
    <row r="29" spans="1:34" s="12" customFormat="1" ht="63.75" customHeight="1" x14ac:dyDescent="0.3">
      <c r="A29" s="58"/>
      <c r="B29" s="45"/>
      <c r="C29" s="74" t="s">
        <v>63</v>
      </c>
      <c r="D29" s="74" t="s">
        <v>156</v>
      </c>
      <c r="E29" s="78">
        <v>12</v>
      </c>
      <c r="F29" s="62" t="s">
        <v>160</v>
      </c>
      <c r="G29" s="63">
        <f>37604000+32811500+37604000</f>
        <v>108019500</v>
      </c>
      <c r="H29" s="78">
        <v>24</v>
      </c>
      <c r="I29" s="63">
        <v>31985000</v>
      </c>
      <c r="J29" s="78">
        <v>12</v>
      </c>
      <c r="K29" s="63">
        <v>33421100</v>
      </c>
      <c r="L29" s="78">
        <v>3</v>
      </c>
      <c r="M29" s="63">
        <v>787500</v>
      </c>
      <c r="N29" s="78">
        <v>3</v>
      </c>
      <c r="O29" s="63">
        <f>6187500-M29</f>
        <v>5400000</v>
      </c>
      <c r="P29" s="185">
        <v>3</v>
      </c>
      <c r="Q29" s="63">
        <v>2925000</v>
      </c>
      <c r="R29" s="185">
        <v>3</v>
      </c>
      <c r="S29" s="63">
        <f>33347500-Q29-O29-M29</f>
        <v>24235000</v>
      </c>
      <c r="T29" s="64">
        <f t="shared" si="5"/>
        <v>12</v>
      </c>
      <c r="U29" s="65">
        <f t="shared" si="0"/>
        <v>100</v>
      </c>
      <c r="V29" s="66" t="s">
        <v>118</v>
      </c>
      <c r="W29" s="67">
        <f t="shared" si="4"/>
        <v>33347500</v>
      </c>
      <c r="X29" s="68">
        <f t="shared" si="1"/>
        <v>99.779779839682121</v>
      </c>
      <c r="Y29" s="66" t="s">
        <v>118</v>
      </c>
      <c r="Z29" s="64">
        <f t="shared" si="2"/>
        <v>36</v>
      </c>
      <c r="AA29" s="67">
        <f t="shared" si="3"/>
        <v>65332500</v>
      </c>
      <c r="AB29" s="68"/>
      <c r="AC29" s="66" t="s">
        <v>118</v>
      </c>
      <c r="AD29" s="68"/>
      <c r="AE29" s="69"/>
      <c r="AF29" s="10"/>
      <c r="AH29" s="14"/>
    </row>
    <row r="30" spans="1:34" s="12" customFormat="1" ht="66.75" customHeight="1" x14ac:dyDescent="0.3">
      <c r="A30" s="58"/>
      <c r="B30" s="45"/>
      <c r="C30" s="74" t="s">
        <v>64</v>
      </c>
      <c r="D30" s="74" t="s">
        <v>157</v>
      </c>
      <c r="E30" s="78">
        <v>12</v>
      </c>
      <c r="F30" s="62" t="s">
        <v>160</v>
      </c>
      <c r="G30" s="63">
        <f>9942900+7330350+9942900</f>
        <v>27216150</v>
      </c>
      <c r="H30" s="78">
        <v>24</v>
      </c>
      <c r="I30" s="63">
        <v>9942900</v>
      </c>
      <c r="J30" s="78">
        <v>12</v>
      </c>
      <c r="K30" s="63">
        <v>7330350</v>
      </c>
      <c r="L30" s="78">
        <v>3</v>
      </c>
      <c r="M30" s="63">
        <v>480000</v>
      </c>
      <c r="N30" s="78">
        <v>3</v>
      </c>
      <c r="O30" s="63">
        <f>4264800-M30</f>
        <v>3784800</v>
      </c>
      <c r="P30" s="185">
        <v>3</v>
      </c>
      <c r="Q30" s="63">
        <v>849900</v>
      </c>
      <c r="R30" s="185">
        <v>3</v>
      </c>
      <c r="S30" s="63">
        <f>7330300-Q30-O30-M30</f>
        <v>2215600</v>
      </c>
      <c r="T30" s="64">
        <f t="shared" si="5"/>
        <v>12</v>
      </c>
      <c r="U30" s="65">
        <f t="shared" si="0"/>
        <v>100</v>
      </c>
      <c r="V30" s="66" t="s">
        <v>118</v>
      </c>
      <c r="W30" s="67">
        <f t="shared" si="4"/>
        <v>7330300</v>
      </c>
      <c r="X30" s="68">
        <f t="shared" si="1"/>
        <v>99.99931790432926</v>
      </c>
      <c r="Y30" s="66" t="s">
        <v>118</v>
      </c>
      <c r="Z30" s="64">
        <f t="shared" si="2"/>
        <v>36</v>
      </c>
      <c r="AA30" s="67">
        <f t="shared" si="3"/>
        <v>17273200</v>
      </c>
      <c r="AB30" s="68"/>
      <c r="AC30" s="66" t="s">
        <v>118</v>
      </c>
      <c r="AD30" s="68"/>
      <c r="AE30" s="69"/>
      <c r="AF30" s="10"/>
      <c r="AH30" s="14"/>
    </row>
    <row r="31" spans="1:34" s="12" customFormat="1" ht="87" x14ac:dyDescent="0.3">
      <c r="A31" s="58"/>
      <c r="B31" s="45"/>
      <c r="C31" s="74" t="s">
        <v>65</v>
      </c>
      <c r="D31" s="87" t="s">
        <v>158</v>
      </c>
      <c r="E31" s="78">
        <v>12</v>
      </c>
      <c r="F31" s="62" t="s">
        <v>116</v>
      </c>
      <c r="G31" s="63">
        <f>2880000+2640000</f>
        <v>5520000</v>
      </c>
      <c r="H31" s="78">
        <v>24</v>
      </c>
      <c r="I31" s="63">
        <v>2870000</v>
      </c>
      <c r="J31" s="78">
        <v>12</v>
      </c>
      <c r="K31" s="63">
        <v>2640000</v>
      </c>
      <c r="L31" s="78">
        <v>3</v>
      </c>
      <c r="M31" s="63">
        <v>410000</v>
      </c>
      <c r="N31" s="78">
        <v>3</v>
      </c>
      <c r="O31" s="63">
        <f>1250000-M31</f>
        <v>840000</v>
      </c>
      <c r="P31" s="185">
        <v>3</v>
      </c>
      <c r="Q31" s="63">
        <v>430000</v>
      </c>
      <c r="R31" s="185">
        <v>3</v>
      </c>
      <c r="S31" s="63">
        <f>2580000-Q31-O31-M31</f>
        <v>900000</v>
      </c>
      <c r="T31" s="64">
        <f t="shared" si="5"/>
        <v>12</v>
      </c>
      <c r="U31" s="175">
        <f t="shared" si="0"/>
        <v>100</v>
      </c>
      <c r="V31" s="176" t="s">
        <v>118</v>
      </c>
      <c r="W31" s="177">
        <f t="shared" si="4"/>
        <v>2580000</v>
      </c>
      <c r="X31" s="178">
        <f t="shared" si="1"/>
        <v>97.727272727272734</v>
      </c>
      <c r="Y31" s="176" t="s">
        <v>118</v>
      </c>
      <c r="Z31" s="64">
        <f t="shared" si="2"/>
        <v>36</v>
      </c>
      <c r="AA31" s="67">
        <f t="shared" si="3"/>
        <v>5450000</v>
      </c>
      <c r="AB31" s="68"/>
      <c r="AC31" s="66" t="s">
        <v>118</v>
      </c>
      <c r="AD31" s="68"/>
      <c r="AE31" s="69"/>
      <c r="AF31" s="10"/>
      <c r="AH31" s="14"/>
    </row>
    <row r="32" spans="1:34" s="12" customFormat="1" ht="66.75" customHeight="1" x14ac:dyDescent="0.3">
      <c r="A32" s="58"/>
      <c r="B32" s="45"/>
      <c r="C32" s="74" t="s">
        <v>66</v>
      </c>
      <c r="D32" s="87" t="s">
        <v>159</v>
      </c>
      <c r="E32" s="78">
        <v>12</v>
      </c>
      <c r="F32" s="62" t="s">
        <v>148</v>
      </c>
      <c r="G32" s="63">
        <f>111890525+85000000+111890525</f>
        <v>308781050</v>
      </c>
      <c r="H32" s="78">
        <v>24</v>
      </c>
      <c r="I32" s="63">
        <v>277760393</v>
      </c>
      <c r="J32" s="78">
        <v>12</v>
      </c>
      <c r="K32" s="63">
        <v>194942900</v>
      </c>
      <c r="L32" s="78">
        <v>3</v>
      </c>
      <c r="M32" s="63">
        <v>19614400</v>
      </c>
      <c r="N32" s="78">
        <v>3</v>
      </c>
      <c r="O32" s="63">
        <f>67323300-M32</f>
        <v>47708900</v>
      </c>
      <c r="P32" s="185">
        <v>3</v>
      </c>
      <c r="Q32" s="63">
        <v>6550000</v>
      </c>
      <c r="R32" s="185">
        <v>3</v>
      </c>
      <c r="S32" s="63">
        <f>194910933-Q32-O32-M32</f>
        <v>121037633</v>
      </c>
      <c r="T32" s="64">
        <f t="shared" si="5"/>
        <v>12</v>
      </c>
      <c r="U32" s="65">
        <f t="shared" si="0"/>
        <v>100</v>
      </c>
      <c r="V32" s="66" t="s">
        <v>118</v>
      </c>
      <c r="W32" s="67">
        <f t="shared" si="4"/>
        <v>194910933</v>
      </c>
      <c r="X32" s="68">
        <f t="shared" si="1"/>
        <v>99.983601864956356</v>
      </c>
      <c r="Y32" s="66" t="s">
        <v>118</v>
      </c>
      <c r="Z32" s="64">
        <f t="shared" si="2"/>
        <v>36</v>
      </c>
      <c r="AA32" s="67">
        <f t="shared" si="3"/>
        <v>472671326</v>
      </c>
      <c r="AB32" s="68"/>
      <c r="AC32" s="66" t="s">
        <v>118</v>
      </c>
      <c r="AD32" s="68"/>
      <c r="AE32" s="69"/>
      <c r="AF32" s="10"/>
      <c r="AH32" s="14"/>
    </row>
    <row r="33" spans="1:34" s="12" customFormat="1" ht="115.95" customHeight="1" x14ac:dyDescent="0.3">
      <c r="A33" s="58"/>
      <c r="B33" s="45"/>
      <c r="C33" s="84" t="s">
        <v>67</v>
      </c>
      <c r="D33" s="30" t="s">
        <v>272</v>
      </c>
      <c r="E33" s="73">
        <f>12*4</f>
        <v>48</v>
      </c>
      <c r="F33" s="85" t="s">
        <v>231</v>
      </c>
      <c r="G33" s="37">
        <f>SUM(G34)</f>
        <v>11741200</v>
      </c>
      <c r="H33" s="73">
        <v>36</v>
      </c>
      <c r="I33" s="37">
        <f>SUM(I34)</f>
        <v>3461000</v>
      </c>
      <c r="J33" s="73">
        <v>12</v>
      </c>
      <c r="K33" s="37">
        <f>SUM(K34)</f>
        <v>3399200</v>
      </c>
      <c r="L33" s="73">
        <v>3</v>
      </c>
      <c r="M33" s="37">
        <f>SUM(M34)</f>
        <v>0</v>
      </c>
      <c r="N33" s="53">
        <v>3</v>
      </c>
      <c r="O33" s="37">
        <f>SUM(O34)</f>
        <v>2803100</v>
      </c>
      <c r="P33" s="186">
        <v>3</v>
      </c>
      <c r="Q33" s="37">
        <f>SUM(Q34)</f>
        <v>0</v>
      </c>
      <c r="R33" s="53">
        <v>3</v>
      </c>
      <c r="S33" s="37">
        <f>SUM(S34)</f>
        <v>0</v>
      </c>
      <c r="T33" s="39">
        <f t="shared" si="5"/>
        <v>12</v>
      </c>
      <c r="U33" s="40">
        <f t="shared" si="0"/>
        <v>100</v>
      </c>
      <c r="V33" s="41" t="s">
        <v>118</v>
      </c>
      <c r="W33" s="42">
        <f t="shared" si="4"/>
        <v>2803100</v>
      </c>
      <c r="X33" s="43">
        <f t="shared" si="1"/>
        <v>82.463520828430219</v>
      </c>
      <c r="Y33" s="41" t="s">
        <v>118</v>
      </c>
      <c r="Z33" s="39">
        <f t="shared" si="2"/>
        <v>48</v>
      </c>
      <c r="AA33" s="42">
        <f t="shared" si="3"/>
        <v>6264100</v>
      </c>
      <c r="AB33" s="43"/>
      <c r="AC33" s="41" t="s">
        <v>118</v>
      </c>
      <c r="AD33" s="43"/>
      <c r="AE33" s="69"/>
      <c r="AF33" s="10"/>
      <c r="AH33" s="14"/>
    </row>
    <row r="34" spans="1:34" s="12" customFormat="1" ht="87" x14ac:dyDescent="0.3">
      <c r="A34" s="58"/>
      <c r="B34" s="45"/>
      <c r="C34" s="74" t="s">
        <v>68</v>
      </c>
      <c r="D34" s="60" t="s">
        <v>161</v>
      </c>
      <c r="E34" s="61">
        <v>69</v>
      </c>
      <c r="F34" s="62" t="s">
        <v>162</v>
      </c>
      <c r="G34" s="63">
        <f>4171000+3399200+4171000</f>
        <v>11741200</v>
      </c>
      <c r="H34" s="61">
        <v>69</v>
      </c>
      <c r="I34" s="63">
        <v>3461000</v>
      </c>
      <c r="J34" s="78">
        <v>69</v>
      </c>
      <c r="K34" s="63">
        <v>3399200</v>
      </c>
      <c r="L34" s="78">
        <v>0</v>
      </c>
      <c r="M34" s="63">
        <v>0</v>
      </c>
      <c r="N34" s="78">
        <v>69</v>
      </c>
      <c r="O34" s="63">
        <v>2803100</v>
      </c>
      <c r="P34" s="185">
        <v>0</v>
      </c>
      <c r="Q34" s="63">
        <v>0</v>
      </c>
      <c r="R34" s="61">
        <v>0</v>
      </c>
      <c r="S34" s="63">
        <v>0</v>
      </c>
      <c r="T34" s="64">
        <f>SUM(L34,N34,P34,R34)</f>
        <v>69</v>
      </c>
      <c r="U34" s="175">
        <f t="shared" si="0"/>
        <v>100</v>
      </c>
      <c r="V34" s="176" t="s">
        <v>118</v>
      </c>
      <c r="W34" s="177">
        <f t="shared" si="4"/>
        <v>2803100</v>
      </c>
      <c r="X34" s="148">
        <f t="shared" si="1"/>
        <v>82.463520828430219</v>
      </c>
      <c r="Y34" s="66" t="s">
        <v>118</v>
      </c>
      <c r="Z34" s="64">
        <f t="shared" si="2"/>
        <v>138</v>
      </c>
      <c r="AA34" s="67">
        <f t="shared" si="3"/>
        <v>6264100</v>
      </c>
      <c r="AB34" s="68"/>
      <c r="AC34" s="66" t="s">
        <v>118</v>
      </c>
      <c r="AD34" s="68"/>
      <c r="AE34" s="69"/>
      <c r="AF34" s="10"/>
      <c r="AH34" s="14"/>
    </row>
    <row r="35" spans="1:34" s="12" customFormat="1" ht="96" customHeight="1" x14ac:dyDescent="0.3">
      <c r="A35" s="58"/>
      <c r="B35" s="45"/>
      <c r="C35" s="84" t="s">
        <v>69</v>
      </c>
      <c r="D35" s="30" t="s">
        <v>272</v>
      </c>
      <c r="E35" s="73">
        <f>12*4</f>
        <v>48</v>
      </c>
      <c r="F35" s="85" t="s">
        <v>231</v>
      </c>
      <c r="G35" s="37">
        <f>SUM(G36:G38)</f>
        <v>286741219</v>
      </c>
      <c r="H35" s="73">
        <v>36</v>
      </c>
      <c r="I35" s="37">
        <f>SUM(I36:I38)</f>
        <v>142927194</v>
      </c>
      <c r="J35" s="73">
        <v>12</v>
      </c>
      <c r="K35" s="37">
        <f>SUM(K36:K38)</f>
        <v>94237219</v>
      </c>
      <c r="L35" s="73">
        <v>3</v>
      </c>
      <c r="M35" s="37">
        <f>SUM(M36:M38)</f>
        <v>15115929</v>
      </c>
      <c r="N35" s="53">
        <v>3</v>
      </c>
      <c r="O35" s="37">
        <f>SUM(O36:O38)</f>
        <v>23232588</v>
      </c>
      <c r="P35" s="186">
        <v>3</v>
      </c>
      <c r="Q35" s="37">
        <f>SUM(Q36:Q38)</f>
        <v>19644885</v>
      </c>
      <c r="R35" s="53">
        <v>3</v>
      </c>
      <c r="S35" s="37">
        <f>SUM(S36:S38)</f>
        <v>28265799</v>
      </c>
      <c r="T35" s="39">
        <f t="shared" si="5"/>
        <v>12</v>
      </c>
      <c r="U35" s="212">
        <f t="shared" si="0"/>
        <v>100</v>
      </c>
      <c r="V35" s="213" t="s">
        <v>118</v>
      </c>
      <c r="W35" s="214">
        <f t="shared" si="4"/>
        <v>86259201</v>
      </c>
      <c r="X35" s="152">
        <f t="shared" si="1"/>
        <v>91.534111379072002</v>
      </c>
      <c r="Y35" s="41" t="s">
        <v>118</v>
      </c>
      <c r="Z35" s="39">
        <f t="shared" si="2"/>
        <v>48</v>
      </c>
      <c r="AA35" s="42">
        <f t="shared" si="3"/>
        <v>229186395</v>
      </c>
      <c r="AB35" s="43"/>
      <c r="AC35" s="41" t="s">
        <v>118</v>
      </c>
      <c r="AD35" s="43"/>
      <c r="AE35" s="69"/>
      <c r="AF35" s="10"/>
      <c r="AH35" s="14"/>
    </row>
    <row r="36" spans="1:34" s="12" customFormat="1" ht="34.799999999999997" x14ac:dyDescent="0.3">
      <c r="A36" s="58"/>
      <c r="B36" s="45"/>
      <c r="C36" s="74" t="s">
        <v>70</v>
      </c>
      <c r="D36" s="60" t="s">
        <v>163</v>
      </c>
      <c r="E36" s="78">
        <v>12</v>
      </c>
      <c r="F36" s="62" t="s">
        <v>148</v>
      </c>
      <c r="G36" s="63">
        <f>150000*3</f>
        <v>450000</v>
      </c>
      <c r="H36" s="78">
        <v>24</v>
      </c>
      <c r="I36" s="63">
        <v>162000</v>
      </c>
      <c r="J36" s="78">
        <v>12</v>
      </c>
      <c r="K36" s="63">
        <v>150000</v>
      </c>
      <c r="L36" s="78">
        <v>3</v>
      </c>
      <c r="M36" s="63">
        <v>0</v>
      </c>
      <c r="N36" s="78">
        <v>3</v>
      </c>
      <c r="O36" s="63">
        <v>0</v>
      </c>
      <c r="P36" s="185">
        <v>3</v>
      </c>
      <c r="Q36" s="63">
        <v>18000</v>
      </c>
      <c r="R36" s="78">
        <v>3</v>
      </c>
      <c r="S36" s="63">
        <v>0</v>
      </c>
      <c r="T36" s="64">
        <f>SUM(L36,N36,P36,R36)</f>
        <v>12</v>
      </c>
      <c r="U36" s="175">
        <f t="shared" si="0"/>
        <v>100</v>
      </c>
      <c r="V36" s="176" t="s">
        <v>118</v>
      </c>
      <c r="W36" s="177">
        <f t="shared" si="4"/>
        <v>18000</v>
      </c>
      <c r="X36" s="68">
        <f t="shared" si="1"/>
        <v>12</v>
      </c>
      <c r="Y36" s="66" t="s">
        <v>118</v>
      </c>
      <c r="Z36" s="64">
        <f t="shared" si="2"/>
        <v>36</v>
      </c>
      <c r="AA36" s="67">
        <f t="shared" si="3"/>
        <v>180000</v>
      </c>
      <c r="AB36" s="68"/>
      <c r="AC36" s="66" t="s">
        <v>118</v>
      </c>
      <c r="AD36" s="68"/>
      <c r="AE36" s="69"/>
      <c r="AF36" s="10"/>
      <c r="AH36" s="14"/>
    </row>
    <row r="37" spans="1:34" s="12" customFormat="1" ht="69.599999999999994" x14ac:dyDescent="0.3">
      <c r="A37" s="58"/>
      <c r="B37" s="45"/>
      <c r="C37" s="74" t="s">
        <v>71</v>
      </c>
      <c r="D37" s="60" t="s">
        <v>164</v>
      </c>
      <c r="E37" s="78">
        <v>12</v>
      </c>
      <c r="F37" s="62" t="s">
        <v>148</v>
      </c>
      <c r="G37" s="63">
        <f>54867000+35011219+54867000</f>
        <v>144745219</v>
      </c>
      <c r="H37" s="78">
        <v>24</v>
      </c>
      <c r="I37" s="63">
        <v>83151794</v>
      </c>
      <c r="J37" s="78">
        <v>12</v>
      </c>
      <c r="K37" s="63">
        <v>35011219</v>
      </c>
      <c r="L37" s="78">
        <v>3</v>
      </c>
      <c r="M37" s="63">
        <v>4234929</v>
      </c>
      <c r="N37" s="78">
        <v>3</v>
      </c>
      <c r="O37" s="63">
        <f>12702717-M37</f>
        <v>8467788</v>
      </c>
      <c r="P37" s="185">
        <v>3</v>
      </c>
      <c r="Q37" s="63">
        <v>5801684</v>
      </c>
      <c r="R37" s="78">
        <v>3</v>
      </c>
      <c r="S37" s="63">
        <f>31130601-Q37-O37-M37</f>
        <v>12626200</v>
      </c>
      <c r="T37" s="64">
        <f t="shared" si="5"/>
        <v>12</v>
      </c>
      <c r="U37" s="175">
        <f t="shared" si="0"/>
        <v>100</v>
      </c>
      <c r="V37" s="176" t="s">
        <v>118</v>
      </c>
      <c r="W37" s="177">
        <f t="shared" si="4"/>
        <v>31130601</v>
      </c>
      <c r="X37" s="148">
        <f t="shared" si="1"/>
        <v>88.916072873669435</v>
      </c>
      <c r="Y37" s="66" t="s">
        <v>118</v>
      </c>
      <c r="Z37" s="64">
        <f t="shared" si="2"/>
        <v>36</v>
      </c>
      <c r="AA37" s="67">
        <f t="shared" si="3"/>
        <v>114282395</v>
      </c>
      <c r="AB37" s="68"/>
      <c r="AC37" s="66" t="s">
        <v>118</v>
      </c>
      <c r="AD37" s="68"/>
      <c r="AE37" s="69"/>
      <c r="AF37" s="10"/>
      <c r="AH37" s="14"/>
    </row>
    <row r="38" spans="1:34" s="12" customFormat="1" ht="52.2" x14ac:dyDescent="0.3">
      <c r="A38" s="58"/>
      <c r="B38" s="45"/>
      <c r="C38" s="74" t="s">
        <v>72</v>
      </c>
      <c r="D38" s="60" t="s">
        <v>165</v>
      </c>
      <c r="E38" s="78">
        <v>12</v>
      </c>
      <c r="F38" s="62" t="s">
        <v>148</v>
      </c>
      <c r="G38" s="63">
        <f>23394000+59076000*2</f>
        <v>141546000</v>
      </c>
      <c r="H38" s="78">
        <v>24</v>
      </c>
      <c r="I38" s="63">
        <v>59613400</v>
      </c>
      <c r="J38" s="78">
        <v>12</v>
      </c>
      <c r="K38" s="63">
        <v>59076000</v>
      </c>
      <c r="L38" s="78">
        <v>3</v>
      </c>
      <c r="M38" s="63">
        <f>10500000+381000</f>
        <v>10881000</v>
      </c>
      <c r="N38" s="78">
        <v>3</v>
      </c>
      <c r="O38" s="63">
        <f>25645800-M38</f>
        <v>14764800</v>
      </c>
      <c r="P38" s="185">
        <v>3</v>
      </c>
      <c r="Q38" s="63">
        <v>13825201</v>
      </c>
      <c r="R38" s="78">
        <v>3</v>
      </c>
      <c r="S38" s="63">
        <f>55110600-Q38-O38-M38</f>
        <v>15639599</v>
      </c>
      <c r="T38" s="64">
        <f t="shared" si="5"/>
        <v>12</v>
      </c>
      <c r="U38" s="175">
        <f t="shared" si="0"/>
        <v>100</v>
      </c>
      <c r="V38" s="176" t="s">
        <v>118</v>
      </c>
      <c r="W38" s="177">
        <f t="shared" si="4"/>
        <v>55110600</v>
      </c>
      <c r="X38" s="178">
        <f t="shared" si="1"/>
        <v>93.287629494210847</v>
      </c>
      <c r="Y38" s="176" t="s">
        <v>118</v>
      </c>
      <c r="Z38" s="64">
        <f t="shared" si="2"/>
        <v>36</v>
      </c>
      <c r="AA38" s="67">
        <f t="shared" si="3"/>
        <v>114724000</v>
      </c>
      <c r="AB38" s="68"/>
      <c r="AC38" s="66" t="s">
        <v>118</v>
      </c>
      <c r="AD38" s="68"/>
      <c r="AE38" s="69"/>
      <c r="AF38" s="10"/>
      <c r="AH38" s="14"/>
    </row>
    <row r="39" spans="1:34" s="12" customFormat="1" ht="145.19999999999999" customHeight="1" x14ac:dyDescent="0.3">
      <c r="A39" s="58"/>
      <c r="B39" s="45"/>
      <c r="C39" s="84" t="s">
        <v>73</v>
      </c>
      <c r="D39" s="30" t="s">
        <v>272</v>
      </c>
      <c r="E39" s="73">
        <f>12*4</f>
        <v>48</v>
      </c>
      <c r="F39" s="85" t="s">
        <v>231</v>
      </c>
      <c r="G39" s="37">
        <f>SUM(G40:G41)</f>
        <v>369156000</v>
      </c>
      <c r="H39" s="73">
        <v>36</v>
      </c>
      <c r="I39" s="37">
        <f>SUM(I40:I41)</f>
        <v>275821387</v>
      </c>
      <c r="J39" s="73">
        <v>12</v>
      </c>
      <c r="K39" s="37">
        <f>SUM(K40:K41)</f>
        <v>287118000</v>
      </c>
      <c r="L39" s="73">
        <v>3</v>
      </c>
      <c r="M39" s="37">
        <f>SUM(M40:M41)</f>
        <v>8710500</v>
      </c>
      <c r="N39" s="73">
        <v>3</v>
      </c>
      <c r="O39" s="37">
        <f>SUM(O40:O41)</f>
        <v>16301846</v>
      </c>
      <c r="P39" s="183">
        <v>3</v>
      </c>
      <c r="Q39" s="37">
        <f>SUM(Q40:Q41)</f>
        <v>26454124</v>
      </c>
      <c r="R39" s="73">
        <v>3</v>
      </c>
      <c r="S39" s="37">
        <f>SUM(S40:S41)</f>
        <v>222495900</v>
      </c>
      <c r="T39" s="39">
        <f t="shared" si="5"/>
        <v>12</v>
      </c>
      <c r="U39" s="212">
        <f t="shared" si="0"/>
        <v>100</v>
      </c>
      <c r="V39" s="213" t="s">
        <v>118</v>
      </c>
      <c r="W39" s="214">
        <f t="shared" si="4"/>
        <v>273962370</v>
      </c>
      <c r="X39" s="215">
        <f t="shared" si="1"/>
        <v>95.41804066620692</v>
      </c>
      <c r="Y39" s="213" t="s">
        <v>118</v>
      </c>
      <c r="Z39" s="39">
        <f t="shared" si="2"/>
        <v>48</v>
      </c>
      <c r="AA39" s="42">
        <f t="shared" si="3"/>
        <v>549783757</v>
      </c>
      <c r="AB39" s="43"/>
      <c r="AC39" s="41" t="s">
        <v>118</v>
      </c>
      <c r="AD39" s="43"/>
      <c r="AE39" s="69"/>
      <c r="AF39" s="10"/>
      <c r="AH39" s="14"/>
    </row>
    <row r="40" spans="1:34" s="12" customFormat="1" ht="111.75" customHeight="1" x14ac:dyDescent="0.3">
      <c r="A40" s="58"/>
      <c r="B40" s="45"/>
      <c r="C40" s="60" t="s">
        <v>74</v>
      </c>
      <c r="D40" s="60" t="s">
        <v>166</v>
      </c>
      <c r="E40" s="78">
        <v>4</v>
      </c>
      <c r="F40" s="62" t="s">
        <v>162</v>
      </c>
      <c r="G40" s="63">
        <f>132719000+83600000+132719000</f>
        <v>349038000</v>
      </c>
      <c r="H40" s="78">
        <v>4</v>
      </c>
      <c r="I40" s="63">
        <v>209161387</v>
      </c>
      <c r="J40" s="78">
        <f>4+52</f>
        <v>56</v>
      </c>
      <c r="K40" s="63">
        <v>83600000</v>
      </c>
      <c r="L40" s="78">
        <v>4</v>
      </c>
      <c r="M40" s="63">
        <v>8402500</v>
      </c>
      <c r="N40" s="78">
        <f>4+18</f>
        <v>22</v>
      </c>
      <c r="O40" s="63">
        <f>23864346-M40</f>
        <v>15461846</v>
      </c>
      <c r="P40" s="185">
        <f>4+22</f>
        <v>26</v>
      </c>
      <c r="Q40" s="88">
        <v>25604124</v>
      </c>
      <c r="R40" s="78">
        <v>4</v>
      </c>
      <c r="S40" s="63">
        <f>74963570-Q40-O40-M40</f>
        <v>25495100</v>
      </c>
      <c r="T40" s="39">
        <f t="shared" si="5"/>
        <v>56</v>
      </c>
      <c r="U40" s="212">
        <f>T40/J40*100</f>
        <v>100</v>
      </c>
      <c r="V40" s="176" t="s">
        <v>118</v>
      </c>
      <c r="W40" s="177">
        <f t="shared" si="4"/>
        <v>74963570</v>
      </c>
      <c r="X40" s="178">
        <f t="shared" si="1"/>
        <v>89.669342105263155</v>
      </c>
      <c r="Y40" s="176" t="s">
        <v>118</v>
      </c>
      <c r="Z40" s="64">
        <f t="shared" si="2"/>
        <v>60</v>
      </c>
      <c r="AA40" s="67">
        <f t="shared" si="3"/>
        <v>284124957</v>
      </c>
      <c r="AB40" s="68"/>
      <c r="AC40" s="66" t="s">
        <v>118</v>
      </c>
      <c r="AD40" s="68"/>
      <c r="AE40" s="69"/>
      <c r="AF40" s="10"/>
      <c r="AH40" s="14"/>
    </row>
    <row r="41" spans="1:34" s="12" customFormat="1" ht="104.4" x14ac:dyDescent="0.3">
      <c r="A41" s="89"/>
      <c r="B41" s="89"/>
      <c r="C41" s="74" t="s">
        <v>75</v>
      </c>
      <c r="D41" s="87" t="s">
        <v>167</v>
      </c>
      <c r="E41" s="78">
        <v>16</v>
      </c>
      <c r="F41" s="62" t="s">
        <v>162</v>
      </c>
      <c r="G41" s="63">
        <f>8300000+3518000+8300000</f>
        <v>20118000</v>
      </c>
      <c r="H41" s="78">
        <v>16</v>
      </c>
      <c r="I41" s="63">
        <v>66660000</v>
      </c>
      <c r="J41" s="78">
        <v>16</v>
      </c>
      <c r="K41" s="63">
        <v>203518000</v>
      </c>
      <c r="L41" s="78">
        <v>4</v>
      </c>
      <c r="M41" s="63">
        <v>308000</v>
      </c>
      <c r="N41" s="78">
        <v>2</v>
      </c>
      <c r="O41" s="63">
        <f>1148000-M41</f>
        <v>840000</v>
      </c>
      <c r="P41" s="185">
        <v>4</v>
      </c>
      <c r="Q41" s="63">
        <v>850000</v>
      </c>
      <c r="R41" s="78">
        <v>6</v>
      </c>
      <c r="S41" s="63">
        <f>198998800-Q41-O41-M41</f>
        <v>197000800</v>
      </c>
      <c r="T41" s="64">
        <f t="shared" si="5"/>
        <v>16</v>
      </c>
      <c r="U41" s="175">
        <f t="shared" si="0"/>
        <v>100</v>
      </c>
      <c r="V41" s="176" t="s">
        <v>118</v>
      </c>
      <c r="W41" s="177">
        <f t="shared" si="4"/>
        <v>198998800</v>
      </c>
      <c r="X41" s="178">
        <f t="shared" si="1"/>
        <v>97.779459310724363</v>
      </c>
      <c r="Y41" s="176" t="s">
        <v>118</v>
      </c>
      <c r="Z41" s="64">
        <f t="shared" si="2"/>
        <v>32</v>
      </c>
      <c r="AA41" s="67">
        <f t="shared" si="3"/>
        <v>265658800</v>
      </c>
      <c r="AB41" s="68"/>
      <c r="AC41" s="66" t="s">
        <v>118</v>
      </c>
      <c r="AD41" s="68"/>
      <c r="AE41" s="69"/>
      <c r="AF41" s="10"/>
      <c r="AH41" s="14"/>
    </row>
    <row r="42" spans="1:34" s="12" customFormat="1" ht="120.6" customHeight="1" x14ac:dyDescent="0.3">
      <c r="A42" s="29">
        <v>12</v>
      </c>
      <c r="B42" s="50" t="s">
        <v>45</v>
      </c>
      <c r="C42" s="84" t="s">
        <v>76</v>
      </c>
      <c r="D42" s="30" t="s">
        <v>240</v>
      </c>
      <c r="E42" s="90">
        <v>100</v>
      </c>
      <c r="F42" s="72" t="s">
        <v>118</v>
      </c>
      <c r="G42" s="37">
        <f>G43</f>
        <v>115461800</v>
      </c>
      <c r="H42" s="91">
        <f>26/38</f>
        <v>0.68421052631578949</v>
      </c>
      <c r="I42" s="37">
        <f>I43</f>
        <v>25979000</v>
      </c>
      <c r="J42" s="90">
        <f>36/38*100</f>
        <v>94.73684210526315</v>
      </c>
      <c r="K42" s="37">
        <f>K43</f>
        <v>44004500</v>
      </c>
      <c r="L42" s="53">
        <v>94.74</v>
      </c>
      <c r="M42" s="37">
        <f>M43</f>
        <v>3000000</v>
      </c>
      <c r="N42" s="90">
        <v>0</v>
      </c>
      <c r="O42" s="37">
        <f>O43</f>
        <v>22060900</v>
      </c>
      <c r="P42" s="187">
        <v>0</v>
      </c>
      <c r="Q42" s="37">
        <f>Q43</f>
        <v>4500000</v>
      </c>
      <c r="R42" s="187">
        <v>0</v>
      </c>
      <c r="S42" s="37">
        <f>S43</f>
        <v>12904000</v>
      </c>
      <c r="T42" s="56">
        <f t="shared" si="5"/>
        <v>94.74</v>
      </c>
      <c r="U42" s="43">
        <f>Z42/J42*100</f>
        <v>100.72555555555556</v>
      </c>
      <c r="V42" s="41" t="s">
        <v>118</v>
      </c>
      <c r="W42" s="42">
        <f t="shared" si="4"/>
        <v>42464900</v>
      </c>
      <c r="X42" s="43">
        <f t="shared" si="1"/>
        <v>96.501266915883605</v>
      </c>
      <c r="Y42" s="41" t="s">
        <v>118</v>
      </c>
      <c r="Z42" s="56">
        <f t="shared" si="2"/>
        <v>95.42421052631579</v>
      </c>
      <c r="AA42" s="42">
        <f t="shared" si="3"/>
        <v>68443900</v>
      </c>
      <c r="AB42" s="43"/>
      <c r="AC42" s="41" t="s">
        <v>118</v>
      </c>
      <c r="AD42" s="43"/>
      <c r="AE42" s="69"/>
      <c r="AF42" s="10"/>
      <c r="AH42" s="14"/>
    </row>
    <row r="43" spans="1:34" s="12" customFormat="1" ht="121.5" customHeight="1" x14ac:dyDescent="0.3">
      <c r="A43" s="58"/>
      <c r="B43" s="92">
        <f>37/143*100</f>
        <v>25.874125874125873</v>
      </c>
      <c r="C43" s="84" t="s">
        <v>77</v>
      </c>
      <c r="D43" s="30" t="s">
        <v>204</v>
      </c>
      <c r="E43" s="54">
        <v>38</v>
      </c>
      <c r="F43" s="93" t="s">
        <v>205</v>
      </c>
      <c r="G43" s="37">
        <f>SUM(G44)</f>
        <v>115461800</v>
      </c>
      <c r="H43" s="54">
        <v>27</v>
      </c>
      <c r="I43" s="37">
        <f>SUM(I44)</f>
        <v>25979000</v>
      </c>
      <c r="J43" s="94">
        <v>36</v>
      </c>
      <c r="K43" s="37">
        <f>SUM(K44)</f>
        <v>44004500</v>
      </c>
      <c r="L43" s="53">
        <v>36</v>
      </c>
      <c r="M43" s="37">
        <f>SUM(M44)</f>
        <v>3000000</v>
      </c>
      <c r="N43" s="90">
        <v>0</v>
      </c>
      <c r="O43" s="37">
        <f>SUM(O44)</f>
        <v>22060900</v>
      </c>
      <c r="P43" s="187">
        <v>0</v>
      </c>
      <c r="Q43" s="37">
        <f>SUM(Q44)</f>
        <v>4500000</v>
      </c>
      <c r="R43" s="187">
        <v>0</v>
      </c>
      <c r="S43" s="37">
        <f>SUM(S44)</f>
        <v>12904000</v>
      </c>
      <c r="T43" s="56">
        <f>SUM(L43,N43,P43,R43)</f>
        <v>36</v>
      </c>
      <c r="U43" s="40">
        <f t="shared" ref="U43:U48" si="6">T43/J43*100</f>
        <v>100</v>
      </c>
      <c r="V43" s="41" t="s">
        <v>118</v>
      </c>
      <c r="W43" s="42">
        <f t="shared" si="4"/>
        <v>42464900</v>
      </c>
      <c r="X43" s="43">
        <f t="shared" si="1"/>
        <v>96.501266915883605</v>
      </c>
      <c r="Y43" s="41" t="s">
        <v>118</v>
      </c>
      <c r="Z43" s="39">
        <f t="shared" si="2"/>
        <v>63</v>
      </c>
      <c r="AA43" s="42">
        <f t="shared" si="3"/>
        <v>68443900</v>
      </c>
      <c r="AB43" s="43"/>
      <c r="AC43" s="41" t="s">
        <v>118</v>
      </c>
      <c r="AD43" s="43"/>
      <c r="AE43" s="69"/>
      <c r="AF43" s="10"/>
      <c r="AH43" s="14"/>
    </row>
    <row r="44" spans="1:34" s="12" customFormat="1" ht="87" x14ac:dyDescent="0.3">
      <c r="A44" s="58"/>
      <c r="B44" s="45"/>
      <c r="C44" s="74" t="s">
        <v>78</v>
      </c>
      <c r="D44" s="60" t="s">
        <v>168</v>
      </c>
      <c r="E44" s="61">
        <v>5</v>
      </c>
      <c r="F44" s="95" t="s">
        <v>116</v>
      </c>
      <c r="G44" s="63">
        <f>27452800+44004500*2</f>
        <v>115461800</v>
      </c>
      <c r="H44" s="96">
        <v>3</v>
      </c>
      <c r="I44" s="63">
        <v>25979000</v>
      </c>
      <c r="J44" s="96">
        <v>1</v>
      </c>
      <c r="K44" s="63">
        <v>44004500</v>
      </c>
      <c r="L44" s="61">
        <v>1</v>
      </c>
      <c r="M44" s="63">
        <v>3000000</v>
      </c>
      <c r="N44" s="61">
        <v>0</v>
      </c>
      <c r="O44" s="63">
        <v>22060900</v>
      </c>
      <c r="P44" s="182">
        <v>0</v>
      </c>
      <c r="Q44" s="63">
        <v>4500000</v>
      </c>
      <c r="R44" s="182">
        <v>0</v>
      </c>
      <c r="S44" s="63">
        <f>42464900-Q44-O44-M44</f>
        <v>12904000</v>
      </c>
      <c r="T44" s="64">
        <f t="shared" si="5"/>
        <v>1</v>
      </c>
      <c r="U44" s="65">
        <f t="shared" si="6"/>
        <v>100</v>
      </c>
      <c r="V44" s="66" t="s">
        <v>118</v>
      </c>
      <c r="W44" s="67">
        <f>SUM(M44,O44,Q44,S44)</f>
        <v>42464900</v>
      </c>
      <c r="X44" s="68">
        <f t="shared" si="1"/>
        <v>96.501266915883605</v>
      </c>
      <c r="Y44" s="66" t="s">
        <v>118</v>
      </c>
      <c r="Z44" s="64">
        <f t="shared" si="2"/>
        <v>4</v>
      </c>
      <c r="AA44" s="67">
        <f t="shared" si="3"/>
        <v>68443900</v>
      </c>
      <c r="AB44" s="68"/>
      <c r="AC44" s="66" t="s">
        <v>118</v>
      </c>
      <c r="AD44" s="68"/>
      <c r="AE44" s="69"/>
      <c r="AF44" s="10"/>
      <c r="AH44" s="14"/>
    </row>
    <row r="45" spans="1:34" s="10" customFormat="1" ht="109.95" customHeight="1" x14ac:dyDescent="0.3">
      <c r="A45" s="58"/>
      <c r="B45" s="45"/>
      <c r="C45" s="84" t="s">
        <v>79</v>
      </c>
      <c r="D45" s="31" t="s">
        <v>259</v>
      </c>
      <c r="E45" s="54">
        <v>100</v>
      </c>
      <c r="F45" s="72" t="s">
        <v>118</v>
      </c>
      <c r="G45" s="37">
        <f>G46+G49</f>
        <v>11342300</v>
      </c>
      <c r="H45" s="54">
        <v>100</v>
      </c>
      <c r="I45" s="37">
        <f>I46+I49</f>
        <v>9841550</v>
      </c>
      <c r="J45" s="54">
        <v>100</v>
      </c>
      <c r="K45" s="37">
        <f>K46+K49</f>
        <v>75657750</v>
      </c>
      <c r="L45" s="54">
        <f>4/4*100</f>
        <v>100</v>
      </c>
      <c r="M45" s="37">
        <f>M46</f>
        <v>2250000</v>
      </c>
      <c r="N45" s="94">
        <v>100</v>
      </c>
      <c r="O45" s="37">
        <f>O46</f>
        <v>7242800</v>
      </c>
      <c r="P45" s="188">
        <v>100</v>
      </c>
      <c r="Q45" s="37">
        <f>Q46</f>
        <v>900000</v>
      </c>
      <c r="R45" s="188">
        <v>100</v>
      </c>
      <c r="S45" s="37">
        <f>S46</f>
        <v>18282450</v>
      </c>
      <c r="T45" s="39">
        <f>SUM(L45,N45,P45,R45)/4</f>
        <v>100</v>
      </c>
      <c r="U45" s="97">
        <f t="shared" si="6"/>
        <v>100</v>
      </c>
      <c r="V45" s="98" t="s">
        <v>118</v>
      </c>
      <c r="W45" s="99">
        <f t="shared" si="4"/>
        <v>28675250</v>
      </c>
      <c r="X45" s="100">
        <f t="shared" si="1"/>
        <v>37.901272506782185</v>
      </c>
      <c r="Y45" s="98" t="s">
        <v>118</v>
      </c>
      <c r="Z45" s="101">
        <f>T45</f>
        <v>100</v>
      </c>
      <c r="AA45" s="99">
        <f t="shared" si="3"/>
        <v>38516800</v>
      </c>
      <c r="AB45" s="100"/>
      <c r="AC45" s="98" t="s">
        <v>118</v>
      </c>
      <c r="AD45" s="100"/>
      <c r="AE45" s="102"/>
      <c r="AH45" s="15"/>
    </row>
    <row r="46" spans="1:34" s="12" customFormat="1" ht="191.4" x14ac:dyDescent="0.3">
      <c r="A46" s="58"/>
      <c r="B46" s="45"/>
      <c r="C46" s="84" t="s">
        <v>135</v>
      </c>
      <c r="D46" s="30" t="s">
        <v>206</v>
      </c>
      <c r="E46" s="54">
        <v>6</v>
      </c>
      <c r="F46" s="93" t="s">
        <v>207</v>
      </c>
      <c r="G46" s="37">
        <f>SUM(G47:G48)</f>
        <v>0</v>
      </c>
      <c r="H46" s="54">
        <v>6</v>
      </c>
      <c r="I46" s="37">
        <f>SUM(I47:I48)</f>
        <v>0</v>
      </c>
      <c r="J46" s="53">
        <v>6</v>
      </c>
      <c r="K46" s="37">
        <f>SUM(K47:K48)</f>
        <v>75657750</v>
      </c>
      <c r="L46" s="54">
        <v>0</v>
      </c>
      <c r="M46" s="37">
        <f>SUM(M47:M48)</f>
        <v>2250000</v>
      </c>
      <c r="N46" s="37">
        <v>6</v>
      </c>
      <c r="O46" s="37">
        <f>SUM(O47:O48)</f>
        <v>7242800</v>
      </c>
      <c r="P46" s="189">
        <v>6</v>
      </c>
      <c r="Q46" s="37">
        <f>SUM(Q47:Q48)</f>
        <v>900000</v>
      </c>
      <c r="R46" s="54">
        <v>6</v>
      </c>
      <c r="S46" s="37">
        <f>SUM(S47:S48)</f>
        <v>18282450</v>
      </c>
      <c r="T46" s="39">
        <f>SUM(L46,N46,P46,R46)/2</f>
        <v>9</v>
      </c>
      <c r="U46" s="40">
        <f t="shared" si="6"/>
        <v>150</v>
      </c>
      <c r="V46" s="41" t="s">
        <v>118</v>
      </c>
      <c r="W46" s="42">
        <f t="shared" si="4"/>
        <v>28675250</v>
      </c>
      <c r="X46" s="43">
        <f t="shared" si="1"/>
        <v>37.901272506782185</v>
      </c>
      <c r="Y46" s="41" t="s">
        <v>118</v>
      </c>
      <c r="Z46" s="39">
        <f>T46</f>
        <v>9</v>
      </c>
      <c r="AA46" s="42">
        <f t="shared" si="3"/>
        <v>28675250</v>
      </c>
      <c r="AB46" s="43"/>
      <c r="AC46" s="41" t="s">
        <v>118</v>
      </c>
      <c r="AD46" s="43"/>
      <c r="AE46" s="69"/>
      <c r="AF46" s="10"/>
      <c r="AH46" s="14"/>
    </row>
    <row r="47" spans="1:34" s="12" customFormat="1" ht="114" customHeight="1" x14ac:dyDescent="0.3">
      <c r="A47" s="58"/>
      <c r="B47" s="45"/>
      <c r="C47" s="74" t="s">
        <v>136</v>
      </c>
      <c r="D47" s="60" t="s">
        <v>169</v>
      </c>
      <c r="E47" s="61">
        <v>5</v>
      </c>
      <c r="F47" s="95" t="s">
        <v>153</v>
      </c>
      <c r="G47" s="63"/>
      <c r="H47" s="61"/>
      <c r="I47" s="63"/>
      <c r="J47" s="61">
        <v>5</v>
      </c>
      <c r="K47" s="63">
        <v>3144950</v>
      </c>
      <c r="L47" s="61">
        <v>0</v>
      </c>
      <c r="M47" s="63">
        <v>2250000</v>
      </c>
      <c r="N47" s="63">
        <v>2</v>
      </c>
      <c r="O47" s="63">
        <v>0</v>
      </c>
      <c r="P47" s="88">
        <f>1</f>
        <v>1</v>
      </c>
      <c r="Q47" s="63">
        <v>0</v>
      </c>
      <c r="R47" s="63">
        <v>2</v>
      </c>
      <c r="S47" s="63">
        <f>3144950-Q47-O47-M47</f>
        <v>894950</v>
      </c>
      <c r="T47" s="64">
        <f>SUM(L47,N47,P47,R47)</f>
        <v>5</v>
      </c>
      <c r="U47" s="65">
        <f t="shared" si="6"/>
        <v>100</v>
      </c>
      <c r="V47" s="66" t="s">
        <v>118</v>
      </c>
      <c r="W47" s="67">
        <f t="shared" si="4"/>
        <v>3144950</v>
      </c>
      <c r="X47" s="68">
        <f t="shared" si="1"/>
        <v>100</v>
      </c>
      <c r="Y47" s="66" t="s">
        <v>118</v>
      </c>
      <c r="Z47" s="64">
        <f>SUM(H47,T47)</f>
        <v>5</v>
      </c>
      <c r="AA47" s="67">
        <f t="shared" si="3"/>
        <v>3144950</v>
      </c>
      <c r="AB47" s="68"/>
      <c r="AC47" s="66" t="s">
        <v>118</v>
      </c>
      <c r="AD47" s="68"/>
      <c r="AE47" s="69"/>
      <c r="AF47" s="10"/>
      <c r="AH47" s="14"/>
    </row>
    <row r="48" spans="1:34" s="12" customFormat="1" ht="191.4" x14ac:dyDescent="0.3">
      <c r="A48" s="58"/>
      <c r="B48" s="45"/>
      <c r="C48" s="74" t="s">
        <v>137</v>
      </c>
      <c r="D48" s="60" t="s">
        <v>170</v>
      </c>
      <c r="E48" s="61">
        <v>6</v>
      </c>
      <c r="F48" s="95" t="s">
        <v>171</v>
      </c>
      <c r="G48" s="63"/>
      <c r="H48" s="61"/>
      <c r="I48" s="63"/>
      <c r="J48" s="61">
        <v>6</v>
      </c>
      <c r="K48" s="63">
        <v>72512800</v>
      </c>
      <c r="L48" s="61">
        <v>0</v>
      </c>
      <c r="M48" s="63">
        <v>0</v>
      </c>
      <c r="N48" s="63">
        <v>6</v>
      </c>
      <c r="O48" s="63">
        <v>7242800</v>
      </c>
      <c r="P48" s="88">
        <v>6</v>
      </c>
      <c r="Q48" s="63">
        <v>900000</v>
      </c>
      <c r="R48" s="61">
        <v>6</v>
      </c>
      <c r="S48" s="63">
        <f>25530300-Q48-O48-M48</f>
        <v>17387500</v>
      </c>
      <c r="T48" s="64">
        <f>SUM(L48,N48,P48,R48)</f>
        <v>18</v>
      </c>
      <c r="U48" s="65">
        <f t="shared" si="6"/>
        <v>300</v>
      </c>
      <c r="V48" s="66" t="s">
        <v>118</v>
      </c>
      <c r="W48" s="67">
        <f t="shared" si="4"/>
        <v>25530300</v>
      </c>
      <c r="X48" s="68">
        <f t="shared" si="1"/>
        <v>35.20799086506107</v>
      </c>
      <c r="Y48" s="66" t="s">
        <v>118</v>
      </c>
      <c r="Z48" s="64">
        <f>SUM(H48,T48)</f>
        <v>18</v>
      </c>
      <c r="AA48" s="67">
        <f t="shared" si="3"/>
        <v>25530300</v>
      </c>
      <c r="AB48" s="68"/>
      <c r="AC48" s="66" t="s">
        <v>118</v>
      </c>
      <c r="AD48" s="68"/>
      <c r="AE48" s="69"/>
      <c r="AF48" s="10"/>
      <c r="AH48" s="14"/>
    </row>
    <row r="49" spans="1:34" s="12" customFormat="1" ht="137.25" customHeight="1" x14ac:dyDescent="0.3">
      <c r="A49" s="58"/>
      <c r="B49" s="45"/>
      <c r="C49" s="103" t="s">
        <v>80</v>
      </c>
      <c r="D49" s="104" t="s">
        <v>129</v>
      </c>
      <c r="E49" s="54">
        <v>100</v>
      </c>
      <c r="F49" s="72" t="s">
        <v>118</v>
      </c>
      <c r="G49" s="37">
        <f>SUM(G50)</f>
        <v>11342300</v>
      </c>
      <c r="H49" s="54">
        <v>100</v>
      </c>
      <c r="I49" s="37">
        <f>SUM(I50)</f>
        <v>9841550</v>
      </c>
      <c r="J49" s="53"/>
      <c r="K49" s="37"/>
      <c r="L49" s="54"/>
      <c r="M49" s="37"/>
      <c r="N49" s="54"/>
      <c r="O49" s="37"/>
      <c r="P49" s="181"/>
      <c r="Q49" s="37"/>
      <c r="R49" s="54"/>
      <c r="S49" s="37"/>
      <c r="T49" s="39"/>
      <c r="U49" s="40"/>
      <c r="V49" s="41"/>
      <c r="W49" s="42"/>
      <c r="X49" s="43"/>
      <c r="Y49" s="41"/>
      <c r="Z49" s="39">
        <f>T49</f>
        <v>0</v>
      </c>
      <c r="AA49" s="42">
        <f t="shared" si="3"/>
        <v>9841550</v>
      </c>
      <c r="AB49" s="43"/>
      <c r="AC49" s="41" t="s">
        <v>118</v>
      </c>
      <c r="AD49" s="43"/>
      <c r="AE49" s="69"/>
      <c r="AF49" s="10"/>
      <c r="AH49" s="14"/>
    </row>
    <row r="50" spans="1:34" s="12" customFormat="1" ht="139.19999999999999" x14ac:dyDescent="0.3">
      <c r="A50" s="58"/>
      <c r="B50" s="45"/>
      <c r="C50" s="105" t="s">
        <v>81</v>
      </c>
      <c r="D50" s="106" t="s">
        <v>172</v>
      </c>
      <c r="E50" s="61">
        <v>12</v>
      </c>
      <c r="F50" s="95" t="s">
        <v>173</v>
      </c>
      <c r="G50" s="63">
        <v>11342300</v>
      </c>
      <c r="H50" s="61">
        <v>24</v>
      </c>
      <c r="I50" s="63">
        <v>9841550</v>
      </c>
      <c r="J50" s="61"/>
      <c r="K50" s="63"/>
      <c r="L50" s="61"/>
      <c r="M50" s="63"/>
      <c r="N50" s="61"/>
      <c r="O50" s="63"/>
      <c r="P50" s="182"/>
      <c r="Q50" s="63"/>
      <c r="R50" s="61"/>
      <c r="S50" s="63"/>
      <c r="T50" s="64"/>
      <c r="U50" s="65"/>
      <c r="V50" s="66"/>
      <c r="W50" s="67"/>
      <c r="X50" s="68"/>
      <c r="Y50" s="66"/>
      <c r="Z50" s="64">
        <f>SUM(H50,T50)</f>
        <v>24</v>
      </c>
      <c r="AA50" s="67">
        <f t="shared" si="3"/>
        <v>9841550</v>
      </c>
      <c r="AB50" s="68"/>
      <c r="AC50" s="66" t="s">
        <v>118</v>
      </c>
      <c r="AD50" s="68"/>
      <c r="AE50" s="69"/>
      <c r="AF50" s="10"/>
      <c r="AH50" s="14"/>
    </row>
    <row r="51" spans="1:34" s="12" customFormat="1" ht="66.599999999999994" customHeight="1" x14ac:dyDescent="0.3">
      <c r="A51" s="58"/>
      <c r="B51" s="45"/>
      <c r="C51" s="84" t="s">
        <v>82</v>
      </c>
      <c r="D51" s="84" t="s">
        <v>241</v>
      </c>
      <c r="E51" s="53">
        <v>6.94</v>
      </c>
      <c r="F51" s="72" t="s">
        <v>118</v>
      </c>
      <c r="G51" s="37">
        <f>G52+G54</f>
        <v>1242324200</v>
      </c>
      <c r="H51" s="53">
        <v>5.56</v>
      </c>
      <c r="I51" s="37">
        <f>I52+I54</f>
        <v>217588900</v>
      </c>
      <c r="J51" s="134">
        <v>6.25</v>
      </c>
      <c r="K51" s="37">
        <f>K52+K54</f>
        <v>435415350</v>
      </c>
      <c r="L51" s="90">
        <f>9/144*100</f>
        <v>6.25</v>
      </c>
      <c r="M51" s="37">
        <f>M52+M54</f>
        <v>14829700</v>
      </c>
      <c r="N51" s="55">
        <v>0</v>
      </c>
      <c r="O51" s="37">
        <f>O52+O54</f>
        <v>52316550</v>
      </c>
      <c r="P51" s="190">
        <v>0</v>
      </c>
      <c r="Q51" s="37">
        <f>Q52+Q54</f>
        <v>74536050</v>
      </c>
      <c r="R51" s="190">
        <v>0</v>
      </c>
      <c r="S51" s="37">
        <f>S52+S54</f>
        <v>276631455</v>
      </c>
      <c r="T51" s="56">
        <f>SUM(L51,N51,P51,R51)</f>
        <v>6.25</v>
      </c>
      <c r="U51" s="40">
        <f t="shared" ref="U51:U57" si="7">T51/J51*100</f>
        <v>100</v>
      </c>
      <c r="V51" s="41" t="s">
        <v>118</v>
      </c>
      <c r="W51" s="42">
        <f t="shared" ref="W51:W60" si="8">SUM(M51,O51,Q51,S51)</f>
        <v>418313755</v>
      </c>
      <c r="X51" s="43">
        <f t="shared" ref="X51:X60" si="9">W51/K51*100</f>
        <v>96.072349080022107</v>
      </c>
      <c r="Y51" s="41" t="s">
        <v>118</v>
      </c>
      <c r="Z51" s="56">
        <f>SUM(H51,T51)</f>
        <v>11.809999999999999</v>
      </c>
      <c r="AA51" s="42">
        <f t="shared" si="3"/>
        <v>635902655</v>
      </c>
      <c r="AB51" s="43"/>
      <c r="AC51" s="41" t="s">
        <v>118</v>
      </c>
      <c r="AD51" s="43"/>
      <c r="AE51" s="69"/>
      <c r="AF51" s="10"/>
      <c r="AH51" s="14"/>
    </row>
    <row r="52" spans="1:34" s="12" customFormat="1" ht="151.5" customHeight="1" x14ac:dyDescent="0.3">
      <c r="A52" s="58"/>
      <c r="B52" s="45"/>
      <c r="C52" s="30" t="s">
        <v>83</v>
      </c>
      <c r="D52" s="50" t="s">
        <v>208</v>
      </c>
      <c r="E52" s="54">
        <v>10</v>
      </c>
      <c r="F52" s="62" t="s">
        <v>209</v>
      </c>
      <c r="G52" s="34">
        <f>SUM(G53)</f>
        <v>213858200</v>
      </c>
      <c r="H52" s="54">
        <v>8</v>
      </c>
      <c r="I52" s="34">
        <f>SUM(I53)</f>
        <v>25530000</v>
      </c>
      <c r="J52" s="54">
        <v>9</v>
      </c>
      <c r="K52" s="34">
        <f>SUM(K53)</f>
        <v>93504100</v>
      </c>
      <c r="L52" s="34">
        <v>9</v>
      </c>
      <c r="M52" s="34">
        <f>SUM(M53)</f>
        <v>7195000</v>
      </c>
      <c r="N52" s="38">
        <v>0</v>
      </c>
      <c r="O52" s="34">
        <f>SUM(O53)</f>
        <v>32929000</v>
      </c>
      <c r="P52" s="191">
        <v>0</v>
      </c>
      <c r="Q52" s="34">
        <f>SUM(Q53)</f>
        <v>5693500</v>
      </c>
      <c r="R52" s="191">
        <v>0</v>
      </c>
      <c r="S52" s="34">
        <f>SUM(S53)</f>
        <v>33768000</v>
      </c>
      <c r="T52" s="56">
        <f>SUM(L52,N52,P52,R52)</f>
        <v>9</v>
      </c>
      <c r="U52" s="40">
        <f t="shared" si="7"/>
        <v>100</v>
      </c>
      <c r="V52" s="29" t="s">
        <v>118</v>
      </c>
      <c r="W52" s="108">
        <f t="shared" si="8"/>
        <v>79585500</v>
      </c>
      <c r="X52" s="109">
        <f t="shared" si="9"/>
        <v>85.114449526812194</v>
      </c>
      <c r="Y52" s="29" t="s">
        <v>118</v>
      </c>
      <c r="Z52" s="107">
        <f>SUM(H52,T52)</f>
        <v>17</v>
      </c>
      <c r="AA52" s="108">
        <f t="shared" si="3"/>
        <v>105115500</v>
      </c>
      <c r="AB52" s="109"/>
      <c r="AC52" s="29" t="s">
        <v>118</v>
      </c>
      <c r="AD52" s="109"/>
      <c r="AE52" s="69"/>
      <c r="AF52" s="10"/>
      <c r="AH52" s="14"/>
    </row>
    <row r="53" spans="1:34" s="12" customFormat="1" ht="108.75" customHeight="1" x14ac:dyDescent="0.3">
      <c r="A53" s="58"/>
      <c r="B53" s="45"/>
      <c r="C53" s="60" t="s">
        <v>84</v>
      </c>
      <c r="D53" s="60" t="s">
        <v>174</v>
      </c>
      <c r="E53" s="110">
        <v>5</v>
      </c>
      <c r="F53" s="111" t="s">
        <v>148</v>
      </c>
      <c r="G53" s="112">
        <f>26850000+93504100+93504100</f>
        <v>213858200</v>
      </c>
      <c r="H53" s="110">
        <v>10</v>
      </c>
      <c r="I53" s="112">
        <v>25530000</v>
      </c>
      <c r="J53" s="110">
        <v>1</v>
      </c>
      <c r="K53" s="112">
        <v>93504100</v>
      </c>
      <c r="L53" s="96">
        <v>1</v>
      </c>
      <c r="M53" s="112">
        <v>7195000</v>
      </c>
      <c r="N53" s="110">
        <v>0</v>
      </c>
      <c r="O53" s="63">
        <f>40124000-M53</f>
        <v>32929000</v>
      </c>
      <c r="P53" s="192">
        <v>0</v>
      </c>
      <c r="Q53" s="63">
        <v>5693500</v>
      </c>
      <c r="R53" s="110">
        <v>0</v>
      </c>
      <c r="S53" s="63">
        <f>79585500-Q53-O53-M53</f>
        <v>33768000</v>
      </c>
      <c r="T53" s="64">
        <f>SUM(L53,N53,P53,R53)</f>
        <v>1</v>
      </c>
      <c r="U53" s="65">
        <f t="shared" si="7"/>
        <v>100</v>
      </c>
      <c r="V53" s="66" t="s">
        <v>118</v>
      </c>
      <c r="W53" s="67">
        <f t="shared" si="8"/>
        <v>79585500</v>
      </c>
      <c r="X53" s="68">
        <f t="shared" si="9"/>
        <v>85.114449526812194</v>
      </c>
      <c r="Y53" s="66" t="s">
        <v>118</v>
      </c>
      <c r="Z53" s="64">
        <f>SUM(H53,T53)</f>
        <v>11</v>
      </c>
      <c r="AA53" s="67">
        <f t="shared" si="3"/>
        <v>105115500</v>
      </c>
      <c r="AB53" s="68"/>
      <c r="AC53" s="66" t="s">
        <v>118</v>
      </c>
      <c r="AD53" s="68"/>
      <c r="AE53" s="69"/>
      <c r="AF53" s="10"/>
      <c r="AH53" s="14"/>
    </row>
    <row r="54" spans="1:34" s="12" customFormat="1" ht="216.75" customHeight="1" x14ac:dyDescent="0.3">
      <c r="A54" s="58"/>
      <c r="B54" s="45"/>
      <c r="C54" s="84" t="s">
        <v>85</v>
      </c>
      <c r="D54" s="30" t="s">
        <v>210</v>
      </c>
      <c r="E54" s="113">
        <v>3</v>
      </c>
      <c r="F54" s="93" t="s">
        <v>211</v>
      </c>
      <c r="G54" s="37">
        <f>SUM(G55)</f>
        <v>1028466000</v>
      </c>
      <c r="H54" s="113">
        <v>3</v>
      </c>
      <c r="I54" s="37">
        <f>SUM(I55)</f>
        <v>192058900</v>
      </c>
      <c r="J54" s="113">
        <v>3</v>
      </c>
      <c r="K54" s="37">
        <f>SUM(K55)</f>
        <v>341911250</v>
      </c>
      <c r="L54" s="113">
        <v>3</v>
      </c>
      <c r="M54" s="37">
        <f>SUM(M55)</f>
        <v>7634700</v>
      </c>
      <c r="N54" s="113">
        <v>3</v>
      </c>
      <c r="O54" s="37">
        <f>SUM(O55)</f>
        <v>19387550</v>
      </c>
      <c r="P54" s="193">
        <v>3</v>
      </c>
      <c r="Q54" s="37">
        <f>SUM(Q55)</f>
        <v>68842550</v>
      </c>
      <c r="R54" s="113">
        <v>3</v>
      </c>
      <c r="S54" s="37">
        <f>SUM(S55)</f>
        <v>242863455</v>
      </c>
      <c r="T54" s="114">
        <f>AVERAGE(L54,N54,P54,R54)</f>
        <v>3</v>
      </c>
      <c r="U54" s="40">
        <f t="shared" si="7"/>
        <v>100</v>
      </c>
      <c r="V54" s="41" t="s">
        <v>118</v>
      </c>
      <c r="W54" s="42">
        <f t="shared" si="8"/>
        <v>338728255</v>
      </c>
      <c r="X54" s="43">
        <f t="shared" si="9"/>
        <v>99.069058125463854</v>
      </c>
      <c r="Y54" s="41" t="s">
        <v>118</v>
      </c>
      <c r="Z54" s="114">
        <f>T54</f>
        <v>3</v>
      </c>
      <c r="AA54" s="42">
        <f t="shared" si="3"/>
        <v>530787155</v>
      </c>
      <c r="AB54" s="43"/>
      <c r="AC54" s="41" t="s">
        <v>118</v>
      </c>
      <c r="AD54" s="43"/>
      <c r="AE54" s="69"/>
      <c r="AF54" s="10"/>
      <c r="AH54" s="14"/>
    </row>
    <row r="55" spans="1:34" s="12" customFormat="1" ht="192" customHeight="1" x14ac:dyDescent="0.3">
      <c r="A55" s="58"/>
      <c r="B55" s="45"/>
      <c r="C55" s="74" t="s">
        <v>86</v>
      </c>
      <c r="D55" s="60" t="s">
        <v>175</v>
      </c>
      <c r="E55" s="61">
        <v>300</v>
      </c>
      <c r="F55" s="95" t="s">
        <v>153</v>
      </c>
      <c r="G55" s="63">
        <f>326268500+351098750*2</f>
        <v>1028466000</v>
      </c>
      <c r="H55" s="96">
        <v>205</v>
      </c>
      <c r="I55" s="63">
        <v>192058900</v>
      </c>
      <c r="J55" s="115">
        <v>250</v>
      </c>
      <c r="K55" s="63">
        <v>341911250</v>
      </c>
      <c r="L55" s="115">
        <v>250</v>
      </c>
      <c r="M55" s="63">
        <v>7634700</v>
      </c>
      <c r="N55" s="115">
        <v>250</v>
      </c>
      <c r="O55" s="63">
        <f>27022250-M55</f>
        <v>19387550</v>
      </c>
      <c r="P55" s="194">
        <v>250</v>
      </c>
      <c r="Q55" s="63">
        <v>68842550</v>
      </c>
      <c r="R55" s="115">
        <v>250</v>
      </c>
      <c r="S55" s="63">
        <f>338728255-Q55-O55-M55</f>
        <v>242863455</v>
      </c>
      <c r="T55" s="64">
        <f>AVERAGE(L55,N55,P55,R55)</f>
        <v>250</v>
      </c>
      <c r="U55" s="65">
        <f t="shared" si="7"/>
        <v>100</v>
      </c>
      <c r="V55" s="66" t="s">
        <v>118</v>
      </c>
      <c r="W55" s="67">
        <f t="shared" si="8"/>
        <v>338728255</v>
      </c>
      <c r="X55" s="68">
        <f t="shared" si="9"/>
        <v>99.069058125463854</v>
      </c>
      <c r="Y55" s="66" t="s">
        <v>118</v>
      </c>
      <c r="Z55" s="64">
        <f t="shared" ref="Z55:Z60" si="10">SUM(H55,T55)</f>
        <v>455</v>
      </c>
      <c r="AA55" s="67">
        <f t="shared" si="3"/>
        <v>530787155</v>
      </c>
      <c r="AB55" s="68"/>
      <c r="AC55" s="66" t="s">
        <v>118</v>
      </c>
      <c r="AD55" s="68"/>
      <c r="AE55" s="69"/>
      <c r="AF55" s="10"/>
      <c r="AH55" s="14"/>
    </row>
    <row r="56" spans="1:34" s="12" customFormat="1" ht="66" customHeight="1" x14ac:dyDescent="0.3">
      <c r="A56" s="58"/>
      <c r="B56" s="45"/>
      <c r="C56" s="84" t="s">
        <v>87</v>
      </c>
      <c r="D56" s="116" t="s">
        <v>242</v>
      </c>
      <c r="E56" s="53">
        <v>7.43</v>
      </c>
      <c r="F56" s="93" t="s">
        <v>118</v>
      </c>
      <c r="G56" s="37">
        <f>G57+G59</f>
        <v>622418300</v>
      </c>
      <c r="H56" s="53">
        <v>4.7300000000000004</v>
      </c>
      <c r="I56" s="37">
        <f>I57+I59</f>
        <v>176956000</v>
      </c>
      <c r="J56" s="55">
        <v>6.08</v>
      </c>
      <c r="K56" s="37">
        <f>K57+K59</f>
        <v>261542200</v>
      </c>
      <c r="L56" s="55">
        <f>9/148*100</f>
        <v>6.0810810810810816</v>
      </c>
      <c r="M56" s="37">
        <f>M57+M59</f>
        <v>31022500</v>
      </c>
      <c r="N56" s="53">
        <v>0</v>
      </c>
      <c r="O56" s="37">
        <f>O57+O59</f>
        <v>66058850</v>
      </c>
      <c r="P56" s="186">
        <v>0</v>
      </c>
      <c r="Q56" s="37">
        <f>Q57+Q59</f>
        <v>39320000</v>
      </c>
      <c r="R56" s="186">
        <v>0</v>
      </c>
      <c r="S56" s="37">
        <f>S57+S59</f>
        <v>122906450</v>
      </c>
      <c r="T56" s="56">
        <v>6.08</v>
      </c>
      <c r="U56" s="40">
        <f t="shared" si="7"/>
        <v>100</v>
      </c>
      <c r="V56" s="41" t="s">
        <v>118</v>
      </c>
      <c r="W56" s="42">
        <f t="shared" si="8"/>
        <v>259307800</v>
      </c>
      <c r="X56" s="43">
        <f t="shared" si="9"/>
        <v>99.14568279994586</v>
      </c>
      <c r="Y56" s="41" t="s">
        <v>118</v>
      </c>
      <c r="Z56" s="56">
        <f t="shared" si="10"/>
        <v>10.81</v>
      </c>
      <c r="AA56" s="42">
        <f t="shared" si="3"/>
        <v>436263800</v>
      </c>
      <c r="AB56" s="43"/>
      <c r="AC56" s="41" t="s">
        <v>118</v>
      </c>
      <c r="AD56" s="43"/>
      <c r="AE56" s="69"/>
      <c r="AF56" s="10"/>
      <c r="AH56" s="14"/>
    </row>
    <row r="57" spans="1:34" s="12" customFormat="1" ht="118.5" customHeight="1" x14ac:dyDescent="0.3">
      <c r="A57" s="58"/>
      <c r="B57" s="45"/>
      <c r="C57" s="84" t="s">
        <v>88</v>
      </c>
      <c r="D57" s="84" t="s">
        <v>212</v>
      </c>
      <c r="E57" s="53">
        <v>655</v>
      </c>
      <c r="F57" s="93" t="s">
        <v>205</v>
      </c>
      <c r="G57" s="37">
        <f>SUM(G58)</f>
        <v>289215700</v>
      </c>
      <c r="H57" s="54">
        <v>417</v>
      </c>
      <c r="I57" s="37">
        <f>SUM(I58)</f>
        <v>83464600</v>
      </c>
      <c r="J57" s="94">
        <v>546</v>
      </c>
      <c r="K57" s="37">
        <f>SUM(K58)</f>
        <v>98817400</v>
      </c>
      <c r="L57" s="55">
        <v>432</v>
      </c>
      <c r="M57" s="37">
        <f>M58</f>
        <v>3120000</v>
      </c>
      <c r="N57" s="55">
        <v>0</v>
      </c>
      <c r="O57" s="37">
        <f>O58</f>
        <v>39258700</v>
      </c>
      <c r="P57" s="190">
        <f>489-L57</f>
        <v>57</v>
      </c>
      <c r="Q57" s="37">
        <f>Q58</f>
        <v>12800500</v>
      </c>
      <c r="R57" s="190">
        <f>57</f>
        <v>57</v>
      </c>
      <c r="S57" s="37">
        <f>S58</f>
        <v>42383200</v>
      </c>
      <c r="T57" s="56">
        <f t="shared" ref="T57:T60" si="11">SUM(L57,N57,P57,R57)</f>
        <v>546</v>
      </c>
      <c r="U57" s="40">
        <f t="shared" si="7"/>
        <v>100</v>
      </c>
      <c r="V57" s="41" t="s">
        <v>118</v>
      </c>
      <c r="W57" s="42">
        <f t="shared" si="8"/>
        <v>97562400</v>
      </c>
      <c r="X57" s="43">
        <f t="shared" si="9"/>
        <v>98.729980752377628</v>
      </c>
      <c r="Y57" s="41" t="s">
        <v>118</v>
      </c>
      <c r="Z57" s="56">
        <f t="shared" si="10"/>
        <v>963</v>
      </c>
      <c r="AA57" s="42">
        <f t="shared" si="3"/>
        <v>181027000</v>
      </c>
      <c r="AB57" s="43"/>
      <c r="AC57" s="41" t="s">
        <v>118</v>
      </c>
      <c r="AD57" s="43"/>
      <c r="AE57" s="69"/>
      <c r="AF57" s="10"/>
      <c r="AH57" s="14"/>
    </row>
    <row r="58" spans="1:34" s="12" customFormat="1" ht="208.8" x14ac:dyDescent="0.3">
      <c r="A58" s="58"/>
      <c r="B58" s="45"/>
      <c r="C58" s="74" t="s">
        <v>89</v>
      </c>
      <c r="D58" s="60" t="s">
        <v>176</v>
      </c>
      <c r="E58" s="61">
        <v>6</v>
      </c>
      <c r="F58" s="95" t="s">
        <v>125</v>
      </c>
      <c r="G58" s="63">
        <f>8245500+140485100+140485100</f>
        <v>289215700</v>
      </c>
      <c r="H58" s="96">
        <v>6</v>
      </c>
      <c r="I58" s="63">
        <v>83464600</v>
      </c>
      <c r="J58" s="61">
        <v>6</v>
      </c>
      <c r="K58" s="63">
        <v>98817400</v>
      </c>
      <c r="L58" s="63">
        <v>1</v>
      </c>
      <c r="M58" s="63">
        <f>1500000+1620000</f>
        <v>3120000</v>
      </c>
      <c r="N58" s="61">
        <v>5</v>
      </c>
      <c r="O58" s="63">
        <f>42378700-M58</f>
        <v>39258700</v>
      </c>
      <c r="P58" s="182">
        <v>0</v>
      </c>
      <c r="Q58" s="63">
        <v>12800500</v>
      </c>
      <c r="R58" s="61">
        <v>0</v>
      </c>
      <c r="S58" s="63">
        <f>97562400-Q58-O58-M58</f>
        <v>42383200</v>
      </c>
      <c r="T58" s="64">
        <f t="shared" si="11"/>
        <v>6</v>
      </c>
      <c r="U58" s="65">
        <f>Z58/J58*100</f>
        <v>200</v>
      </c>
      <c r="V58" s="66" t="s">
        <v>118</v>
      </c>
      <c r="W58" s="67">
        <f t="shared" si="8"/>
        <v>97562400</v>
      </c>
      <c r="X58" s="68">
        <f t="shared" si="9"/>
        <v>98.729980752377628</v>
      </c>
      <c r="Y58" s="66" t="s">
        <v>118</v>
      </c>
      <c r="Z58" s="64">
        <f>SUM(H58,T58)</f>
        <v>12</v>
      </c>
      <c r="AA58" s="67">
        <f t="shared" si="3"/>
        <v>181027000</v>
      </c>
      <c r="AB58" s="68"/>
      <c r="AC58" s="66" t="s">
        <v>118</v>
      </c>
      <c r="AD58" s="68"/>
      <c r="AE58" s="69"/>
      <c r="AF58" s="10"/>
      <c r="AH58" s="14"/>
    </row>
    <row r="59" spans="1:34" s="12" customFormat="1" ht="150" customHeight="1" x14ac:dyDescent="0.3">
      <c r="A59" s="58"/>
      <c r="B59" s="45"/>
      <c r="C59" s="30" t="s">
        <v>90</v>
      </c>
      <c r="D59" s="30" t="s">
        <v>243</v>
      </c>
      <c r="E59" s="54">
        <v>458</v>
      </c>
      <c r="F59" s="93" t="s">
        <v>205</v>
      </c>
      <c r="G59" s="37">
        <f>SUM(G60:G62)</f>
        <v>333202600</v>
      </c>
      <c r="H59" s="54">
        <v>244</v>
      </c>
      <c r="I59" s="37">
        <f>SUM(I60:I62)</f>
        <v>93491400</v>
      </c>
      <c r="J59" s="94">
        <v>360</v>
      </c>
      <c r="K59" s="37">
        <f>SUM(K60:K62)</f>
        <v>162724800</v>
      </c>
      <c r="L59" s="94">
        <v>303</v>
      </c>
      <c r="M59" s="37">
        <f>SUM(M60:M62)</f>
        <v>27902500</v>
      </c>
      <c r="N59" s="55">
        <v>0</v>
      </c>
      <c r="O59" s="37">
        <f>SUM(O60:O62)</f>
        <v>26800150</v>
      </c>
      <c r="P59" s="190">
        <v>57</v>
      </c>
      <c r="Q59" s="37">
        <f>SUM(Q60:Q62)</f>
        <v>26519500</v>
      </c>
      <c r="R59" s="55">
        <v>0</v>
      </c>
      <c r="S59" s="37">
        <f>SUM(S60:S62)</f>
        <v>80523250</v>
      </c>
      <c r="T59" s="56">
        <f t="shared" si="11"/>
        <v>360</v>
      </c>
      <c r="U59" s="43">
        <f>T59/J59*100</f>
        <v>100</v>
      </c>
      <c r="V59" s="41" t="s">
        <v>118</v>
      </c>
      <c r="W59" s="42">
        <f t="shared" si="8"/>
        <v>161745400</v>
      </c>
      <c r="X59" s="43">
        <f t="shared" si="9"/>
        <v>99.398124932401217</v>
      </c>
      <c r="Y59" s="41" t="s">
        <v>118</v>
      </c>
      <c r="Z59" s="56">
        <f t="shared" si="10"/>
        <v>604</v>
      </c>
      <c r="AA59" s="42">
        <f t="shared" si="3"/>
        <v>255236800</v>
      </c>
      <c r="AB59" s="43"/>
      <c r="AC59" s="41" t="s">
        <v>118</v>
      </c>
      <c r="AD59" s="43"/>
      <c r="AE59" s="69"/>
      <c r="AF59" s="10"/>
      <c r="AH59" s="14"/>
    </row>
    <row r="60" spans="1:34" s="12" customFormat="1" ht="171" customHeight="1" x14ac:dyDescent="0.3">
      <c r="A60" s="58"/>
      <c r="B60" s="45"/>
      <c r="C60" s="74" t="s">
        <v>92</v>
      </c>
      <c r="D60" s="60" t="s">
        <v>177</v>
      </c>
      <c r="E60" s="61">
        <v>160</v>
      </c>
      <c r="F60" s="62" t="s">
        <v>116</v>
      </c>
      <c r="G60" s="63">
        <f>50986400+122074800*2</f>
        <v>295136000</v>
      </c>
      <c r="H60" s="96">
        <v>245</v>
      </c>
      <c r="I60" s="63">
        <v>57166400</v>
      </c>
      <c r="J60" s="61">
        <v>3</v>
      </c>
      <c r="K60" s="63">
        <v>162724800</v>
      </c>
      <c r="L60" s="63">
        <v>3</v>
      </c>
      <c r="M60" s="63">
        <v>27902500</v>
      </c>
      <c r="N60" s="61">
        <v>0</v>
      </c>
      <c r="O60" s="63">
        <f>54702650-M60</f>
        <v>26800150</v>
      </c>
      <c r="P60" s="182">
        <v>0</v>
      </c>
      <c r="Q60" s="63">
        <v>26519500</v>
      </c>
      <c r="R60" s="61">
        <v>0</v>
      </c>
      <c r="S60" s="63">
        <f>161745400-Q60-O60-M60</f>
        <v>80523250</v>
      </c>
      <c r="T60" s="64">
        <f t="shared" si="11"/>
        <v>3</v>
      </c>
      <c r="U60" s="65">
        <f>T60/J60*100</f>
        <v>100</v>
      </c>
      <c r="V60" s="66" t="s">
        <v>118</v>
      </c>
      <c r="W60" s="67">
        <f t="shared" si="8"/>
        <v>161745400</v>
      </c>
      <c r="X60" s="68">
        <f t="shared" si="9"/>
        <v>99.398124932401217</v>
      </c>
      <c r="Y60" s="66" t="s">
        <v>118</v>
      </c>
      <c r="Z60" s="64">
        <f t="shared" si="10"/>
        <v>248</v>
      </c>
      <c r="AA60" s="67">
        <f t="shared" si="3"/>
        <v>218911800</v>
      </c>
      <c r="AB60" s="68"/>
      <c r="AC60" s="66" t="s">
        <v>118</v>
      </c>
      <c r="AD60" s="68"/>
      <c r="AE60" s="69"/>
      <c r="AF60" s="10"/>
      <c r="AH60" s="14"/>
    </row>
    <row r="61" spans="1:34" s="12" customFormat="1" ht="125.25" customHeight="1" x14ac:dyDescent="0.3">
      <c r="A61" s="58"/>
      <c r="B61" s="45"/>
      <c r="C61" s="106" t="s">
        <v>91</v>
      </c>
      <c r="D61" s="106" t="s">
        <v>178</v>
      </c>
      <c r="E61" s="117">
        <v>0</v>
      </c>
      <c r="F61" s="62" t="s">
        <v>116</v>
      </c>
      <c r="G61" s="63">
        <v>18015000</v>
      </c>
      <c r="H61" s="96">
        <v>54</v>
      </c>
      <c r="I61" s="63">
        <v>18015000</v>
      </c>
      <c r="J61" s="61"/>
      <c r="K61" s="63"/>
      <c r="L61" s="61"/>
      <c r="M61" s="63"/>
      <c r="N61" s="61"/>
      <c r="O61" s="63"/>
      <c r="P61" s="182"/>
      <c r="Q61" s="63"/>
      <c r="R61" s="61"/>
      <c r="S61" s="63"/>
      <c r="T61" s="64"/>
      <c r="U61" s="65"/>
      <c r="V61" s="66"/>
      <c r="W61" s="67"/>
      <c r="X61" s="68"/>
      <c r="Y61" s="66"/>
      <c r="Z61" s="64">
        <f>H61</f>
        <v>54</v>
      </c>
      <c r="AA61" s="67">
        <f t="shared" si="3"/>
        <v>18015000</v>
      </c>
      <c r="AB61" s="68"/>
      <c r="AC61" s="66" t="s">
        <v>118</v>
      </c>
      <c r="AD61" s="68"/>
      <c r="AE61" s="69"/>
      <c r="AF61" s="10"/>
      <c r="AH61" s="14"/>
    </row>
    <row r="62" spans="1:34" s="12" customFormat="1" ht="125.25" customHeight="1" x14ac:dyDescent="0.3">
      <c r="A62" s="58"/>
      <c r="B62" s="45"/>
      <c r="C62" s="105" t="s">
        <v>93</v>
      </c>
      <c r="D62" s="106" t="s">
        <v>179</v>
      </c>
      <c r="E62" s="61">
        <v>0</v>
      </c>
      <c r="F62" s="62" t="s">
        <v>116</v>
      </c>
      <c r="G62" s="63">
        <v>20051600</v>
      </c>
      <c r="H62" s="96">
        <v>54</v>
      </c>
      <c r="I62" s="63">
        <v>18310000</v>
      </c>
      <c r="J62" s="61"/>
      <c r="K62" s="63"/>
      <c r="L62" s="61"/>
      <c r="M62" s="63"/>
      <c r="N62" s="61"/>
      <c r="O62" s="63"/>
      <c r="P62" s="182"/>
      <c r="Q62" s="63"/>
      <c r="R62" s="61"/>
      <c r="S62" s="63"/>
      <c r="T62" s="64"/>
      <c r="U62" s="65"/>
      <c r="V62" s="66"/>
      <c r="W62" s="67"/>
      <c r="X62" s="68"/>
      <c r="Y62" s="66"/>
      <c r="Z62" s="64">
        <f>H62</f>
        <v>54</v>
      </c>
      <c r="AA62" s="67">
        <f t="shared" si="3"/>
        <v>18310000</v>
      </c>
      <c r="AB62" s="68"/>
      <c r="AC62" s="66" t="s">
        <v>118</v>
      </c>
      <c r="AD62" s="68"/>
      <c r="AE62" s="69"/>
      <c r="AF62" s="10"/>
      <c r="AH62" s="14"/>
    </row>
    <row r="63" spans="1:34" s="12" customFormat="1" ht="111.75" customHeight="1" x14ac:dyDescent="0.3">
      <c r="A63" s="58"/>
      <c r="B63" s="45"/>
      <c r="C63" s="84" t="s">
        <v>94</v>
      </c>
      <c r="D63" s="84" t="s">
        <v>244</v>
      </c>
      <c r="E63" s="118">
        <v>100</v>
      </c>
      <c r="F63" s="85" t="s">
        <v>118</v>
      </c>
      <c r="G63" s="46">
        <f>G64+G66+G69</f>
        <v>162062400</v>
      </c>
      <c r="H63" s="118">
        <v>100</v>
      </c>
      <c r="I63" s="46">
        <f>I64+I66+I69</f>
        <v>33484650</v>
      </c>
      <c r="J63" s="118">
        <v>100</v>
      </c>
      <c r="K63" s="46">
        <f>K64+K66+K69</f>
        <v>420507200</v>
      </c>
      <c r="L63" s="53">
        <f>4/4*100</f>
        <v>100</v>
      </c>
      <c r="M63" s="46">
        <f>M64+M66+M69</f>
        <v>5950000</v>
      </c>
      <c r="N63" s="53">
        <f>8/8*100</f>
        <v>100</v>
      </c>
      <c r="O63" s="46">
        <f>O64+O66+O69</f>
        <v>96490021</v>
      </c>
      <c r="P63" s="186">
        <f>9/9*100</f>
        <v>100</v>
      </c>
      <c r="Q63" s="46">
        <f>Q64+Q66+Q69</f>
        <v>1211724715</v>
      </c>
      <c r="R63" s="53">
        <f>6/6*100</f>
        <v>100</v>
      </c>
      <c r="S63" s="46">
        <f>S64+S66+S69</f>
        <v>202414890</v>
      </c>
      <c r="T63" s="57">
        <f>N63</f>
        <v>100</v>
      </c>
      <c r="U63" s="86">
        <f t="shared" ref="U63:U70" si="12">T63/J63*100</f>
        <v>100</v>
      </c>
      <c r="V63" s="48" t="s">
        <v>118</v>
      </c>
      <c r="W63" s="47">
        <f t="shared" ref="W63:W81" si="13">SUM(M63,O63,Q63,S63)</f>
        <v>1516579626</v>
      </c>
      <c r="X63" s="49">
        <f t="shared" ref="X63:X81" si="14">W63/K63*100</f>
        <v>360.65485347218788</v>
      </c>
      <c r="Y63" s="48" t="s">
        <v>118</v>
      </c>
      <c r="Z63" s="57">
        <f t="shared" ref="Z63:Z99" si="15">SUM(H63,T63)</f>
        <v>200</v>
      </c>
      <c r="AA63" s="47">
        <f t="shared" si="3"/>
        <v>1550064276</v>
      </c>
      <c r="AB63" s="49"/>
      <c r="AC63" s="48" t="s">
        <v>118</v>
      </c>
      <c r="AD63" s="49"/>
      <c r="AE63" s="119"/>
      <c r="AF63" s="10"/>
      <c r="AH63" s="14"/>
    </row>
    <row r="64" spans="1:34" s="12" customFormat="1" ht="209.4" customHeight="1" x14ac:dyDescent="0.3">
      <c r="A64" s="58"/>
      <c r="B64" s="45"/>
      <c r="C64" s="84" t="s">
        <v>139</v>
      </c>
      <c r="D64" s="84" t="s">
        <v>213</v>
      </c>
      <c r="E64" s="118"/>
      <c r="F64" s="85"/>
      <c r="G64" s="46">
        <f>SUM(G65)</f>
        <v>0</v>
      </c>
      <c r="H64" s="118"/>
      <c r="I64" s="46">
        <f>SUM(I65)</f>
        <v>0</v>
      </c>
      <c r="J64" s="53">
        <v>30</v>
      </c>
      <c r="K64" s="46">
        <f>SUM(K65)</f>
        <v>112950000</v>
      </c>
      <c r="L64" s="53">
        <v>0</v>
      </c>
      <c r="M64" s="46">
        <f>M65</f>
        <v>0</v>
      </c>
      <c r="N64" s="53">
        <v>30</v>
      </c>
      <c r="O64" s="46">
        <f>O65</f>
        <v>6603900</v>
      </c>
      <c r="P64" s="186">
        <v>0</v>
      </c>
      <c r="Q64" s="46">
        <f>Q65</f>
        <v>88638200</v>
      </c>
      <c r="R64" s="53">
        <v>0</v>
      </c>
      <c r="S64" s="46">
        <f>S65</f>
        <v>15113000</v>
      </c>
      <c r="T64" s="39">
        <f>SUM(L64,N64,P64,R64)</f>
        <v>30</v>
      </c>
      <c r="U64" s="40">
        <f t="shared" si="12"/>
        <v>100</v>
      </c>
      <c r="V64" s="41" t="s">
        <v>118</v>
      </c>
      <c r="W64" s="42">
        <f t="shared" si="13"/>
        <v>110355100</v>
      </c>
      <c r="X64" s="43">
        <f t="shared" si="14"/>
        <v>97.702611775121738</v>
      </c>
      <c r="Y64" s="41" t="s">
        <v>118</v>
      </c>
      <c r="Z64" s="39">
        <f t="shared" si="15"/>
        <v>30</v>
      </c>
      <c r="AA64" s="42">
        <f t="shared" si="3"/>
        <v>110355100</v>
      </c>
      <c r="AB64" s="43"/>
      <c r="AC64" s="41" t="s">
        <v>118</v>
      </c>
      <c r="AD64" s="43"/>
      <c r="AE64" s="69"/>
      <c r="AF64" s="10"/>
      <c r="AH64" s="14"/>
    </row>
    <row r="65" spans="1:34" s="12" customFormat="1" ht="121.8" x14ac:dyDescent="0.3">
      <c r="A65" s="58"/>
      <c r="B65" s="45"/>
      <c r="C65" s="74" t="s">
        <v>140</v>
      </c>
      <c r="D65" s="60" t="s">
        <v>180</v>
      </c>
      <c r="E65" s="61"/>
      <c r="F65" s="62" t="s">
        <v>116</v>
      </c>
      <c r="G65" s="63"/>
      <c r="H65" s="61"/>
      <c r="I65" s="63"/>
      <c r="J65" s="61">
        <v>2</v>
      </c>
      <c r="K65" s="63">
        <v>112950000</v>
      </c>
      <c r="L65" s="61">
        <v>0</v>
      </c>
      <c r="M65" s="63">
        <v>0</v>
      </c>
      <c r="N65" s="61">
        <v>2</v>
      </c>
      <c r="O65" s="63">
        <v>6603900</v>
      </c>
      <c r="P65" s="182">
        <v>0</v>
      </c>
      <c r="Q65" s="63">
        <v>88638200</v>
      </c>
      <c r="R65" s="61">
        <v>0</v>
      </c>
      <c r="S65" s="63">
        <f>110355100-Q65-O65-M65</f>
        <v>15113000</v>
      </c>
      <c r="T65" s="64">
        <f>SUM(L65,N65,P65,R65)</f>
        <v>2</v>
      </c>
      <c r="U65" s="65">
        <f t="shared" si="12"/>
        <v>100</v>
      </c>
      <c r="V65" s="66" t="s">
        <v>118</v>
      </c>
      <c r="W65" s="67">
        <f t="shared" si="13"/>
        <v>110355100</v>
      </c>
      <c r="X65" s="68">
        <f t="shared" si="14"/>
        <v>97.702611775121738</v>
      </c>
      <c r="Y65" s="66" t="s">
        <v>118</v>
      </c>
      <c r="Z65" s="64">
        <f t="shared" si="15"/>
        <v>2</v>
      </c>
      <c r="AA65" s="67">
        <f t="shared" si="3"/>
        <v>110355100</v>
      </c>
      <c r="AB65" s="68"/>
      <c r="AC65" s="66" t="s">
        <v>118</v>
      </c>
      <c r="AD65" s="68"/>
      <c r="AE65" s="69"/>
      <c r="AF65" s="10"/>
      <c r="AH65" s="14"/>
    </row>
    <row r="66" spans="1:34" s="12" customFormat="1" ht="165.75" customHeight="1" x14ac:dyDescent="0.3">
      <c r="A66" s="58"/>
      <c r="B66" s="45"/>
      <c r="C66" s="84" t="s">
        <v>138</v>
      </c>
      <c r="D66" s="84" t="s">
        <v>206</v>
      </c>
      <c r="E66" s="118">
        <v>6</v>
      </c>
      <c r="F66" s="120" t="s">
        <v>207</v>
      </c>
      <c r="G66" s="46">
        <f>SUM(G67:G68)</f>
        <v>162062400</v>
      </c>
      <c r="H66" s="118">
        <v>6</v>
      </c>
      <c r="I66" s="46">
        <f>SUM(I67:I68)</f>
        <v>33484650</v>
      </c>
      <c r="J66" s="53">
        <v>6</v>
      </c>
      <c r="K66" s="46">
        <f>SUM(K67:K68)</f>
        <v>230751200</v>
      </c>
      <c r="L66" s="53">
        <v>6</v>
      </c>
      <c r="M66" s="46">
        <f>SUM(M67:M68)</f>
        <v>5950000</v>
      </c>
      <c r="N66" s="53">
        <v>6</v>
      </c>
      <c r="O66" s="46">
        <f>SUM(O67:O68)</f>
        <v>27970100</v>
      </c>
      <c r="P66" s="186">
        <v>6</v>
      </c>
      <c r="Q66" s="46">
        <f>SUM(Q67:Q68)</f>
        <v>19893390</v>
      </c>
      <c r="R66" s="53">
        <v>6</v>
      </c>
      <c r="S66" s="46">
        <f>SUM(S67:S68)</f>
        <v>46104100</v>
      </c>
      <c r="T66" s="39">
        <f>AVERAGE(L66,N66,P66,R66)</f>
        <v>6</v>
      </c>
      <c r="U66" s="40">
        <f t="shared" si="12"/>
        <v>100</v>
      </c>
      <c r="V66" s="41" t="s">
        <v>118</v>
      </c>
      <c r="W66" s="42">
        <f t="shared" si="13"/>
        <v>99917590</v>
      </c>
      <c r="X66" s="43">
        <f t="shared" si="14"/>
        <v>43.301005585236389</v>
      </c>
      <c r="Y66" s="41" t="s">
        <v>118</v>
      </c>
      <c r="Z66" s="39">
        <f t="shared" si="15"/>
        <v>12</v>
      </c>
      <c r="AA66" s="42">
        <f t="shared" si="3"/>
        <v>133402240</v>
      </c>
      <c r="AB66" s="43"/>
      <c r="AC66" s="41" t="s">
        <v>118</v>
      </c>
      <c r="AD66" s="43"/>
      <c r="AE66" s="69"/>
      <c r="AF66" s="10"/>
      <c r="AH66" s="14"/>
    </row>
    <row r="67" spans="1:34" s="12" customFormat="1" ht="174" x14ac:dyDescent="0.3">
      <c r="A67" s="58"/>
      <c r="B67" s="45"/>
      <c r="C67" s="74" t="s">
        <v>95</v>
      </c>
      <c r="D67" s="60" t="s">
        <v>181</v>
      </c>
      <c r="E67" s="61">
        <v>12</v>
      </c>
      <c r="F67" s="95" t="s">
        <v>153</v>
      </c>
      <c r="G67" s="63">
        <f>17700000+68400000*2</f>
        <v>154500000</v>
      </c>
      <c r="H67" s="61">
        <v>24</v>
      </c>
      <c r="I67" s="63">
        <v>26722250</v>
      </c>
      <c r="J67" s="61">
        <v>25</v>
      </c>
      <c r="K67" s="63">
        <v>41220000</v>
      </c>
      <c r="L67" s="61">
        <v>4</v>
      </c>
      <c r="M67" s="63">
        <f>2800000+3150000</f>
        <v>5950000</v>
      </c>
      <c r="N67" s="61">
        <v>8</v>
      </c>
      <c r="O67" s="63">
        <f>15020000-M67</f>
        <v>9070000</v>
      </c>
      <c r="P67" s="182">
        <f>2+3+4</f>
        <v>9</v>
      </c>
      <c r="Q67" s="63">
        <v>17850000</v>
      </c>
      <c r="R67" s="61">
        <v>6</v>
      </c>
      <c r="S67" s="63">
        <f>41220000-Q67-O67-M67</f>
        <v>8350000</v>
      </c>
      <c r="T67" s="64">
        <f>SUM(L67,N67,P67,R67)</f>
        <v>27</v>
      </c>
      <c r="U67" s="65">
        <f t="shared" si="12"/>
        <v>108</v>
      </c>
      <c r="V67" s="66" t="s">
        <v>118</v>
      </c>
      <c r="W67" s="67">
        <f t="shared" si="13"/>
        <v>41220000</v>
      </c>
      <c r="X67" s="68">
        <f t="shared" si="14"/>
        <v>100</v>
      </c>
      <c r="Y67" s="66" t="s">
        <v>118</v>
      </c>
      <c r="Z67" s="64">
        <f t="shared" si="15"/>
        <v>51</v>
      </c>
      <c r="AA67" s="67">
        <f t="shared" si="3"/>
        <v>67942250</v>
      </c>
      <c r="AB67" s="68"/>
      <c r="AC67" s="66" t="s">
        <v>118</v>
      </c>
      <c r="AD67" s="68"/>
      <c r="AE67" s="69"/>
      <c r="AF67" s="10"/>
      <c r="AH67" s="14"/>
    </row>
    <row r="68" spans="1:34" s="12" customFormat="1" ht="174" x14ac:dyDescent="0.3">
      <c r="A68" s="58"/>
      <c r="B68" s="45"/>
      <c r="C68" s="74" t="s">
        <v>96</v>
      </c>
      <c r="D68" s="60" t="s">
        <v>182</v>
      </c>
      <c r="E68" s="61">
        <v>6</v>
      </c>
      <c r="F68" s="95" t="s">
        <v>171</v>
      </c>
      <c r="G68" s="63">
        <v>7562400</v>
      </c>
      <c r="H68" s="96">
        <v>6</v>
      </c>
      <c r="I68" s="63">
        <v>6762400</v>
      </c>
      <c r="J68" s="61">
        <v>6</v>
      </c>
      <c r="K68" s="63">
        <v>189531200</v>
      </c>
      <c r="L68" s="61">
        <v>6</v>
      </c>
      <c r="M68" s="63">
        <v>0</v>
      </c>
      <c r="N68" s="61">
        <v>6</v>
      </c>
      <c r="O68" s="63">
        <v>18900100</v>
      </c>
      <c r="P68" s="182">
        <v>6</v>
      </c>
      <c r="Q68" s="63">
        <v>2043390</v>
      </c>
      <c r="R68" s="61">
        <v>6</v>
      </c>
      <c r="S68" s="63">
        <f>58697590-Q68-O68-M68</f>
        <v>37754100</v>
      </c>
      <c r="T68" s="64">
        <f>AVERAGE(L68,N68,P68,R68)</f>
        <v>6</v>
      </c>
      <c r="U68" s="65">
        <f t="shared" si="12"/>
        <v>100</v>
      </c>
      <c r="V68" s="66" t="s">
        <v>118</v>
      </c>
      <c r="W68" s="67">
        <f t="shared" si="13"/>
        <v>58697590</v>
      </c>
      <c r="X68" s="68">
        <f t="shared" si="14"/>
        <v>30.969882531213859</v>
      </c>
      <c r="Y68" s="66" t="s">
        <v>118</v>
      </c>
      <c r="Z68" s="64">
        <f t="shared" si="15"/>
        <v>12</v>
      </c>
      <c r="AA68" s="67">
        <f t="shared" si="3"/>
        <v>65459990</v>
      </c>
      <c r="AB68" s="68"/>
      <c r="AC68" s="66" t="s">
        <v>118</v>
      </c>
      <c r="AD68" s="68"/>
      <c r="AE68" s="69"/>
      <c r="AF68" s="10"/>
      <c r="AH68" s="14"/>
    </row>
    <row r="69" spans="1:34" s="12" customFormat="1" ht="191.4" x14ac:dyDescent="0.3">
      <c r="A69" s="58"/>
      <c r="B69" s="45"/>
      <c r="C69" s="84" t="s">
        <v>141</v>
      </c>
      <c r="D69" s="121" t="s">
        <v>214</v>
      </c>
      <c r="E69" s="118"/>
      <c r="F69" s="120" t="s">
        <v>215</v>
      </c>
      <c r="G69" s="46">
        <f>SUM(G70)</f>
        <v>0</v>
      </c>
      <c r="H69" s="118"/>
      <c r="I69" s="46">
        <f>SUM(I70)</f>
        <v>0</v>
      </c>
      <c r="J69" s="53">
        <v>90</v>
      </c>
      <c r="K69" s="46">
        <f>SUM(K70)</f>
        <v>76806000</v>
      </c>
      <c r="L69" s="53">
        <v>0</v>
      </c>
      <c r="M69" s="46">
        <f>SUM(M70:M71)</f>
        <v>0</v>
      </c>
      <c r="N69" s="53">
        <v>90</v>
      </c>
      <c r="O69" s="46">
        <f>SUM(O70:O71)</f>
        <v>61916021</v>
      </c>
      <c r="P69" s="186">
        <v>0</v>
      </c>
      <c r="Q69" s="46">
        <f>SUM(Q70:Q71)</f>
        <v>1103193125</v>
      </c>
      <c r="R69" s="53">
        <v>0</v>
      </c>
      <c r="S69" s="46">
        <f>SUM(S70:S71)</f>
        <v>141197790</v>
      </c>
      <c r="T69" s="39">
        <f>SUM(L69,N69,P69,R69)</f>
        <v>90</v>
      </c>
      <c r="U69" s="40">
        <f>T69/J69*100</f>
        <v>100</v>
      </c>
      <c r="V69" s="41" t="s">
        <v>118</v>
      </c>
      <c r="W69" s="42">
        <f t="shared" si="13"/>
        <v>1306306936</v>
      </c>
      <c r="X69" s="43">
        <f t="shared" si="14"/>
        <v>1700.7876155508684</v>
      </c>
      <c r="Y69" s="41" t="s">
        <v>118</v>
      </c>
      <c r="Z69" s="39">
        <f t="shared" si="15"/>
        <v>90</v>
      </c>
      <c r="AA69" s="42">
        <f t="shared" si="3"/>
        <v>1306306936</v>
      </c>
      <c r="AB69" s="43"/>
      <c r="AC69" s="41" t="s">
        <v>118</v>
      </c>
      <c r="AD69" s="43"/>
      <c r="AE69" s="69"/>
      <c r="AF69" s="10"/>
      <c r="AH69" s="14"/>
    </row>
    <row r="70" spans="1:34" s="12" customFormat="1" ht="208.8" x14ac:dyDescent="0.3">
      <c r="A70" s="58"/>
      <c r="B70" s="45"/>
      <c r="C70" s="74" t="s">
        <v>142</v>
      </c>
      <c r="D70" s="60" t="s">
        <v>183</v>
      </c>
      <c r="E70" s="61"/>
      <c r="F70" s="62" t="s">
        <v>116</v>
      </c>
      <c r="G70" s="63"/>
      <c r="H70" s="61"/>
      <c r="I70" s="63"/>
      <c r="J70" s="61">
        <v>3</v>
      </c>
      <c r="K70" s="63">
        <v>76806000</v>
      </c>
      <c r="L70" s="61">
        <v>0</v>
      </c>
      <c r="M70" s="63">
        <v>0</v>
      </c>
      <c r="N70" s="61">
        <v>3</v>
      </c>
      <c r="O70" s="63">
        <v>15297150</v>
      </c>
      <c r="P70" s="182">
        <v>0</v>
      </c>
      <c r="Q70" s="63">
        <v>56085800</v>
      </c>
      <c r="R70" s="61">
        <v>0</v>
      </c>
      <c r="S70" s="63">
        <f>75176400-Q70-O70-M70</f>
        <v>3793450</v>
      </c>
      <c r="T70" s="64">
        <f t="shared" ref="T70:T81" si="16">SUM(L70,N70,P70,R70)</f>
        <v>3</v>
      </c>
      <c r="U70" s="65">
        <f t="shared" si="12"/>
        <v>100</v>
      </c>
      <c r="V70" s="66" t="s">
        <v>118</v>
      </c>
      <c r="W70" s="67">
        <f t="shared" si="13"/>
        <v>75176400</v>
      </c>
      <c r="X70" s="68">
        <f t="shared" si="14"/>
        <v>97.87829075853449</v>
      </c>
      <c r="Y70" s="66" t="s">
        <v>118</v>
      </c>
      <c r="Z70" s="64">
        <f t="shared" si="15"/>
        <v>3</v>
      </c>
      <c r="AA70" s="67">
        <f t="shared" si="3"/>
        <v>75176400</v>
      </c>
      <c r="AB70" s="68"/>
      <c r="AC70" s="66" t="s">
        <v>118</v>
      </c>
      <c r="AD70" s="68"/>
      <c r="AE70" s="69"/>
      <c r="AF70" s="10"/>
      <c r="AH70" s="14"/>
    </row>
    <row r="71" spans="1:34" s="12" customFormat="1" ht="114.75" customHeight="1" x14ac:dyDescent="0.3">
      <c r="A71" s="58"/>
      <c r="B71" s="45"/>
      <c r="C71" s="84" t="s">
        <v>100</v>
      </c>
      <c r="D71" s="84" t="s">
        <v>245</v>
      </c>
      <c r="E71" s="55" t="s">
        <v>246</v>
      </c>
      <c r="F71" s="93" t="s">
        <v>118</v>
      </c>
      <c r="G71" s="37">
        <f>G72+G74</f>
        <v>171235600</v>
      </c>
      <c r="H71" s="55" t="s">
        <v>247</v>
      </c>
      <c r="I71" s="37">
        <f>I72+I74</f>
        <v>36575800</v>
      </c>
      <c r="J71" s="90" t="s">
        <v>248</v>
      </c>
      <c r="K71" s="37">
        <f>K72+K74</f>
        <v>1255708800</v>
      </c>
      <c r="L71" s="54">
        <v>0</v>
      </c>
      <c r="M71" s="37">
        <f>M72+M74</f>
        <v>0</v>
      </c>
      <c r="N71" s="55">
        <v>0</v>
      </c>
      <c r="O71" s="37">
        <f>O72+O74</f>
        <v>46618871</v>
      </c>
      <c r="P71" s="190">
        <v>0</v>
      </c>
      <c r="Q71" s="37">
        <f>Q72+Q74</f>
        <v>1047107325</v>
      </c>
      <c r="R71" s="53">
        <v>29.73</v>
      </c>
      <c r="S71" s="37">
        <f>S72+S74</f>
        <v>137404340</v>
      </c>
      <c r="T71" s="56">
        <f t="shared" si="16"/>
        <v>29.73</v>
      </c>
      <c r="U71" s="40">
        <f>Z71/J71*100</f>
        <v>100</v>
      </c>
      <c r="V71" s="41" t="s">
        <v>118</v>
      </c>
      <c r="W71" s="42">
        <f t="shared" si="13"/>
        <v>1231130536</v>
      </c>
      <c r="X71" s="43">
        <f t="shared" si="14"/>
        <v>98.042678047649261</v>
      </c>
      <c r="Y71" s="41" t="s">
        <v>118</v>
      </c>
      <c r="Z71" s="56">
        <f t="shared" si="15"/>
        <v>29.73</v>
      </c>
      <c r="AA71" s="42">
        <f t="shared" si="3"/>
        <v>1267706336</v>
      </c>
      <c r="AB71" s="43"/>
      <c r="AC71" s="41" t="s">
        <v>118</v>
      </c>
      <c r="AD71" s="43"/>
      <c r="AE71" s="69"/>
      <c r="AH71" s="14"/>
    </row>
    <row r="72" spans="1:34" s="12" customFormat="1" ht="190.5" customHeight="1" x14ac:dyDescent="0.3">
      <c r="A72" s="58"/>
      <c r="B72" s="45"/>
      <c r="C72" s="84" t="s">
        <v>101</v>
      </c>
      <c r="D72" s="84" t="s">
        <v>249</v>
      </c>
      <c r="E72" s="54">
        <v>132</v>
      </c>
      <c r="F72" s="93" t="s">
        <v>216</v>
      </c>
      <c r="G72" s="37">
        <f>SUM(G73)</f>
        <v>104088700</v>
      </c>
      <c r="H72" s="54">
        <v>132</v>
      </c>
      <c r="I72" s="37">
        <f>SUM(I73)</f>
        <v>20545800</v>
      </c>
      <c r="J72" s="90">
        <v>132</v>
      </c>
      <c r="K72" s="37">
        <f>SUM(K73)</f>
        <v>0</v>
      </c>
      <c r="L72" s="53">
        <v>33</v>
      </c>
      <c r="M72" s="37">
        <f>SUM(M73)</f>
        <v>0</v>
      </c>
      <c r="N72" s="53">
        <v>33</v>
      </c>
      <c r="O72" s="37">
        <f>SUM(O73)</f>
        <v>0</v>
      </c>
      <c r="P72" s="186">
        <v>33</v>
      </c>
      <c r="Q72" s="37">
        <f>SUM(Q73)</f>
        <v>0</v>
      </c>
      <c r="R72" s="55">
        <v>33</v>
      </c>
      <c r="S72" s="37">
        <f>SUM(S73)</f>
        <v>0</v>
      </c>
      <c r="T72" s="56">
        <f t="shared" si="16"/>
        <v>132</v>
      </c>
      <c r="U72" s="40">
        <f>Z72/J72*100</f>
        <v>200</v>
      </c>
      <c r="V72" s="41" t="s">
        <v>118</v>
      </c>
      <c r="W72" s="42">
        <f t="shared" si="13"/>
        <v>0</v>
      </c>
      <c r="X72" s="43" t="e">
        <f t="shared" si="14"/>
        <v>#DIV/0!</v>
      </c>
      <c r="Y72" s="41" t="s">
        <v>118</v>
      </c>
      <c r="Z72" s="56">
        <f>SUM(H72,T72)</f>
        <v>264</v>
      </c>
      <c r="AA72" s="42">
        <f t="shared" si="3"/>
        <v>20545800</v>
      </c>
      <c r="AB72" s="43"/>
      <c r="AC72" s="41" t="s">
        <v>118</v>
      </c>
      <c r="AD72" s="43"/>
      <c r="AE72" s="69"/>
      <c r="AF72" s="10"/>
      <c r="AH72" s="14"/>
    </row>
    <row r="73" spans="1:34" s="12" customFormat="1" ht="93" customHeight="1" x14ac:dyDescent="0.3">
      <c r="A73" s="58"/>
      <c r="B73" s="45"/>
      <c r="C73" s="74" t="s">
        <v>102</v>
      </c>
      <c r="D73" s="82" t="s">
        <v>184</v>
      </c>
      <c r="E73" s="64">
        <v>3</v>
      </c>
      <c r="F73" s="95" t="s">
        <v>116</v>
      </c>
      <c r="G73" s="63">
        <f>12130800+45978950*2</f>
        <v>104088700</v>
      </c>
      <c r="H73" s="64">
        <v>1</v>
      </c>
      <c r="I73" s="63">
        <v>20545800</v>
      </c>
      <c r="J73" s="61">
        <v>1</v>
      </c>
      <c r="K73" s="63">
        <v>0</v>
      </c>
      <c r="L73" s="61">
        <v>0</v>
      </c>
      <c r="M73" s="63">
        <v>0</v>
      </c>
      <c r="N73" s="61">
        <v>0</v>
      </c>
      <c r="O73" s="63">
        <v>0</v>
      </c>
      <c r="P73" s="182">
        <v>0</v>
      </c>
      <c r="Q73" s="63">
        <v>0</v>
      </c>
      <c r="R73" s="61">
        <v>0</v>
      </c>
      <c r="S73" s="61">
        <v>0</v>
      </c>
      <c r="T73" s="64">
        <f t="shared" si="16"/>
        <v>0</v>
      </c>
      <c r="U73" s="65">
        <f>T73/J73*100</f>
        <v>0</v>
      </c>
      <c r="V73" s="66" t="s">
        <v>118</v>
      </c>
      <c r="W73" s="67">
        <f t="shared" si="13"/>
        <v>0</v>
      </c>
      <c r="X73" s="68" t="e">
        <f t="shared" si="14"/>
        <v>#DIV/0!</v>
      </c>
      <c r="Y73" s="66" t="s">
        <v>118</v>
      </c>
      <c r="Z73" s="64">
        <f t="shared" si="15"/>
        <v>1</v>
      </c>
      <c r="AA73" s="67">
        <f>SUM(I73,W73)</f>
        <v>20545800</v>
      </c>
      <c r="AB73" s="68"/>
      <c r="AC73" s="66" t="s">
        <v>118</v>
      </c>
      <c r="AD73" s="68"/>
      <c r="AE73" s="69"/>
      <c r="AF73" s="10"/>
      <c r="AH73" s="14"/>
    </row>
    <row r="74" spans="1:34" s="12" customFormat="1" ht="104.4" x14ac:dyDescent="0.3">
      <c r="A74" s="58"/>
      <c r="B74" s="45"/>
      <c r="C74" s="84" t="s">
        <v>103</v>
      </c>
      <c r="D74" s="84" t="s">
        <v>217</v>
      </c>
      <c r="E74" s="54">
        <v>3</v>
      </c>
      <c r="F74" s="93" t="s">
        <v>218</v>
      </c>
      <c r="G74" s="37">
        <f>SUM(G75:G77)</f>
        <v>67146900</v>
      </c>
      <c r="H74" s="54">
        <v>1</v>
      </c>
      <c r="I74" s="37">
        <f>SUM(I75:I77)</f>
        <v>16030000</v>
      </c>
      <c r="J74" s="54">
        <v>2</v>
      </c>
      <c r="K74" s="37">
        <f>SUM(K75:K77)</f>
        <v>1255708800</v>
      </c>
      <c r="L74" s="53">
        <v>0</v>
      </c>
      <c r="M74" s="37">
        <f>SUM(M75:M77)</f>
        <v>0</v>
      </c>
      <c r="N74" s="54">
        <v>2</v>
      </c>
      <c r="O74" s="37">
        <f>SUM(O75:O77)</f>
        <v>46618871</v>
      </c>
      <c r="P74" s="181">
        <v>0</v>
      </c>
      <c r="Q74" s="37">
        <f>SUM(Q75:Q77)</f>
        <v>1047107325</v>
      </c>
      <c r="R74" s="181">
        <v>0</v>
      </c>
      <c r="S74" s="37">
        <f>SUM(S75:S77)</f>
        <v>137404340</v>
      </c>
      <c r="T74" s="56">
        <f>SUM(L74,N74,P74,R74)</f>
        <v>2</v>
      </c>
      <c r="U74" s="40">
        <f>Z74/J74*100</f>
        <v>150</v>
      </c>
      <c r="V74" s="41" t="s">
        <v>118</v>
      </c>
      <c r="W74" s="42">
        <f t="shared" si="13"/>
        <v>1231130536</v>
      </c>
      <c r="X74" s="43">
        <f t="shared" si="14"/>
        <v>98.042678047649261</v>
      </c>
      <c r="Y74" s="41" t="s">
        <v>118</v>
      </c>
      <c r="Z74" s="56">
        <f>SUM(H74,T74)</f>
        <v>3</v>
      </c>
      <c r="AA74" s="42">
        <f t="shared" si="3"/>
        <v>1247160536</v>
      </c>
      <c r="AB74" s="43"/>
      <c r="AC74" s="41" t="s">
        <v>118</v>
      </c>
      <c r="AD74" s="43"/>
      <c r="AE74" s="69"/>
      <c r="AF74" s="10"/>
      <c r="AH74" s="14"/>
    </row>
    <row r="75" spans="1:34" s="12" customFormat="1" ht="209.4" customHeight="1" x14ac:dyDescent="0.3">
      <c r="A75" s="58"/>
      <c r="B75" s="45"/>
      <c r="C75" s="60" t="s">
        <v>104</v>
      </c>
      <c r="D75" s="82" t="s">
        <v>185</v>
      </c>
      <c r="E75" s="61">
        <v>22</v>
      </c>
      <c r="F75" s="95" t="s">
        <v>218</v>
      </c>
      <c r="G75" s="112">
        <f>16047300+25549800*2</f>
        <v>67146900</v>
      </c>
      <c r="H75" s="96">
        <v>10</v>
      </c>
      <c r="I75" s="112">
        <v>16030000</v>
      </c>
      <c r="J75" s="61">
        <v>6</v>
      </c>
      <c r="K75" s="112">
        <v>25549800</v>
      </c>
      <c r="L75" s="61">
        <v>0</v>
      </c>
      <c r="M75" s="112">
        <v>0</v>
      </c>
      <c r="N75" s="61">
        <v>6</v>
      </c>
      <c r="O75" s="112">
        <v>0</v>
      </c>
      <c r="P75" s="182">
        <v>0</v>
      </c>
      <c r="Q75" s="112">
        <v>21757800</v>
      </c>
      <c r="R75" s="182">
        <v>0</v>
      </c>
      <c r="S75" s="112">
        <f>24757800-Q75-O75-M75</f>
        <v>3000000</v>
      </c>
      <c r="T75" s="64">
        <f t="shared" si="16"/>
        <v>6</v>
      </c>
      <c r="U75" s="65">
        <f t="shared" ref="U75:U81" si="17">T75/J75*100</f>
        <v>100</v>
      </c>
      <c r="V75" s="66" t="s">
        <v>118</v>
      </c>
      <c r="W75" s="122">
        <f t="shared" si="13"/>
        <v>24757800</v>
      </c>
      <c r="X75" s="68">
        <f t="shared" si="14"/>
        <v>96.900171429913357</v>
      </c>
      <c r="Y75" s="66" t="s">
        <v>118</v>
      </c>
      <c r="Z75" s="64">
        <f t="shared" si="15"/>
        <v>16</v>
      </c>
      <c r="AA75" s="122">
        <f t="shared" si="3"/>
        <v>40787800</v>
      </c>
      <c r="AB75" s="68"/>
      <c r="AC75" s="66" t="s">
        <v>118</v>
      </c>
      <c r="AD75" s="68"/>
      <c r="AE75" s="69"/>
      <c r="AF75" s="10"/>
      <c r="AH75" s="14"/>
    </row>
    <row r="76" spans="1:34" s="12" customFormat="1" ht="48" customHeight="1" x14ac:dyDescent="0.3">
      <c r="A76" s="58"/>
      <c r="B76" s="45"/>
      <c r="C76" s="60" t="s">
        <v>143</v>
      </c>
      <c r="D76" s="82" t="s">
        <v>186</v>
      </c>
      <c r="E76" s="61"/>
      <c r="F76" s="95" t="s">
        <v>116</v>
      </c>
      <c r="G76" s="112"/>
      <c r="H76" s="96"/>
      <c r="I76" s="112"/>
      <c r="J76" s="61">
        <v>3</v>
      </c>
      <c r="K76" s="112">
        <v>1117359000</v>
      </c>
      <c r="L76" s="61">
        <v>0</v>
      </c>
      <c r="M76" s="112">
        <v>0</v>
      </c>
      <c r="N76" s="61">
        <v>3</v>
      </c>
      <c r="O76" s="112">
        <v>0</v>
      </c>
      <c r="P76" s="182">
        <v>0</v>
      </c>
      <c r="Q76" s="112">
        <v>998762625</v>
      </c>
      <c r="R76" s="61">
        <v>0</v>
      </c>
      <c r="S76" s="112">
        <f>1104897625-Q76-O76-M76</f>
        <v>106135000</v>
      </c>
      <c r="T76" s="64">
        <f t="shared" si="16"/>
        <v>3</v>
      </c>
      <c r="U76" s="65">
        <f t="shared" si="17"/>
        <v>100</v>
      </c>
      <c r="V76" s="66" t="s">
        <v>118</v>
      </c>
      <c r="W76" s="122">
        <f t="shared" si="13"/>
        <v>1104897625</v>
      </c>
      <c r="X76" s="68">
        <f t="shared" si="14"/>
        <v>98.884747426744667</v>
      </c>
      <c r="Y76" s="66" t="s">
        <v>118</v>
      </c>
      <c r="Z76" s="64">
        <f t="shared" si="15"/>
        <v>3</v>
      </c>
      <c r="AA76" s="122">
        <f t="shared" si="3"/>
        <v>1104897625</v>
      </c>
      <c r="AB76" s="68"/>
      <c r="AC76" s="66" t="s">
        <v>118</v>
      </c>
      <c r="AD76" s="68"/>
      <c r="AE76" s="69"/>
      <c r="AF76" s="10"/>
      <c r="AH76" s="14"/>
    </row>
    <row r="77" spans="1:34" s="12" customFormat="1" ht="95.4" customHeight="1" x14ac:dyDescent="0.3">
      <c r="A77" s="58"/>
      <c r="B77" s="45"/>
      <c r="C77" s="123" t="s">
        <v>144</v>
      </c>
      <c r="D77" s="82" t="s">
        <v>187</v>
      </c>
      <c r="E77" s="61"/>
      <c r="F77" s="95" t="s">
        <v>116</v>
      </c>
      <c r="G77" s="112"/>
      <c r="H77" s="96"/>
      <c r="I77" s="112"/>
      <c r="J77" s="61">
        <v>1</v>
      </c>
      <c r="K77" s="112">
        <v>112800000</v>
      </c>
      <c r="L77" s="61">
        <v>0</v>
      </c>
      <c r="M77" s="112">
        <v>0</v>
      </c>
      <c r="N77" s="61">
        <v>0</v>
      </c>
      <c r="O77" s="112">
        <v>46618871</v>
      </c>
      <c r="P77" s="182">
        <v>0</v>
      </c>
      <c r="Q77" s="112">
        <v>26586900</v>
      </c>
      <c r="R77" s="61">
        <v>0</v>
      </c>
      <c r="S77" s="112">
        <f>101475111-Q77-O77-M77</f>
        <v>28269340</v>
      </c>
      <c r="T77" s="64">
        <f t="shared" si="16"/>
        <v>0</v>
      </c>
      <c r="U77" s="65">
        <f t="shared" si="17"/>
        <v>0</v>
      </c>
      <c r="V77" s="66" t="s">
        <v>118</v>
      </c>
      <c r="W77" s="122">
        <f t="shared" si="13"/>
        <v>101475111</v>
      </c>
      <c r="X77" s="68">
        <f t="shared" si="14"/>
        <v>89.960204787234048</v>
      </c>
      <c r="Y77" s="66" t="s">
        <v>118</v>
      </c>
      <c r="Z77" s="64">
        <f t="shared" si="15"/>
        <v>0</v>
      </c>
      <c r="AA77" s="122">
        <f t="shared" si="3"/>
        <v>101475111</v>
      </c>
      <c r="AB77" s="68"/>
      <c r="AC77" s="66" t="s">
        <v>118</v>
      </c>
      <c r="AD77" s="68"/>
      <c r="AE77" s="69"/>
      <c r="AF77" s="10"/>
      <c r="AH77" s="14"/>
    </row>
    <row r="78" spans="1:34" s="12" customFormat="1" ht="74.400000000000006" customHeight="1" x14ac:dyDescent="0.3">
      <c r="A78" s="58"/>
      <c r="B78" s="45"/>
      <c r="C78" s="50" t="s">
        <v>97</v>
      </c>
      <c r="D78" s="124" t="s">
        <v>250</v>
      </c>
      <c r="E78" s="32" t="s">
        <v>251</v>
      </c>
      <c r="F78" s="125" t="s">
        <v>118</v>
      </c>
      <c r="G78" s="34">
        <f>G79+G84+G86+G92</f>
        <v>4568319450</v>
      </c>
      <c r="H78" s="126" t="s">
        <v>252</v>
      </c>
      <c r="I78" s="34">
        <f>I79+I84+I86+I92</f>
        <v>6668295215</v>
      </c>
      <c r="J78" s="127" t="s">
        <v>253</v>
      </c>
      <c r="K78" s="34">
        <f>K79+K84+K86+K92</f>
        <v>1959930275</v>
      </c>
      <c r="L78" s="128">
        <f>(2190+3388)/37737*100</f>
        <v>14.781249171900257</v>
      </c>
      <c r="M78" s="37">
        <f>M79+M86+M92</f>
        <v>30843650</v>
      </c>
      <c r="N78" s="128">
        <f>(2257+2967)/36444*100</f>
        <v>14.334321150257932</v>
      </c>
      <c r="O78" s="37">
        <f>O79+O86+O92</f>
        <v>291478050</v>
      </c>
      <c r="P78" s="195">
        <f>(2205+2857)/36311*100</f>
        <v>13.940679133045084</v>
      </c>
      <c r="Q78" s="37">
        <f>Q79+Q86+Q92</f>
        <v>292831150</v>
      </c>
      <c r="R78" s="263">
        <f>(1995+2555)/36174</f>
        <v>0.12578094764195277</v>
      </c>
      <c r="S78" s="37">
        <f>S79+S86+S92</f>
        <v>509893500</v>
      </c>
      <c r="T78" s="39">
        <f t="shared" si="16"/>
        <v>43.182030402845221</v>
      </c>
      <c r="U78" s="40">
        <f t="shared" si="17"/>
        <v>541.80715687384225</v>
      </c>
      <c r="V78" s="129" t="s">
        <v>118</v>
      </c>
      <c r="W78" s="42">
        <f t="shared" si="13"/>
        <v>1125046350</v>
      </c>
      <c r="X78" s="130">
        <f t="shared" si="14"/>
        <v>57.402366010188807</v>
      </c>
      <c r="Y78" s="41" t="s">
        <v>118</v>
      </c>
      <c r="Z78" s="56">
        <f t="shared" si="15"/>
        <v>43.182030402845221</v>
      </c>
      <c r="AA78" s="42">
        <f t="shared" si="3"/>
        <v>7793341565</v>
      </c>
      <c r="AB78" s="130"/>
      <c r="AC78" s="41" t="s">
        <v>118</v>
      </c>
      <c r="AD78" s="43"/>
      <c r="AE78" s="69"/>
      <c r="AF78" s="10"/>
      <c r="AH78" s="14"/>
    </row>
    <row r="79" spans="1:34" s="12" customFormat="1" ht="155.25" customHeight="1" x14ac:dyDescent="0.3">
      <c r="A79" s="58"/>
      <c r="B79" s="45"/>
      <c r="C79" s="30" t="s">
        <v>98</v>
      </c>
      <c r="D79" s="30" t="s">
        <v>219</v>
      </c>
      <c r="E79" s="53">
        <v>44</v>
      </c>
      <c r="F79" s="93" t="s">
        <v>220</v>
      </c>
      <c r="G79" s="37">
        <f>SUM(G80:G83)</f>
        <v>1211315950</v>
      </c>
      <c r="H79" s="54">
        <v>44</v>
      </c>
      <c r="I79" s="37">
        <f>SUM(I80:I83)</f>
        <v>1994492715</v>
      </c>
      <c r="J79" s="53">
        <v>44</v>
      </c>
      <c r="K79" s="37">
        <f>SUM(K80:K83)</f>
        <v>483463825</v>
      </c>
      <c r="L79" s="54">
        <v>11</v>
      </c>
      <c r="M79" s="37">
        <f>SUM(M80:M83)</f>
        <v>3345000</v>
      </c>
      <c r="N79" s="54">
        <v>11</v>
      </c>
      <c r="O79" s="37">
        <f>SUM(O80:O83)</f>
        <v>149235550</v>
      </c>
      <c r="P79" s="181">
        <v>11</v>
      </c>
      <c r="Q79" s="37">
        <f>SUM(Q80:Q83)</f>
        <v>166621850</v>
      </c>
      <c r="R79" s="131">
        <v>11</v>
      </c>
      <c r="S79" s="37">
        <f>SUM(S80:S83)</f>
        <v>150700300</v>
      </c>
      <c r="T79" s="132">
        <f t="shared" si="16"/>
        <v>44</v>
      </c>
      <c r="U79" s="49">
        <f t="shared" si="17"/>
        <v>100</v>
      </c>
      <c r="V79" s="48" t="s">
        <v>118</v>
      </c>
      <c r="W79" s="47">
        <f t="shared" si="13"/>
        <v>469902700</v>
      </c>
      <c r="X79" s="49">
        <f t="shared" si="14"/>
        <v>97.195007299667139</v>
      </c>
      <c r="Y79" s="48" t="s">
        <v>118</v>
      </c>
      <c r="Z79" s="132">
        <f t="shared" si="15"/>
        <v>88</v>
      </c>
      <c r="AA79" s="47">
        <f t="shared" si="3"/>
        <v>2464395415</v>
      </c>
      <c r="AB79" s="43"/>
      <c r="AC79" s="41" t="s">
        <v>118</v>
      </c>
      <c r="AD79" s="43"/>
      <c r="AE79" s="69"/>
      <c r="AF79" s="10"/>
      <c r="AH79" s="14"/>
    </row>
    <row r="80" spans="1:34" s="12" customFormat="1" ht="87" x14ac:dyDescent="0.3">
      <c r="A80" s="58"/>
      <c r="B80" s="45"/>
      <c r="C80" s="74" t="s">
        <v>99</v>
      </c>
      <c r="D80" s="60" t="s">
        <v>188</v>
      </c>
      <c r="E80" s="61">
        <v>9</v>
      </c>
      <c r="F80" s="95" t="s">
        <v>125</v>
      </c>
      <c r="G80" s="63">
        <f>49157400+79098775*2</f>
        <v>207354950</v>
      </c>
      <c r="H80" s="61">
        <v>18</v>
      </c>
      <c r="I80" s="63">
        <v>51490750</v>
      </c>
      <c r="J80" s="61">
        <v>9</v>
      </c>
      <c r="K80" s="63">
        <v>37963825</v>
      </c>
      <c r="L80" s="61">
        <v>8</v>
      </c>
      <c r="M80" s="63">
        <v>3345000</v>
      </c>
      <c r="N80" s="61">
        <v>0</v>
      </c>
      <c r="O80" s="63">
        <f>13689550-M80</f>
        <v>10344550</v>
      </c>
      <c r="P80" s="182">
        <v>0</v>
      </c>
      <c r="Q80" s="63">
        <v>19360000</v>
      </c>
      <c r="R80" s="61">
        <v>0</v>
      </c>
      <c r="S80" s="63">
        <f>33049550-Q80-O80-M80</f>
        <v>0</v>
      </c>
      <c r="T80" s="64">
        <f t="shared" si="16"/>
        <v>8</v>
      </c>
      <c r="U80" s="65">
        <f t="shared" si="17"/>
        <v>88.888888888888886</v>
      </c>
      <c r="V80" s="66" t="s">
        <v>118</v>
      </c>
      <c r="W80" s="67">
        <f t="shared" si="13"/>
        <v>33049550</v>
      </c>
      <c r="X80" s="68">
        <f t="shared" si="14"/>
        <v>87.055374425522189</v>
      </c>
      <c r="Y80" s="66" t="s">
        <v>118</v>
      </c>
      <c r="Z80" s="64">
        <f t="shared" si="15"/>
        <v>26</v>
      </c>
      <c r="AA80" s="67">
        <f t="shared" ref="AA80:AA99" si="18">SUM(I80,W80)</f>
        <v>84540300</v>
      </c>
      <c r="AB80" s="68"/>
      <c r="AC80" s="66" t="s">
        <v>118</v>
      </c>
      <c r="AD80" s="68"/>
      <c r="AE80" s="69"/>
      <c r="AF80" s="10"/>
      <c r="AH80" s="14"/>
    </row>
    <row r="81" spans="1:34" s="12" customFormat="1" ht="104.4" x14ac:dyDescent="0.3">
      <c r="A81" s="58"/>
      <c r="B81" s="45"/>
      <c r="C81" s="74" t="s">
        <v>120</v>
      </c>
      <c r="D81" s="60" t="s">
        <v>189</v>
      </c>
      <c r="E81" s="61">
        <v>12</v>
      </c>
      <c r="F81" s="95" t="s">
        <v>148</v>
      </c>
      <c r="G81" s="63">
        <v>810084000</v>
      </c>
      <c r="H81" s="61">
        <v>22</v>
      </c>
      <c r="I81" s="63">
        <v>1656992565</v>
      </c>
      <c r="J81" s="61">
        <v>12</v>
      </c>
      <c r="K81" s="63">
        <v>445500000</v>
      </c>
      <c r="L81" s="61">
        <v>3</v>
      </c>
      <c r="M81" s="63">
        <v>0</v>
      </c>
      <c r="N81" s="61">
        <v>3</v>
      </c>
      <c r="O81" s="63">
        <f>70950000+67941000</f>
        <v>138891000</v>
      </c>
      <c r="P81" s="182">
        <v>3</v>
      </c>
      <c r="Q81" s="63">
        <v>147261850</v>
      </c>
      <c r="R81" s="61">
        <v>3</v>
      </c>
      <c r="S81" s="63">
        <f>436853150-Q81-O81-M81</f>
        <v>150700300</v>
      </c>
      <c r="T81" s="64">
        <f t="shared" si="16"/>
        <v>12</v>
      </c>
      <c r="U81" s="65">
        <f t="shared" si="17"/>
        <v>100</v>
      </c>
      <c r="V81" s="66" t="s">
        <v>118</v>
      </c>
      <c r="W81" s="67">
        <f t="shared" si="13"/>
        <v>436853150</v>
      </c>
      <c r="X81" s="68">
        <f t="shared" si="14"/>
        <v>98.059068462401797</v>
      </c>
      <c r="Y81" s="66" t="s">
        <v>118</v>
      </c>
      <c r="Z81" s="64">
        <f t="shared" si="15"/>
        <v>34</v>
      </c>
      <c r="AA81" s="67">
        <f t="shared" si="18"/>
        <v>2093845715</v>
      </c>
      <c r="AB81" s="68"/>
      <c r="AC81" s="66" t="s">
        <v>118</v>
      </c>
      <c r="AD81" s="68"/>
      <c r="AE81" s="69"/>
      <c r="AF81" s="10"/>
      <c r="AH81" s="14"/>
    </row>
    <row r="82" spans="1:34" s="12" customFormat="1" ht="87" x14ac:dyDescent="0.3">
      <c r="A82" s="58"/>
      <c r="B82" s="45"/>
      <c r="C82" s="105" t="s">
        <v>119</v>
      </c>
      <c r="D82" s="106" t="s">
        <v>190</v>
      </c>
      <c r="E82" s="61">
        <v>11</v>
      </c>
      <c r="F82" s="95" t="s">
        <v>162</v>
      </c>
      <c r="G82" s="63">
        <v>168187000</v>
      </c>
      <c r="H82" s="61">
        <v>22</v>
      </c>
      <c r="I82" s="63">
        <v>262141400</v>
      </c>
      <c r="J82" s="61"/>
      <c r="K82" s="63"/>
      <c r="L82" s="61"/>
      <c r="M82" s="63"/>
      <c r="N82" s="61"/>
      <c r="O82" s="63"/>
      <c r="P82" s="182"/>
      <c r="Q82" s="63"/>
      <c r="R82" s="61"/>
      <c r="S82" s="63"/>
      <c r="T82" s="64"/>
      <c r="U82" s="65"/>
      <c r="V82" s="66"/>
      <c r="W82" s="67"/>
      <c r="X82" s="68"/>
      <c r="Y82" s="66"/>
      <c r="Z82" s="64">
        <f t="shared" si="15"/>
        <v>22</v>
      </c>
      <c r="AA82" s="67">
        <f t="shared" si="18"/>
        <v>262141400</v>
      </c>
      <c r="AB82" s="68"/>
      <c r="AC82" s="66" t="s">
        <v>118</v>
      </c>
      <c r="AD82" s="68"/>
      <c r="AE82" s="69"/>
      <c r="AF82" s="10"/>
      <c r="AH82" s="14"/>
    </row>
    <row r="83" spans="1:34" s="12" customFormat="1" ht="61.5" customHeight="1" x14ac:dyDescent="0.3">
      <c r="A83" s="58"/>
      <c r="B83" s="45"/>
      <c r="C83" s="105" t="s">
        <v>105</v>
      </c>
      <c r="D83" s="106" t="s">
        <v>191</v>
      </c>
      <c r="E83" s="61">
        <v>0</v>
      </c>
      <c r="F83" s="95" t="s">
        <v>148</v>
      </c>
      <c r="G83" s="63">
        <v>25690000</v>
      </c>
      <c r="H83" s="96">
        <v>40</v>
      </c>
      <c r="I83" s="63">
        <v>23868000</v>
      </c>
      <c r="J83" s="61"/>
      <c r="K83" s="63"/>
      <c r="L83" s="61"/>
      <c r="M83" s="63"/>
      <c r="N83" s="61"/>
      <c r="O83" s="63"/>
      <c r="P83" s="182"/>
      <c r="Q83" s="63"/>
      <c r="R83" s="61"/>
      <c r="S83" s="63"/>
      <c r="T83" s="64"/>
      <c r="U83" s="65"/>
      <c r="V83" s="66"/>
      <c r="W83" s="67"/>
      <c r="X83" s="68"/>
      <c r="Y83" s="66"/>
      <c r="Z83" s="64">
        <f t="shared" si="15"/>
        <v>40</v>
      </c>
      <c r="AA83" s="67">
        <f t="shared" si="18"/>
        <v>23868000</v>
      </c>
      <c r="AB83" s="68"/>
      <c r="AC83" s="66" t="s">
        <v>118</v>
      </c>
      <c r="AD83" s="68"/>
      <c r="AE83" s="69"/>
      <c r="AF83" s="10"/>
      <c r="AH83" s="14"/>
    </row>
    <row r="84" spans="1:34" s="12" customFormat="1" ht="84.75" customHeight="1" x14ac:dyDescent="0.3">
      <c r="A84" s="58"/>
      <c r="B84" s="45"/>
      <c r="C84" s="84" t="s">
        <v>121</v>
      </c>
      <c r="D84" s="30" t="s">
        <v>126</v>
      </c>
      <c r="E84" s="39">
        <v>34812</v>
      </c>
      <c r="F84" s="93" t="s">
        <v>128</v>
      </c>
      <c r="G84" s="37">
        <f>SUM(G85)</f>
        <v>888000000</v>
      </c>
      <c r="H84" s="39">
        <v>33691</v>
      </c>
      <c r="I84" s="37">
        <f>SUM(I85)</f>
        <v>1473850000</v>
      </c>
      <c r="J84" s="39">
        <v>35212</v>
      </c>
      <c r="K84" s="37">
        <f>SUM(K85)</f>
        <v>810415000</v>
      </c>
      <c r="L84" s="39">
        <v>0</v>
      </c>
      <c r="M84" s="37">
        <f>SUM(M85)</f>
        <v>0</v>
      </c>
      <c r="N84" s="39">
        <v>26807</v>
      </c>
      <c r="O84" s="37">
        <f>SUM(O85)</f>
        <v>292660000</v>
      </c>
      <c r="P84" s="101">
        <v>26468</v>
      </c>
      <c r="Q84" s="37">
        <f>SUM(Q85)</f>
        <v>269222000</v>
      </c>
      <c r="R84" s="264">
        <v>26603</v>
      </c>
      <c r="S84" s="37">
        <f>SUM(S85)</f>
        <v>246356000</v>
      </c>
      <c r="T84" s="39">
        <f>N84</f>
        <v>26807</v>
      </c>
      <c r="U84" s="43">
        <f t="shared" ref="U84:U90" si="19">T84/J84*100</f>
        <v>76.130296489833015</v>
      </c>
      <c r="V84" s="41" t="s">
        <v>118</v>
      </c>
      <c r="W84" s="42">
        <f t="shared" ref="W84:W90" si="20">SUM(M84,O84,Q84,S84)</f>
        <v>808238000</v>
      </c>
      <c r="X84" s="43">
        <f t="shared" ref="X84:X90" si="21">W84/K84*100</f>
        <v>99.731372198194762</v>
      </c>
      <c r="Y84" s="41" t="s">
        <v>118</v>
      </c>
      <c r="Z84" s="39">
        <f t="shared" si="15"/>
        <v>60498</v>
      </c>
      <c r="AA84" s="42">
        <f t="shared" si="18"/>
        <v>2282088000</v>
      </c>
      <c r="AB84" s="43"/>
      <c r="AC84" s="41" t="s">
        <v>118</v>
      </c>
      <c r="AD84" s="43"/>
      <c r="AE84" s="69"/>
      <c r="AF84" s="10"/>
      <c r="AH84" s="14"/>
    </row>
    <row r="85" spans="1:34" s="12" customFormat="1" ht="69.599999999999994" x14ac:dyDescent="0.3">
      <c r="A85" s="58"/>
      <c r="B85" s="45"/>
      <c r="C85" s="74" t="s">
        <v>193</v>
      </c>
      <c r="D85" s="60" t="s">
        <v>192</v>
      </c>
      <c r="E85" s="61">
        <v>676</v>
      </c>
      <c r="F85" s="95" t="s">
        <v>153</v>
      </c>
      <c r="G85" s="63">
        <v>888000000</v>
      </c>
      <c r="H85" s="96">
        <v>1446</v>
      </c>
      <c r="I85" s="63">
        <v>1473850000</v>
      </c>
      <c r="J85" s="61">
        <v>740</v>
      </c>
      <c r="K85" s="63">
        <v>810415000</v>
      </c>
      <c r="L85" s="61">
        <v>740</v>
      </c>
      <c r="M85" s="63">
        <v>0</v>
      </c>
      <c r="N85" s="61">
        <v>0</v>
      </c>
      <c r="O85" s="63">
        <v>292660000</v>
      </c>
      <c r="P85" s="182">
        <v>0</v>
      </c>
      <c r="Q85" s="63">
        <v>269222000</v>
      </c>
      <c r="R85" s="61">
        <v>0</v>
      </c>
      <c r="S85" s="63">
        <f>808238000-Q85-O85-M85</f>
        <v>246356000</v>
      </c>
      <c r="T85" s="64">
        <f>AVERAGE(N85,P85,R85)</f>
        <v>0</v>
      </c>
      <c r="U85" s="65">
        <f t="shared" si="19"/>
        <v>0</v>
      </c>
      <c r="V85" s="66" t="s">
        <v>118</v>
      </c>
      <c r="W85" s="67">
        <f t="shared" si="20"/>
        <v>808238000</v>
      </c>
      <c r="X85" s="68">
        <f t="shared" si="21"/>
        <v>99.731372198194762</v>
      </c>
      <c r="Y85" s="66" t="s">
        <v>118</v>
      </c>
      <c r="Z85" s="64">
        <f t="shared" si="15"/>
        <v>1446</v>
      </c>
      <c r="AA85" s="67">
        <f t="shared" si="18"/>
        <v>2282088000</v>
      </c>
      <c r="AB85" s="68"/>
      <c r="AC85" s="66" t="s">
        <v>118</v>
      </c>
      <c r="AD85" s="68"/>
      <c r="AE85" s="69"/>
      <c r="AF85" s="10"/>
      <c r="AH85" s="14"/>
    </row>
    <row r="86" spans="1:34" s="12" customFormat="1" ht="146.25" customHeight="1" x14ac:dyDescent="0.3">
      <c r="A86" s="58"/>
      <c r="B86" s="92"/>
      <c r="C86" s="84" t="s">
        <v>106</v>
      </c>
      <c r="D86" s="84" t="s">
        <v>254</v>
      </c>
      <c r="E86" s="53">
        <v>25</v>
      </c>
      <c r="F86" s="93" t="s">
        <v>221</v>
      </c>
      <c r="G86" s="37">
        <f>SUM(G87:G91)</f>
        <v>1878748600</v>
      </c>
      <c r="H86" s="53">
        <v>25</v>
      </c>
      <c r="I86" s="37">
        <f>SUM(I87:I91)</f>
        <v>2028693500</v>
      </c>
      <c r="J86" s="53">
        <v>25</v>
      </c>
      <c r="K86" s="37">
        <f>SUM(K87:K91)</f>
        <v>276506550</v>
      </c>
      <c r="L86" s="54">
        <v>25</v>
      </c>
      <c r="M86" s="37">
        <f>SUM(M87:M90)</f>
        <v>17462500</v>
      </c>
      <c r="N86" s="133">
        <v>0</v>
      </c>
      <c r="O86" s="37">
        <f>SUM(O87:O90)</f>
        <v>92742500</v>
      </c>
      <c r="P86" s="196">
        <v>0</v>
      </c>
      <c r="Q86" s="37">
        <f>SUM(Q87:Q90)</f>
        <v>45209300</v>
      </c>
      <c r="R86" s="55">
        <v>0</v>
      </c>
      <c r="S86" s="37">
        <f>SUM(S87:S90)</f>
        <v>111443200</v>
      </c>
      <c r="T86" s="265">
        <f>SUM(L86,N86,P86,R86)</f>
        <v>25</v>
      </c>
      <c r="U86" s="40">
        <f t="shared" si="19"/>
        <v>100</v>
      </c>
      <c r="V86" s="41" t="s">
        <v>118</v>
      </c>
      <c r="W86" s="42">
        <f t="shared" si="20"/>
        <v>266857500</v>
      </c>
      <c r="X86" s="43">
        <f t="shared" si="21"/>
        <v>96.510371996612747</v>
      </c>
      <c r="Y86" s="41" t="s">
        <v>118</v>
      </c>
      <c r="Z86" s="39">
        <f t="shared" si="15"/>
        <v>50</v>
      </c>
      <c r="AA86" s="42">
        <f t="shared" si="18"/>
        <v>2295551000</v>
      </c>
      <c r="AB86" s="43"/>
      <c r="AC86" s="41" t="s">
        <v>118</v>
      </c>
      <c r="AD86" s="43"/>
      <c r="AE86" s="69"/>
      <c r="AF86" s="10"/>
      <c r="AH86" s="14"/>
    </row>
    <row r="87" spans="1:34" s="12" customFormat="1" ht="208.8" x14ac:dyDescent="0.3">
      <c r="A87" s="58"/>
      <c r="B87" s="45"/>
      <c r="C87" s="74" t="s">
        <v>122</v>
      </c>
      <c r="D87" s="60" t="s">
        <v>194</v>
      </c>
      <c r="E87" s="61">
        <v>12</v>
      </c>
      <c r="F87" s="95" t="s">
        <v>148</v>
      </c>
      <c r="G87" s="63">
        <v>653036000</v>
      </c>
      <c r="H87" s="61">
        <v>36</v>
      </c>
      <c r="I87" s="63">
        <v>315933500</v>
      </c>
      <c r="J87" s="61">
        <v>12</v>
      </c>
      <c r="K87" s="63">
        <v>99636600</v>
      </c>
      <c r="L87" s="61">
        <v>3</v>
      </c>
      <c r="M87" s="63">
        <v>0</v>
      </c>
      <c r="N87" s="61">
        <v>3</v>
      </c>
      <c r="O87" s="63">
        <v>40960000</v>
      </c>
      <c r="P87" s="182">
        <v>3</v>
      </c>
      <c r="Q87" s="63">
        <v>40596800</v>
      </c>
      <c r="R87" s="61">
        <v>3</v>
      </c>
      <c r="S87" s="63">
        <f>93909500-Q87-O87-M87</f>
        <v>12352700</v>
      </c>
      <c r="T87" s="64">
        <f>SUM(L87,N87,P87,R87)</f>
        <v>12</v>
      </c>
      <c r="U87" s="68">
        <f t="shared" si="19"/>
        <v>100</v>
      </c>
      <c r="V87" s="66" t="s">
        <v>118</v>
      </c>
      <c r="W87" s="67">
        <f t="shared" si="20"/>
        <v>93909500</v>
      </c>
      <c r="X87" s="68">
        <f t="shared" si="21"/>
        <v>94.252011810920891</v>
      </c>
      <c r="Y87" s="66" t="s">
        <v>118</v>
      </c>
      <c r="Z87" s="64">
        <f t="shared" si="15"/>
        <v>48</v>
      </c>
      <c r="AA87" s="67">
        <f t="shared" si="18"/>
        <v>409843000</v>
      </c>
      <c r="AB87" s="68"/>
      <c r="AC87" s="66" t="s">
        <v>118</v>
      </c>
      <c r="AD87" s="68"/>
      <c r="AE87" s="69"/>
      <c r="AF87" s="10"/>
      <c r="AH87" s="14"/>
    </row>
    <row r="88" spans="1:34" s="12" customFormat="1" ht="121.8" x14ac:dyDescent="0.3">
      <c r="A88" s="58"/>
      <c r="B88" s="45"/>
      <c r="C88" s="74" t="s">
        <v>107</v>
      </c>
      <c r="D88" s="60" t="s">
        <v>195</v>
      </c>
      <c r="E88" s="64">
        <v>2759</v>
      </c>
      <c r="F88" s="95" t="s">
        <v>153</v>
      </c>
      <c r="G88" s="63">
        <f>71025000+110000000*2</f>
        <v>291025000</v>
      </c>
      <c r="H88" s="64">
        <v>2255</v>
      </c>
      <c r="I88" s="63">
        <v>116156000</v>
      </c>
      <c r="J88" s="64">
        <v>4569</v>
      </c>
      <c r="K88" s="63">
        <v>110000000</v>
      </c>
      <c r="L88" s="64">
        <v>2017</v>
      </c>
      <c r="M88" s="63">
        <v>1500000</v>
      </c>
      <c r="N88" s="64">
        <v>1978</v>
      </c>
      <c r="O88" s="63">
        <f>35700000-M88</f>
        <v>34200000</v>
      </c>
      <c r="P88" s="197">
        <v>1992</v>
      </c>
      <c r="Q88" s="63">
        <v>1600000</v>
      </c>
      <c r="R88" s="64">
        <v>0</v>
      </c>
      <c r="S88" s="63">
        <f>109700000-Q88-O88-M88</f>
        <v>72400000</v>
      </c>
      <c r="T88" s="64">
        <f>R88</f>
        <v>0</v>
      </c>
      <c r="U88" s="65">
        <f t="shared" si="19"/>
        <v>0</v>
      </c>
      <c r="V88" s="66" t="s">
        <v>118</v>
      </c>
      <c r="W88" s="67">
        <f t="shared" si="20"/>
        <v>109700000</v>
      </c>
      <c r="X88" s="68">
        <f t="shared" si="21"/>
        <v>99.727272727272734</v>
      </c>
      <c r="Y88" s="66" t="s">
        <v>118</v>
      </c>
      <c r="Z88" s="64">
        <f t="shared" si="15"/>
        <v>2255</v>
      </c>
      <c r="AA88" s="67">
        <f t="shared" si="18"/>
        <v>225856000</v>
      </c>
      <c r="AB88" s="68"/>
      <c r="AC88" s="66" t="s">
        <v>118</v>
      </c>
      <c r="AD88" s="68"/>
      <c r="AE88" s="69"/>
      <c r="AF88" s="10"/>
      <c r="AH88" s="14"/>
    </row>
    <row r="89" spans="1:34" s="12" customFormat="1" ht="121.8" x14ac:dyDescent="0.3">
      <c r="A89" s="58"/>
      <c r="B89" s="45"/>
      <c r="C89" s="74" t="s">
        <v>108</v>
      </c>
      <c r="D89" s="60" t="s">
        <v>196</v>
      </c>
      <c r="E89" s="61">
        <v>70</v>
      </c>
      <c r="F89" s="95" t="s">
        <v>153</v>
      </c>
      <c r="G89" s="63">
        <f>10095000+10094950+10095000</f>
        <v>30284950</v>
      </c>
      <c r="H89" s="96">
        <v>140</v>
      </c>
      <c r="I89" s="63">
        <v>9055500</v>
      </c>
      <c r="J89" s="61">
        <v>70</v>
      </c>
      <c r="K89" s="63">
        <v>10094950</v>
      </c>
      <c r="L89" s="61">
        <v>70</v>
      </c>
      <c r="M89" s="63">
        <v>2600000</v>
      </c>
      <c r="N89" s="61">
        <v>0</v>
      </c>
      <c r="O89" s="63">
        <f>8212500-M89</f>
        <v>5612500</v>
      </c>
      <c r="P89" s="182">
        <v>0</v>
      </c>
      <c r="Q89" s="63">
        <v>0</v>
      </c>
      <c r="R89" s="61">
        <v>0</v>
      </c>
      <c r="S89" s="63">
        <f>8212500-Q89-O89-M89</f>
        <v>0</v>
      </c>
      <c r="T89" s="64">
        <f>SUM(L89,N89,P89,R89)</f>
        <v>70</v>
      </c>
      <c r="U89" s="65">
        <f t="shared" si="19"/>
        <v>100</v>
      </c>
      <c r="V89" s="66" t="s">
        <v>118</v>
      </c>
      <c r="W89" s="67">
        <f t="shared" si="20"/>
        <v>8212500</v>
      </c>
      <c r="X89" s="68">
        <f t="shared" si="21"/>
        <v>81.352557466852232</v>
      </c>
      <c r="Y89" s="66" t="s">
        <v>118</v>
      </c>
      <c r="Z89" s="64">
        <f t="shared" si="15"/>
        <v>210</v>
      </c>
      <c r="AA89" s="67">
        <f t="shared" si="18"/>
        <v>17268000</v>
      </c>
      <c r="AB89" s="68"/>
      <c r="AC89" s="66" t="s">
        <v>118</v>
      </c>
      <c r="AD89" s="68"/>
      <c r="AE89" s="69"/>
      <c r="AF89" s="10"/>
      <c r="AH89" s="14"/>
    </row>
    <row r="90" spans="1:34" s="12" customFormat="1" ht="69.599999999999994" x14ac:dyDescent="0.3">
      <c r="A90" s="58"/>
      <c r="B90" s="45"/>
      <c r="C90" s="74" t="s">
        <v>109</v>
      </c>
      <c r="D90" s="60" t="s">
        <v>197</v>
      </c>
      <c r="E90" s="61">
        <v>11</v>
      </c>
      <c r="F90" s="95" t="s">
        <v>148</v>
      </c>
      <c r="G90" s="63">
        <f>50597825+37597000+50597825</f>
        <v>138792650</v>
      </c>
      <c r="H90" s="61">
        <v>22</v>
      </c>
      <c r="I90" s="63">
        <v>48610000</v>
      </c>
      <c r="J90" s="61">
        <f>2+3+3+3</f>
        <v>11</v>
      </c>
      <c r="K90" s="63">
        <v>56775000</v>
      </c>
      <c r="L90" s="61">
        <v>1</v>
      </c>
      <c r="M90" s="63">
        <f>5000000+8362500</f>
        <v>13362500</v>
      </c>
      <c r="N90" s="61">
        <v>3</v>
      </c>
      <c r="O90" s="63">
        <f>25332500-M90</f>
        <v>11970000</v>
      </c>
      <c r="P90" s="182">
        <v>4</v>
      </c>
      <c r="Q90" s="63">
        <v>3012500</v>
      </c>
      <c r="R90" s="61">
        <v>4</v>
      </c>
      <c r="S90" s="63">
        <f>55035500-Q90-O90-M90</f>
        <v>26690500</v>
      </c>
      <c r="T90" s="64">
        <f>SUM(L90,N90,P90,R90)</f>
        <v>12</v>
      </c>
      <c r="U90" s="65">
        <f t="shared" si="19"/>
        <v>109.09090909090908</v>
      </c>
      <c r="V90" s="66" t="s">
        <v>118</v>
      </c>
      <c r="W90" s="67">
        <f t="shared" si="20"/>
        <v>55035500</v>
      </c>
      <c r="X90" s="68">
        <f t="shared" si="21"/>
        <v>96.936151475121093</v>
      </c>
      <c r="Y90" s="66" t="s">
        <v>118</v>
      </c>
      <c r="Z90" s="64">
        <f t="shared" si="15"/>
        <v>34</v>
      </c>
      <c r="AA90" s="67">
        <f t="shared" si="18"/>
        <v>103645500</v>
      </c>
      <c r="AB90" s="68"/>
      <c r="AC90" s="66" t="s">
        <v>118</v>
      </c>
      <c r="AD90" s="68"/>
      <c r="AE90" s="69"/>
      <c r="AF90" s="10"/>
      <c r="AH90" s="14"/>
    </row>
    <row r="91" spans="1:34" s="12" customFormat="1" ht="88.5" customHeight="1" x14ac:dyDescent="0.3">
      <c r="A91" s="58"/>
      <c r="B91" s="45"/>
      <c r="C91" s="105" t="s">
        <v>127</v>
      </c>
      <c r="D91" s="106" t="s">
        <v>198</v>
      </c>
      <c r="E91" s="61">
        <v>11</v>
      </c>
      <c r="F91" s="95" t="s">
        <v>162</v>
      </c>
      <c r="G91" s="63">
        <v>765610000</v>
      </c>
      <c r="H91" s="61">
        <v>22</v>
      </c>
      <c r="I91" s="63">
        <v>1538938500</v>
      </c>
      <c r="J91" s="61"/>
      <c r="K91" s="63"/>
      <c r="L91" s="61"/>
      <c r="M91" s="63"/>
      <c r="N91" s="61"/>
      <c r="O91" s="63"/>
      <c r="P91" s="182"/>
      <c r="Q91" s="63"/>
      <c r="R91" s="61"/>
      <c r="S91" s="63"/>
      <c r="T91" s="64"/>
      <c r="U91" s="65"/>
      <c r="V91" s="66"/>
      <c r="W91" s="67"/>
      <c r="X91" s="68"/>
      <c r="Y91" s="66" t="s">
        <v>118</v>
      </c>
      <c r="Z91" s="64">
        <f t="shared" si="15"/>
        <v>22</v>
      </c>
      <c r="AA91" s="67">
        <f t="shared" si="18"/>
        <v>1538938500</v>
      </c>
      <c r="AB91" s="68"/>
      <c r="AC91" s="66" t="s">
        <v>118</v>
      </c>
      <c r="AD91" s="68"/>
      <c r="AE91" s="69"/>
      <c r="AF91" s="10"/>
      <c r="AH91" s="14"/>
    </row>
    <row r="92" spans="1:34" s="17" customFormat="1" ht="198.75" customHeight="1" x14ac:dyDescent="0.3">
      <c r="A92" s="58"/>
      <c r="B92" s="45"/>
      <c r="C92" s="84" t="s">
        <v>110</v>
      </c>
      <c r="D92" s="84" t="s">
        <v>255</v>
      </c>
      <c r="E92" s="54">
        <v>35412</v>
      </c>
      <c r="F92" s="55" t="s">
        <v>128</v>
      </c>
      <c r="G92" s="37">
        <f>SUM(G93:G94)</f>
        <v>590254900</v>
      </c>
      <c r="H92" s="54">
        <v>35012</v>
      </c>
      <c r="I92" s="37">
        <f>SUM(I93:I94)</f>
        <v>1171259000</v>
      </c>
      <c r="J92" s="53">
        <v>35212</v>
      </c>
      <c r="K92" s="37">
        <f>SUM(K93:K94)</f>
        <v>389544900</v>
      </c>
      <c r="L92" s="53">
        <v>27174</v>
      </c>
      <c r="M92" s="37">
        <f>SUM(M93:M94)</f>
        <v>10036150</v>
      </c>
      <c r="N92" s="53">
        <v>26807</v>
      </c>
      <c r="O92" s="37">
        <f>SUM(O93:O94)</f>
        <v>49500000</v>
      </c>
      <c r="P92" s="186">
        <v>26468</v>
      </c>
      <c r="Q92" s="37">
        <f>SUM(Q93:Q94)</f>
        <v>81000000</v>
      </c>
      <c r="R92" s="264">
        <v>26603</v>
      </c>
      <c r="S92" s="37">
        <f>SUM(S93:S94)</f>
        <v>247750000</v>
      </c>
      <c r="T92" s="56">
        <f>AVERAGE(L92,N92,P92,R92)</f>
        <v>26763</v>
      </c>
      <c r="U92" s="40">
        <f t="shared" ref="U92:U99" si="22">T92/J92*100</f>
        <v>76.005339088946954</v>
      </c>
      <c r="V92" s="41" t="s">
        <v>118</v>
      </c>
      <c r="W92" s="42">
        <f t="shared" ref="W92:W99" si="23">SUM(M92,O92,Q92,S92)</f>
        <v>388286150</v>
      </c>
      <c r="X92" s="43">
        <f t="shared" ref="X92:X99" si="24">W92/K92*100</f>
        <v>99.676866517826312</v>
      </c>
      <c r="Y92" s="41" t="s">
        <v>118</v>
      </c>
      <c r="Z92" s="39">
        <f t="shared" si="15"/>
        <v>61775</v>
      </c>
      <c r="AA92" s="42">
        <f t="shared" si="18"/>
        <v>1559545150</v>
      </c>
      <c r="AB92" s="43"/>
      <c r="AC92" s="41" t="s">
        <v>118</v>
      </c>
      <c r="AD92" s="43"/>
      <c r="AE92" s="119"/>
      <c r="AF92" s="16"/>
      <c r="AH92" s="18"/>
    </row>
    <row r="93" spans="1:34" s="12" customFormat="1" ht="156.6" x14ac:dyDescent="0.3">
      <c r="A93" s="58"/>
      <c r="B93" s="92"/>
      <c r="C93" s="74" t="s">
        <v>111</v>
      </c>
      <c r="D93" s="60" t="s">
        <v>199</v>
      </c>
      <c r="E93" s="64">
        <v>5</v>
      </c>
      <c r="F93" s="95" t="s">
        <v>125</v>
      </c>
      <c r="G93" s="63">
        <f>10045000+10044900+10045000</f>
        <v>30134900</v>
      </c>
      <c r="H93" s="64">
        <v>10</v>
      </c>
      <c r="I93" s="63">
        <v>19669000</v>
      </c>
      <c r="J93" s="64">
        <v>5</v>
      </c>
      <c r="K93" s="63">
        <v>10044900</v>
      </c>
      <c r="L93" s="64">
        <v>5</v>
      </c>
      <c r="M93" s="63">
        <v>10036150</v>
      </c>
      <c r="N93" s="64">
        <v>0</v>
      </c>
      <c r="O93" s="63">
        <v>0</v>
      </c>
      <c r="P93" s="198">
        <v>0</v>
      </c>
      <c r="Q93" s="88">
        <v>0</v>
      </c>
      <c r="R93" s="64">
        <v>0</v>
      </c>
      <c r="S93" s="63">
        <f>10036150-Q93-O93-M93</f>
        <v>0</v>
      </c>
      <c r="T93" s="64">
        <f>SUM(L93,N93,P93,R93)</f>
        <v>5</v>
      </c>
      <c r="U93" s="68">
        <f t="shared" si="22"/>
        <v>100</v>
      </c>
      <c r="V93" s="66" t="s">
        <v>118</v>
      </c>
      <c r="W93" s="67">
        <f t="shared" si="23"/>
        <v>10036150</v>
      </c>
      <c r="X93" s="68">
        <f t="shared" si="24"/>
        <v>99.912891118876246</v>
      </c>
      <c r="Y93" s="66" t="s">
        <v>118</v>
      </c>
      <c r="Z93" s="64">
        <f t="shared" si="15"/>
        <v>15</v>
      </c>
      <c r="AA93" s="67">
        <f t="shared" si="18"/>
        <v>29705150</v>
      </c>
      <c r="AB93" s="68"/>
      <c r="AC93" s="66" t="s">
        <v>118</v>
      </c>
      <c r="AD93" s="68"/>
      <c r="AE93" s="69"/>
      <c r="AF93" s="10"/>
      <c r="AH93" s="14"/>
    </row>
    <row r="94" spans="1:34" s="12" customFormat="1" ht="147" customHeight="1" x14ac:dyDescent="0.3">
      <c r="A94" s="58"/>
      <c r="B94" s="45"/>
      <c r="C94" s="74" t="s">
        <v>123</v>
      </c>
      <c r="D94" s="60" t="s">
        <v>200</v>
      </c>
      <c r="E94" s="61">
        <v>22</v>
      </c>
      <c r="F94" s="95" t="s">
        <v>201</v>
      </c>
      <c r="G94" s="63">
        <v>560120000</v>
      </c>
      <c r="H94" s="61">
        <v>44</v>
      </c>
      <c r="I94" s="63">
        <v>1151590000</v>
      </c>
      <c r="J94" s="61">
        <v>22</v>
      </c>
      <c r="K94" s="63">
        <v>379500000</v>
      </c>
      <c r="L94" s="61">
        <v>0</v>
      </c>
      <c r="M94" s="37">
        <f>M95</f>
        <v>0</v>
      </c>
      <c r="N94" s="61">
        <v>22</v>
      </c>
      <c r="O94" s="63">
        <v>49500000</v>
      </c>
      <c r="P94" s="182">
        <v>0</v>
      </c>
      <c r="Q94" s="88">
        <v>81000000</v>
      </c>
      <c r="R94" s="61">
        <v>0</v>
      </c>
      <c r="S94" s="63">
        <f>378250000-Q94-O94-M94</f>
        <v>247750000</v>
      </c>
      <c r="T94" s="64">
        <f>SUM(L94,N94,P94,R94)</f>
        <v>22</v>
      </c>
      <c r="U94" s="65">
        <f t="shared" si="22"/>
        <v>100</v>
      </c>
      <c r="V94" s="66" t="s">
        <v>118</v>
      </c>
      <c r="W94" s="67">
        <f t="shared" si="23"/>
        <v>378250000</v>
      </c>
      <c r="X94" s="68">
        <f t="shared" si="24"/>
        <v>99.670619235836625</v>
      </c>
      <c r="Y94" s="66" t="s">
        <v>118</v>
      </c>
      <c r="Z94" s="64">
        <f t="shared" si="15"/>
        <v>66</v>
      </c>
      <c r="AA94" s="67">
        <f t="shared" si="18"/>
        <v>1529840000</v>
      </c>
      <c r="AB94" s="68"/>
      <c r="AC94" s="66" t="s">
        <v>118</v>
      </c>
      <c r="AD94" s="68"/>
      <c r="AE94" s="69"/>
      <c r="AF94" s="10"/>
      <c r="AH94" s="14"/>
    </row>
    <row r="95" spans="1:34" s="12" customFormat="1" ht="99.6" customHeight="1" x14ac:dyDescent="0.3">
      <c r="A95" s="58"/>
      <c r="B95" s="45"/>
      <c r="C95" s="84" t="s">
        <v>112</v>
      </c>
      <c r="D95" s="84" t="s">
        <v>256</v>
      </c>
      <c r="E95" s="53" t="s">
        <v>257</v>
      </c>
      <c r="F95" s="93" t="s">
        <v>118</v>
      </c>
      <c r="G95" s="37">
        <f>G96</f>
        <v>420335750</v>
      </c>
      <c r="H95" s="55" t="s">
        <v>258</v>
      </c>
      <c r="I95" s="37">
        <f>I96</f>
        <v>84990800</v>
      </c>
      <c r="J95" s="90">
        <f>225/315*100</f>
        <v>71.428571428571431</v>
      </c>
      <c r="K95" s="37">
        <f>K96</f>
        <v>1850355100</v>
      </c>
      <c r="L95" s="53">
        <v>0</v>
      </c>
      <c r="M95" s="37">
        <f>M96</f>
        <v>0</v>
      </c>
      <c r="N95" s="180">
        <f>60/315*100</f>
        <v>19.047619047619047</v>
      </c>
      <c r="O95" s="37">
        <f>O96</f>
        <v>103602300</v>
      </c>
      <c r="P95" s="190">
        <v>0</v>
      </c>
      <c r="Q95" s="37">
        <f>Q96</f>
        <v>253514973</v>
      </c>
      <c r="R95" s="55">
        <v>0</v>
      </c>
      <c r="S95" s="37">
        <f>S96</f>
        <v>1116244900</v>
      </c>
      <c r="T95" s="56">
        <f t="shared" ref="T95:T99" si="25">SUM(L95,N95,P95,R95)</f>
        <v>19.047619047619047</v>
      </c>
      <c r="U95" s="43">
        <f t="shared" si="22"/>
        <v>26.666666666666668</v>
      </c>
      <c r="V95" s="41" t="s">
        <v>118</v>
      </c>
      <c r="W95" s="42">
        <f t="shared" si="23"/>
        <v>1473362173</v>
      </c>
      <c r="X95" s="43">
        <f t="shared" si="24"/>
        <v>79.62591466902758</v>
      </c>
      <c r="Y95" s="41" t="s">
        <v>118</v>
      </c>
      <c r="Z95" s="39">
        <f t="shared" si="15"/>
        <v>19.047619047619047</v>
      </c>
      <c r="AA95" s="42">
        <f t="shared" si="18"/>
        <v>1558352973</v>
      </c>
      <c r="AB95" s="43"/>
      <c r="AC95" s="41" t="s">
        <v>118</v>
      </c>
      <c r="AD95" s="43"/>
      <c r="AE95" s="69"/>
      <c r="AF95" s="10"/>
      <c r="AH95" s="14"/>
    </row>
    <row r="96" spans="1:34" s="12" customFormat="1" ht="133.19999999999999" customHeight="1" x14ac:dyDescent="0.3">
      <c r="A96" s="58"/>
      <c r="B96" s="45"/>
      <c r="C96" s="84" t="s">
        <v>113</v>
      </c>
      <c r="D96" s="84" t="s">
        <v>222</v>
      </c>
      <c r="E96" s="54">
        <v>42</v>
      </c>
      <c r="F96" s="93" t="s">
        <v>209</v>
      </c>
      <c r="G96" s="37">
        <f>SUM(G97:G99)</f>
        <v>420335750</v>
      </c>
      <c r="H96" s="53">
        <v>22</v>
      </c>
      <c r="I96" s="37">
        <f>SUM(I97:I99)</f>
        <v>84990800</v>
      </c>
      <c r="J96" s="134">
        <v>32</v>
      </c>
      <c r="K96" s="37">
        <f>SUM(K97:K99)</f>
        <v>1850355100</v>
      </c>
      <c r="L96" s="53">
        <v>22</v>
      </c>
      <c r="M96" s="37">
        <f>SUM(M97:M99)</f>
        <v>0</v>
      </c>
      <c r="N96" s="54">
        <v>3</v>
      </c>
      <c r="O96" s="37">
        <f>SUM(O97:O99)</f>
        <v>103602300</v>
      </c>
      <c r="P96" s="181">
        <v>3</v>
      </c>
      <c r="Q96" s="37">
        <f>SUM(Q97:Q99)</f>
        <v>253514973</v>
      </c>
      <c r="R96" s="55">
        <v>4</v>
      </c>
      <c r="S96" s="37">
        <f>SUM(S97:S99)</f>
        <v>1116244900</v>
      </c>
      <c r="T96" s="56">
        <f t="shared" si="25"/>
        <v>32</v>
      </c>
      <c r="U96" s="40">
        <f t="shared" si="22"/>
        <v>100</v>
      </c>
      <c r="V96" s="41" t="s">
        <v>118</v>
      </c>
      <c r="W96" s="42">
        <f t="shared" si="23"/>
        <v>1473362173</v>
      </c>
      <c r="X96" s="43">
        <f t="shared" si="24"/>
        <v>79.62591466902758</v>
      </c>
      <c r="Y96" s="41" t="s">
        <v>118</v>
      </c>
      <c r="Z96" s="56">
        <f t="shared" si="15"/>
        <v>54</v>
      </c>
      <c r="AA96" s="42">
        <f t="shared" si="18"/>
        <v>1558352973</v>
      </c>
      <c r="AB96" s="43"/>
      <c r="AC96" s="41" t="s">
        <v>118</v>
      </c>
      <c r="AD96" s="43"/>
      <c r="AE96" s="69"/>
      <c r="AF96" s="10"/>
      <c r="AH96" s="14"/>
    </row>
    <row r="97" spans="1:37" s="12" customFormat="1" ht="171.75" customHeight="1" x14ac:dyDescent="0.3">
      <c r="A97" s="58"/>
      <c r="B97" s="45"/>
      <c r="C97" s="74" t="s">
        <v>114</v>
      </c>
      <c r="D97" s="74" t="s">
        <v>223</v>
      </c>
      <c r="E97" s="61">
        <v>240</v>
      </c>
      <c r="F97" s="95" t="s">
        <v>224</v>
      </c>
      <c r="G97" s="63">
        <f>32620000+169846375*2</f>
        <v>372312750</v>
      </c>
      <c r="H97" s="96">
        <v>210</v>
      </c>
      <c r="I97" s="63">
        <v>70538000</v>
      </c>
      <c r="J97" s="61">
        <v>225</v>
      </c>
      <c r="K97" s="63">
        <v>423843500</v>
      </c>
      <c r="L97" s="61">
        <v>0</v>
      </c>
      <c r="M97" s="63">
        <v>0</v>
      </c>
      <c r="N97" s="61">
        <v>60</v>
      </c>
      <c r="O97" s="63">
        <f>79200000+6311000</f>
        <v>85511000</v>
      </c>
      <c r="P97" s="199">
        <v>0</v>
      </c>
      <c r="Q97" s="63">
        <v>39600000</v>
      </c>
      <c r="R97" s="61">
        <v>0</v>
      </c>
      <c r="S97" s="63">
        <f>361886000-Q97-O97-M97</f>
        <v>236775000</v>
      </c>
      <c r="T97" s="64">
        <f>SUM(L97,N97,P97,R97)</f>
        <v>60</v>
      </c>
      <c r="U97" s="68">
        <f t="shared" si="22"/>
        <v>26.666666666666668</v>
      </c>
      <c r="V97" s="66" t="s">
        <v>118</v>
      </c>
      <c r="W97" s="67">
        <f t="shared" si="23"/>
        <v>361886000</v>
      </c>
      <c r="X97" s="68">
        <f t="shared" si="24"/>
        <v>85.381986511530798</v>
      </c>
      <c r="Y97" s="66" t="s">
        <v>118</v>
      </c>
      <c r="Z97" s="64">
        <f t="shared" si="15"/>
        <v>270</v>
      </c>
      <c r="AA97" s="67">
        <f t="shared" si="18"/>
        <v>432424000</v>
      </c>
      <c r="AB97" s="68"/>
      <c r="AC97" s="66" t="s">
        <v>118</v>
      </c>
      <c r="AD97" s="68"/>
      <c r="AE97" s="69"/>
      <c r="AF97" s="10"/>
      <c r="AH97" s="14"/>
    </row>
    <row r="98" spans="1:37" s="12" customFormat="1" ht="201.6" customHeight="1" x14ac:dyDescent="0.3">
      <c r="A98" s="48"/>
      <c r="B98" s="84"/>
      <c r="C98" s="74" t="s">
        <v>145</v>
      </c>
      <c r="D98" s="60" t="s">
        <v>202</v>
      </c>
      <c r="E98" s="61">
        <v>630</v>
      </c>
      <c r="F98" s="95" t="s">
        <v>153</v>
      </c>
      <c r="G98" s="63"/>
      <c r="H98" s="96"/>
      <c r="I98" s="63"/>
      <c r="J98" s="61">
        <v>630</v>
      </c>
      <c r="K98" s="63">
        <v>1411900000</v>
      </c>
      <c r="L98" s="61">
        <v>0</v>
      </c>
      <c r="M98" s="63">
        <v>0</v>
      </c>
      <c r="N98" s="61">
        <v>630</v>
      </c>
      <c r="O98" s="63">
        <v>3479700</v>
      </c>
      <c r="P98" s="182">
        <v>0</v>
      </c>
      <c r="Q98" s="63">
        <v>213914973</v>
      </c>
      <c r="R98" s="61">
        <v>0</v>
      </c>
      <c r="S98" s="63">
        <f>1096864573-Q98-O98-M98</f>
        <v>879469900</v>
      </c>
      <c r="T98" s="64">
        <f>SUM(L98,N98,P98,R98)</f>
        <v>630</v>
      </c>
      <c r="U98" s="65">
        <f t="shared" si="22"/>
        <v>100</v>
      </c>
      <c r="V98" s="66" t="s">
        <v>118</v>
      </c>
      <c r="W98" s="67">
        <f t="shared" si="23"/>
        <v>1096864573</v>
      </c>
      <c r="X98" s="68">
        <f t="shared" si="24"/>
        <v>77.68712890431334</v>
      </c>
      <c r="Y98" s="66" t="s">
        <v>118</v>
      </c>
      <c r="Z98" s="64">
        <f t="shared" si="15"/>
        <v>630</v>
      </c>
      <c r="AA98" s="67">
        <f t="shared" si="18"/>
        <v>1096864573</v>
      </c>
      <c r="AB98" s="68"/>
      <c r="AC98" s="66" t="s">
        <v>118</v>
      </c>
      <c r="AD98" s="68"/>
      <c r="AE98" s="69"/>
      <c r="AF98" s="10"/>
      <c r="AH98" s="14"/>
    </row>
    <row r="99" spans="1:37" s="12" customFormat="1" ht="190.95" customHeight="1" x14ac:dyDescent="0.3">
      <c r="A99" s="48"/>
      <c r="B99" s="84"/>
      <c r="C99" s="74" t="s">
        <v>115</v>
      </c>
      <c r="D99" s="60" t="s">
        <v>203</v>
      </c>
      <c r="E99" s="61">
        <v>2</v>
      </c>
      <c r="F99" s="95" t="s">
        <v>148</v>
      </c>
      <c r="G99" s="63">
        <f>14452800+16785100*2</f>
        <v>48023000</v>
      </c>
      <c r="H99" s="96">
        <v>2</v>
      </c>
      <c r="I99" s="63">
        <v>14452800</v>
      </c>
      <c r="J99" s="61">
        <v>2</v>
      </c>
      <c r="K99" s="63">
        <v>14611600</v>
      </c>
      <c r="L99" s="61">
        <v>1</v>
      </c>
      <c r="M99" s="63">
        <v>0</v>
      </c>
      <c r="N99" s="63">
        <v>0</v>
      </c>
      <c r="O99" s="63">
        <v>14611600</v>
      </c>
      <c r="P99" s="88">
        <v>0</v>
      </c>
      <c r="Q99" s="63">
        <v>0</v>
      </c>
      <c r="R99" s="61">
        <v>0</v>
      </c>
      <c r="S99" s="63">
        <f>14611600-Q99-O99-M99</f>
        <v>0</v>
      </c>
      <c r="T99" s="64">
        <f t="shared" si="25"/>
        <v>1</v>
      </c>
      <c r="U99" s="65">
        <f t="shared" si="22"/>
        <v>50</v>
      </c>
      <c r="V99" s="66" t="s">
        <v>118</v>
      </c>
      <c r="W99" s="67">
        <f t="shared" si="23"/>
        <v>14611600</v>
      </c>
      <c r="X99" s="68">
        <f t="shared" si="24"/>
        <v>100</v>
      </c>
      <c r="Y99" s="66" t="s">
        <v>118</v>
      </c>
      <c r="Z99" s="64">
        <f t="shared" si="15"/>
        <v>3</v>
      </c>
      <c r="AA99" s="67">
        <f t="shared" si="18"/>
        <v>29064400</v>
      </c>
      <c r="AB99" s="68"/>
      <c r="AC99" s="66" t="s">
        <v>118</v>
      </c>
      <c r="AD99" s="68"/>
      <c r="AE99" s="69"/>
      <c r="AF99" s="10"/>
      <c r="AH99" s="14"/>
    </row>
    <row r="100" spans="1:37" s="9" customFormat="1" ht="17.399999999999999" x14ac:dyDescent="0.3">
      <c r="A100" s="254" t="s">
        <v>23</v>
      </c>
      <c r="B100" s="255"/>
      <c r="C100" s="255"/>
      <c r="D100" s="255"/>
      <c r="E100" s="255"/>
      <c r="F100" s="255"/>
      <c r="G100" s="255"/>
      <c r="H100" s="255"/>
      <c r="I100" s="255"/>
      <c r="J100" s="255"/>
      <c r="K100" s="255"/>
      <c r="L100" s="255"/>
      <c r="M100" s="255"/>
      <c r="N100" s="255"/>
      <c r="O100" s="255"/>
      <c r="P100" s="255"/>
      <c r="Q100" s="255"/>
      <c r="R100" s="255"/>
      <c r="S100" s="255"/>
      <c r="T100" s="255"/>
      <c r="U100" s="136">
        <f>AVERAGE(U13:U99)</f>
        <v>103.64976849151637</v>
      </c>
      <c r="V100" s="137"/>
      <c r="W100" s="138"/>
      <c r="X100" s="136">
        <f>AVERAGE(X13,X42,X45,X51,X56,X63,X71,X78,X95)</f>
        <v>113.39475843603869</v>
      </c>
      <c r="Y100" s="139"/>
      <c r="Z100" s="138"/>
      <c r="AA100" s="138"/>
      <c r="AB100" s="138"/>
      <c r="AC100" s="139"/>
      <c r="AD100" s="140"/>
      <c r="AE100" s="69"/>
      <c r="AG100" s="1"/>
      <c r="AH100" s="1"/>
      <c r="AI100" s="1"/>
      <c r="AJ100" s="1"/>
      <c r="AK100" s="1"/>
    </row>
    <row r="101" spans="1:37" s="9" customFormat="1" ht="17.399999999999999" x14ac:dyDescent="0.3">
      <c r="A101" s="254" t="s">
        <v>24</v>
      </c>
      <c r="B101" s="255"/>
      <c r="C101" s="255"/>
      <c r="D101" s="255"/>
      <c r="E101" s="255"/>
      <c r="F101" s="255"/>
      <c r="G101" s="255"/>
      <c r="H101" s="255"/>
      <c r="I101" s="255"/>
      <c r="J101" s="255"/>
      <c r="K101" s="255"/>
      <c r="L101" s="255"/>
      <c r="M101" s="255"/>
      <c r="N101" s="255"/>
      <c r="O101" s="255"/>
      <c r="P101" s="255"/>
      <c r="Q101" s="255"/>
      <c r="R101" s="255"/>
      <c r="S101" s="255"/>
      <c r="T101" s="255"/>
      <c r="U101" s="141" t="str">
        <f>IF(U100&gt;=91,"Sangat Tinggi",IF(U100&gt;=76,"Tinggi",IF(U100&gt;=66,"Sedang",IF(U100&gt;=51,"Rendah",IF(U100&lt;=50,"Sangat Rendah")))))</f>
        <v>Sangat Tinggi</v>
      </c>
      <c r="V101" s="137"/>
      <c r="W101" s="142"/>
      <c r="X101" s="141" t="str">
        <f>IF(X100&gt;=91,"Sangat Tinggi",IF(X100&gt;=76,"Tinggi",IF(X100&gt;=66,"Sedang",IF(X100&gt;=51,"Rendah",IF(X100&lt;=50,"Sangat Rendah")))))</f>
        <v>Sangat Tinggi</v>
      </c>
      <c r="Y101" s="139"/>
      <c r="Z101" s="143"/>
      <c r="AA101" s="142"/>
      <c r="AB101" s="143"/>
      <c r="AC101" s="139"/>
      <c r="AD101" s="144"/>
      <c r="AE101" s="69"/>
      <c r="AG101" s="1"/>
      <c r="AH101" s="1"/>
      <c r="AI101" s="1"/>
      <c r="AJ101" s="1"/>
      <c r="AK101" s="1"/>
    </row>
    <row r="102" spans="1:37" s="9" customFormat="1" ht="17.399999999999999" x14ac:dyDescent="0.3">
      <c r="A102" s="256" t="s">
        <v>130</v>
      </c>
      <c r="B102" s="256"/>
      <c r="C102" s="256"/>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69"/>
      <c r="AG102" s="1"/>
      <c r="AH102" s="1"/>
      <c r="AI102" s="1"/>
      <c r="AJ102" s="1"/>
      <c r="AK102" s="1"/>
    </row>
    <row r="103" spans="1:37" s="9" customFormat="1" ht="17.399999999999999" x14ac:dyDescent="0.3">
      <c r="A103" s="256" t="s">
        <v>261</v>
      </c>
      <c r="B103" s="256"/>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69"/>
      <c r="AG103" s="1"/>
      <c r="AH103" s="1"/>
      <c r="AI103" s="1"/>
      <c r="AJ103" s="1"/>
      <c r="AK103" s="1"/>
    </row>
    <row r="104" spans="1:37" s="9" customFormat="1" ht="17.399999999999999" x14ac:dyDescent="0.3">
      <c r="A104" s="256" t="s">
        <v>50</v>
      </c>
      <c r="B104" s="256"/>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69"/>
      <c r="AG104" s="1"/>
      <c r="AH104" s="1"/>
      <c r="AI104" s="1"/>
      <c r="AJ104" s="1"/>
      <c r="AK104" s="1"/>
    </row>
    <row r="105" spans="1:37" s="9" customFormat="1" ht="17.399999999999999" x14ac:dyDescent="0.3">
      <c r="A105" s="256" t="s">
        <v>51</v>
      </c>
      <c r="B105" s="256"/>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89"/>
      <c r="AG105" s="1"/>
      <c r="AH105" s="1"/>
      <c r="AI105" s="1"/>
      <c r="AJ105" s="1"/>
      <c r="AK105" s="1"/>
    </row>
    <row r="106" spans="1:37" s="9" customFormat="1" ht="15" x14ac:dyDescent="0.25">
      <c r="A106" s="3"/>
      <c r="B106" s="3"/>
      <c r="C106" s="3"/>
      <c r="D106" s="3"/>
      <c r="E106" s="3"/>
      <c r="F106" s="3"/>
      <c r="G106" s="3"/>
      <c r="H106" s="3"/>
      <c r="I106" s="3"/>
      <c r="J106" s="3"/>
      <c r="K106" s="3"/>
      <c r="L106" s="3"/>
      <c r="M106" s="3"/>
      <c r="N106" s="3"/>
      <c r="O106" s="3"/>
      <c r="P106" s="3"/>
      <c r="Q106" s="3"/>
      <c r="R106" s="3"/>
      <c r="S106" s="3"/>
      <c r="T106" s="3"/>
      <c r="U106" s="3"/>
      <c r="V106" s="8"/>
      <c r="W106" s="3"/>
      <c r="X106" s="3"/>
      <c r="Y106" s="8"/>
      <c r="Z106" s="3"/>
      <c r="AA106" s="3"/>
      <c r="AB106" s="3"/>
      <c r="AC106" s="8"/>
      <c r="AD106" s="3"/>
      <c r="AE106" s="1"/>
      <c r="AG106" s="1"/>
      <c r="AH106" s="1"/>
      <c r="AI106" s="1"/>
      <c r="AJ106" s="1"/>
      <c r="AK106" s="1"/>
    </row>
    <row r="107" spans="1:37" s="9" customFormat="1" ht="15" x14ac:dyDescent="0.25">
      <c r="A107" s="3"/>
      <c r="B107" s="3"/>
      <c r="C107" s="3"/>
      <c r="D107" s="3"/>
      <c r="E107" s="3"/>
      <c r="F107" s="3"/>
      <c r="G107" s="3"/>
      <c r="H107" s="3"/>
      <c r="I107" s="3"/>
      <c r="J107" s="3"/>
      <c r="K107" s="3"/>
      <c r="L107" s="3"/>
      <c r="M107" s="3"/>
      <c r="N107" s="3"/>
      <c r="O107" s="3"/>
      <c r="P107" s="3"/>
      <c r="Q107" s="3"/>
      <c r="R107" s="3"/>
      <c r="S107" s="3"/>
      <c r="T107" s="253" t="s">
        <v>48</v>
      </c>
      <c r="U107" s="253"/>
      <c r="V107" s="253"/>
      <c r="W107" s="253"/>
      <c r="X107" s="253"/>
      <c r="Y107" s="8"/>
      <c r="Z107" s="3"/>
      <c r="AA107" s="253"/>
      <c r="AB107" s="253"/>
      <c r="AC107" s="253"/>
      <c r="AD107" s="253"/>
      <c r="AE107" s="253"/>
      <c r="AG107" s="1"/>
      <c r="AH107" s="1"/>
      <c r="AI107" s="1"/>
      <c r="AJ107" s="1"/>
      <c r="AK107" s="1"/>
    </row>
    <row r="108" spans="1:37" s="9" customFormat="1" ht="15.6" x14ac:dyDescent="0.3">
      <c r="A108" s="7"/>
      <c r="B108" s="3"/>
      <c r="C108" s="3"/>
      <c r="D108" s="3"/>
      <c r="E108" s="3"/>
      <c r="F108" s="3"/>
      <c r="G108" s="3"/>
      <c r="H108" s="3"/>
      <c r="I108" s="3"/>
      <c r="J108" s="3"/>
      <c r="K108" s="3"/>
      <c r="L108" s="3"/>
      <c r="M108" s="3"/>
      <c r="N108" s="3"/>
      <c r="O108" s="3"/>
      <c r="P108" s="3"/>
      <c r="Q108" s="3"/>
      <c r="R108" s="3"/>
      <c r="S108" s="3"/>
      <c r="T108" s="253" t="s">
        <v>235</v>
      </c>
      <c r="U108" s="253"/>
      <c r="V108" s="253"/>
      <c r="W108" s="253"/>
      <c r="X108" s="253"/>
      <c r="Y108" s="8"/>
      <c r="Z108" s="3"/>
      <c r="AA108" s="253"/>
      <c r="AB108" s="253"/>
      <c r="AC108" s="253"/>
      <c r="AD108" s="253"/>
      <c r="AE108" s="253"/>
      <c r="AG108" s="1"/>
      <c r="AH108" s="1"/>
      <c r="AI108" s="1"/>
      <c r="AJ108" s="1"/>
      <c r="AK108" s="1"/>
    </row>
    <row r="109" spans="1:37" s="9" customFormat="1" ht="15" x14ac:dyDescent="0.25">
      <c r="A109" s="1"/>
      <c r="B109" s="1"/>
      <c r="C109" s="1"/>
      <c r="D109" s="1"/>
      <c r="E109" s="1"/>
      <c r="F109" s="1"/>
      <c r="G109" s="1"/>
      <c r="H109" s="1"/>
      <c r="I109" s="1"/>
      <c r="J109" s="1"/>
      <c r="K109" s="1"/>
      <c r="L109" s="1"/>
      <c r="M109" s="1"/>
      <c r="N109" s="1"/>
      <c r="O109" s="1"/>
      <c r="P109" s="1"/>
      <c r="Q109" s="1"/>
      <c r="R109" s="1"/>
      <c r="S109" s="1"/>
      <c r="T109" s="253" t="s">
        <v>236</v>
      </c>
      <c r="U109" s="253"/>
      <c r="V109" s="253"/>
      <c r="W109" s="253"/>
      <c r="X109" s="253"/>
      <c r="Y109" s="2"/>
      <c r="Z109" s="1"/>
      <c r="AA109" s="253"/>
      <c r="AB109" s="253"/>
      <c r="AC109" s="253"/>
      <c r="AD109" s="253"/>
      <c r="AE109" s="253"/>
      <c r="AG109" s="1"/>
      <c r="AH109" s="1"/>
      <c r="AI109" s="1"/>
      <c r="AJ109" s="1"/>
      <c r="AK109" s="1"/>
    </row>
    <row r="110" spans="1:37" s="9" customFormat="1" ht="15" x14ac:dyDescent="0.25">
      <c r="A110" s="1"/>
      <c r="B110" s="1"/>
      <c r="C110" s="1"/>
      <c r="D110" s="1"/>
      <c r="E110" s="1"/>
      <c r="F110" s="1"/>
      <c r="G110" s="1"/>
      <c r="H110" s="1"/>
      <c r="I110" s="1"/>
      <c r="J110" s="1"/>
      <c r="K110" s="1"/>
      <c r="L110" s="1"/>
      <c r="M110" s="1"/>
      <c r="N110" s="1"/>
      <c r="O110" s="1"/>
      <c r="P110" s="1"/>
      <c r="Q110" s="1"/>
      <c r="R110" s="1"/>
      <c r="S110" s="1"/>
      <c r="T110" s="253" t="s">
        <v>49</v>
      </c>
      <c r="U110" s="253"/>
      <c r="V110" s="253"/>
      <c r="W110" s="253"/>
      <c r="X110" s="253"/>
      <c r="Y110" s="2"/>
      <c r="Z110" s="1"/>
      <c r="AA110" s="253"/>
      <c r="AB110" s="253"/>
      <c r="AC110" s="253"/>
      <c r="AD110" s="253"/>
      <c r="AE110" s="253"/>
      <c r="AG110" s="1"/>
      <c r="AH110" s="1"/>
      <c r="AI110" s="1"/>
      <c r="AJ110" s="1"/>
      <c r="AK110" s="1"/>
    </row>
    <row r="111" spans="1:37" s="9" customFormat="1" ht="36" customHeight="1" x14ac:dyDescent="0.25">
      <c r="A111" s="4" t="s">
        <v>25</v>
      </c>
      <c r="B111" s="4" t="s">
        <v>26</v>
      </c>
      <c r="C111" s="4" t="s">
        <v>27</v>
      </c>
      <c r="D111" s="1"/>
      <c r="E111" s="1"/>
      <c r="F111" s="1"/>
      <c r="G111" s="1"/>
      <c r="H111" s="1"/>
      <c r="I111" s="1"/>
      <c r="J111" s="1"/>
      <c r="K111" s="1"/>
      <c r="L111" s="1"/>
      <c r="M111" s="1"/>
      <c r="N111" s="1"/>
      <c r="O111" s="1"/>
      <c r="P111" s="1"/>
      <c r="Q111" s="1"/>
      <c r="R111" s="1"/>
      <c r="S111" s="1"/>
      <c r="T111" s="3"/>
      <c r="U111" s="3"/>
      <c r="V111" s="8"/>
      <c r="W111" s="3"/>
      <c r="X111" s="1"/>
      <c r="Y111" s="2"/>
      <c r="Z111" s="1"/>
      <c r="AA111" s="8"/>
      <c r="AB111" s="3"/>
      <c r="AC111" s="8"/>
      <c r="AD111" s="3"/>
      <c r="AE111" s="1"/>
      <c r="AG111" s="1"/>
      <c r="AH111" s="1"/>
      <c r="AI111" s="1"/>
      <c r="AJ111" s="1"/>
      <c r="AK111" s="1"/>
    </row>
    <row r="112" spans="1:37" s="9" customFormat="1" ht="27.6" x14ac:dyDescent="0.3">
      <c r="A112" s="5" t="s">
        <v>28</v>
      </c>
      <c r="B112" s="5" t="s">
        <v>29</v>
      </c>
      <c r="C112" s="5" t="s">
        <v>30</v>
      </c>
      <c r="D112" s="1"/>
      <c r="E112" s="1"/>
      <c r="F112" s="1"/>
      <c r="G112" s="1"/>
      <c r="H112" s="1"/>
      <c r="I112" s="1"/>
      <c r="J112" s="1"/>
      <c r="K112" s="1"/>
      <c r="L112" s="1"/>
      <c r="M112" s="1"/>
      <c r="N112" s="1"/>
      <c r="O112" s="1"/>
      <c r="P112" s="1"/>
      <c r="Q112" s="1"/>
      <c r="R112" s="1"/>
      <c r="S112" s="1"/>
      <c r="T112" s="257" t="s">
        <v>237</v>
      </c>
      <c r="U112" s="257"/>
      <c r="V112" s="257"/>
      <c r="W112" s="257"/>
      <c r="X112" s="257"/>
      <c r="Y112" s="2"/>
      <c r="Z112" s="1"/>
      <c r="AA112" s="257"/>
      <c r="AB112" s="257"/>
      <c r="AC112" s="257"/>
      <c r="AD112" s="257"/>
      <c r="AE112" s="257"/>
      <c r="AG112" s="1"/>
      <c r="AH112" s="1"/>
      <c r="AI112" s="1"/>
      <c r="AJ112" s="1"/>
      <c r="AK112" s="1"/>
    </row>
    <row r="113" spans="1:37" s="9" customFormat="1" ht="27.6" x14ac:dyDescent="0.25">
      <c r="A113" s="5" t="s">
        <v>31</v>
      </c>
      <c r="B113" s="5" t="s">
        <v>32</v>
      </c>
      <c r="C113" s="5" t="s">
        <v>33</v>
      </c>
      <c r="D113" s="1"/>
      <c r="E113" s="1"/>
      <c r="F113" s="1"/>
      <c r="G113" s="1"/>
      <c r="H113" s="1"/>
      <c r="I113" s="1"/>
      <c r="J113" s="1"/>
      <c r="K113" s="1"/>
      <c r="L113" s="1"/>
      <c r="M113" s="1"/>
      <c r="N113" s="1"/>
      <c r="O113" s="1"/>
      <c r="P113" s="1"/>
      <c r="Q113" s="1"/>
      <c r="R113" s="1"/>
      <c r="S113" s="1"/>
      <c r="T113" s="258" t="s">
        <v>238</v>
      </c>
      <c r="U113" s="258"/>
      <c r="V113" s="258"/>
      <c r="W113" s="258"/>
      <c r="X113" s="258"/>
      <c r="Y113" s="2"/>
      <c r="Z113" s="1"/>
      <c r="AA113" s="258"/>
      <c r="AB113" s="258"/>
      <c r="AC113" s="258"/>
      <c r="AD113" s="258"/>
      <c r="AE113" s="258"/>
      <c r="AG113" s="1"/>
      <c r="AH113" s="1"/>
      <c r="AI113" s="1"/>
      <c r="AJ113" s="1"/>
      <c r="AK113" s="1"/>
    </row>
    <row r="114" spans="1:37" s="9" customFormat="1" ht="27.6" x14ac:dyDescent="0.25">
      <c r="A114" s="5" t="s">
        <v>34</v>
      </c>
      <c r="B114" s="5" t="s">
        <v>35</v>
      </c>
      <c r="C114" s="5" t="s">
        <v>36</v>
      </c>
      <c r="D114" s="1"/>
      <c r="E114" s="1"/>
      <c r="F114" s="1"/>
      <c r="G114" s="1"/>
      <c r="H114" s="1"/>
      <c r="I114" s="1"/>
      <c r="J114" s="1"/>
      <c r="K114" s="1"/>
      <c r="L114" s="1"/>
      <c r="M114" s="1"/>
      <c r="N114" s="1"/>
      <c r="O114" s="1"/>
      <c r="P114" s="1"/>
      <c r="Q114" s="1"/>
      <c r="R114" s="1"/>
      <c r="S114" s="1"/>
      <c r="T114" s="1"/>
      <c r="U114" s="1"/>
      <c r="V114" s="2"/>
      <c r="W114" s="1"/>
      <c r="X114" s="1"/>
      <c r="Y114" s="2"/>
      <c r="Z114" s="1"/>
      <c r="AA114" s="1"/>
      <c r="AB114" s="1"/>
      <c r="AC114" s="2"/>
      <c r="AD114" s="1"/>
      <c r="AE114" s="1"/>
      <c r="AG114" s="1"/>
      <c r="AH114" s="1"/>
      <c r="AI114" s="1"/>
      <c r="AJ114" s="1"/>
      <c r="AK114" s="1"/>
    </row>
    <row r="115" spans="1:37" s="9" customFormat="1" ht="27.6" x14ac:dyDescent="0.25">
      <c r="A115" s="5" t="s">
        <v>37</v>
      </c>
      <c r="B115" s="5" t="s">
        <v>38</v>
      </c>
      <c r="C115" s="5" t="s">
        <v>39</v>
      </c>
      <c r="D115" s="1"/>
      <c r="E115" s="1"/>
      <c r="F115" s="1"/>
      <c r="G115" s="1"/>
      <c r="H115" s="1"/>
      <c r="I115" s="1"/>
      <c r="J115" s="1"/>
      <c r="K115" s="1"/>
      <c r="L115" s="1"/>
      <c r="M115" s="1"/>
      <c r="N115" s="1"/>
      <c r="O115" s="1"/>
      <c r="P115" s="1"/>
      <c r="Q115" s="1"/>
      <c r="R115" s="1"/>
      <c r="S115" s="1"/>
      <c r="T115" s="1"/>
      <c r="U115" s="1"/>
      <c r="V115" s="2"/>
      <c r="W115" s="1"/>
      <c r="X115" s="1"/>
      <c r="Y115" s="2"/>
      <c r="Z115" s="1"/>
      <c r="AA115" s="1"/>
      <c r="AB115" s="1"/>
      <c r="AC115" s="2"/>
      <c r="AD115" s="1"/>
      <c r="AE115" s="1"/>
      <c r="AG115" s="1"/>
      <c r="AH115" s="1"/>
      <c r="AI115" s="1"/>
      <c r="AJ115" s="1"/>
      <c r="AK115" s="1"/>
    </row>
    <row r="116" spans="1:37" ht="27.6" x14ac:dyDescent="0.25">
      <c r="A116" s="5" t="s">
        <v>40</v>
      </c>
      <c r="B116" s="6" t="s">
        <v>41</v>
      </c>
      <c r="C116" s="5" t="s">
        <v>42</v>
      </c>
    </row>
  </sheetData>
  <mergeCells count="78">
    <mergeCell ref="T110:X110"/>
    <mergeCell ref="AA110:AE110"/>
    <mergeCell ref="T112:X112"/>
    <mergeCell ref="AA112:AE112"/>
    <mergeCell ref="T113:X113"/>
    <mergeCell ref="AA113:AE113"/>
    <mergeCell ref="T109:X109"/>
    <mergeCell ref="AA109:AE109"/>
    <mergeCell ref="A100:T100"/>
    <mergeCell ref="A101:T101"/>
    <mergeCell ref="A102:AD102"/>
    <mergeCell ref="A103:AD103"/>
    <mergeCell ref="A104:AD104"/>
    <mergeCell ref="A105:AD105"/>
    <mergeCell ref="T107:X107"/>
    <mergeCell ref="AA107:AE107"/>
    <mergeCell ref="T108:X108"/>
    <mergeCell ref="AA108:AE108"/>
    <mergeCell ref="R11:R12"/>
    <mergeCell ref="S11:S12"/>
    <mergeCell ref="U11:V11"/>
    <mergeCell ref="X11:Y11"/>
    <mergeCell ref="AB11:AC11"/>
    <mergeCell ref="U12:V12"/>
    <mergeCell ref="X12:Y12"/>
    <mergeCell ref="AB12:AC12"/>
    <mergeCell ref="Q11:Q12"/>
    <mergeCell ref="E11:F12"/>
    <mergeCell ref="G11:G12"/>
    <mergeCell ref="H11:H12"/>
    <mergeCell ref="I11:I12"/>
    <mergeCell ref="J11:J12"/>
    <mergeCell ref="K11:K12"/>
    <mergeCell ref="L11:L12"/>
    <mergeCell ref="M11:M12"/>
    <mergeCell ref="N11:N12"/>
    <mergeCell ref="O11:O12"/>
    <mergeCell ref="P11:P12"/>
    <mergeCell ref="N10:O10"/>
    <mergeCell ref="P10:Q10"/>
    <mergeCell ref="R10:S10"/>
    <mergeCell ref="T10:Y10"/>
    <mergeCell ref="Z10:AA10"/>
    <mergeCell ref="AB10:AD10"/>
    <mergeCell ref="Z9:AA9"/>
    <mergeCell ref="AB9:AD9"/>
    <mergeCell ref="A10:A12"/>
    <mergeCell ref="B10:B12"/>
    <mergeCell ref="C10:C12"/>
    <mergeCell ref="D10:D12"/>
    <mergeCell ref="E10:G10"/>
    <mergeCell ref="H10:I10"/>
    <mergeCell ref="J10:K10"/>
    <mergeCell ref="L10:M10"/>
    <mergeCell ref="J9:K9"/>
    <mergeCell ref="L9:M9"/>
    <mergeCell ref="N9:O9"/>
    <mergeCell ref="P9:Q9"/>
    <mergeCell ref="R9:S9"/>
    <mergeCell ref="AB7:AD8"/>
    <mergeCell ref="AE7:AE8"/>
    <mergeCell ref="A7:A9"/>
    <mergeCell ref="B7:B9"/>
    <mergeCell ref="C7:C9"/>
    <mergeCell ref="D7:D9"/>
    <mergeCell ref="E7:G9"/>
    <mergeCell ref="H7:I9"/>
    <mergeCell ref="T9:Y9"/>
    <mergeCell ref="J7:K8"/>
    <mergeCell ref="L7:S8"/>
    <mergeCell ref="T7:Y8"/>
    <mergeCell ref="Z7:AA8"/>
    <mergeCell ref="A6:AD6"/>
    <mergeCell ref="A1:AD1"/>
    <mergeCell ref="A2:AD2"/>
    <mergeCell ref="A3:AD3"/>
    <mergeCell ref="A4:AD4"/>
    <mergeCell ref="A5:AD5"/>
  </mergeCells>
  <pageMargins left="0.23622047244094491" right="0.23622047244094491" top="3.937007874015748E-2" bottom="3.937007874015748E-2" header="0" footer="0"/>
  <pageSetup paperSize="5" scale="30" orientation="landscape"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K113"/>
  <sheetViews>
    <sheetView showRuler="0" view="pageBreakPreview" topLeftCell="E2" zoomScale="53" zoomScaleNormal="40" zoomScaleSheetLayoutView="25" zoomScalePageLayoutView="55" workbookViewId="0">
      <pane ySplit="3564" topLeftCell="A19" activePane="bottomLeft"/>
      <selection activeCell="B2" sqref="B2"/>
      <selection pane="bottomLeft" activeCell="Q83" sqref="Q83"/>
    </sheetView>
  </sheetViews>
  <sheetFormatPr defaultColWidth="9.109375" defaultRowHeight="13.8" x14ac:dyDescent="0.25"/>
  <cols>
    <col min="1" max="1" width="6.44140625" style="1" customWidth="1"/>
    <col min="2" max="2" width="18" style="1" customWidth="1"/>
    <col min="3" max="3" width="21.5546875" style="1" customWidth="1"/>
    <col min="4" max="4" width="78.109375" style="1" customWidth="1"/>
    <col min="5" max="5" width="18.109375" style="1" bestFit="1" customWidth="1"/>
    <col min="6" max="6" width="9.109375" style="1" customWidth="1"/>
    <col min="7" max="7" width="24.44140625" style="1" bestFit="1" customWidth="1"/>
    <col min="8" max="8" width="11.77734375" style="1" bestFit="1" customWidth="1"/>
    <col min="9" max="9" width="23.21875" style="1" bestFit="1" customWidth="1"/>
    <col min="10" max="10" width="20.5546875" style="1" customWidth="1"/>
    <col min="11" max="11" width="33.44140625" style="1" customWidth="1"/>
    <col min="12" max="12" width="13.109375" style="1" customWidth="1"/>
    <col min="13" max="13" width="25.33203125" style="1" customWidth="1"/>
    <col min="14" max="14" width="21.88671875" style="1" customWidth="1"/>
    <col min="15" max="15" width="22.77734375" style="1" bestFit="1" customWidth="1"/>
    <col min="16" max="16" width="10.77734375" style="1" bestFit="1" customWidth="1"/>
    <col min="17" max="17" width="22.44140625" style="1" bestFit="1" customWidth="1"/>
    <col min="18" max="18" width="9" style="1" customWidth="1"/>
    <col min="19" max="19" width="17.88671875" style="1" customWidth="1"/>
    <col min="20" max="20" width="14.77734375" style="1" customWidth="1"/>
    <col min="21" max="21" width="10.5546875" style="1" customWidth="1"/>
    <col min="22" max="22" width="5.5546875" style="2" customWidth="1"/>
    <col min="23" max="23" width="21.88671875" style="1" customWidth="1"/>
    <col min="24" max="24" width="11.88671875" style="1" customWidth="1"/>
    <col min="25" max="25" width="5.5546875" style="2" customWidth="1"/>
    <col min="26" max="26" width="11.109375" style="1" customWidth="1"/>
    <col min="27" max="27" width="21.6640625" style="1" customWidth="1"/>
    <col min="28" max="28" width="8" style="1" customWidth="1"/>
    <col min="29" max="29" width="5.5546875" style="2" customWidth="1"/>
    <col min="30" max="30" width="10.109375" style="1" customWidth="1"/>
    <col min="31" max="31" width="15" style="1" customWidth="1"/>
    <col min="32" max="32" width="4.109375" style="9" customWidth="1"/>
    <col min="33" max="37" width="19.5546875" style="1" customWidth="1"/>
    <col min="38" max="16384" width="9.109375" style="1"/>
  </cols>
  <sheetData>
    <row r="1" spans="1:37" ht="17.399999999999999" x14ac:dyDescent="0.3">
      <c r="A1" s="217" t="s">
        <v>0</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7"/>
    </row>
    <row r="2" spans="1:37" ht="17.399999999999999" x14ac:dyDescent="0.3">
      <c r="A2" s="217" t="s">
        <v>1</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8"/>
    </row>
    <row r="3" spans="1:37" ht="17.399999999999999" x14ac:dyDescent="0.3">
      <c r="A3" s="217" t="s">
        <v>43</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8"/>
    </row>
    <row r="4" spans="1:37" ht="17.399999999999999" x14ac:dyDescent="0.3">
      <c r="A4" s="218" t="s">
        <v>234</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7"/>
    </row>
    <row r="5" spans="1:37" ht="17.399999999999999" x14ac:dyDescent="0.3">
      <c r="A5" s="219" t="s">
        <v>2</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7"/>
    </row>
    <row r="6" spans="1:37" ht="17.399999999999999" x14ac:dyDescent="0.3">
      <c r="A6" s="216" t="s">
        <v>43</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7"/>
    </row>
    <row r="7" spans="1:37" s="12" customFormat="1" ht="81" customHeight="1" x14ac:dyDescent="0.3">
      <c r="A7" s="226" t="s">
        <v>3</v>
      </c>
      <c r="B7" s="226" t="s">
        <v>4</v>
      </c>
      <c r="C7" s="227" t="s">
        <v>5</v>
      </c>
      <c r="D7" s="227" t="s">
        <v>239</v>
      </c>
      <c r="E7" s="220" t="s">
        <v>6</v>
      </c>
      <c r="F7" s="221"/>
      <c r="G7" s="228"/>
      <c r="H7" s="220" t="s">
        <v>134</v>
      </c>
      <c r="I7" s="228"/>
      <c r="J7" s="220" t="s">
        <v>131</v>
      </c>
      <c r="K7" s="221"/>
      <c r="L7" s="220" t="s">
        <v>7</v>
      </c>
      <c r="M7" s="221"/>
      <c r="N7" s="221"/>
      <c r="O7" s="221"/>
      <c r="P7" s="221"/>
      <c r="Q7" s="221"/>
      <c r="R7" s="221"/>
      <c r="S7" s="228"/>
      <c r="T7" s="220" t="s">
        <v>46</v>
      </c>
      <c r="U7" s="221"/>
      <c r="V7" s="221"/>
      <c r="W7" s="221"/>
      <c r="X7" s="221"/>
      <c r="Y7" s="228"/>
      <c r="Z7" s="220" t="s">
        <v>132</v>
      </c>
      <c r="AA7" s="228"/>
      <c r="AB7" s="220" t="s">
        <v>133</v>
      </c>
      <c r="AC7" s="221"/>
      <c r="AD7" s="221"/>
      <c r="AE7" s="224" t="s">
        <v>8</v>
      </c>
      <c r="AF7" s="10"/>
      <c r="AG7" s="11"/>
      <c r="AH7" s="11"/>
      <c r="AI7" s="11"/>
      <c r="AJ7" s="11"/>
      <c r="AK7" s="11"/>
    </row>
    <row r="8" spans="1:37" s="12" customFormat="1" ht="18" customHeight="1" x14ac:dyDescent="0.3">
      <c r="A8" s="226"/>
      <c r="B8" s="226"/>
      <c r="C8" s="227"/>
      <c r="D8" s="227"/>
      <c r="E8" s="229"/>
      <c r="F8" s="230"/>
      <c r="G8" s="231"/>
      <c r="H8" s="229"/>
      <c r="I8" s="231"/>
      <c r="J8" s="222"/>
      <c r="K8" s="223"/>
      <c r="L8" s="222"/>
      <c r="M8" s="223"/>
      <c r="N8" s="223"/>
      <c r="O8" s="223"/>
      <c r="P8" s="223"/>
      <c r="Q8" s="223"/>
      <c r="R8" s="223"/>
      <c r="S8" s="232"/>
      <c r="T8" s="222"/>
      <c r="U8" s="223"/>
      <c r="V8" s="223"/>
      <c r="W8" s="223"/>
      <c r="X8" s="223"/>
      <c r="Y8" s="232"/>
      <c r="Z8" s="222"/>
      <c r="AA8" s="232"/>
      <c r="AB8" s="222"/>
      <c r="AC8" s="223"/>
      <c r="AD8" s="223"/>
      <c r="AE8" s="225"/>
      <c r="AF8" s="10"/>
    </row>
    <row r="9" spans="1:37" s="12" customFormat="1" ht="15.75" customHeight="1" x14ac:dyDescent="0.3">
      <c r="A9" s="226"/>
      <c r="B9" s="226"/>
      <c r="C9" s="227"/>
      <c r="D9" s="227"/>
      <c r="E9" s="222"/>
      <c r="F9" s="223"/>
      <c r="G9" s="232"/>
      <c r="H9" s="222"/>
      <c r="I9" s="232"/>
      <c r="J9" s="247">
        <v>2022</v>
      </c>
      <c r="K9" s="248"/>
      <c r="L9" s="233" t="s">
        <v>9</v>
      </c>
      <c r="M9" s="235"/>
      <c r="N9" s="233" t="s">
        <v>10</v>
      </c>
      <c r="O9" s="235"/>
      <c r="P9" s="233" t="s">
        <v>11</v>
      </c>
      <c r="Q9" s="235"/>
      <c r="R9" s="233" t="s">
        <v>12</v>
      </c>
      <c r="S9" s="235"/>
      <c r="T9" s="233">
        <v>2022</v>
      </c>
      <c r="U9" s="234"/>
      <c r="V9" s="234"/>
      <c r="W9" s="234"/>
      <c r="X9" s="234"/>
      <c r="Y9" s="235"/>
      <c r="Z9" s="233">
        <v>2022</v>
      </c>
      <c r="AA9" s="235"/>
      <c r="AB9" s="233">
        <v>2022</v>
      </c>
      <c r="AC9" s="234"/>
      <c r="AD9" s="235"/>
      <c r="AE9" s="19"/>
      <c r="AF9" s="10"/>
    </row>
    <row r="10" spans="1:37" s="13" customFormat="1" ht="17.399999999999999" x14ac:dyDescent="0.3">
      <c r="A10" s="239">
        <v>1</v>
      </c>
      <c r="B10" s="239">
        <v>2</v>
      </c>
      <c r="C10" s="239">
        <v>3</v>
      </c>
      <c r="D10" s="239">
        <v>4</v>
      </c>
      <c r="E10" s="242">
        <v>5</v>
      </c>
      <c r="F10" s="243"/>
      <c r="G10" s="244"/>
      <c r="H10" s="242">
        <v>6</v>
      </c>
      <c r="I10" s="244"/>
      <c r="J10" s="245">
        <v>7</v>
      </c>
      <c r="K10" s="246"/>
      <c r="L10" s="245">
        <v>8</v>
      </c>
      <c r="M10" s="246"/>
      <c r="N10" s="245">
        <v>9</v>
      </c>
      <c r="O10" s="246"/>
      <c r="P10" s="245">
        <v>10</v>
      </c>
      <c r="Q10" s="246"/>
      <c r="R10" s="245">
        <v>11</v>
      </c>
      <c r="S10" s="246"/>
      <c r="T10" s="236">
        <v>12</v>
      </c>
      <c r="U10" s="237"/>
      <c r="V10" s="237"/>
      <c r="W10" s="237"/>
      <c r="X10" s="237"/>
      <c r="Y10" s="238"/>
      <c r="Z10" s="236">
        <v>13</v>
      </c>
      <c r="AA10" s="238"/>
      <c r="AB10" s="236">
        <v>14</v>
      </c>
      <c r="AC10" s="237"/>
      <c r="AD10" s="238"/>
      <c r="AE10" s="20">
        <v>15</v>
      </c>
      <c r="AF10" s="10"/>
    </row>
    <row r="11" spans="1:37" s="13" customFormat="1" ht="87" customHeight="1" x14ac:dyDescent="0.3">
      <c r="A11" s="240"/>
      <c r="B11" s="240"/>
      <c r="C11" s="240"/>
      <c r="D11" s="240"/>
      <c r="E11" s="249" t="s">
        <v>13</v>
      </c>
      <c r="F11" s="250"/>
      <c r="G11" s="241" t="s">
        <v>14</v>
      </c>
      <c r="H11" s="249" t="s">
        <v>13</v>
      </c>
      <c r="I11" s="241" t="s">
        <v>14</v>
      </c>
      <c r="J11" s="249" t="s">
        <v>13</v>
      </c>
      <c r="K11" s="239" t="s">
        <v>14</v>
      </c>
      <c r="L11" s="249" t="s">
        <v>13</v>
      </c>
      <c r="M11" s="239" t="s">
        <v>14</v>
      </c>
      <c r="N11" s="249" t="s">
        <v>13</v>
      </c>
      <c r="O11" s="239" t="s">
        <v>14</v>
      </c>
      <c r="P11" s="261" t="s">
        <v>13</v>
      </c>
      <c r="Q11" s="239" t="s">
        <v>14</v>
      </c>
      <c r="R11" s="249" t="s">
        <v>13</v>
      </c>
      <c r="S11" s="239" t="s">
        <v>14</v>
      </c>
      <c r="T11" s="21" t="s">
        <v>15</v>
      </c>
      <c r="U11" s="242" t="s">
        <v>47</v>
      </c>
      <c r="V11" s="244"/>
      <c r="W11" s="22" t="s">
        <v>16</v>
      </c>
      <c r="X11" s="242" t="s">
        <v>47</v>
      </c>
      <c r="Y11" s="244"/>
      <c r="Z11" s="21" t="s">
        <v>17</v>
      </c>
      <c r="AA11" s="22" t="s">
        <v>18</v>
      </c>
      <c r="AB11" s="242" t="s">
        <v>19</v>
      </c>
      <c r="AC11" s="244"/>
      <c r="AD11" s="22" t="s">
        <v>20</v>
      </c>
      <c r="AE11" s="23"/>
      <c r="AF11" s="10"/>
    </row>
    <row r="12" spans="1:37" s="13" customFormat="1" ht="17.399999999999999" x14ac:dyDescent="0.3">
      <c r="A12" s="241"/>
      <c r="B12" s="241"/>
      <c r="C12" s="241"/>
      <c r="D12" s="241"/>
      <c r="E12" s="251"/>
      <c r="F12" s="252"/>
      <c r="G12" s="239"/>
      <c r="H12" s="251"/>
      <c r="I12" s="239"/>
      <c r="J12" s="251"/>
      <c r="K12" s="240"/>
      <c r="L12" s="251"/>
      <c r="M12" s="241"/>
      <c r="N12" s="251"/>
      <c r="O12" s="241"/>
      <c r="P12" s="262"/>
      <c r="Q12" s="241"/>
      <c r="R12" s="251"/>
      <c r="S12" s="241"/>
      <c r="T12" s="24" t="s">
        <v>13</v>
      </c>
      <c r="U12" s="251" t="s">
        <v>13</v>
      </c>
      <c r="V12" s="252"/>
      <c r="W12" s="25" t="s">
        <v>14</v>
      </c>
      <c r="X12" s="251" t="s">
        <v>14</v>
      </c>
      <c r="Y12" s="252"/>
      <c r="Z12" s="24" t="s">
        <v>13</v>
      </c>
      <c r="AA12" s="25" t="s">
        <v>14</v>
      </c>
      <c r="AB12" s="251" t="s">
        <v>13</v>
      </c>
      <c r="AC12" s="252"/>
      <c r="AD12" s="25" t="s">
        <v>14</v>
      </c>
      <c r="AE12" s="26"/>
      <c r="AF12" s="10"/>
    </row>
    <row r="13" spans="1:37" s="12" customFormat="1" ht="114.75" customHeight="1" x14ac:dyDescent="0.3">
      <c r="A13" s="29">
        <v>1</v>
      </c>
      <c r="B13" s="30" t="s">
        <v>21</v>
      </c>
      <c r="C13" s="259" t="s">
        <v>54</v>
      </c>
      <c r="D13" s="31" t="s">
        <v>124</v>
      </c>
      <c r="E13" s="32">
        <v>100</v>
      </c>
      <c r="F13" s="33" t="s">
        <v>118</v>
      </c>
      <c r="G13" s="34">
        <f>G15+G18+G23+G30+G32+G36</f>
        <v>10540660887</v>
      </c>
      <c r="H13" s="35">
        <v>200</v>
      </c>
      <c r="I13" s="34">
        <f>I15+I18+I23+I30+I32+I36</f>
        <v>6425858917</v>
      </c>
      <c r="J13" s="35">
        <v>100</v>
      </c>
      <c r="K13" s="34">
        <f>K15+K18+K23+K30+K32+K36</f>
        <v>3604759455</v>
      </c>
      <c r="L13" s="36">
        <v>100</v>
      </c>
      <c r="M13" s="34">
        <f>M15+M18+M23+M30+M32+M36</f>
        <v>582894437</v>
      </c>
      <c r="N13" s="36">
        <v>100</v>
      </c>
      <c r="O13" s="34">
        <f>O15+O18+O23+O30+O32+O36</f>
        <v>1006655472</v>
      </c>
      <c r="P13" s="153">
        <v>100</v>
      </c>
      <c r="Q13" s="37">
        <f>Q15+Q18+Q23+Q30+Q32+Q36</f>
        <v>794068555</v>
      </c>
      <c r="R13" s="38"/>
      <c r="S13" s="37"/>
      <c r="T13" s="39">
        <f>AVERAGE(L13,N13,P13,R13)</f>
        <v>100</v>
      </c>
      <c r="U13" s="40">
        <f t="shared" ref="U13:U38" si="0">T13/J13*100</f>
        <v>100</v>
      </c>
      <c r="V13" s="41" t="s">
        <v>118</v>
      </c>
      <c r="W13" s="42">
        <f t="shared" ref="W13:W45" si="1">SUM(M13,O13,Q13,S13)</f>
        <v>2383618464</v>
      </c>
      <c r="X13" s="43">
        <f t="shared" ref="X13:X45" si="2">W13/K13*100</f>
        <v>66.124203119678057</v>
      </c>
      <c r="Y13" s="29" t="s">
        <v>118</v>
      </c>
      <c r="Z13" s="39">
        <f t="shared" ref="Z13:Z41" si="3">SUM(H13,T13)</f>
        <v>300</v>
      </c>
      <c r="AA13" s="42">
        <f t="shared" ref="AA13:AA45" si="4">SUM(I13,W13)</f>
        <v>8809477381</v>
      </c>
      <c r="AB13" s="43"/>
      <c r="AC13" s="41" t="s">
        <v>118</v>
      </c>
      <c r="AD13" s="43"/>
      <c r="AE13" s="44" t="s">
        <v>44</v>
      </c>
      <c r="AF13" s="10"/>
      <c r="AH13" s="14">
        <f>M13+O13+Q13+S13</f>
        <v>2383618464</v>
      </c>
    </row>
    <row r="14" spans="1:37" s="12" customFormat="1" ht="114.75" customHeight="1" x14ac:dyDescent="0.3">
      <c r="A14" s="29"/>
      <c r="B14" s="45"/>
      <c r="C14" s="260"/>
      <c r="D14" s="31" t="s">
        <v>226</v>
      </c>
      <c r="E14" s="32">
        <v>100</v>
      </c>
      <c r="F14" s="33" t="s">
        <v>118</v>
      </c>
      <c r="G14" s="46"/>
      <c r="H14" s="35">
        <v>200</v>
      </c>
      <c r="I14" s="46"/>
      <c r="J14" s="35">
        <v>100</v>
      </c>
      <c r="K14" s="46"/>
      <c r="L14" s="36">
        <v>25</v>
      </c>
      <c r="M14" s="46"/>
      <c r="N14" s="36">
        <v>25</v>
      </c>
      <c r="O14" s="46"/>
      <c r="P14" s="153">
        <v>25</v>
      </c>
      <c r="Q14" s="46"/>
      <c r="R14" s="38"/>
      <c r="S14" s="46"/>
      <c r="T14" s="39">
        <f>SUM(L14,N14,P14,R14)</f>
        <v>75</v>
      </c>
      <c r="U14" s="40">
        <f t="shared" ref="U14" si="5">T14/J14*100</f>
        <v>75</v>
      </c>
      <c r="V14" s="41" t="s">
        <v>118</v>
      </c>
      <c r="W14" s="47"/>
      <c r="X14" s="43"/>
      <c r="Y14" s="48"/>
      <c r="Z14" s="39">
        <f t="shared" si="3"/>
        <v>275</v>
      </c>
      <c r="AA14" s="47"/>
      <c r="AB14" s="49"/>
      <c r="AC14" s="48"/>
      <c r="AD14" s="49"/>
      <c r="AE14" s="44"/>
      <c r="AF14" s="10"/>
      <c r="AH14" s="14"/>
    </row>
    <row r="15" spans="1:37" s="12" customFormat="1" ht="100.95" customHeight="1" x14ac:dyDescent="0.3">
      <c r="A15" s="29">
        <v>2</v>
      </c>
      <c r="B15" s="50" t="s">
        <v>22</v>
      </c>
      <c r="C15" s="51" t="s">
        <v>52</v>
      </c>
      <c r="D15" s="30" t="s">
        <v>227</v>
      </c>
      <c r="E15" s="32">
        <f>15*3</f>
        <v>45</v>
      </c>
      <c r="F15" s="52" t="s">
        <v>228</v>
      </c>
      <c r="G15" s="46">
        <f>SUM(G16:G17)</f>
        <v>26594400</v>
      </c>
      <c r="H15" s="32">
        <v>30</v>
      </c>
      <c r="I15" s="46">
        <f>SUM(I16:I17)</f>
        <v>14467700</v>
      </c>
      <c r="J15" s="53">
        <v>15</v>
      </c>
      <c r="K15" s="46">
        <f>SUM(K16:K17)</f>
        <v>7594400</v>
      </c>
      <c r="L15" s="54">
        <f>L16+L17</f>
        <v>3</v>
      </c>
      <c r="M15" s="37">
        <f>SUM(M16:M17)</f>
        <v>0</v>
      </c>
      <c r="N15" s="54">
        <f>N16+N17</f>
        <v>2</v>
      </c>
      <c r="O15" s="37">
        <f>SUM(O16:O17)</f>
        <v>0</v>
      </c>
      <c r="P15" s="154">
        <f>P16+P17</f>
        <v>0</v>
      </c>
      <c r="Q15" s="37">
        <f>SUM(Q16:Q17)</f>
        <v>2184500</v>
      </c>
      <c r="R15" s="55"/>
      <c r="S15" s="37"/>
      <c r="T15" s="56">
        <f>SUM(L15,N15,P15,R15)</f>
        <v>5</v>
      </c>
      <c r="U15" s="43">
        <f t="shared" si="0"/>
        <v>33.333333333333329</v>
      </c>
      <c r="V15" s="41" t="s">
        <v>118</v>
      </c>
      <c r="W15" s="47">
        <f t="shared" si="1"/>
        <v>2184500</v>
      </c>
      <c r="X15" s="49">
        <f t="shared" si="2"/>
        <v>28.764616032866325</v>
      </c>
      <c r="Y15" s="48" t="s">
        <v>118</v>
      </c>
      <c r="Z15" s="57">
        <f>SUM(H15,T15)</f>
        <v>35</v>
      </c>
      <c r="AA15" s="47">
        <f>SUM(I15,W15)</f>
        <v>16652200</v>
      </c>
      <c r="AB15" s="49"/>
      <c r="AC15" s="48" t="s">
        <v>118</v>
      </c>
      <c r="AD15" s="49"/>
      <c r="AE15" s="44"/>
      <c r="AF15" s="10"/>
      <c r="AH15" s="14"/>
    </row>
    <row r="16" spans="1:37" s="12" customFormat="1" ht="69.599999999999994" customHeight="1" x14ac:dyDescent="0.3">
      <c r="A16" s="58"/>
      <c r="B16" s="45"/>
      <c r="C16" s="59" t="s">
        <v>53</v>
      </c>
      <c r="D16" s="60" t="s">
        <v>146</v>
      </c>
      <c r="E16" s="61">
        <f>5*3</f>
        <v>15</v>
      </c>
      <c r="F16" s="62" t="s">
        <v>116</v>
      </c>
      <c r="G16" s="63">
        <f>8000000+6398100+8000000</f>
        <v>22398100</v>
      </c>
      <c r="H16" s="61">
        <v>10</v>
      </c>
      <c r="I16" s="63">
        <v>12967700</v>
      </c>
      <c r="J16" s="61">
        <v>5</v>
      </c>
      <c r="K16" s="63">
        <v>6398100</v>
      </c>
      <c r="L16" s="61">
        <v>1</v>
      </c>
      <c r="M16" s="63">
        <v>0</v>
      </c>
      <c r="N16" s="61">
        <v>1</v>
      </c>
      <c r="O16" s="63">
        <v>0</v>
      </c>
      <c r="P16" s="155">
        <v>0</v>
      </c>
      <c r="Q16" s="63">
        <v>2184500</v>
      </c>
      <c r="R16" s="61"/>
      <c r="S16" s="63"/>
      <c r="T16" s="64">
        <f>SUM(L16,N16,P16,R16)</f>
        <v>2</v>
      </c>
      <c r="U16" s="65">
        <f t="shared" si="0"/>
        <v>40</v>
      </c>
      <c r="V16" s="66" t="s">
        <v>118</v>
      </c>
      <c r="W16" s="67">
        <f t="shared" si="1"/>
        <v>2184500</v>
      </c>
      <c r="X16" s="68">
        <f t="shared" si="2"/>
        <v>34.142948687891717</v>
      </c>
      <c r="Y16" s="66" t="s">
        <v>118</v>
      </c>
      <c r="Z16" s="64">
        <f t="shared" si="3"/>
        <v>12</v>
      </c>
      <c r="AA16" s="67">
        <f t="shared" si="4"/>
        <v>15152200</v>
      </c>
      <c r="AB16" s="68"/>
      <c r="AC16" s="66" t="s">
        <v>118</v>
      </c>
      <c r="AD16" s="68"/>
      <c r="AE16" s="69"/>
      <c r="AF16" s="10"/>
      <c r="AH16" s="14"/>
    </row>
    <row r="17" spans="1:34" s="12" customFormat="1" ht="54.6" customHeight="1" x14ac:dyDescent="0.3">
      <c r="A17" s="58"/>
      <c r="B17" s="45"/>
      <c r="C17" s="70" t="s">
        <v>55</v>
      </c>
      <c r="D17" s="60" t="s">
        <v>147</v>
      </c>
      <c r="E17" s="61">
        <f>10*3</f>
        <v>30</v>
      </c>
      <c r="F17" s="62" t="s">
        <v>148</v>
      </c>
      <c r="G17" s="63">
        <f>1500000+1196300+1500000</f>
        <v>4196300</v>
      </c>
      <c r="H17" s="61">
        <v>20</v>
      </c>
      <c r="I17" s="63">
        <v>1500000</v>
      </c>
      <c r="J17" s="61">
        <v>10</v>
      </c>
      <c r="K17" s="63">
        <v>1196300</v>
      </c>
      <c r="L17" s="61">
        <v>2</v>
      </c>
      <c r="M17" s="63">
        <v>0</v>
      </c>
      <c r="N17" s="61">
        <v>1</v>
      </c>
      <c r="O17" s="63">
        <v>0</v>
      </c>
      <c r="P17" s="155">
        <v>0</v>
      </c>
      <c r="Q17" s="63">
        <v>0</v>
      </c>
      <c r="R17" s="61"/>
      <c r="S17" s="63"/>
      <c r="T17" s="64">
        <f>SUM(L17,N17,P17,R17)</f>
        <v>3</v>
      </c>
      <c r="U17" s="65">
        <f t="shared" si="0"/>
        <v>30</v>
      </c>
      <c r="V17" s="66" t="s">
        <v>118</v>
      </c>
      <c r="W17" s="67">
        <f t="shared" si="1"/>
        <v>0</v>
      </c>
      <c r="X17" s="68">
        <f t="shared" si="2"/>
        <v>0</v>
      </c>
      <c r="Y17" s="66" t="s">
        <v>118</v>
      </c>
      <c r="Z17" s="64">
        <f t="shared" si="3"/>
        <v>23</v>
      </c>
      <c r="AA17" s="67">
        <f t="shared" si="4"/>
        <v>1500000</v>
      </c>
      <c r="AB17" s="68"/>
      <c r="AC17" s="66" t="s">
        <v>118</v>
      </c>
      <c r="AD17" s="68"/>
      <c r="AE17" s="69"/>
      <c r="AF17" s="10"/>
      <c r="AH17" s="14"/>
    </row>
    <row r="18" spans="1:34" s="12" customFormat="1" ht="68.400000000000006" customHeight="1" x14ac:dyDescent="0.3">
      <c r="A18" s="71"/>
      <c r="B18" s="69"/>
      <c r="C18" s="50" t="s">
        <v>56</v>
      </c>
      <c r="D18" s="30" t="s">
        <v>229</v>
      </c>
      <c r="E18" s="53">
        <f>14*3</f>
        <v>42</v>
      </c>
      <c r="F18" s="72" t="s">
        <v>228</v>
      </c>
      <c r="G18" s="46">
        <f>SUM(G19:G22)</f>
        <v>9295861668</v>
      </c>
      <c r="H18" s="53">
        <f>14*3</f>
        <v>42</v>
      </c>
      <c r="I18" s="46">
        <f>SUM(I19:I22)</f>
        <v>5635043043</v>
      </c>
      <c r="J18" s="73">
        <v>14</v>
      </c>
      <c r="K18" s="46">
        <f>SUM(K19:K22)</f>
        <v>2939743786</v>
      </c>
      <c r="L18" s="73">
        <v>4</v>
      </c>
      <c r="M18" s="46">
        <f>SUM(M19:M22)</f>
        <v>536566108</v>
      </c>
      <c r="N18" s="73">
        <v>3</v>
      </c>
      <c r="O18" s="46">
        <f>SUM(O19:O22)</f>
        <v>890640938</v>
      </c>
      <c r="P18" s="156">
        <v>3</v>
      </c>
      <c r="Q18" s="46">
        <v>727647146</v>
      </c>
      <c r="R18" s="73"/>
      <c r="S18" s="46"/>
      <c r="T18" s="39">
        <f>SUM(L18,N18,P18,R18)</f>
        <v>10</v>
      </c>
      <c r="U18" s="43">
        <f t="shared" si="0"/>
        <v>71.428571428571431</v>
      </c>
      <c r="V18" s="41" t="s">
        <v>118</v>
      </c>
      <c r="W18" s="42">
        <f>SUM(M18,O18,Q18,S18)</f>
        <v>2154854192</v>
      </c>
      <c r="X18" s="43">
        <f t="shared" si="2"/>
        <v>73.300748257793927</v>
      </c>
      <c r="Y18" s="41" t="s">
        <v>118</v>
      </c>
      <c r="Z18" s="39">
        <f t="shared" si="3"/>
        <v>52</v>
      </c>
      <c r="AA18" s="42">
        <f t="shared" si="4"/>
        <v>7789897235</v>
      </c>
      <c r="AB18" s="43"/>
      <c r="AC18" s="41" t="s">
        <v>118</v>
      </c>
      <c r="AD18" s="43"/>
      <c r="AE18" s="69"/>
      <c r="AF18" s="10"/>
      <c r="AH18" s="14"/>
    </row>
    <row r="19" spans="1:34" s="12" customFormat="1" ht="52.2" x14ac:dyDescent="0.3">
      <c r="A19" s="58"/>
      <c r="B19" s="45"/>
      <c r="C19" s="60" t="s">
        <v>57</v>
      </c>
      <c r="D19" s="74" t="s">
        <v>149</v>
      </c>
      <c r="E19" s="75">
        <v>25</v>
      </c>
      <c r="F19" s="76" t="s">
        <v>153</v>
      </c>
      <c r="G19" s="77">
        <f>3219343943+2843166082+3219343943</f>
        <v>9281853968</v>
      </c>
      <c r="H19" s="78">
        <v>52</v>
      </c>
      <c r="I19" s="79">
        <v>5627798043</v>
      </c>
      <c r="J19" s="61">
        <v>25</v>
      </c>
      <c r="K19" s="77">
        <v>2935735936</v>
      </c>
      <c r="L19" s="61">
        <v>25</v>
      </c>
      <c r="M19" s="77">
        <v>536031358</v>
      </c>
      <c r="N19" s="61">
        <v>25</v>
      </c>
      <c r="O19" s="77">
        <f>1425047546-M19</f>
        <v>889016188</v>
      </c>
      <c r="P19" s="155">
        <v>25</v>
      </c>
      <c r="Q19" s="77">
        <v>727647146</v>
      </c>
      <c r="R19" s="80"/>
      <c r="S19" s="77"/>
      <c r="T19" s="64">
        <f>AVERAGE(L19,N19,P19,R19)</f>
        <v>25</v>
      </c>
      <c r="U19" s="65">
        <f t="shared" si="0"/>
        <v>100</v>
      </c>
      <c r="V19" s="66" t="s">
        <v>118</v>
      </c>
      <c r="W19" s="67">
        <f t="shared" si="1"/>
        <v>2152694692</v>
      </c>
      <c r="X19" s="68">
        <f t="shared" si="2"/>
        <v>73.327258954124133</v>
      </c>
      <c r="Y19" s="66" t="s">
        <v>118</v>
      </c>
      <c r="Z19" s="64">
        <f t="shared" si="3"/>
        <v>77</v>
      </c>
      <c r="AA19" s="67">
        <f t="shared" si="4"/>
        <v>7780492735</v>
      </c>
      <c r="AB19" s="68"/>
      <c r="AC19" s="66" t="s">
        <v>118</v>
      </c>
      <c r="AD19" s="68"/>
      <c r="AE19" s="81"/>
      <c r="AF19" s="10"/>
      <c r="AH19" s="14">
        <f>M19+O19+Q19+S19</f>
        <v>2152694692</v>
      </c>
    </row>
    <row r="20" spans="1:34" s="12" customFormat="1" ht="87" x14ac:dyDescent="0.3">
      <c r="A20" s="58"/>
      <c r="B20" s="45"/>
      <c r="C20" s="82" t="s">
        <v>58</v>
      </c>
      <c r="D20" s="60" t="s">
        <v>150</v>
      </c>
      <c r="E20" s="61">
        <v>1</v>
      </c>
      <c r="F20" s="76" t="s">
        <v>148</v>
      </c>
      <c r="G20" s="63">
        <f>2000000+1602500+2000000</f>
        <v>5602500</v>
      </c>
      <c r="H20" s="61">
        <v>2</v>
      </c>
      <c r="I20" s="83">
        <v>4245000</v>
      </c>
      <c r="J20" s="61">
        <v>1</v>
      </c>
      <c r="K20" s="63">
        <v>1602650</v>
      </c>
      <c r="L20" s="61">
        <v>1</v>
      </c>
      <c r="M20" s="63">
        <v>534750</v>
      </c>
      <c r="N20" s="61">
        <v>0</v>
      </c>
      <c r="O20" s="63">
        <f>1602600-M20</f>
        <v>1067850</v>
      </c>
      <c r="P20" s="155">
        <v>0</v>
      </c>
      <c r="Q20" s="63">
        <v>0</v>
      </c>
      <c r="R20" s="61"/>
      <c r="S20" s="63"/>
      <c r="T20" s="64">
        <f t="shared" ref="T20:T41" si="6">SUM(L20,N20,P20,R20)</f>
        <v>1</v>
      </c>
      <c r="U20" s="65">
        <f t="shared" si="0"/>
        <v>100</v>
      </c>
      <c r="V20" s="66" t="s">
        <v>118</v>
      </c>
      <c r="W20" s="67">
        <f t="shared" si="1"/>
        <v>1602600</v>
      </c>
      <c r="X20" s="68">
        <f t="shared" si="2"/>
        <v>99.99688016722304</v>
      </c>
      <c r="Y20" s="66" t="s">
        <v>118</v>
      </c>
      <c r="Z20" s="64">
        <f t="shared" si="3"/>
        <v>3</v>
      </c>
      <c r="AA20" s="67">
        <f t="shared" si="4"/>
        <v>5847600</v>
      </c>
      <c r="AB20" s="68"/>
      <c r="AC20" s="66" t="s">
        <v>118</v>
      </c>
      <c r="AD20" s="68"/>
      <c r="AE20" s="69"/>
      <c r="AF20" s="10"/>
      <c r="AH20" s="14">
        <f>M20+O20+Q20+S20</f>
        <v>1602600</v>
      </c>
    </row>
    <row r="21" spans="1:34" s="12" customFormat="1" ht="121.8" x14ac:dyDescent="0.3">
      <c r="A21" s="58"/>
      <c r="B21" s="45"/>
      <c r="C21" s="60" t="s">
        <v>59</v>
      </c>
      <c r="D21" s="60" t="s">
        <v>151</v>
      </c>
      <c r="E21" s="61">
        <v>12</v>
      </c>
      <c r="F21" s="76" t="s">
        <v>148</v>
      </c>
      <c r="G21" s="63">
        <f>1500000+1202400+1500000</f>
        <v>4202400</v>
      </c>
      <c r="H21" s="61">
        <v>24</v>
      </c>
      <c r="I21" s="83">
        <v>1500000</v>
      </c>
      <c r="J21" s="61">
        <v>12</v>
      </c>
      <c r="K21" s="63">
        <v>1202400</v>
      </c>
      <c r="L21" s="61">
        <v>3</v>
      </c>
      <c r="M21" s="63">
        <v>0</v>
      </c>
      <c r="N21" s="61">
        <v>3</v>
      </c>
      <c r="O21" s="63">
        <v>556900</v>
      </c>
      <c r="P21" s="155">
        <v>3</v>
      </c>
      <c r="Q21" s="63">
        <v>527500</v>
      </c>
      <c r="R21" s="61"/>
      <c r="S21" s="63"/>
      <c r="T21" s="64">
        <f t="shared" si="6"/>
        <v>9</v>
      </c>
      <c r="U21" s="65">
        <f t="shared" si="0"/>
        <v>75</v>
      </c>
      <c r="V21" s="66" t="s">
        <v>118</v>
      </c>
      <c r="W21" s="67">
        <f t="shared" si="1"/>
        <v>1084400</v>
      </c>
      <c r="X21" s="68">
        <f t="shared" si="2"/>
        <v>90.186294078509647</v>
      </c>
      <c r="Y21" s="66" t="s">
        <v>118</v>
      </c>
      <c r="Z21" s="64">
        <f t="shared" si="3"/>
        <v>33</v>
      </c>
      <c r="AA21" s="67">
        <f t="shared" si="4"/>
        <v>2584400</v>
      </c>
      <c r="AB21" s="68"/>
      <c r="AC21" s="66" t="s">
        <v>118</v>
      </c>
      <c r="AD21" s="68"/>
      <c r="AE21" s="69"/>
      <c r="AF21" s="10"/>
      <c r="AH21" s="14">
        <f>M21+O21+Q21+S21</f>
        <v>1084400</v>
      </c>
    </row>
    <row r="22" spans="1:34" s="12" customFormat="1" ht="87" x14ac:dyDescent="0.3">
      <c r="A22" s="58"/>
      <c r="B22" s="45"/>
      <c r="C22" s="74" t="s">
        <v>60</v>
      </c>
      <c r="D22" s="60" t="s">
        <v>152</v>
      </c>
      <c r="E22" s="61">
        <v>1</v>
      </c>
      <c r="F22" s="76" t="s">
        <v>116</v>
      </c>
      <c r="G22" s="63">
        <f>1500000+1202800+1500000</f>
        <v>4202800</v>
      </c>
      <c r="H22" s="61">
        <v>2</v>
      </c>
      <c r="I22" s="83">
        <v>1500000</v>
      </c>
      <c r="J22" s="61">
        <v>1</v>
      </c>
      <c r="K22" s="63">
        <v>1202800</v>
      </c>
      <c r="L22" s="61">
        <v>0</v>
      </c>
      <c r="M22" s="63">
        <v>0</v>
      </c>
      <c r="N22" s="80">
        <v>0</v>
      </c>
      <c r="O22" s="63">
        <v>0</v>
      </c>
      <c r="P22" s="157">
        <v>1</v>
      </c>
      <c r="Q22" s="63">
        <v>1202800</v>
      </c>
      <c r="R22" s="80"/>
      <c r="S22" s="63"/>
      <c r="T22" s="64">
        <f t="shared" si="6"/>
        <v>1</v>
      </c>
      <c r="U22" s="65">
        <f t="shared" si="0"/>
        <v>100</v>
      </c>
      <c r="V22" s="66" t="s">
        <v>118</v>
      </c>
      <c r="W22" s="67">
        <f t="shared" si="1"/>
        <v>1202800</v>
      </c>
      <c r="X22" s="68">
        <f t="shared" si="2"/>
        <v>100</v>
      </c>
      <c r="Y22" s="66" t="s">
        <v>118</v>
      </c>
      <c r="Z22" s="64">
        <f t="shared" si="3"/>
        <v>3</v>
      </c>
      <c r="AA22" s="67">
        <f t="shared" si="4"/>
        <v>2702800</v>
      </c>
      <c r="AB22" s="68"/>
      <c r="AC22" s="66" t="s">
        <v>118</v>
      </c>
      <c r="AD22" s="68"/>
      <c r="AE22" s="69"/>
      <c r="AF22" s="10"/>
      <c r="AH22" s="14">
        <f>M22+O22+Q22+S22</f>
        <v>1202800</v>
      </c>
    </row>
    <row r="23" spans="1:34" s="12" customFormat="1" ht="84.6" customHeight="1" x14ac:dyDescent="0.3">
      <c r="A23" s="58"/>
      <c r="B23" s="45"/>
      <c r="C23" s="84" t="s">
        <v>117</v>
      </c>
      <c r="D23" s="30" t="s">
        <v>230</v>
      </c>
      <c r="E23" s="73">
        <f>12*4</f>
        <v>48</v>
      </c>
      <c r="F23" s="85" t="s">
        <v>231</v>
      </c>
      <c r="G23" s="37">
        <f>SUM(G24:G29)</f>
        <v>550566400</v>
      </c>
      <c r="H23" s="73">
        <f>12*3</f>
        <v>36</v>
      </c>
      <c r="I23" s="37">
        <f>SUM(I24:I29)</f>
        <v>354138593</v>
      </c>
      <c r="J23" s="73">
        <v>12</v>
      </c>
      <c r="K23" s="37">
        <f>SUM(K24:K29)</f>
        <v>272666850</v>
      </c>
      <c r="L23" s="73">
        <v>3</v>
      </c>
      <c r="M23" s="37">
        <f>SUM(M24:M29)</f>
        <v>22501900</v>
      </c>
      <c r="N23" s="73">
        <v>3</v>
      </c>
      <c r="O23" s="37">
        <f>SUM(O24:O29)</f>
        <v>73677000</v>
      </c>
      <c r="P23" s="156">
        <v>3</v>
      </c>
      <c r="Q23" s="37">
        <f>SUM(Q24:Q29)</f>
        <v>18137900</v>
      </c>
      <c r="R23" s="86"/>
      <c r="S23" s="37"/>
      <c r="T23" s="39">
        <f t="shared" si="6"/>
        <v>9</v>
      </c>
      <c r="U23" s="149">
        <f t="shared" si="0"/>
        <v>75</v>
      </c>
      <c r="V23" s="150" t="s">
        <v>118</v>
      </c>
      <c r="W23" s="151">
        <f t="shared" si="1"/>
        <v>114316800</v>
      </c>
      <c r="X23" s="152">
        <f t="shared" si="2"/>
        <v>41.925448583133594</v>
      </c>
      <c r="Y23" s="150" t="s">
        <v>118</v>
      </c>
      <c r="Z23" s="174">
        <f t="shared" si="3"/>
        <v>45</v>
      </c>
      <c r="AA23" s="42">
        <f t="shared" si="4"/>
        <v>468455393</v>
      </c>
      <c r="AB23" s="43"/>
      <c r="AC23" s="41" t="s">
        <v>118</v>
      </c>
      <c r="AD23" s="43"/>
      <c r="AE23" s="69"/>
      <c r="AF23" s="10"/>
      <c r="AH23" s="14"/>
    </row>
    <row r="24" spans="1:34" s="12" customFormat="1" ht="104.4" x14ac:dyDescent="0.3">
      <c r="A24" s="58"/>
      <c r="B24" s="45"/>
      <c r="C24" s="74" t="s">
        <v>61</v>
      </c>
      <c r="D24" s="60" t="s">
        <v>154</v>
      </c>
      <c r="E24" s="78">
        <v>12</v>
      </c>
      <c r="F24" s="62" t="s">
        <v>160</v>
      </c>
      <c r="G24" s="63">
        <f>2075000+1290600+2075000</f>
        <v>5440600</v>
      </c>
      <c r="H24" s="78">
        <v>24</v>
      </c>
      <c r="I24" s="63">
        <v>2075000</v>
      </c>
      <c r="J24" s="78">
        <v>12</v>
      </c>
      <c r="K24" s="63">
        <v>1290600</v>
      </c>
      <c r="L24" s="78">
        <v>3</v>
      </c>
      <c r="M24" s="63">
        <v>0</v>
      </c>
      <c r="N24" s="78">
        <v>3</v>
      </c>
      <c r="O24" s="63">
        <v>1243000</v>
      </c>
      <c r="P24" s="158">
        <v>3</v>
      </c>
      <c r="Q24" s="63">
        <v>0</v>
      </c>
      <c r="R24" s="78"/>
      <c r="S24" s="63"/>
      <c r="T24" s="64">
        <f t="shared" si="6"/>
        <v>9</v>
      </c>
      <c r="U24" s="65">
        <f t="shared" si="0"/>
        <v>75</v>
      </c>
      <c r="V24" s="66" t="s">
        <v>118</v>
      </c>
      <c r="W24" s="67">
        <f t="shared" si="1"/>
        <v>1243000</v>
      </c>
      <c r="X24" s="68">
        <f t="shared" si="2"/>
        <v>96.311792964512634</v>
      </c>
      <c r="Y24" s="66" t="s">
        <v>118</v>
      </c>
      <c r="Z24" s="64">
        <f t="shared" si="3"/>
        <v>33</v>
      </c>
      <c r="AA24" s="67">
        <f t="shared" si="4"/>
        <v>3318000</v>
      </c>
      <c r="AB24" s="68"/>
      <c r="AC24" s="66" t="s">
        <v>118</v>
      </c>
      <c r="AD24" s="68"/>
      <c r="AE24" s="69"/>
      <c r="AF24" s="10"/>
      <c r="AH24" s="14"/>
    </row>
    <row r="25" spans="1:34" s="12" customFormat="1" ht="63.75" customHeight="1" x14ac:dyDescent="0.3">
      <c r="A25" s="58"/>
      <c r="B25" s="45"/>
      <c r="C25" s="74" t="s">
        <v>62</v>
      </c>
      <c r="D25" s="60" t="s">
        <v>155</v>
      </c>
      <c r="E25" s="78">
        <v>12</v>
      </c>
      <c r="F25" s="62" t="s">
        <v>160</v>
      </c>
      <c r="G25" s="63">
        <f>29505300+33041900+33041900</f>
        <v>95589100</v>
      </c>
      <c r="H25" s="78">
        <v>24</v>
      </c>
      <c r="I25" s="63">
        <v>29505300</v>
      </c>
      <c r="J25" s="78">
        <v>12</v>
      </c>
      <c r="K25" s="63">
        <v>33041900</v>
      </c>
      <c r="L25" s="78">
        <v>3</v>
      </c>
      <c r="M25" s="63">
        <v>1210000</v>
      </c>
      <c r="N25" s="78">
        <v>3</v>
      </c>
      <c r="O25" s="63">
        <f>15910300-M25</f>
        <v>14700300</v>
      </c>
      <c r="P25" s="158">
        <v>3</v>
      </c>
      <c r="Q25" s="63">
        <v>7383000</v>
      </c>
      <c r="R25" s="78"/>
      <c r="S25" s="63"/>
      <c r="T25" s="64">
        <f t="shared" si="6"/>
        <v>9</v>
      </c>
      <c r="U25" s="65">
        <f t="shared" si="0"/>
        <v>75</v>
      </c>
      <c r="V25" s="66" t="s">
        <v>118</v>
      </c>
      <c r="W25" s="67">
        <f t="shared" si="1"/>
        <v>23293300</v>
      </c>
      <c r="X25" s="68">
        <f t="shared" si="2"/>
        <v>70.496248702405126</v>
      </c>
      <c r="Y25" s="66" t="s">
        <v>118</v>
      </c>
      <c r="Z25" s="64">
        <f t="shared" si="3"/>
        <v>33</v>
      </c>
      <c r="AA25" s="67">
        <f t="shared" si="4"/>
        <v>52798600</v>
      </c>
      <c r="AB25" s="68"/>
      <c r="AC25" s="66" t="s">
        <v>118</v>
      </c>
      <c r="AD25" s="68"/>
      <c r="AE25" s="69"/>
      <c r="AF25" s="10"/>
      <c r="AH25" s="14"/>
    </row>
    <row r="26" spans="1:34" s="12" customFormat="1" ht="63.75" customHeight="1" x14ac:dyDescent="0.3">
      <c r="A26" s="58"/>
      <c r="B26" s="45"/>
      <c r="C26" s="74" t="s">
        <v>63</v>
      </c>
      <c r="D26" s="74" t="s">
        <v>156</v>
      </c>
      <c r="E26" s="78">
        <v>12</v>
      </c>
      <c r="F26" s="62" t="s">
        <v>160</v>
      </c>
      <c r="G26" s="63">
        <f>37604000+32811500+37604000</f>
        <v>108019500</v>
      </c>
      <c r="H26" s="78">
        <v>24</v>
      </c>
      <c r="I26" s="63">
        <v>31985000</v>
      </c>
      <c r="J26" s="78">
        <v>12</v>
      </c>
      <c r="K26" s="63">
        <v>33421100</v>
      </c>
      <c r="L26" s="78">
        <v>3</v>
      </c>
      <c r="M26" s="63">
        <v>787500</v>
      </c>
      <c r="N26" s="78">
        <v>3</v>
      </c>
      <c r="O26" s="63">
        <f>6187500-M26</f>
        <v>5400000</v>
      </c>
      <c r="P26" s="158">
        <v>3</v>
      </c>
      <c r="Q26" s="63">
        <v>2925000</v>
      </c>
      <c r="R26" s="78"/>
      <c r="S26" s="63"/>
      <c r="T26" s="64">
        <f t="shared" si="6"/>
        <v>9</v>
      </c>
      <c r="U26" s="65">
        <f t="shared" si="0"/>
        <v>75</v>
      </c>
      <c r="V26" s="66" t="s">
        <v>118</v>
      </c>
      <c r="W26" s="67">
        <f t="shared" si="1"/>
        <v>9112500</v>
      </c>
      <c r="X26" s="68">
        <f t="shared" si="2"/>
        <v>27.265709387183545</v>
      </c>
      <c r="Y26" s="66" t="s">
        <v>118</v>
      </c>
      <c r="Z26" s="64">
        <f t="shared" si="3"/>
        <v>33</v>
      </c>
      <c r="AA26" s="67">
        <f t="shared" si="4"/>
        <v>41097500</v>
      </c>
      <c r="AB26" s="68"/>
      <c r="AC26" s="66" t="s">
        <v>118</v>
      </c>
      <c r="AD26" s="68"/>
      <c r="AE26" s="69"/>
      <c r="AF26" s="10"/>
      <c r="AH26" s="14"/>
    </row>
    <row r="27" spans="1:34" s="12" customFormat="1" ht="66.75" customHeight="1" x14ac:dyDescent="0.3">
      <c r="A27" s="58"/>
      <c r="B27" s="45"/>
      <c r="C27" s="74" t="s">
        <v>64</v>
      </c>
      <c r="D27" s="74" t="s">
        <v>157</v>
      </c>
      <c r="E27" s="78">
        <v>12</v>
      </c>
      <c r="F27" s="62" t="s">
        <v>160</v>
      </c>
      <c r="G27" s="63">
        <f>9942900+7330350+9942900</f>
        <v>27216150</v>
      </c>
      <c r="H27" s="78">
        <v>24</v>
      </c>
      <c r="I27" s="63">
        <v>9942900</v>
      </c>
      <c r="J27" s="78">
        <v>12</v>
      </c>
      <c r="K27" s="63">
        <v>7330350</v>
      </c>
      <c r="L27" s="78">
        <v>3</v>
      </c>
      <c r="M27" s="63">
        <v>480000</v>
      </c>
      <c r="N27" s="78">
        <v>3</v>
      </c>
      <c r="O27" s="63">
        <f>4264800-M27</f>
        <v>3784800</v>
      </c>
      <c r="P27" s="158">
        <v>3</v>
      </c>
      <c r="Q27" s="63">
        <v>849900</v>
      </c>
      <c r="R27" s="78"/>
      <c r="S27" s="63"/>
      <c r="T27" s="64">
        <f t="shared" si="6"/>
        <v>9</v>
      </c>
      <c r="U27" s="65">
        <f t="shared" si="0"/>
        <v>75</v>
      </c>
      <c r="V27" s="66" t="s">
        <v>118</v>
      </c>
      <c r="W27" s="67">
        <f t="shared" si="1"/>
        <v>5114700</v>
      </c>
      <c r="X27" s="68">
        <f t="shared" si="2"/>
        <v>69.774294542552539</v>
      </c>
      <c r="Y27" s="66" t="s">
        <v>118</v>
      </c>
      <c r="Z27" s="64">
        <f t="shared" si="3"/>
        <v>33</v>
      </c>
      <c r="AA27" s="67">
        <f t="shared" si="4"/>
        <v>15057600</v>
      </c>
      <c r="AB27" s="68"/>
      <c r="AC27" s="66" t="s">
        <v>118</v>
      </c>
      <c r="AD27" s="68"/>
      <c r="AE27" s="69"/>
      <c r="AF27" s="10"/>
      <c r="AH27" s="14"/>
    </row>
    <row r="28" spans="1:34" s="12" customFormat="1" ht="87" x14ac:dyDescent="0.3">
      <c r="A28" s="58"/>
      <c r="B28" s="45"/>
      <c r="C28" s="74" t="s">
        <v>65</v>
      </c>
      <c r="D28" s="87" t="s">
        <v>158</v>
      </c>
      <c r="E28" s="78">
        <v>12</v>
      </c>
      <c r="F28" s="62" t="s">
        <v>116</v>
      </c>
      <c r="G28" s="63">
        <f>2880000+2640000</f>
        <v>5520000</v>
      </c>
      <c r="H28" s="78">
        <v>24</v>
      </c>
      <c r="I28" s="63">
        <v>2870000</v>
      </c>
      <c r="J28" s="78">
        <v>12</v>
      </c>
      <c r="K28" s="63">
        <v>2640000</v>
      </c>
      <c r="L28" s="78">
        <v>3</v>
      </c>
      <c r="M28" s="63">
        <v>410000</v>
      </c>
      <c r="N28" s="78">
        <v>3</v>
      </c>
      <c r="O28" s="63">
        <f>1250000-M28</f>
        <v>840000</v>
      </c>
      <c r="P28" s="158">
        <v>3</v>
      </c>
      <c r="Q28" s="63">
        <v>430000</v>
      </c>
      <c r="R28" s="78"/>
      <c r="S28" s="63"/>
      <c r="T28" s="64">
        <f t="shared" si="6"/>
        <v>9</v>
      </c>
      <c r="U28" s="175">
        <f t="shared" si="0"/>
        <v>75</v>
      </c>
      <c r="V28" s="176" t="s">
        <v>118</v>
      </c>
      <c r="W28" s="177">
        <f t="shared" si="1"/>
        <v>1680000</v>
      </c>
      <c r="X28" s="178">
        <f t="shared" si="2"/>
        <v>63.636363636363633</v>
      </c>
      <c r="Y28" s="176" t="s">
        <v>118</v>
      </c>
      <c r="Z28" s="64">
        <f t="shared" si="3"/>
        <v>33</v>
      </c>
      <c r="AA28" s="67">
        <f t="shared" si="4"/>
        <v>4550000</v>
      </c>
      <c r="AB28" s="68"/>
      <c r="AC28" s="66" t="s">
        <v>118</v>
      </c>
      <c r="AD28" s="68"/>
      <c r="AE28" s="69"/>
      <c r="AF28" s="10"/>
      <c r="AH28" s="14"/>
    </row>
    <row r="29" spans="1:34" s="12" customFormat="1" ht="66.75" customHeight="1" x14ac:dyDescent="0.3">
      <c r="A29" s="58"/>
      <c r="B29" s="45"/>
      <c r="C29" s="74" t="s">
        <v>66</v>
      </c>
      <c r="D29" s="87" t="s">
        <v>159</v>
      </c>
      <c r="E29" s="78">
        <v>12</v>
      </c>
      <c r="F29" s="62" t="s">
        <v>148</v>
      </c>
      <c r="G29" s="63">
        <f>111890525+85000000+111890525</f>
        <v>308781050</v>
      </c>
      <c r="H29" s="78">
        <v>24</v>
      </c>
      <c r="I29" s="63">
        <v>277760393</v>
      </c>
      <c r="J29" s="78">
        <v>12</v>
      </c>
      <c r="K29" s="63">
        <v>194942900</v>
      </c>
      <c r="L29" s="78">
        <v>3</v>
      </c>
      <c r="M29" s="63">
        <v>19614400</v>
      </c>
      <c r="N29" s="78">
        <v>3</v>
      </c>
      <c r="O29" s="63">
        <f>67323300-M29</f>
        <v>47708900</v>
      </c>
      <c r="P29" s="158">
        <v>3</v>
      </c>
      <c r="Q29" s="63">
        <v>6550000</v>
      </c>
      <c r="R29" s="78"/>
      <c r="S29" s="63"/>
      <c r="T29" s="64">
        <f t="shared" si="6"/>
        <v>9</v>
      </c>
      <c r="U29" s="65">
        <f t="shared" si="0"/>
        <v>75</v>
      </c>
      <c r="V29" s="66" t="s">
        <v>118</v>
      </c>
      <c r="W29" s="67">
        <f t="shared" si="1"/>
        <v>73873300</v>
      </c>
      <c r="X29" s="68">
        <f t="shared" si="2"/>
        <v>37.894839976218677</v>
      </c>
      <c r="Y29" s="66" t="s">
        <v>118</v>
      </c>
      <c r="Z29" s="64">
        <f t="shared" si="3"/>
        <v>33</v>
      </c>
      <c r="AA29" s="67">
        <f t="shared" si="4"/>
        <v>351633693</v>
      </c>
      <c r="AB29" s="68"/>
      <c r="AC29" s="66" t="s">
        <v>118</v>
      </c>
      <c r="AD29" s="68"/>
      <c r="AE29" s="69"/>
      <c r="AF29" s="10"/>
      <c r="AH29" s="14"/>
    </row>
    <row r="30" spans="1:34" s="12" customFormat="1" ht="115.95" customHeight="1" x14ac:dyDescent="0.3">
      <c r="A30" s="58"/>
      <c r="B30" s="45"/>
      <c r="C30" s="84" t="s">
        <v>67</v>
      </c>
      <c r="D30" s="30" t="s">
        <v>230</v>
      </c>
      <c r="E30" s="73">
        <f>12*4</f>
        <v>48</v>
      </c>
      <c r="F30" s="85" t="s">
        <v>231</v>
      </c>
      <c r="G30" s="37">
        <f>SUM(G31)</f>
        <v>11741200</v>
      </c>
      <c r="H30" s="73">
        <v>36</v>
      </c>
      <c r="I30" s="37">
        <f>SUM(I31)</f>
        <v>3461000</v>
      </c>
      <c r="J30" s="73">
        <v>12</v>
      </c>
      <c r="K30" s="37">
        <f>SUM(K31)</f>
        <v>3399200</v>
      </c>
      <c r="L30" s="73">
        <v>3</v>
      </c>
      <c r="M30" s="37">
        <f>SUM(M31)</f>
        <v>0</v>
      </c>
      <c r="N30" s="53">
        <v>3</v>
      </c>
      <c r="O30" s="37">
        <f>SUM(O31)</f>
        <v>2803100</v>
      </c>
      <c r="P30" s="159">
        <v>3</v>
      </c>
      <c r="Q30" s="37">
        <f>SUM(Q31)</f>
        <v>0</v>
      </c>
      <c r="R30" s="53"/>
      <c r="S30" s="37"/>
      <c r="T30" s="39">
        <f t="shared" si="6"/>
        <v>9</v>
      </c>
      <c r="U30" s="40">
        <f t="shared" si="0"/>
        <v>75</v>
      </c>
      <c r="V30" s="41" t="s">
        <v>118</v>
      </c>
      <c r="W30" s="42">
        <f t="shared" si="1"/>
        <v>2803100</v>
      </c>
      <c r="X30" s="43">
        <f t="shared" si="2"/>
        <v>82.463520828430219</v>
      </c>
      <c r="Y30" s="41" t="s">
        <v>118</v>
      </c>
      <c r="Z30" s="39">
        <f t="shared" si="3"/>
        <v>45</v>
      </c>
      <c r="AA30" s="42">
        <f t="shared" si="4"/>
        <v>6264100</v>
      </c>
      <c r="AB30" s="43"/>
      <c r="AC30" s="41" t="s">
        <v>118</v>
      </c>
      <c r="AD30" s="43"/>
      <c r="AE30" s="69"/>
      <c r="AF30" s="10"/>
      <c r="AH30" s="14"/>
    </row>
    <row r="31" spans="1:34" s="12" customFormat="1" ht="87" x14ac:dyDescent="0.3">
      <c r="A31" s="58"/>
      <c r="B31" s="45"/>
      <c r="C31" s="74" t="s">
        <v>68</v>
      </c>
      <c r="D31" s="60" t="s">
        <v>161</v>
      </c>
      <c r="E31" s="61">
        <v>69</v>
      </c>
      <c r="F31" s="62" t="s">
        <v>162</v>
      </c>
      <c r="G31" s="63">
        <f>4171000+3399200+4171000</f>
        <v>11741200</v>
      </c>
      <c r="H31" s="61">
        <v>69</v>
      </c>
      <c r="I31" s="63">
        <v>3461000</v>
      </c>
      <c r="J31" s="78">
        <v>69</v>
      </c>
      <c r="K31" s="63">
        <v>3399200</v>
      </c>
      <c r="L31" s="78">
        <v>0</v>
      </c>
      <c r="M31" s="63">
        <v>0</v>
      </c>
      <c r="N31" s="78">
        <v>69</v>
      </c>
      <c r="O31" s="63">
        <v>2803100</v>
      </c>
      <c r="P31" s="158">
        <v>0</v>
      </c>
      <c r="Q31" s="63">
        <v>0</v>
      </c>
      <c r="R31" s="61"/>
      <c r="S31" s="63"/>
      <c r="T31" s="64">
        <f t="shared" si="6"/>
        <v>69</v>
      </c>
      <c r="U31" s="145">
        <f t="shared" si="0"/>
        <v>100</v>
      </c>
      <c r="V31" s="146" t="s">
        <v>118</v>
      </c>
      <c r="W31" s="147">
        <f t="shared" si="1"/>
        <v>2803100</v>
      </c>
      <c r="X31" s="148">
        <f t="shared" si="2"/>
        <v>82.463520828430219</v>
      </c>
      <c r="Y31" s="66" t="s">
        <v>118</v>
      </c>
      <c r="Z31" s="64">
        <f t="shared" si="3"/>
        <v>138</v>
      </c>
      <c r="AA31" s="67">
        <f t="shared" si="4"/>
        <v>6264100</v>
      </c>
      <c r="AB31" s="68"/>
      <c r="AC31" s="66" t="s">
        <v>118</v>
      </c>
      <c r="AD31" s="68"/>
      <c r="AE31" s="69"/>
      <c r="AF31" s="10"/>
      <c r="AH31" s="14"/>
    </row>
    <row r="32" spans="1:34" s="12" customFormat="1" ht="96" customHeight="1" x14ac:dyDescent="0.3">
      <c r="A32" s="58"/>
      <c r="B32" s="45"/>
      <c r="C32" s="84" t="s">
        <v>69</v>
      </c>
      <c r="D32" s="30" t="s">
        <v>232</v>
      </c>
      <c r="E32" s="73">
        <f>12*4</f>
        <v>48</v>
      </c>
      <c r="F32" s="85" t="s">
        <v>231</v>
      </c>
      <c r="G32" s="37">
        <f>SUM(G33:G35)</f>
        <v>286741219</v>
      </c>
      <c r="H32" s="73">
        <v>36</v>
      </c>
      <c r="I32" s="37">
        <f>SUM(I33:I35)</f>
        <v>142927194</v>
      </c>
      <c r="J32" s="73">
        <v>12</v>
      </c>
      <c r="K32" s="37">
        <f>SUM(K33:K35)</f>
        <v>94237219</v>
      </c>
      <c r="L32" s="73">
        <v>3</v>
      </c>
      <c r="M32" s="37">
        <f>SUM(M33:M35)</f>
        <v>15115929</v>
      </c>
      <c r="N32" s="53">
        <v>3</v>
      </c>
      <c r="O32" s="37">
        <f>SUM(O33:O35)</f>
        <v>23232588</v>
      </c>
      <c r="P32" s="159">
        <v>3</v>
      </c>
      <c r="Q32" s="37">
        <f>SUM(Q33:Q35)</f>
        <v>19644885</v>
      </c>
      <c r="R32" s="53"/>
      <c r="S32" s="37"/>
      <c r="T32" s="39">
        <f t="shared" si="6"/>
        <v>9</v>
      </c>
      <c r="U32" s="149">
        <f t="shared" si="0"/>
        <v>75</v>
      </c>
      <c r="V32" s="150" t="s">
        <v>118</v>
      </c>
      <c r="W32" s="151">
        <f t="shared" si="1"/>
        <v>57993402</v>
      </c>
      <c r="X32" s="152">
        <f t="shared" si="2"/>
        <v>61.539806262746353</v>
      </c>
      <c r="Y32" s="41" t="s">
        <v>118</v>
      </c>
      <c r="Z32" s="39">
        <f t="shared" si="3"/>
        <v>45</v>
      </c>
      <c r="AA32" s="42">
        <f t="shared" si="4"/>
        <v>200920596</v>
      </c>
      <c r="AB32" s="43"/>
      <c r="AC32" s="41" t="s">
        <v>118</v>
      </c>
      <c r="AD32" s="43"/>
      <c r="AE32" s="69"/>
      <c r="AF32" s="10"/>
      <c r="AH32" s="14"/>
    </row>
    <row r="33" spans="1:34" s="12" customFormat="1" ht="34.799999999999997" x14ac:dyDescent="0.3">
      <c r="A33" s="58"/>
      <c r="B33" s="45"/>
      <c r="C33" s="74" t="s">
        <v>70</v>
      </c>
      <c r="D33" s="60" t="s">
        <v>163</v>
      </c>
      <c r="E33" s="78">
        <v>12</v>
      </c>
      <c r="F33" s="62" t="s">
        <v>148</v>
      </c>
      <c r="G33" s="63">
        <f>150000*3</f>
        <v>450000</v>
      </c>
      <c r="H33" s="78">
        <v>24</v>
      </c>
      <c r="I33" s="63">
        <v>162000</v>
      </c>
      <c r="J33" s="78">
        <v>12</v>
      </c>
      <c r="K33" s="63">
        <v>150000</v>
      </c>
      <c r="L33" s="78"/>
      <c r="M33" s="63">
        <v>0</v>
      </c>
      <c r="N33" s="78"/>
      <c r="O33" s="63">
        <v>0</v>
      </c>
      <c r="P33" s="158">
        <v>3</v>
      </c>
      <c r="Q33" s="63">
        <v>18000</v>
      </c>
      <c r="R33" s="78"/>
      <c r="S33" s="63"/>
      <c r="T33" s="64">
        <f t="shared" si="6"/>
        <v>3</v>
      </c>
      <c r="U33" s="65">
        <f t="shared" si="0"/>
        <v>25</v>
      </c>
      <c r="V33" s="66" t="s">
        <v>118</v>
      </c>
      <c r="W33" s="67">
        <f t="shared" si="1"/>
        <v>18000</v>
      </c>
      <c r="X33" s="68">
        <f t="shared" si="2"/>
        <v>12</v>
      </c>
      <c r="Y33" s="66" t="s">
        <v>118</v>
      </c>
      <c r="Z33" s="64">
        <f t="shared" si="3"/>
        <v>27</v>
      </c>
      <c r="AA33" s="67">
        <f t="shared" si="4"/>
        <v>180000</v>
      </c>
      <c r="AB33" s="68"/>
      <c r="AC33" s="66" t="s">
        <v>118</v>
      </c>
      <c r="AD33" s="68"/>
      <c r="AE33" s="69"/>
      <c r="AF33" s="10"/>
      <c r="AH33" s="14"/>
    </row>
    <row r="34" spans="1:34" s="12" customFormat="1" ht="69.599999999999994" x14ac:dyDescent="0.3">
      <c r="A34" s="58"/>
      <c r="B34" s="45"/>
      <c r="C34" s="74" t="s">
        <v>71</v>
      </c>
      <c r="D34" s="60" t="s">
        <v>164</v>
      </c>
      <c r="E34" s="78">
        <v>12</v>
      </c>
      <c r="F34" s="62" t="s">
        <v>148</v>
      </c>
      <c r="G34" s="63">
        <f>54867000+35011219+54867000</f>
        <v>144745219</v>
      </c>
      <c r="H34" s="78">
        <v>24</v>
      </c>
      <c r="I34" s="63">
        <v>83151794</v>
      </c>
      <c r="J34" s="78">
        <v>12</v>
      </c>
      <c r="K34" s="63">
        <v>35011219</v>
      </c>
      <c r="L34" s="78">
        <v>3</v>
      </c>
      <c r="M34" s="63">
        <v>4234929</v>
      </c>
      <c r="N34" s="78">
        <v>3</v>
      </c>
      <c r="O34" s="63">
        <f>12702717-M34</f>
        <v>8467788</v>
      </c>
      <c r="P34" s="158">
        <v>3</v>
      </c>
      <c r="Q34" s="63">
        <v>5801684</v>
      </c>
      <c r="R34" s="78"/>
      <c r="S34" s="63"/>
      <c r="T34" s="64">
        <f t="shared" si="6"/>
        <v>9</v>
      </c>
      <c r="U34" s="145">
        <f t="shared" si="0"/>
        <v>75</v>
      </c>
      <c r="V34" s="146" t="s">
        <v>118</v>
      </c>
      <c r="W34" s="147">
        <f t="shared" si="1"/>
        <v>18504401</v>
      </c>
      <c r="X34" s="148">
        <f t="shared" si="2"/>
        <v>52.852775563170198</v>
      </c>
      <c r="Y34" s="66" t="s">
        <v>118</v>
      </c>
      <c r="Z34" s="64">
        <f t="shared" si="3"/>
        <v>33</v>
      </c>
      <c r="AA34" s="67">
        <f t="shared" si="4"/>
        <v>101656195</v>
      </c>
      <c r="AB34" s="68"/>
      <c r="AC34" s="66" t="s">
        <v>118</v>
      </c>
      <c r="AD34" s="68"/>
      <c r="AE34" s="69"/>
      <c r="AF34" s="10"/>
      <c r="AH34" s="14"/>
    </row>
    <row r="35" spans="1:34" s="12" customFormat="1" ht="52.2" x14ac:dyDescent="0.3">
      <c r="A35" s="58"/>
      <c r="B35" s="45"/>
      <c r="C35" s="74" t="s">
        <v>72</v>
      </c>
      <c r="D35" s="60" t="s">
        <v>165</v>
      </c>
      <c r="E35" s="78">
        <v>12</v>
      </c>
      <c r="F35" s="62" t="s">
        <v>148</v>
      </c>
      <c r="G35" s="63">
        <f>23394000+59076000*2</f>
        <v>141546000</v>
      </c>
      <c r="H35" s="78">
        <v>24</v>
      </c>
      <c r="I35" s="63">
        <v>59613400</v>
      </c>
      <c r="J35" s="78">
        <v>12</v>
      </c>
      <c r="K35" s="63">
        <v>59076000</v>
      </c>
      <c r="L35" s="78">
        <v>3</v>
      </c>
      <c r="M35" s="63">
        <f>10500000+381000</f>
        <v>10881000</v>
      </c>
      <c r="N35" s="78">
        <v>3</v>
      </c>
      <c r="O35" s="63">
        <f>25645800-M35</f>
        <v>14764800</v>
      </c>
      <c r="P35" s="158">
        <v>3</v>
      </c>
      <c r="Q35" s="63">
        <v>13825201</v>
      </c>
      <c r="R35" s="78"/>
      <c r="S35" s="63"/>
      <c r="T35" s="64">
        <f t="shared" si="6"/>
        <v>9</v>
      </c>
      <c r="U35" s="145">
        <f t="shared" si="0"/>
        <v>75</v>
      </c>
      <c r="V35" s="146" t="s">
        <v>118</v>
      </c>
      <c r="W35" s="147">
        <f t="shared" si="1"/>
        <v>39471001</v>
      </c>
      <c r="X35" s="148">
        <f t="shared" si="2"/>
        <v>66.813936285462788</v>
      </c>
      <c r="Y35" s="66" t="s">
        <v>118</v>
      </c>
      <c r="Z35" s="64">
        <f t="shared" si="3"/>
        <v>33</v>
      </c>
      <c r="AA35" s="67">
        <f t="shared" si="4"/>
        <v>99084401</v>
      </c>
      <c r="AB35" s="68"/>
      <c r="AC35" s="66" t="s">
        <v>118</v>
      </c>
      <c r="AD35" s="68"/>
      <c r="AE35" s="69"/>
      <c r="AF35" s="10"/>
      <c r="AH35" s="14"/>
    </row>
    <row r="36" spans="1:34" s="12" customFormat="1" ht="145.19999999999999" customHeight="1" x14ac:dyDescent="0.3">
      <c r="A36" s="58"/>
      <c r="B36" s="45"/>
      <c r="C36" s="84" t="s">
        <v>73</v>
      </c>
      <c r="D36" s="30" t="s">
        <v>233</v>
      </c>
      <c r="E36" s="73">
        <f>12*4</f>
        <v>48</v>
      </c>
      <c r="F36" s="85" t="s">
        <v>231</v>
      </c>
      <c r="G36" s="37">
        <f>SUM(G37:G38)</f>
        <v>369156000</v>
      </c>
      <c r="H36" s="73">
        <v>36</v>
      </c>
      <c r="I36" s="37">
        <f>SUM(I37:I38)</f>
        <v>275821387</v>
      </c>
      <c r="J36" s="73">
        <v>12</v>
      </c>
      <c r="K36" s="37">
        <f>SUM(K37:K38)</f>
        <v>287118000</v>
      </c>
      <c r="L36" s="73">
        <v>3</v>
      </c>
      <c r="M36" s="37">
        <f>SUM(M37:M38)</f>
        <v>8710500</v>
      </c>
      <c r="N36" s="73">
        <v>3</v>
      </c>
      <c r="O36" s="37">
        <f>SUM(O37:O38)</f>
        <v>16301846</v>
      </c>
      <c r="P36" s="156">
        <v>3</v>
      </c>
      <c r="Q36" s="37">
        <f>SUM(Q37:Q38)</f>
        <v>26454124</v>
      </c>
      <c r="R36" s="73"/>
      <c r="S36" s="37"/>
      <c r="T36" s="39">
        <f t="shared" si="6"/>
        <v>9</v>
      </c>
      <c r="U36" s="149">
        <f t="shared" si="0"/>
        <v>75</v>
      </c>
      <c r="V36" s="150" t="s">
        <v>118</v>
      </c>
      <c r="W36" s="151">
        <f t="shared" si="1"/>
        <v>51466470</v>
      </c>
      <c r="X36" s="152">
        <f t="shared" si="2"/>
        <v>17.925198002215119</v>
      </c>
      <c r="Y36" s="41" t="s">
        <v>118</v>
      </c>
      <c r="Z36" s="39">
        <f t="shared" si="3"/>
        <v>45</v>
      </c>
      <c r="AA36" s="42">
        <f t="shared" si="4"/>
        <v>327287857</v>
      </c>
      <c r="AB36" s="43"/>
      <c r="AC36" s="41" t="s">
        <v>118</v>
      </c>
      <c r="AD36" s="43"/>
      <c r="AE36" s="69"/>
      <c r="AF36" s="10"/>
      <c r="AH36" s="14"/>
    </row>
    <row r="37" spans="1:34" s="12" customFormat="1" ht="111.75" customHeight="1" x14ac:dyDescent="0.3">
      <c r="A37" s="58"/>
      <c r="B37" s="45"/>
      <c r="C37" s="60" t="s">
        <v>74</v>
      </c>
      <c r="D37" s="60" t="s">
        <v>166</v>
      </c>
      <c r="E37" s="78">
        <v>4</v>
      </c>
      <c r="F37" s="62" t="s">
        <v>162</v>
      </c>
      <c r="G37" s="63">
        <f>132719000+83600000+132719000</f>
        <v>349038000</v>
      </c>
      <c r="H37" s="78">
        <v>4</v>
      </c>
      <c r="I37" s="63">
        <v>209161387</v>
      </c>
      <c r="J37" s="78">
        <v>4</v>
      </c>
      <c r="K37" s="63">
        <v>83600000</v>
      </c>
      <c r="L37" s="78">
        <v>4</v>
      </c>
      <c r="M37" s="63">
        <v>8402500</v>
      </c>
      <c r="N37" s="78">
        <v>4</v>
      </c>
      <c r="O37" s="63">
        <f>23864346-M37</f>
        <v>15461846</v>
      </c>
      <c r="P37" s="158">
        <v>4</v>
      </c>
      <c r="Q37" s="88">
        <v>25604124</v>
      </c>
      <c r="R37" s="78"/>
      <c r="S37" s="63"/>
      <c r="T37" s="64">
        <f>AVERAGE(L37,N37,P37,R37)</f>
        <v>4</v>
      </c>
      <c r="U37" s="145">
        <f t="shared" si="0"/>
        <v>100</v>
      </c>
      <c r="V37" s="146" t="s">
        <v>118</v>
      </c>
      <c r="W37" s="147">
        <f t="shared" si="1"/>
        <v>49468470</v>
      </c>
      <c r="X37" s="148">
        <f t="shared" si="2"/>
        <v>59.172811004784684</v>
      </c>
      <c r="Y37" s="146" t="s">
        <v>118</v>
      </c>
      <c r="Z37" s="64">
        <f t="shared" si="3"/>
        <v>8</v>
      </c>
      <c r="AA37" s="67">
        <f t="shared" si="4"/>
        <v>258629857</v>
      </c>
      <c r="AB37" s="68"/>
      <c r="AC37" s="66" t="s">
        <v>118</v>
      </c>
      <c r="AD37" s="68"/>
      <c r="AE37" s="69"/>
      <c r="AF37" s="10"/>
      <c r="AH37" s="14"/>
    </row>
    <row r="38" spans="1:34" s="12" customFormat="1" ht="104.4" x14ac:dyDescent="0.3">
      <c r="A38" s="89"/>
      <c r="B38" s="89"/>
      <c r="C38" s="74" t="s">
        <v>75</v>
      </c>
      <c r="D38" s="87" t="s">
        <v>167</v>
      </c>
      <c r="E38" s="78">
        <v>16</v>
      </c>
      <c r="F38" s="62" t="s">
        <v>162</v>
      </c>
      <c r="G38" s="63">
        <f>8300000+3518000+8300000</f>
        <v>20118000</v>
      </c>
      <c r="H38" s="78">
        <v>16</v>
      </c>
      <c r="I38" s="63">
        <v>66660000</v>
      </c>
      <c r="J38" s="78">
        <v>16</v>
      </c>
      <c r="K38" s="63">
        <v>203518000</v>
      </c>
      <c r="L38" s="78">
        <v>4</v>
      </c>
      <c r="M38" s="63">
        <v>308000</v>
      </c>
      <c r="N38" s="78">
        <v>2</v>
      </c>
      <c r="O38" s="63">
        <f>1148000-M38</f>
        <v>840000</v>
      </c>
      <c r="P38" s="158">
        <v>4</v>
      </c>
      <c r="Q38" s="63">
        <v>850000</v>
      </c>
      <c r="R38" s="78"/>
      <c r="S38" s="63"/>
      <c r="T38" s="64">
        <f t="shared" si="6"/>
        <v>10</v>
      </c>
      <c r="U38" s="145">
        <f t="shared" si="0"/>
        <v>62.5</v>
      </c>
      <c r="V38" s="146" t="s">
        <v>118</v>
      </c>
      <c r="W38" s="147">
        <f t="shared" si="1"/>
        <v>1998000</v>
      </c>
      <c r="X38" s="148">
        <f t="shared" si="2"/>
        <v>0.98173134563036191</v>
      </c>
      <c r="Y38" s="146" t="s">
        <v>118</v>
      </c>
      <c r="Z38" s="64">
        <f t="shared" si="3"/>
        <v>26</v>
      </c>
      <c r="AA38" s="67">
        <f t="shared" si="4"/>
        <v>68658000</v>
      </c>
      <c r="AB38" s="68"/>
      <c r="AC38" s="66" t="s">
        <v>118</v>
      </c>
      <c r="AD38" s="68"/>
      <c r="AE38" s="69"/>
      <c r="AF38" s="10"/>
      <c r="AH38" s="14"/>
    </row>
    <row r="39" spans="1:34" s="12" customFormat="1" ht="120.6" customHeight="1" x14ac:dyDescent="0.3">
      <c r="A39" s="29">
        <v>12</v>
      </c>
      <c r="B39" s="50" t="s">
        <v>45</v>
      </c>
      <c r="C39" s="84" t="s">
        <v>76</v>
      </c>
      <c r="D39" s="30" t="s">
        <v>240</v>
      </c>
      <c r="E39" s="90">
        <v>100</v>
      </c>
      <c r="F39" s="72" t="s">
        <v>118</v>
      </c>
      <c r="G39" s="37">
        <f>G40</f>
        <v>115461800</v>
      </c>
      <c r="H39" s="91">
        <f>26/38</f>
        <v>0.68421052631578949</v>
      </c>
      <c r="I39" s="37">
        <f>I40</f>
        <v>25979000</v>
      </c>
      <c r="J39" s="90">
        <f>36/38*100</f>
        <v>94.73684210526315</v>
      </c>
      <c r="K39" s="37">
        <f>K40</f>
        <v>44004500</v>
      </c>
      <c r="L39" s="53">
        <v>94.74</v>
      </c>
      <c r="M39" s="37">
        <f>M40</f>
        <v>3000000</v>
      </c>
      <c r="N39" s="90">
        <v>0</v>
      </c>
      <c r="O39" s="37">
        <f>O40</f>
        <v>22060900</v>
      </c>
      <c r="P39" s="160">
        <v>0</v>
      </c>
      <c r="Q39" s="37">
        <f>Q40</f>
        <v>4500000</v>
      </c>
      <c r="R39" s="90"/>
      <c r="S39" s="37"/>
      <c r="T39" s="56">
        <f t="shared" si="6"/>
        <v>94.74</v>
      </c>
      <c r="U39" s="43">
        <f>Z39/J39*100</f>
        <v>100.72555555555556</v>
      </c>
      <c r="V39" s="41" t="s">
        <v>118</v>
      </c>
      <c r="W39" s="42">
        <f t="shared" si="1"/>
        <v>29560900</v>
      </c>
      <c r="X39" s="43">
        <f t="shared" si="2"/>
        <v>67.176993262052747</v>
      </c>
      <c r="Y39" s="41" t="s">
        <v>118</v>
      </c>
      <c r="Z39" s="56">
        <f t="shared" si="3"/>
        <v>95.42421052631579</v>
      </c>
      <c r="AA39" s="42">
        <f t="shared" si="4"/>
        <v>55539900</v>
      </c>
      <c r="AB39" s="43"/>
      <c r="AC39" s="41" t="s">
        <v>118</v>
      </c>
      <c r="AD39" s="43"/>
      <c r="AE39" s="69"/>
      <c r="AF39" s="10"/>
      <c r="AH39" s="14"/>
    </row>
    <row r="40" spans="1:34" s="12" customFormat="1" ht="121.5" customHeight="1" x14ac:dyDescent="0.3">
      <c r="A40" s="58"/>
      <c r="B40" s="92">
        <f>37/143*100</f>
        <v>25.874125874125873</v>
      </c>
      <c r="C40" s="84" t="s">
        <v>77</v>
      </c>
      <c r="D40" s="30" t="s">
        <v>204</v>
      </c>
      <c r="E40" s="54">
        <v>38</v>
      </c>
      <c r="F40" s="93" t="s">
        <v>205</v>
      </c>
      <c r="G40" s="37">
        <f>SUM(G41)</f>
        <v>115461800</v>
      </c>
      <c r="H40" s="54">
        <v>27</v>
      </c>
      <c r="I40" s="37">
        <f>SUM(I41)</f>
        <v>25979000</v>
      </c>
      <c r="J40" s="94">
        <v>36</v>
      </c>
      <c r="K40" s="37">
        <f>SUM(K41)</f>
        <v>44004500</v>
      </c>
      <c r="L40" s="53">
        <v>36</v>
      </c>
      <c r="M40" s="37">
        <f>SUM(M41)</f>
        <v>3000000</v>
      </c>
      <c r="N40" s="90">
        <v>0</v>
      </c>
      <c r="O40" s="37">
        <f>SUM(O41)</f>
        <v>22060900</v>
      </c>
      <c r="P40" s="160">
        <v>0</v>
      </c>
      <c r="Q40" s="37">
        <f>SUM(Q41)</f>
        <v>4500000</v>
      </c>
      <c r="R40" s="90"/>
      <c r="S40" s="37"/>
      <c r="T40" s="56">
        <f>SUM(L40,N40,P40,R40)</f>
        <v>36</v>
      </c>
      <c r="U40" s="40">
        <f t="shared" ref="U40:U45" si="7">T40/J40*100</f>
        <v>100</v>
      </c>
      <c r="V40" s="41" t="s">
        <v>118</v>
      </c>
      <c r="W40" s="42">
        <f t="shared" si="1"/>
        <v>29560900</v>
      </c>
      <c r="X40" s="43">
        <f t="shared" si="2"/>
        <v>67.176993262052747</v>
      </c>
      <c r="Y40" s="41" t="s">
        <v>118</v>
      </c>
      <c r="Z40" s="39">
        <f t="shared" si="3"/>
        <v>63</v>
      </c>
      <c r="AA40" s="42">
        <f t="shared" si="4"/>
        <v>55539900</v>
      </c>
      <c r="AB40" s="43"/>
      <c r="AC40" s="41" t="s">
        <v>118</v>
      </c>
      <c r="AD40" s="43"/>
      <c r="AE40" s="69"/>
      <c r="AF40" s="10"/>
      <c r="AH40" s="14"/>
    </row>
    <row r="41" spans="1:34" s="12" customFormat="1" ht="87" x14ac:dyDescent="0.3">
      <c r="A41" s="58"/>
      <c r="B41" s="45"/>
      <c r="C41" s="74" t="s">
        <v>78</v>
      </c>
      <c r="D41" s="60" t="s">
        <v>168</v>
      </c>
      <c r="E41" s="61">
        <v>5</v>
      </c>
      <c r="F41" s="95" t="s">
        <v>116</v>
      </c>
      <c r="G41" s="63">
        <f>27452800+44004500*2</f>
        <v>115461800</v>
      </c>
      <c r="H41" s="96">
        <v>3</v>
      </c>
      <c r="I41" s="63">
        <v>25979000</v>
      </c>
      <c r="J41" s="96">
        <v>1</v>
      </c>
      <c r="K41" s="63">
        <v>44004500</v>
      </c>
      <c r="L41" s="61">
        <v>1</v>
      </c>
      <c r="M41" s="63">
        <v>3000000</v>
      </c>
      <c r="N41" s="61">
        <v>0</v>
      </c>
      <c r="O41" s="63">
        <v>22060900</v>
      </c>
      <c r="P41" s="155">
        <v>0</v>
      </c>
      <c r="Q41" s="63">
        <v>4500000</v>
      </c>
      <c r="R41" s="61"/>
      <c r="S41" s="63"/>
      <c r="T41" s="64">
        <f t="shared" si="6"/>
        <v>1</v>
      </c>
      <c r="U41" s="65">
        <f t="shared" si="7"/>
        <v>100</v>
      </c>
      <c r="V41" s="66" t="s">
        <v>118</v>
      </c>
      <c r="W41" s="67">
        <f>SUM(M41,O41,Q41,S41)</f>
        <v>29560900</v>
      </c>
      <c r="X41" s="68">
        <f t="shared" si="2"/>
        <v>67.176993262052747</v>
      </c>
      <c r="Y41" s="66" t="s">
        <v>118</v>
      </c>
      <c r="Z41" s="64">
        <f t="shared" si="3"/>
        <v>4</v>
      </c>
      <c r="AA41" s="67">
        <f t="shared" si="4"/>
        <v>55539900</v>
      </c>
      <c r="AB41" s="68"/>
      <c r="AC41" s="66" t="s">
        <v>118</v>
      </c>
      <c r="AD41" s="68"/>
      <c r="AE41" s="69"/>
      <c r="AF41" s="10"/>
      <c r="AH41" s="14"/>
    </row>
    <row r="42" spans="1:34" s="10" customFormat="1" ht="109.95" customHeight="1" x14ac:dyDescent="0.3">
      <c r="A42" s="58"/>
      <c r="B42" s="45"/>
      <c r="C42" s="84" t="s">
        <v>79</v>
      </c>
      <c r="D42" s="31" t="s">
        <v>259</v>
      </c>
      <c r="E42" s="54">
        <v>100</v>
      </c>
      <c r="F42" s="72" t="s">
        <v>118</v>
      </c>
      <c r="G42" s="37">
        <f>G43+G46</f>
        <v>11342300</v>
      </c>
      <c r="H42" s="54">
        <v>100</v>
      </c>
      <c r="I42" s="37">
        <f>I43+I46</f>
        <v>9841550</v>
      </c>
      <c r="J42" s="54">
        <v>100</v>
      </c>
      <c r="K42" s="37">
        <f>K43+K46</f>
        <v>75657750</v>
      </c>
      <c r="L42" s="54">
        <f>4/4*100</f>
        <v>100</v>
      </c>
      <c r="M42" s="37">
        <f>M43</f>
        <v>2250000</v>
      </c>
      <c r="N42" s="94">
        <v>100</v>
      </c>
      <c r="O42" s="37">
        <f>O43</f>
        <v>7242800</v>
      </c>
      <c r="P42" s="161">
        <v>100</v>
      </c>
      <c r="Q42" s="37">
        <f>Q43</f>
        <v>900000</v>
      </c>
      <c r="R42" s="54"/>
      <c r="S42" s="37"/>
      <c r="T42" s="39">
        <f>SUM(L42,N42,P42,R42)/2</f>
        <v>150</v>
      </c>
      <c r="U42" s="97">
        <f t="shared" si="7"/>
        <v>150</v>
      </c>
      <c r="V42" s="98" t="s">
        <v>118</v>
      </c>
      <c r="W42" s="99">
        <f t="shared" si="1"/>
        <v>10392800</v>
      </c>
      <c r="X42" s="100">
        <f t="shared" si="2"/>
        <v>13.736596713489366</v>
      </c>
      <c r="Y42" s="98" t="s">
        <v>118</v>
      </c>
      <c r="Z42" s="101">
        <f>T42</f>
        <v>150</v>
      </c>
      <c r="AA42" s="99">
        <f t="shared" si="4"/>
        <v>20234350</v>
      </c>
      <c r="AB42" s="100"/>
      <c r="AC42" s="98" t="s">
        <v>118</v>
      </c>
      <c r="AD42" s="100"/>
      <c r="AE42" s="102"/>
      <c r="AH42" s="15"/>
    </row>
    <row r="43" spans="1:34" s="12" customFormat="1" ht="191.4" x14ac:dyDescent="0.3">
      <c r="A43" s="58"/>
      <c r="B43" s="45"/>
      <c r="C43" s="84" t="s">
        <v>135</v>
      </c>
      <c r="D43" s="30" t="s">
        <v>206</v>
      </c>
      <c r="E43" s="54">
        <v>6</v>
      </c>
      <c r="F43" s="93" t="s">
        <v>207</v>
      </c>
      <c r="G43" s="37">
        <f>SUM(G44:G45)</f>
        <v>0</v>
      </c>
      <c r="H43" s="54">
        <v>6</v>
      </c>
      <c r="I43" s="37">
        <f>SUM(I44:I45)</f>
        <v>0</v>
      </c>
      <c r="J43" s="53">
        <v>6</v>
      </c>
      <c r="K43" s="37">
        <f>SUM(K44:K45)</f>
        <v>75657750</v>
      </c>
      <c r="L43" s="54">
        <v>0</v>
      </c>
      <c r="M43" s="37">
        <f>SUM(M44:M45)</f>
        <v>2250000</v>
      </c>
      <c r="N43" s="37">
        <v>6</v>
      </c>
      <c r="O43" s="37">
        <f>SUM(O44:O45)</f>
        <v>7242800</v>
      </c>
      <c r="P43" s="162">
        <v>6</v>
      </c>
      <c r="Q43" s="37">
        <f>SUM(Q44:Q45)</f>
        <v>900000</v>
      </c>
      <c r="R43" s="54"/>
      <c r="S43" s="37"/>
      <c r="T43" s="39">
        <f>SUM(L43,N43,P43,R43)/2</f>
        <v>6</v>
      </c>
      <c r="U43" s="40">
        <f t="shared" si="7"/>
        <v>100</v>
      </c>
      <c r="V43" s="41" t="s">
        <v>118</v>
      </c>
      <c r="W43" s="42">
        <f t="shared" si="1"/>
        <v>10392800</v>
      </c>
      <c r="X43" s="43">
        <f t="shared" si="2"/>
        <v>13.736596713489366</v>
      </c>
      <c r="Y43" s="41" t="s">
        <v>118</v>
      </c>
      <c r="Z43" s="39">
        <f>T43</f>
        <v>6</v>
      </c>
      <c r="AA43" s="42">
        <f t="shared" si="4"/>
        <v>10392800</v>
      </c>
      <c r="AB43" s="43"/>
      <c r="AC43" s="41" t="s">
        <v>118</v>
      </c>
      <c r="AD43" s="43"/>
      <c r="AE43" s="69"/>
      <c r="AF43" s="10"/>
      <c r="AH43" s="14"/>
    </row>
    <row r="44" spans="1:34" s="12" customFormat="1" ht="114" customHeight="1" x14ac:dyDescent="0.3">
      <c r="A44" s="58"/>
      <c r="B44" s="45"/>
      <c r="C44" s="74" t="s">
        <v>136</v>
      </c>
      <c r="D44" s="60" t="s">
        <v>169</v>
      </c>
      <c r="E44" s="61">
        <v>5</v>
      </c>
      <c r="F44" s="95" t="s">
        <v>153</v>
      </c>
      <c r="G44" s="63"/>
      <c r="H44" s="61"/>
      <c r="I44" s="63"/>
      <c r="J44" s="61">
        <v>5</v>
      </c>
      <c r="K44" s="63">
        <v>3144950</v>
      </c>
      <c r="L44" s="61">
        <v>0</v>
      </c>
      <c r="M44" s="63">
        <v>2250000</v>
      </c>
      <c r="N44" s="63">
        <v>2</v>
      </c>
      <c r="O44" s="63">
        <v>0</v>
      </c>
      <c r="P44" s="163">
        <f>1</f>
        <v>1</v>
      </c>
      <c r="Q44" s="63"/>
      <c r="R44" s="61"/>
      <c r="S44" s="63"/>
      <c r="T44" s="64">
        <f>SUM(L44,N44,P44,R44)</f>
        <v>3</v>
      </c>
      <c r="U44" s="65">
        <f t="shared" si="7"/>
        <v>60</v>
      </c>
      <c r="V44" s="66" t="s">
        <v>118</v>
      </c>
      <c r="W44" s="67">
        <f t="shared" si="1"/>
        <v>2250000</v>
      </c>
      <c r="X44" s="68">
        <f t="shared" si="2"/>
        <v>71.543267778502042</v>
      </c>
      <c r="Y44" s="66" t="s">
        <v>118</v>
      </c>
      <c r="Z44" s="64">
        <f>SUM(H44,T44)</f>
        <v>3</v>
      </c>
      <c r="AA44" s="67">
        <f t="shared" si="4"/>
        <v>2250000</v>
      </c>
      <c r="AB44" s="68"/>
      <c r="AC44" s="66" t="s">
        <v>118</v>
      </c>
      <c r="AD44" s="68"/>
      <c r="AE44" s="69"/>
      <c r="AF44" s="10"/>
      <c r="AH44" s="14"/>
    </row>
    <row r="45" spans="1:34" s="12" customFormat="1" ht="191.4" x14ac:dyDescent="0.3">
      <c r="A45" s="58"/>
      <c r="B45" s="45"/>
      <c r="C45" s="74" t="s">
        <v>137</v>
      </c>
      <c r="D45" s="60" t="s">
        <v>170</v>
      </c>
      <c r="E45" s="61">
        <v>6</v>
      </c>
      <c r="F45" s="95" t="s">
        <v>171</v>
      </c>
      <c r="G45" s="63"/>
      <c r="H45" s="61"/>
      <c r="I45" s="63"/>
      <c r="J45" s="61">
        <v>6</v>
      </c>
      <c r="K45" s="63">
        <v>72512800</v>
      </c>
      <c r="L45" s="61">
        <v>0</v>
      </c>
      <c r="M45" s="63">
        <v>0</v>
      </c>
      <c r="N45" s="63">
        <v>6</v>
      </c>
      <c r="O45" s="63">
        <v>7242800</v>
      </c>
      <c r="P45" s="163">
        <v>6</v>
      </c>
      <c r="Q45" s="63">
        <v>900000</v>
      </c>
      <c r="R45" s="61"/>
      <c r="S45" s="63"/>
      <c r="T45" s="64">
        <f>SUM(L45,N45,P45,R45)</f>
        <v>12</v>
      </c>
      <c r="U45" s="65">
        <f t="shared" si="7"/>
        <v>200</v>
      </c>
      <c r="V45" s="66" t="s">
        <v>118</v>
      </c>
      <c r="W45" s="67">
        <f t="shared" si="1"/>
        <v>8142800</v>
      </c>
      <c r="X45" s="68">
        <f t="shared" si="2"/>
        <v>11.229465694332587</v>
      </c>
      <c r="Y45" s="66" t="s">
        <v>118</v>
      </c>
      <c r="Z45" s="64">
        <f>SUM(H45,T45)</f>
        <v>12</v>
      </c>
      <c r="AA45" s="67">
        <f t="shared" si="4"/>
        <v>8142800</v>
      </c>
      <c r="AB45" s="68"/>
      <c r="AC45" s="66" t="s">
        <v>118</v>
      </c>
      <c r="AD45" s="68"/>
      <c r="AE45" s="69"/>
      <c r="AF45" s="10"/>
      <c r="AH45" s="14"/>
    </row>
    <row r="46" spans="1:34" s="12" customFormat="1" ht="137.25" customHeight="1" x14ac:dyDescent="0.3">
      <c r="A46" s="58"/>
      <c r="B46" s="45"/>
      <c r="C46" s="103" t="s">
        <v>80</v>
      </c>
      <c r="D46" s="104" t="s">
        <v>129</v>
      </c>
      <c r="E46" s="54">
        <v>100</v>
      </c>
      <c r="F46" s="72" t="s">
        <v>118</v>
      </c>
      <c r="G46" s="37">
        <f>SUM(G47)</f>
        <v>11342300</v>
      </c>
      <c r="H46" s="54">
        <v>100</v>
      </c>
      <c r="I46" s="37">
        <f>SUM(I47)</f>
        <v>9841550</v>
      </c>
      <c r="J46" s="53"/>
      <c r="K46" s="37"/>
      <c r="L46" s="54"/>
      <c r="M46" s="37"/>
      <c r="N46" s="54"/>
      <c r="O46" s="37"/>
      <c r="P46" s="154"/>
      <c r="Q46" s="37"/>
      <c r="R46" s="54"/>
      <c r="S46" s="37"/>
      <c r="T46" s="39"/>
      <c r="U46" s="40"/>
      <c r="V46" s="41"/>
      <c r="W46" s="42"/>
      <c r="X46" s="43"/>
      <c r="Y46" s="41"/>
      <c r="Z46" s="39">
        <f>T46</f>
        <v>0</v>
      </c>
      <c r="AA46" s="42">
        <f t="shared" ref="AA46:AA77" si="8">SUM(I46,W46)</f>
        <v>9841550</v>
      </c>
      <c r="AB46" s="43"/>
      <c r="AC46" s="41" t="s">
        <v>118</v>
      </c>
      <c r="AD46" s="43"/>
      <c r="AE46" s="69"/>
      <c r="AF46" s="10"/>
      <c r="AH46" s="14"/>
    </row>
    <row r="47" spans="1:34" s="12" customFormat="1" ht="139.19999999999999" x14ac:dyDescent="0.3">
      <c r="A47" s="58"/>
      <c r="B47" s="45"/>
      <c r="C47" s="105" t="s">
        <v>81</v>
      </c>
      <c r="D47" s="106" t="s">
        <v>172</v>
      </c>
      <c r="E47" s="61">
        <v>12</v>
      </c>
      <c r="F47" s="95" t="s">
        <v>173</v>
      </c>
      <c r="G47" s="63">
        <v>11342300</v>
      </c>
      <c r="H47" s="61">
        <v>24</v>
      </c>
      <c r="I47" s="63">
        <v>9841550</v>
      </c>
      <c r="J47" s="61"/>
      <c r="K47" s="63"/>
      <c r="L47" s="61"/>
      <c r="M47" s="63"/>
      <c r="N47" s="61"/>
      <c r="O47" s="63"/>
      <c r="P47" s="155"/>
      <c r="Q47" s="63"/>
      <c r="R47" s="61"/>
      <c r="S47" s="63"/>
      <c r="T47" s="64"/>
      <c r="U47" s="65"/>
      <c r="V47" s="66"/>
      <c r="W47" s="67"/>
      <c r="X47" s="68"/>
      <c r="Y47" s="66"/>
      <c r="Z47" s="64">
        <f>SUM(H47,T47)</f>
        <v>24</v>
      </c>
      <c r="AA47" s="67">
        <f t="shared" si="8"/>
        <v>9841550</v>
      </c>
      <c r="AB47" s="68"/>
      <c r="AC47" s="66" t="s">
        <v>118</v>
      </c>
      <c r="AD47" s="68"/>
      <c r="AE47" s="69"/>
      <c r="AF47" s="10"/>
      <c r="AH47" s="14"/>
    </row>
    <row r="48" spans="1:34" s="12" customFormat="1" ht="66.599999999999994" customHeight="1" x14ac:dyDescent="0.3">
      <c r="A48" s="58"/>
      <c r="B48" s="45"/>
      <c r="C48" s="84" t="s">
        <v>82</v>
      </c>
      <c r="D48" s="84" t="s">
        <v>241</v>
      </c>
      <c r="E48" s="53">
        <v>6.94</v>
      </c>
      <c r="F48" s="72" t="s">
        <v>118</v>
      </c>
      <c r="G48" s="37">
        <f>G49+G51</f>
        <v>1242324200</v>
      </c>
      <c r="H48" s="53">
        <v>5.56</v>
      </c>
      <c r="I48" s="37">
        <f>I49+I51</f>
        <v>217588900</v>
      </c>
      <c r="J48" s="134">
        <v>6.25</v>
      </c>
      <c r="K48" s="37">
        <f>K49+K51</f>
        <v>435415350</v>
      </c>
      <c r="L48" s="90">
        <f>9/144*100</f>
        <v>6.25</v>
      </c>
      <c r="M48" s="37">
        <f>M49+M51</f>
        <v>14829700</v>
      </c>
      <c r="N48" s="55">
        <v>0</v>
      </c>
      <c r="O48" s="37">
        <f>O49+O51</f>
        <v>52316550</v>
      </c>
      <c r="P48" s="164">
        <v>0</v>
      </c>
      <c r="Q48" s="37">
        <f>Q49+Q51</f>
        <v>74536050</v>
      </c>
      <c r="R48" s="55"/>
      <c r="S48" s="37"/>
      <c r="T48" s="56">
        <f>SUM(L48,N48,P48,R48)</f>
        <v>6.25</v>
      </c>
      <c r="U48" s="40">
        <f t="shared" ref="U48:U54" si="9">T48/J48*100</f>
        <v>100</v>
      </c>
      <c r="V48" s="41" t="s">
        <v>118</v>
      </c>
      <c r="W48" s="42">
        <f t="shared" ref="W48:W57" si="10">SUM(M48,O48,Q48,S48)</f>
        <v>141682300</v>
      </c>
      <c r="X48" s="43">
        <f t="shared" ref="X48:X57" si="11">W48/K48*100</f>
        <v>32.539573995266821</v>
      </c>
      <c r="Y48" s="41" t="s">
        <v>118</v>
      </c>
      <c r="Z48" s="56">
        <f>SUM(H48,T48)</f>
        <v>11.809999999999999</v>
      </c>
      <c r="AA48" s="42">
        <f t="shared" si="8"/>
        <v>359271200</v>
      </c>
      <c r="AB48" s="43"/>
      <c r="AC48" s="41" t="s">
        <v>118</v>
      </c>
      <c r="AD48" s="43"/>
      <c r="AE48" s="69"/>
      <c r="AF48" s="10"/>
      <c r="AH48" s="14"/>
    </row>
    <row r="49" spans="1:34" s="12" customFormat="1" ht="151.5" customHeight="1" x14ac:dyDescent="0.3">
      <c r="A49" s="58"/>
      <c r="B49" s="45"/>
      <c r="C49" s="30" t="s">
        <v>83</v>
      </c>
      <c r="D49" s="50" t="s">
        <v>208</v>
      </c>
      <c r="E49" s="54">
        <v>10</v>
      </c>
      <c r="F49" s="62" t="s">
        <v>209</v>
      </c>
      <c r="G49" s="34">
        <f>SUM(G50)</f>
        <v>213858200</v>
      </c>
      <c r="H49" s="54">
        <v>8</v>
      </c>
      <c r="I49" s="34">
        <f>SUM(I50)</f>
        <v>25530000</v>
      </c>
      <c r="J49" s="54">
        <v>9</v>
      </c>
      <c r="K49" s="34">
        <f>SUM(K50)</f>
        <v>93504100</v>
      </c>
      <c r="L49" s="34">
        <v>9</v>
      </c>
      <c r="M49" s="34">
        <f>SUM(M50)</f>
        <v>7195000</v>
      </c>
      <c r="N49" s="38">
        <v>0</v>
      </c>
      <c r="O49" s="34">
        <f>SUM(O50)</f>
        <v>32929000</v>
      </c>
      <c r="P49" s="165">
        <v>0</v>
      </c>
      <c r="Q49" s="34">
        <f>SUM(Q50)</f>
        <v>5693500</v>
      </c>
      <c r="R49" s="38"/>
      <c r="S49" s="34"/>
      <c r="T49" s="56">
        <f>SUM(L49,N49,P49,R49)</f>
        <v>9</v>
      </c>
      <c r="U49" s="40">
        <f t="shared" si="9"/>
        <v>100</v>
      </c>
      <c r="V49" s="29" t="s">
        <v>118</v>
      </c>
      <c r="W49" s="108">
        <f t="shared" si="10"/>
        <v>45817500</v>
      </c>
      <c r="X49" s="109">
        <f t="shared" si="11"/>
        <v>49.000525110663595</v>
      </c>
      <c r="Y49" s="29" t="s">
        <v>118</v>
      </c>
      <c r="Z49" s="107">
        <f>SUM(H49,T49)</f>
        <v>17</v>
      </c>
      <c r="AA49" s="108">
        <f t="shared" si="8"/>
        <v>71347500</v>
      </c>
      <c r="AB49" s="109"/>
      <c r="AC49" s="29" t="s">
        <v>118</v>
      </c>
      <c r="AD49" s="109"/>
      <c r="AE49" s="69"/>
      <c r="AF49" s="10"/>
      <c r="AH49" s="14"/>
    </row>
    <row r="50" spans="1:34" s="12" customFormat="1" ht="108.75" customHeight="1" x14ac:dyDescent="0.3">
      <c r="A50" s="58"/>
      <c r="B50" s="45"/>
      <c r="C50" s="60" t="s">
        <v>84</v>
      </c>
      <c r="D50" s="60" t="s">
        <v>174</v>
      </c>
      <c r="E50" s="110">
        <v>5</v>
      </c>
      <c r="F50" s="111" t="s">
        <v>148</v>
      </c>
      <c r="G50" s="112">
        <f>26850000+93504100+93504100</f>
        <v>213858200</v>
      </c>
      <c r="H50" s="110">
        <v>10</v>
      </c>
      <c r="I50" s="112">
        <v>25530000</v>
      </c>
      <c r="J50" s="110">
        <v>1</v>
      </c>
      <c r="K50" s="112">
        <v>93504100</v>
      </c>
      <c r="L50" s="96">
        <v>1</v>
      </c>
      <c r="M50" s="112">
        <v>7195000</v>
      </c>
      <c r="N50" s="110">
        <v>0</v>
      </c>
      <c r="O50" s="63">
        <f>40124000-M50</f>
        <v>32929000</v>
      </c>
      <c r="P50" s="166">
        <v>0</v>
      </c>
      <c r="Q50" s="63">
        <v>5693500</v>
      </c>
      <c r="R50" s="110"/>
      <c r="S50" s="63"/>
      <c r="T50" s="64">
        <f>SUM(L50,N50,P50,R50)</f>
        <v>1</v>
      </c>
      <c r="U50" s="65">
        <f t="shared" si="9"/>
        <v>100</v>
      </c>
      <c r="V50" s="66" t="s">
        <v>118</v>
      </c>
      <c r="W50" s="67">
        <f t="shared" si="10"/>
        <v>45817500</v>
      </c>
      <c r="X50" s="68">
        <f t="shared" si="11"/>
        <v>49.000525110663595</v>
      </c>
      <c r="Y50" s="66" t="s">
        <v>118</v>
      </c>
      <c r="Z50" s="64">
        <f>SUM(H50,T50)</f>
        <v>11</v>
      </c>
      <c r="AA50" s="67">
        <f t="shared" si="8"/>
        <v>71347500</v>
      </c>
      <c r="AB50" s="68"/>
      <c r="AC50" s="66" t="s">
        <v>118</v>
      </c>
      <c r="AD50" s="68"/>
      <c r="AE50" s="69"/>
      <c r="AF50" s="10"/>
      <c r="AH50" s="14"/>
    </row>
    <row r="51" spans="1:34" s="12" customFormat="1" ht="216.75" customHeight="1" x14ac:dyDescent="0.3">
      <c r="A51" s="58"/>
      <c r="B51" s="45"/>
      <c r="C51" s="84" t="s">
        <v>85</v>
      </c>
      <c r="D51" s="30" t="s">
        <v>210</v>
      </c>
      <c r="E51" s="113">
        <v>3</v>
      </c>
      <c r="F51" s="93" t="s">
        <v>211</v>
      </c>
      <c r="G51" s="37">
        <f>SUM(G52)</f>
        <v>1028466000</v>
      </c>
      <c r="H51" s="113">
        <v>3</v>
      </c>
      <c r="I51" s="37">
        <f>SUM(I52)</f>
        <v>192058900</v>
      </c>
      <c r="J51" s="113">
        <v>3</v>
      </c>
      <c r="K51" s="37">
        <f>SUM(K52)</f>
        <v>341911250</v>
      </c>
      <c r="L51" s="113">
        <v>3</v>
      </c>
      <c r="M51" s="37">
        <f>SUM(M52)</f>
        <v>7634700</v>
      </c>
      <c r="N51" s="113">
        <v>3</v>
      </c>
      <c r="O51" s="37">
        <f>SUM(O52)</f>
        <v>19387550</v>
      </c>
      <c r="P51" s="167">
        <v>3</v>
      </c>
      <c r="Q51" s="37">
        <f>SUM(Q52)</f>
        <v>68842550</v>
      </c>
      <c r="R51" s="113"/>
      <c r="S51" s="37"/>
      <c r="T51" s="114">
        <f>AVERAGE(L51,N51,P51,R51)</f>
        <v>3</v>
      </c>
      <c r="U51" s="40">
        <f t="shared" si="9"/>
        <v>100</v>
      </c>
      <c r="V51" s="41" t="s">
        <v>118</v>
      </c>
      <c r="W51" s="42">
        <f t="shared" si="10"/>
        <v>95864800</v>
      </c>
      <c r="X51" s="43">
        <f t="shared" si="11"/>
        <v>28.037919196867605</v>
      </c>
      <c r="Y51" s="41" t="s">
        <v>118</v>
      </c>
      <c r="Z51" s="114">
        <f>T51</f>
        <v>3</v>
      </c>
      <c r="AA51" s="42">
        <f t="shared" si="8"/>
        <v>287923700</v>
      </c>
      <c r="AB51" s="43"/>
      <c r="AC51" s="41" t="s">
        <v>118</v>
      </c>
      <c r="AD51" s="43"/>
      <c r="AE51" s="69"/>
      <c r="AF51" s="10"/>
      <c r="AH51" s="14"/>
    </row>
    <row r="52" spans="1:34" s="12" customFormat="1" ht="139.19999999999999" x14ac:dyDescent="0.3">
      <c r="A52" s="58"/>
      <c r="B52" s="45"/>
      <c r="C52" s="74" t="s">
        <v>86</v>
      </c>
      <c r="D52" s="60" t="s">
        <v>175</v>
      </c>
      <c r="E52" s="61">
        <v>300</v>
      </c>
      <c r="F52" s="95" t="s">
        <v>153</v>
      </c>
      <c r="G52" s="63">
        <f>326268500+351098750*2</f>
        <v>1028466000</v>
      </c>
      <c r="H52" s="96">
        <v>205</v>
      </c>
      <c r="I52" s="63">
        <v>192058900</v>
      </c>
      <c r="J52" s="115">
        <v>250</v>
      </c>
      <c r="K52" s="63">
        <v>341911250</v>
      </c>
      <c r="L52" s="115">
        <v>250</v>
      </c>
      <c r="M52" s="63">
        <v>7634700</v>
      </c>
      <c r="N52" s="115">
        <v>250</v>
      </c>
      <c r="O52" s="63">
        <f>27022250-M52</f>
        <v>19387550</v>
      </c>
      <c r="P52" s="168">
        <v>250</v>
      </c>
      <c r="Q52" s="63">
        <v>68842550</v>
      </c>
      <c r="R52" s="115"/>
      <c r="S52" s="63"/>
      <c r="T52" s="64">
        <f>AVERAGE(L52,N52,P52,R52)</f>
        <v>250</v>
      </c>
      <c r="U52" s="65">
        <f t="shared" si="9"/>
        <v>100</v>
      </c>
      <c r="V52" s="66" t="s">
        <v>118</v>
      </c>
      <c r="W52" s="67">
        <f t="shared" si="10"/>
        <v>95864800</v>
      </c>
      <c r="X52" s="68">
        <f t="shared" si="11"/>
        <v>28.037919196867605</v>
      </c>
      <c r="Y52" s="66" t="s">
        <v>118</v>
      </c>
      <c r="Z52" s="64">
        <f t="shared" ref="Z52:Z57" si="12">SUM(H52,T52)</f>
        <v>455</v>
      </c>
      <c r="AA52" s="67">
        <f t="shared" si="8"/>
        <v>287923700</v>
      </c>
      <c r="AB52" s="68"/>
      <c r="AC52" s="66" t="s">
        <v>118</v>
      </c>
      <c r="AD52" s="68"/>
      <c r="AE52" s="69"/>
      <c r="AF52" s="10"/>
      <c r="AH52" s="14"/>
    </row>
    <row r="53" spans="1:34" s="12" customFormat="1" ht="66" customHeight="1" x14ac:dyDescent="0.3">
      <c r="A53" s="58"/>
      <c r="B53" s="45"/>
      <c r="C53" s="84" t="s">
        <v>87</v>
      </c>
      <c r="D53" s="116" t="s">
        <v>242</v>
      </c>
      <c r="E53" s="53">
        <v>7.43</v>
      </c>
      <c r="F53" s="93" t="s">
        <v>118</v>
      </c>
      <c r="G53" s="37">
        <f>G54+G56</f>
        <v>622418300</v>
      </c>
      <c r="H53" s="53">
        <v>4.7300000000000004</v>
      </c>
      <c r="I53" s="37">
        <f>I54+I56</f>
        <v>176956000</v>
      </c>
      <c r="J53" s="55">
        <v>6.08</v>
      </c>
      <c r="K53" s="37">
        <f>K54+K56</f>
        <v>261542200</v>
      </c>
      <c r="L53" s="55">
        <f>9/148*100</f>
        <v>6.0810810810810816</v>
      </c>
      <c r="M53" s="37">
        <f>M54+M56</f>
        <v>31022500</v>
      </c>
      <c r="N53" s="53">
        <v>0</v>
      </c>
      <c r="O53" s="37">
        <f>O54+O56</f>
        <v>66058850</v>
      </c>
      <c r="P53" s="159">
        <v>0</v>
      </c>
      <c r="Q53" s="37">
        <f>Q54+Q56</f>
        <v>39320000</v>
      </c>
      <c r="R53" s="55"/>
      <c r="S53" s="37"/>
      <c r="T53" s="56">
        <f>AVERAGE(L53,N53,P53,R53)</f>
        <v>2.0270270270270272</v>
      </c>
      <c r="U53" s="40">
        <f t="shared" si="9"/>
        <v>33.339260312944525</v>
      </c>
      <c r="V53" s="41" t="s">
        <v>118</v>
      </c>
      <c r="W53" s="42">
        <f t="shared" si="10"/>
        <v>136401350</v>
      </c>
      <c r="X53" s="43">
        <f t="shared" si="11"/>
        <v>52.152711875942003</v>
      </c>
      <c r="Y53" s="41" t="s">
        <v>118</v>
      </c>
      <c r="Z53" s="56">
        <f t="shared" si="12"/>
        <v>6.7570270270270276</v>
      </c>
      <c r="AA53" s="42">
        <f t="shared" si="8"/>
        <v>313357350</v>
      </c>
      <c r="AB53" s="43"/>
      <c r="AC53" s="41" t="s">
        <v>118</v>
      </c>
      <c r="AD53" s="43"/>
      <c r="AE53" s="69"/>
      <c r="AF53" s="10"/>
      <c r="AH53" s="14"/>
    </row>
    <row r="54" spans="1:34" s="12" customFormat="1" ht="118.5" customHeight="1" x14ac:dyDescent="0.3">
      <c r="A54" s="58"/>
      <c r="B54" s="45"/>
      <c r="C54" s="84" t="s">
        <v>88</v>
      </c>
      <c r="D54" s="84" t="s">
        <v>212</v>
      </c>
      <c r="E54" s="53">
        <v>655</v>
      </c>
      <c r="F54" s="93" t="s">
        <v>205</v>
      </c>
      <c r="G54" s="37">
        <f>SUM(G55)</f>
        <v>289215700</v>
      </c>
      <c r="H54" s="54">
        <v>417</v>
      </c>
      <c r="I54" s="37">
        <f>SUM(I55)</f>
        <v>83464600</v>
      </c>
      <c r="J54" s="94">
        <v>546</v>
      </c>
      <c r="K54" s="37">
        <f>SUM(K55)</f>
        <v>98817400</v>
      </c>
      <c r="L54" s="55">
        <v>432</v>
      </c>
      <c r="M54" s="37">
        <f>M55</f>
        <v>3120000</v>
      </c>
      <c r="N54" s="55">
        <v>0</v>
      </c>
      <c r="O54" s="37">
        <f>O55</f>
        <v>39258700</v>
      </c>
      <c r="P54" s="164">
        <f>489-L54</f>
        <v>57</v>
      </c>
      <c r="Q54" s="37">
        <f>Q55</f>
        <v>12800500</v>
      </c>
      <c r="R54" s="55"/>
      <c r="S54" s="37"/>
      <c r="T54" s="56">
        <f t="shared" ref="T54:T57" si="13">SUM(L54,N54,P54,R54)</f>
        <v>489</v>
      </c>
      <c r="U54" s="40">
        <f t="shared" si="9"/>
        <v>89.560439560439562</v>
      </c>
      <c r="V54" s="41" t="s">
        <v>118</v>
      </c>
      <c r="W54" s="42">
        <f t="shared" si="10"/>
        <v>55179200</v>
      </c>
      <c r="X54" s="43">
        <f t="shared" si="11"/>
        <v>55.83955862024299</v>
      </c>
      <c r="Y54" s="41" t="s">
        <v>118</v>
      </c>
      <c r="Z54" s="56">
        <f t="shared" si="12"/>
        <v>906</v>
      </c>
      <c r="AA54" s="42">
        <f t="shared" si="8"/>
        <v>138643800</v>
      </c>
      <c r="AB54" s="43"/>
      <c r="AC54" s="41" t="s">
        <v>118</v>
      </c>
      <c r="AD54" s="43"/>
      <c r="AE54" s="69"/>
      <c r="AF54" s="10"/>
      <c r="AH54" s="14"/>
    </row>
    <row r="55" spans="1:34" s="12" customFormat="1" ht="208.8" x14ac:dyDescent="0.3">
      <c r="A55" s="58"/>
      <c r="B55" s="45"/>
      <c r="C55" s="74" t="s">
        <v>89</v>
      </c>
      <c r="D55" s="60" t="s">
        <v>176</v>
      </c>
      <c r="E55" s="61">
        <v>6</v>
      </c>
      <c r="F55" s="95" t="s">
        <v>125</v>
      </c>
      <c r="G55" s="63">
        <f>8245500+140485100+140485100</f>
        <v>289215700</v>
      </c>
      <c r="H55" s="96">
        <v>6</v>
      </c>
      <c r="I55" s="63">
        <v>83464600</v>
      </c>
      <c r="J55" s="61">
        <v>6</v>
      </c>
      <c r="K55" s="63">
        <v>98817400</v>
      </c>
      <c r="L55" s="63">
        <v>1</v>
      </c>
      <c r="M55" s="63">
        <f>1500000+1620000</f>
        <v>3120000</v>
      </c>
      <c r="N55" s="61">
        <v>5</v>
      </c>
      <c r="O55" s="63">
        <f>42378700-M55</f>
        <v>39258700</v>
      </c>
      <c r="P55" s="155">
        <v>0</v>
      </c>
      <c r="Q55" s="63">
        <v>12800500</v>
      </c>
      <c r="R55" s="61"/>
      <c r="S55" s="63"/>
      <c r="T55" s="64">
        <f t="shared" si="13"/>
        <v>6</v>
      </c>
      <c r="U55" s="65">
        <f>Z55/J55*100</f>
        <v>200</v>
      </c>
      <c r="V55" s="66" t="s">
        <v>118</v>
      </c>
      <c r="W55" s="67">
        <f t="shared" si="10"/>
        <v>55179200</v>
      </c>
      <c r="X55" s="68">
        <f t="shared" si="11"/>
        <v>55.83955862024299</v>
      </c>
      <c r="Y55" s="66" t="s">
        <v>118</v>
      </c>
      <c r="Z55" s="64">
        <f>SUM(H55,T55)</f>
        <v>12</v>
      </c>
      <c r="AA55" s="67">
        <f t="shared" si="8"/>
        <v>138643800</v>
      </c>
      <c r="AB55" s="68"/>
      <c r="AC55" s="66" t="s">
        <v>118</v>
      </c>
      <c r="AD55" s="68"/>
      <c r="AE55" s="69"/>
      <c r="AF55" s="10"/>
      <c r="AH55" s="14"/>
    </row>
    <row r="56" spans="1:34" s="12" customFormat="1" ht="150" customHeight="1" x14ac:dyDescent="0.3">
      <c r="A56" s="58"/>
      <c r="B56" s="45"/>
      <c r="C56" s="30" t="s">
        <v>90</v>
      </c>
      <c r="D56" s="30" t="s">
        <v>243</v>
      </c>
      <c r="E56" s="54">
        <v>458</v>
      </c>
      <c r="F56" s="93" t="s">
        <v>205</v>
      </c>
      <c r="G56" s="37">
        <f>SUM(G57:G59)</f>
        <v>333202600</v>
      </c>
      <c r="H56" s="54">
        <v>244</v>
      </c>
      <c r="I56" s="37">
        <f>SUM(I57:I59)</f>
        <v>93491400</v>
      </c>
      <c r="J56" s="94">
        <v>360</v>
      </c>
      <c r="K56" s="37">
        <f>SUM(K57:K59)</f>
        <v>162724800</v>
      </c>
      <c r="L56" s="94">
        <v>303</v>
      </c>
      <c r="M56" s="37">
        <f>SUM(M57:M59)</f>
        <v>27902500</v>
      </c>
      <c r="N56" s="55">
        <v>0</v>
      </c>
      <c r="O56" s="37">
        <f>SUM(O57:O59)</f>
        <v>26800150</v>
      </c>
      <c r="P56" s="164">
        <v>57</v>
      </c>
      <c r="Q56" s="37">
        <f>SUM(Q57:Q59)</f>
        <v>26519500</v>
      </c>
      <c r="R56" s="55"/>
      <c r="S56" s="37"/>
      <c r="T56" s="56">
        <f t="shared" si="13"/>
        <v>360</v>
      </c>
      <c r="U56" s="43">
        <f>T56/J56*100</f>
        <v>100</v>
      </c>
      <c r="V56" s="41" t="s">
        <v>118</v>
      </c>
      <c r="W56" s="42">
        <f t="shared" si="10"/>
        <v>81222150</v>
      </c>
      <c r="X56" s="43">
        <f t="shared" si="11"/>
        <v>49.913811539482609</v>
      </c>
      <c r="Y56" s="41" t="s">
        <v>118</v>
      </c>
      <c r="Z56" s="56">
        <f t="shared" si="12"/>
        <v>604</v>
      </c>
      <c r="AA56" s="42">
        <f t="shared" si="8"/>
        <v>174713550</v>
      </c>
      <c r="AB56" s="43"/>
      <c r="AC56" s="41" t="s">
        <v>118</v>
      </c>
      <c r="AD56" s="43"/>
      <c r="AE56" s="69"/>
      <c r="AF56" s="10"/>
      <c r="AH56" s="14"/>
    </row>
    <row r="57" spans="1:34" s="12" customFormat="1" ht="171" customHeight="1" x14ac:dyDescent="0.3">
      <c r="A57" s="58"/>
      <c r="B57" s="45"/>
      <c r="C57" s="74" t="s">
        <v>92</v>
      </c>
      <c r="D57" s="60" t="s">
        <v>177</v>
      </c>
      <c r="E57" s="61">
        <v>160</v>
      </c>
      <c r="F57" s="62" t="s">
        <v>116</v>
      </c>
      <c r="G57" s="63">
        <f>50986400+122074800*2</f>
        <v>295136000</v>
      </c>
      <c r="H57" s="96">
        <v>245</v>
      </c>
      <c r="I57" s="63">
        <v>57166400</v>
      </c>
      <c r="J57" s="61">
        <v>3</v>
      </c>
      <c r="K57" s="63">
        <v>162724800</v>
      </c>
      <c r="L57" s="63">
        <v>3</v>
      </c>
      <c r="M57" s="63">
        <v>27902500</v>
      </c>
      <c r="N57" s="61">
        <v>0</v>
      </c>
      <c r="O57" s="63">
        <f>54702650-M57</f>
        <v>26800150</v>
      </c>
      <c r="P57" s="155">
        <v>0</v>
      </c>
      <c r="Q57" s="63">
        <v>26519500</v>
      </c>
      <c r="R57" s="61"/>
      <c r="S57" s="63"/>
      <c r="T57" s="64">
        <f t="shared" si="13"/>
        <v>3</v>
      </c>
      <c r="U57" s="65">
        <f>T57/J57*100</f>
        <v>100</v>
      </c>
      <c r="V57" s="66" t="s">
        <v>118</v>
      </c>
      <c r="W57" s="67">
        <f t="shared" si="10"/>
        <v>81222150</v>
      </c>
      <c r="X57" s="68">
        <f t="shared" si="11"/>
        <v>49.913811539482609</v>
      </c>
      <c r="Y57" s="66" t="s">
        <v>118</v>
      </c>
      <c r="Z57" s="64">
        <f t="shared" si="12"/>
        <v>248</v>
      </c>
      <c r="AA57" s="67">
        <f t="shared" si="8"/>
        <v>138388550</v>
      </c>
      <c r="AB57" s="68"/>
      <c r="AC57" s="66" t="s">
        <v>118</v>
      </c>
      <c r="AD57" s="68"/>
      <c r="AE57" s="69"/>
      <c r="AF57" s="10"/>
      <c r="AH57" s="14"/>
    </row>
    <row r="58" spans="1:34" s="12" customFormat="1" ht="125.25" customHeight="1" x14ac:dyDescent="0.3">
      <c r="A58" s="58"/>
      <c r="B58" s="45"/>
      <c r="C58" s="106" t="s">
        <v>91</v>
      </c>
      <c r="D58" s="106" t="s">
        <v>178</v>
      </c>
      <c r="E58" s="117">
        <v>0</v>
      </c>
      <c r="F58" s="62" t="s">
        <v>116</v>
      </c>
      <c r="G58" s="63">
        <v>18015000</v>
      </c>
      <c r="H58" s="96">
        <v>54</v>
      </c>
      <c r="I58" s="63">
        <v>18015000</v>
      </c>
      <c r="J58" s="61"/>
      <c r="K58" s="63"/>
      <c r="L58" s="61"/>
      <c r="M58" s="63"/>
      <c r="N58" s="61"/>
      <c r="O58" s="63"/>
      <c r="P58" s="155"/>
      <c r="Q58" s="63"/>
      <c r="R58" s="61"/>
      <c r="S58" s="63"/>
      <c r="T58" s="64"/>
      <c r="U58" s="65"/>
      <c r="V58" s="66"/>
      <c r="W58" s="67"/>
      <c r="X58" s="68"/>
      <c r="Y58" s="66"/>
      <c r="Z58" s="64">
        <f>H58</f>
        <v>54</v>
      </c>
      <c r="AA58" s="67">
        <f t="shared" si="8"/>
        <v>18015000</v>
      </c>
      <c r="AB58" s="68"/>
      <c r="AC58" s="66" t="s">
        <v>118</v>
      </c>
      <c r="AD58" s="68"/>
      <c r="AE58" s="69"/>
      <c r="AF58" s="10"/>
      <c r="AH58" s="14"/>
    </row>
    <row r="59" spans="1:34" s="12" customFormat="1" ht="125.25" customHeight="1" x14ac:dyDescent="0.3">
      <c r="A59" s="58"/>
      <c r="B59" s="45"/>
      <c r="C59" s="105" t="s">
        <v>93</v>
      </c>
      <c r="D59" s="106" t="s">
        <v>179</v>
      </c>
      <c r="E59" s="61">
        <v>0</v>
      </c>
      <c r="F59" s="62" t="s">
        <v>116</v>
      </c>
      <c r="G59" s="63">
        <v>20051600</v>
      </c>
      <c r="H59" s="96">
        <v>54</v>
      </c>
      <c r="I59" s="63">
        <v>18310000</v>
      </c>
      <c r="J59" s="61"/>
      <c r="K59" s="63"/>
      <c r="L59" s="61"/>
      <c r="M59" s="63"/>
      <c r="N59" s="61"/>
      <c r="O59" s="63"/>
      <c r="P59" s="155"/>
      <c r="Q59" s="63"/>
      <c r="R59" s="61"/>
      <c r="S59" s="63"/>
      <c r="T59" s="64"/>
      <c r="U59" s="65"/>
      <c r="V59" s="66"/>
      <c r="W59" s="67"/>
      <c r="X59" s="68"/>
      <c r="Y59" s="66"/>
      <c r="Z59" s="64">
        <f>H59</f>
        <v>54</v>
      </c>
      <c r="AA59" s="67">
        <f t="shared" si="8"/>
        <v>18310000</v>
      </c>
      <c r="AB59" s="68"/>
      <c r="AC59" s="66" t="s">
        <v>118</v>
      </c>
      <c r="AD59" s="68"/>
      <c r="AE59" s="69"/>
      <c r="AF59" s="10"/>
      <c r="AH59" s="14"/>
    </row>
    <row r="60" spans="1:34" s="12" customFormat="1" ht="111.75" customHeight="1" x14ac:dyDescent="0.3">
      <c r="A60" s="58"/>
      <c r="B60" s="45"/>
      <c r="C60" s="84" t="s">
        <v>94</v>
      </c>
      <c r="D60" s="84" t="s">
        <v>244</v>
      </c>
      <c r="E60" s="118">
        <v>100</v>
      </c>
      <c r="F60" s="85" t="s">
        <v>118</v>
      </c>
      <c r="G60" s="46">
        <f>G61+G63+G66</f>
        <v>162062400</v>
      </c>
      <c r="H60" s="118">
        <v>100</v>
      </c>
      <c r="I60" s="46">
        <f>I61+I63+I66</f>
        <v>33484650</v>
      </c>
      <c r="J60" s="118">
        <v>100</v>
      </c>
      <c r="K60" s="46">
        <f>K61+K63+K66</f>
        <v>420507200</v>
      </c>
      <c r="L60" s="53">
        <f>4/4*100</f>
        <v>100</v>
      </c>
      <c r="M60" s="46">
        <f>M61+M63+M66</f>
        <v>5950000</v>
      </c>
      <c r="N60" s="53">
        <v>100</v>
      </c>
      <c r="O60" s="46">
        <f>O61+O63+O66</f>
        <v>96490021</v>
      </c>
      <c r="P60" s="159">
        <v>100</v>
      </c>
      <c r="Q60" s="46">
        <f>Q61+Q63+Q66</f>
        <v>1211724715</v>
      </c>
      <c r="R60" s="53"/>
      <c r="S60" s="46"/>
      <c r="T60" s="57">
        <f>N60</f>
        <v>100</v>
      </c>
      <c r="U60" s="86">
        <f t="shared" ref="U60:U67" si="14">T60/J60*100</f>
        <v>100</v>
      </c>
      <c r="V60" s="48" t="s">
        <v>118</v>
      </c>
      <c r="W60" s="47">
        <f t="shared" ref="W60:W78" si="15">SUM(M60,O60,Q60,S60)</f>
        <v>1314164736</v>
      </c>
      <c r="X60" s="49">
        <f t="shared" ref="X60:X78" si="16">W60/K60*100</f>
        <v>312.51896186319755</v>
      </c>
      <c r="Y60" s="48" t="s">
        <v>118</v>
      </c>
      <c r="Z60" s="57">
        <f t="shared" ref="Z60:Z96" si="17">SUM(H60,T60)</f>
        <v>200</v>
      </c>
      <c r="AA60" s="47">
        <f t="shared" si="8"/>
        <v>1347649386</v>
      </c>
      <c r="AB60" s="49"/>
      <c r="AC60" s="48" t="s">
        <v>118</v>
      </c>
      <c r="AD60" s="49"/>
      <c r="AE60" s="119"/>
      <c r="AF60" s="10"/>
      <c r="AH60" s="14"/>
    </row>
    <row r="61" spans="1:34" s="12" customFormat="1" ht="209.4" customHeight="1" x14ac:dyDescent="0.3">
      <c r="A61" s="58"/>
      <c r="B61" s="45"/>
      <c r="C61" s="84" t="s">
        <v>139</v>
      </c>
      <c r="D61" s="84" t="s">
        <v>213</v>
      </c>
      <c r="E61" s="118"/>
      <c r="F61" s="85"/>
      <c r="G61" s="46">
        <f>SUM(G62)</f>
        <v>0</v>
      </c>
      <c r="H61" s="118"/>
      <c r="I61" s="46">
        <f>SUM(I62)</f>
        <v>0</v>
      </c>
      <c r="J61" s="53">
        <v>30</v>
      </c>
      <c r="K61" s="46">
        <f>SUM(K62)</f>
        <v>112950000</v>
      </c>
      <c r="L61" s="53">
        <v>0</v>
      </c>
      <c r="M61" s="46">
        <f>M62</f>
        <v>0</v>
      </c>
      <c r="N61" s="53">
        <v>30</v>
      </c>
      <c r="O61" s="46">
        <f>O62</f>
        <v>6603900</v>
      </c>
      <c r="P61" s="159">
        <v>0</v>
      </c>
      <c r="Q61" s="46">
        <f>Q62</f>
        <v>88638200</v>
      </c>
      <c r="R61" s="53"/>
      <c r="S61" s="46"/>
      <c r="T61" s="39">
        <f>AVERAGE(L61,N61,P61,R61)</f>
        <v>10</v>
      </c>
      <c r="U61" s="40">
        <f t="shared" si="14"/>
        <v>33.333333333333329</v>
      </c>
      <c r="V61" s="41" t="s">
        <v>118</v>
      </c>
      <c r="W61" s="42">
        <f t="shared" si="15"/>
        <v>95242100</v>
      </c>
      <c r="X61" s="43">
        <f t="shared" si="16"/>
        <v>84.322355024347047</v>
      </c>
      <c r="Y61" s="41" t="s">
        <v>118</v>
      </c>
      <c r="Z61" s="39">
        <f t="shared" si="17"/>
        <v>10</v>
      </c>
      <c r="AA61" s="42">
        <f t="shared" si="8"/>
        <v>95242100</v>
      </c>
      <c r="AB61" s="43"/>
      <c r="AC61" s="41" t="s">
        <v>118</v>
      </c>
      <c r="AD61" s="43"/>
      <c r="AE61" s="69"/>
      <c r="AF61" s="10"/>
      <c r="AH61" s="14"/>
    </row>
    <row r="62" spans="1:34" s="12" customFormat="1" ht="121.8" x14ac:dyDescent="0.3">
      <c r="A62" s="58"/>
      <c r="B62" s="45"/>
      <c r="C62" s="74" t="s">
        <v>140</v>
      </c>
      <c r="D62" s="60" t="s">
        <v>180</v>
      </c>
      <c r="E62" s="61"/>
      <c r="F62" s="62" t="s">
        <v>116</v>
      </c>
      <c r="G62" s="63"/>
      <c r="H62" s="61"/>
      <c r="I62" s="63"/>
      <c r="J62" s="61">
        <v>2</v>
      </c>
      <c r="K62" s="63">
        <v>112950000</v>
      </c>
      <c r="L62" s="61">
        <v>0</v>
      </c>
      <c r="M62" s="63">
        <v>0</v>
      </c>
      <c r="N62" s="61">
        <v>2</v>
      </c>
      <c r="O62" s="63">
        <v>6603900</v>
      </c>
      <c r="P62" s="155">
        <v>0</v>
      </c>
      <c r="Q62" s="63">
        <v>88638200</v>
      </c>
      <c r="R62" s="61"/>
      <c r="S62" s="63"/>
      <c r="T62" s="64">
        <f>SUM(L62,N62,P62,R62)</f>
        <v>2</v>
      </c>
      <c r="U62" s="65">
        <f t="shared" si="14"/>
        <v>100</v>
      </c>
      <c r="V62" s="66" t="s">
        <v>118</v>
      </c>
      <c r="W62" s="67">
        <f t="shared" si="15"/>
        <v>95242100</v>
      </c>
      <c r="X62" s="68">
        <f t="shared" si="16"/>
        <v>84.322355024347047</v>
      </c>
      <c r="Y62" s="66" t="s">
        <v>118</v>
      </c>
      <c r="Z62" s="64">
        <f t="shared" si="17"/>
        <v>2</v>
      </c>
      <c r="AA62" s="67">
        <f t="shared" si="8"/>
        <v>95242100</v>
      </c>
      <c r="AB62" s="68"/>
      <c r="AC62" s="66" t="s">
        <v>118</v>
      </c>
      <c r="AD62" s="68"/>
      <c r="AE62" s="69"/>
      <c r="AF62" s="10"/>
      <c r="AH62" s="14"/>
    </row>
    <row r="63" spans="1:34" s="12" customFormat="1" ht="165.75" customHeight="1" x14ac:dyDescent="0.3">
      <c r="A63" s="58"/>
      <c r="B63" s="45"/>
      <c r="C63" s="84" t="s">
        <v>138</v>
      </c>
      <c r="D63" s="84" t="s">
        <v>206</v>
      </c>
      <c r="E63" s="118">
        <v>6</v>
      </c>
      <c r="F63" s="120" t="s">
        <v>207</v>
      </c>
      <c r="G63" s="46">
        <f>SUM(G64:G65)</f>
        <v>162062400</v>
      </c>
      <c r="H63" s="118">
        <v>6</v>
      </c>
      <c r="I63" s="46">
        <f>SUM(I64:I65)</f>
        <v>33484650</v>
      </c>
      <c r="J63" s="53">
        <v>6</v>
      </c>
      <c r="K63" s="46">
        <f>SUM(K64:K65)</f>
        <v>230751200</v>
      </c>
      <c r="L63" s="53">
        <v>0</v>
      </c>
      <c r="M63" s="46">
        <f>SUM(M64:M65)</f>
        <v>5950000</v>
      </c>
      <c r="N63" s="53">
        <v>6</v>
      </c>
      <c r="O63" s="46">
        <f>SUM(O64:O65)</f>
        <v>27970100</v>
      </c>
      <c r="P63" s="159">
        <v>6</v>
      </c>
      <c r="Q63" s="46">
        <f>SUM(Q64:Q65)</f>
        <v>19893390</v>
      </c>
      <c r="R63" s="53"/>
      <c r="S63" s="46"/>
      <c r="T63" s="39">
        <f>AVERAGE(L63,N63,P63,R63)</f>
        <v>4</v>
      </c>
      <c r="U63" s="40">
        <f t="shared" si="14"/>
        <v>66.666666666666657</v>
      </c>
      <c r="V63" s="41" t="s">
        <v>118</v>
      </c>
      <c r="W63" s="42">
        <f t="shared" si="15"/>
        <v>53813490</v>
      </c>
      <c r="X63" s="43">
        <f t="shared" si="16"/>
        <v>23.321001147556327</v>
      </c>
      <c r="Y63" s="41" t="s">
        <v>118</v>
      </c>
      <c r="Z63" s="39">
        <f t="shared" si="17"/>
        <v>10</v>
      </c>
      <c r="AA63" s="42">
        <f t="shared" si="8"/>
        <v>87298140</v>
      </c>
      <c r="AB63" s="43"/>
      <c r="AC63" s="41" t="s">
        <v>118</v>
      </c>
      <c r="AD63" s="43"/>
      <c r="AE63" s="69"/>
      <c r="AF63" s="10"/>
      <c r="AH63" s="14"/>
    </row>
    <row r="64" spans="1:34" s="12" customFormat="1" ht="174" x14ac:dyDescent="0.3">
      <c r="A64" s="58"/>
      <c r="B64" s="45"/>
      <c r="C64" s="74" t="s">
        <v>95</v>
      </c>
      <c r="D64" s="60" t="s">
        <v>181</v>
      </c>
      <c r="E64" s="61">
        <v>12</v>
      </c>
      <c r="F64" s="95" t="s">
        <v>153</v>
      </c>
      <c r="G64" s="63">
        <f>17700000+68400000*2</f>
        <v>154500000</v>
      </c>
      <c r="H64" s="61">
        <v>24</v>
      </c>
      <c r="I64" s="63">
        <v>26722250</v>
      </c>
      <c r="J64" s="61">
        <v>25</v>
      </c>
      <c r="K64" s="63">
        <v>41220000</v>
      </c>
      <c r="L64" s="61">
        <v>1</v>
      </c>
      <c r="M64" s="63">
        <f>2800000+3150000</f>
        <v>5950000</v>
      </c>
      <c r="N64" s="61">
        <v>6</v>
      </c>
      <c r="O64" s="63">
        <f>15020000-M64</f>
        <v>9070000</v>
      </c>
      <c r="P64" s="155">
        <f>2+3+4</f>
        <v>9</v>
      </c>
      <c r="Q64" s="63">
        <v>17850000</v>
      </c>
      <c r="R64" s="61"/>
      <c r="S64" s="63"/>
      <c r="T64" s="64">
        <f>SUM(L64,N64,P64,R64)</f>
        <v>16</v>
      </c>
      <c r="U64" s="65">
        <f t="shared" si="14"/>
        <v>64</v>
      </c>
      <c r="V64" s="66" t="s">
        <v>118</v>
      </c>
      <c r="W64" s="67">
        <f t="shared" si="15"/>
        <v>32870000</v>
      </c>
      <c r="X64" s="68">
        <f t="shared" si="16"/>
        <v>79.742843279961178</v>
      </c>
      <c r="Y64" s="66" t="s">
        <v>118</v>
      </c>
      <c r="Z64" s="64">
        <f t="shared" si="17"/>
        <v>40</v>
      </c>
      <c r="AA64" s="67">
        <f t="shared" si="8"/>
        <v>59592250</v>
      </c>
      <c r="AB64" s="68"/>
      <c r="AC64" s="66" t="s">
        <v>118</v>
      </c>
      <c r="AD64" s="68"/>
      <c r="AE64" s="69"/>
      <c r="AF64" s="10"/>
      <c r="AH64" s="14"/>
    </row>
    <row r="65" spans="1:34" s="12" customFormat="1" ht="174" x14ac:dyDescent="0.3">
      <c r="A65" s="58"/>
      <c r="B65" s="45"/>
      <c r="C65" s="74" t="s">
        <v>96</v>
      </c>
      <c r="D65" s="60" t="s">
        <v>182</v>
      </c>
      <c r="E65" s="61">
        <v>6</v>
      </c>
      <c r="F65" s="95" t="s">
        <v>171</v>
      </c>
      <c r="G65" s="63">
        <v>7562400</v>
      </c>
      <c r="H65" s="96">
        <v>6</v>
      </c>
      <c r="I65" s="63">
        <v>6762400</v>
      </c>
      <c r="J65" s="61">
        <v>6</v>
      </c>
      <c r="K65" s="63">
        <v>189531200</v>
      </c>
      <c r="L65" s="61">
        <v>6</v>
      </c>
      <c r="M65" s="63">
        <v>0</v>
      </c>
      <c r="N65" s="61">
        <v>6</v>
      </c>
      <c r="O65" s="63">
        <v>18900100</v>
      </c>
      <c r="P65" s="155">
        <v>6</v>
      </c>
      <c r="Q65" s="63">
        <v>2043390</v>
      </c>
      <c r="R65" s="61"/>
      <c r="S65" s="63"/>
      <c r="T65" s="64">
        <f>SUM(L65,N65,P65,R65)</f>
        <v>18</v>
      </c>
      <c r="U65" s="65">
        <f t="shared" si="14"/>
        <v>300</v>
      </c>
      <c r="V65" s="66" t="s">
        <v>118</v>
      </c>
      <c r="W65" s="67">
        <f t="shared" si="15"/>
        <v>20943490</v>
      </c>
      <c r="X65" s="68">
        <f t="shared" si="16"/>
        <v>11.050154275391071</v>
      </c>
      <c r="Y65" s="66" t="s">
        <v>118</v>
      </c>
      <c r="Z65" s="64">
        <f t="shared" si="17"/>
        <v>24</v>
      </c>
      <c r="AA65" s="67">
        <f t="shared" si="8"/>
        <v>27705890</v>
      </c>
      <c r="AB65" s="68"/>
      <c r="AC65" s="66" t="s">
        <v>118</v>
      </c>
      <c r="AD65" s="68"/>
      <c r="AE65" s="69"/>
      <c r="AF65" s="10"/>
      <c r="AH65" s="14"/>
    </row>
    <row r="66" spans="1:34" s="12" customFormat="1" ht="191.4" x14ac:dyDescent="0.3">
      <c r="A66" s="58"/>
      <c r="B66" s="45"/>
      <c r="C66" s="84" t="s">
        <v>141</v>
      </c>
      <c r="D66" s="121" t="s">
        <v>214</v>
      </c>
      <c r="E66" s="118"/>
      <c r="F66" s="120" t="s">
        <v>215</v>
      </c>
      <c r="G66" s="46">
        <f>SUM(G67)</f>
        <v>0</v>
      </c>
      <c r="H66" s="118"/>
      <c r="I66" s="46">
        <f>SUM(I67)</f>
        <v>0</v>
      </c>
      <c r="J66" s="53">
        <v>90</v>
      </c>
      <c r="K66" s="46">
        <f>SUM(K67)</f>
        <v>76806000</v>
      </c>
      <c r="L66" s="53">
        <v>0</v>
      </c>
      <c r="M66" s="46">
        <f>SUM(M67:M68)</f>
        <v>0</v>
      </c>
      <c r="N66" s="53">
        <v>90</v>
      </c>
      <c r="O66" s="46">
        <f>SUM(O67:O68)</f>
        <v>61916021</v>
      </c>
      <c r="P66" s="159">
        <v>0</v>
      </c>
      <c r="Q66" s="46">
        <f>SUM(Q67:Q68)</f>
        <v>1103193125</v>
      </c>
      <c r="R66" s="53"/>
      <c r="S66" s="46"/>
      <c r="T66" s="39">
        <f>AVERAGE(L66,N66,P66,R66)</f>
        <v>30</v>
      </c>
      <c r="U66" s="40">
        <f t="shared" si="14"/>
        <v>33.333333333333329</v>
      </c>
      <c r="V66" s="41" t="s">
        <v>118</v>
      </c>
      <c r="W66" s="42">
        <f t="shared" si="15"/>
        <v>1165109146</v>
      </c>
      <c r="X66" s="43">
        <f t="shared" si="16"/>
        <v>1516.9506887482748</v>
      </c>
      <c r="Y66" s="41" t="s">
        <v>118</v>
      </c>
      <c r="Z66" s="39">
        <f t="shared" si="17"/>
        <v>30</v>
      </c>
      <c r="AA66" s="42">
        <f t="shared" si="8"/>
        <v>1165109146</v>
      </c>
      <c r="AB66" s="43"/>
      <c r="AC66" s="41" t="s">
        <v>118</v>
      </c>
      <c r="AD66" s="43"/>
      <c r="AE66" s="69"/>
      <c r="AF66" s="10"/>
      <c r="AH66" s="14"/>
    </row>
    <row r="67" spans="1:34" s="12" customFormat="1" ht="208.8" x14ac:dyDescent="0.3">
      <c r="A67" s="58"/>
      <c r="B67" s="45"/>
      <c r="C67" s="74" t="s">
        <v>142</v>
      </c>
      <c r="D67" s="60" t="s">
        <v>183</v>
      </c>
      <c r="E67" s="61"/>
      <c r="F67" s="62" t="s">
        <v>116</v>
      </c>
      <c r="G67" s="63"/>
      <c r="H67" s="61"/>
      <c r="I67" s="63"/>
      <c r="J67" s="61">
        <v>3</v>
      </c>
      <c r="K67" s="63">
        <v>76806000</v>
      </c>
      <c r="L67" s="61">
        <v>0</v>
      </c>
      <c r="M67" s="63">
        <v>0</v>
      </c>
      <c r="N67" s="61">
        <v>3</v>
      </c>
      <c r="O67" s="63">
        <v>15297150</v>
      </c>
      <c r="P67" s="155">
        <v>0</v>
      </c>
      <c r="Q67" s="63">
        <v>56085800</v>
      </c>
      <c r="R67" s="61"/>
      <c r="S67" s="63"/>
      <c r="T67" s="64">
        <f t="shared" ref="T67:T78" si="18">SUM(L67,N67,P67,R67)</f>
        <v>3</v>
      </c>
      <c r="U67" s="65">
        <f t="shared" si="14"/>
        <v>100</v>
      </c>
      <c r="V67" s="66" t="s">
        <v>118</v>
      </c>
      <c r="W67" s="67">
        <f t="shared" si="15"/>
        <v>71382950</v>
      </c>
      <c r="X67" s="68">
        <f t="shared" si="16"/>
        <v>92.93928859724501</v>
      </c>
      <c r="Y67" s="66" t="s">
        <v>118</v>
      </c>
      <c r="Z67" s="64">
        <f t="shared" si="17"/>
        <v>3</v>
      </c>
      <c r="AA67" s="67">
        <f t="shared" si="8"/>
        <v>71382950</v>
      </c>
      <c r="AB67" s="68"/>
      <c r="AC67" s="66" t="s">
        <v>118</v>
      </c>
      <c r="AD67" s="68"/>
      <c r="AE67" s="69"/>
      <c r="AF67" s="10"/>
      <c r="AH67" s="14"/>
    </row>
    <row r="68" spans="1:34" s="12" customFormat="1" ht="114.75" customHeight="1" x14ac:dyDescent="0.3">
      <c r="A68" s="58"/>
      <c r="B68" s="45"/>
      <c r="C68" s="84" t="s">
        <v>100</v>
      </c>
      <c r="D68" s="84" t="s">
        <v>245</v>
      </c>
      <c r="E68" s="55" t="s">
        <v>246</v>
      </c>
      <c r="F68" s="93" t="s">
        <v>118</v>
      </c>
      <c r="G68" s="37">
        <f>G69+G71</f>
        <v>171235600</v>
      </c>
      <c r="H68" s="55" t="s">
        <v>247</v>
      </c>
      <c r="I68" s="37">
        <f>I69+I71</f>
        <v>36575800</v>
      </c>
      <c r="J68" s="90" t="s">
        <v>248</v>
      </c>
      <c r="K68" s="37">
        <f>K69+K71</f>
        <v>1255708800</v>
      </c>
      <c r="L68" s="54">
        <v>0</v>
      </c>
      <c r="M68" s="37">
        <f>M69+M71</f>
        <v>0</v>
      </c>
      <c r="N68" s="55">
        <v>0</v>
      </c>
      <c r="O68" s="37">
        <f>O69+O71</f>
        <v>46618871</v>
      </c>
      <c r="P68" s="164">
        <v>0</v>
      </c>
      <c r="Q68" s="37">
        <f>Q69+Q71</f>
        <v>1047107325</v>
      </c>
      <c r="R68" s="53"/>
      <c r="S68" s="37"/>
      <c r="T68" s="56">
        <f t="shared" si="18"/>
        <v>0</v>
      </c>
      <c r="U68" s="40" t="e">
        <f>Z68/J68*100</f>
        <v>#VALUE!</v>
      </c>
      <c r="V68" s="41" t="s">
        <v>118</v>
      </c>
      <c r="W68" s="42">
        <f t="shared" si="15"/>
        <v>1093726196</v>
      </c>
      <c r="X68" s="43">
        <f t="shared" si="16"/>
        <v>87.100305102584301</v>
      </c>
      <c r="Y68" s="41" t="s">
        <v>118</v>
      </c>
      <c r="Z68" s="56">
        <f t="shared" si="17"/>
        <v>0</v>
      </c>
      <c r="AA68" s="42">
        <f t="shared" si="8"/>
        <v>1130301996</v>
      </c>
      <c r="AB68" s="43"/>
      <c r="AC68" s="41" t="s">
        <v>118</v>
      </c>
      <c r="AD68" s="43"/>
      <c r="AE68" s="69"/>
      <c r="AH68" s="14"/>
    </row>
    <row r="69" spans="1:34" s="12" customFormat="1" ht="190.5" customHeight="1" x14ac:dyDescent="0.3">
      <c r="A69" s="58"/>
      <c r="B69" s="45"/>
      <c r="C69" s="84" t="s">
        <v>101</v>
      </c>
      <c r="D69" s="84" t="s">
        <v>249</v>
      </c>
      <c r="E69" s="54">
        <v>132</v>
      </c>
      <c r="F69" s="93" t="s">
        <v>216</v>
      </c>
      <c r="G69" s="37">
        <f>SUM(G70)</f>
        <v>104088700</v>
      </c>
      <c r="H69" s="54">
        <v>132</v>
      </c>
      <c r="I69" s="37">
        <f>SUM(I70)</f>
        <v>20545800</v>
      </c>
      <c r="J69" s="90">
        <v>132</v>
      </c>
      <c r="K69" s="37">
        <f>SUM(K70)</f>
        <v>0</v>
      </c>
      <c r="L69" s="53">
        <v>33</v>
      </c>
      <c r="M69" s="37">
        <f>SUM(M70)</f>
        <v>0</v>
      </c>
      <c r="N69" s="53">
        <v>33</v>
      </c>
      <c r="O69" s="37">
        <f>SUM(O70)</f>
        <v>0</v>
      </c>
      <c r="P69" s="159">
        <v>33</v>
      </c>
      <c r="Q69" s="37">
        <f>SUM(Q70)</f>
        <v>0</v>
      </c>
      <c r="R69" s="55"/>
      <c r="S69" s="37"/>
      <c r="T69" s="56">
        <f t="shared" si="18"/>
        <v>99</v>
      </c>
      <c r="U69" s="40">
        <f>Z69/J69*100</f>
        <v>175</v>
      </c>
      <c r="V69" s="41" t="s">
        <v>118</v>
      </c>
      <c r="W69" s="42">
        <f t="shared" si="15"/>
        <v>0</v>
      </c>
      <c r="X69" s="43" t="e">
        <f t="shared" si="16"/>
        <v>#DIV/0!</v>
      </c>
      <c r="Y69" s="41" t="s">
        <v>118</v>
      </c>
      <c r="Z69" s="56">
        <f t="shared" si="17"/>
        <v>231</v>
      </c>
      <c r="AA69" s="42">
        <f t="shared" si="8"/>
        <v>20545800</v>
      </c>
      <c r="AB69" s="43"/>
      <c r="AC69" s="41" t="s">
        <v>118</v>
      </c>
      <c r="AD69" s="43"/>
      <c r="AE69" s="69"/>
      <c r="AF69" s="10"/>
      <c r="AH69" s="14"/>
    </row>
    <row r="70" spans="1:34" s="12" customFormat="1" ht="93" customHeight="1" x14ac:dyDescent="0.3">
      <c r="A70" s="58"/>
      <c r="B70" s="45"/>
      <c r="C70" s="74" t="s">
        <v>102</v>
      </c>
      <c r="D70" s="82" t="s">
        <v>184</v>
      </c>
      <c r="E70" s="64">
        <v>3</v>
      </c>
      <c r="F70" s="95" t="s">
        <v>116</v>
      </c>
      <c r="G70" s="63">
        <f>12130800+45978950*2</f>
        <v>104088700</v>
      </c>
      <c r="H70" s="64">
        <v>1</v>
      </c>
      <c r="I70" s="63">
        <v>20545800</v>
      </c>
      <c r="J70" s="61">
        <v>1</v>
      </c>
      <c r="K70" s="63">
        <v>0</v>
      </c>
      <c r="L70" s="61">
        <v>0</v>
      </c>
      <c r="M70" s="63">
        <v>0</v>
      </c>
      <c r="N70" s="61">
        <v>0</v>
      </c>
      <c r="O70" s="63">
        <v>0</v>
      </c>
      <c r="P70" s="155">
        <v>1</v>
      </c>
      <c r="Q70" s="63">
        <v>0</v>
      </c>
      <c r="R70" s="61"/>
      <c r="S70" s="63"/>
      <c r="T70" s="64">
        <f t="shared" si="18"/>
        <v>1</v>
      </c>
      <c r="U70" s="65">
        <f>T70/J70*100</f>
        <v>100</v>
      </c>
      <c r="V70" s="66" t="s">
        <v>118</v>
      </c>
      <c r="W70" s="67">
        <f t="shared" si="15"/>
        <v>0</v>
      </c>
      <c r="X70" s="68" t="e">
        <f t="shared" si="16"/>
        <v>#DIV/0!</v>
      </c>
      <c r="Y70" s="66" t="s">
        <v>118</v>
      </c>
      <c r="Z70" s="64">
        <f t="shared" si="17"/>
        <v>2</v>
      </c>
      <c r="AA70" s="67">
        <f t="shared" si="8"/>
        <v>20545800</v>
      </c>
      <c r="AB70" s="68"/>
      <c r="AC70" s="66" t="s">
        <v>118</v>
      </c>
      <c r="AD70" s="68"/>
      <c r="AE70" s="69"/>
      <c r="AF70" s="10"/>
      <c r="AH70" s="14"/>
    </row>
    <row r="71" spans="1:34" s="12" customFormat="1" ht="104.4" x14ac:dyDescent="0.3">
      <c r="A71" s="58"/>
      <c r="B71" s="45"/>
      <c r="C71" s="84" t="s">
        <v>103</v>
      </c>
      <c r="D71" s="84" t="s">
        <v>217</v>
      </c>
      <c r="E71" s="54">
        <v>3</v>
      </c>
      <c r="F71" s="93" t="s">
        <v>218</v>
      </c>
      <c r="G71" s="37">
        <f>SUM(G72:G74)</f>
        <v>67146900</v>
      </c>
      <c r="H71" s="54">
        <v>1</v>
      </c>
      <c r="I71" s="37">
        <f>SUM(I72:I74)</f>
        <v>16030000</v>
      </c>
      <c r="J71" s="54">
        <v>2</v>
      </c>
      <c r="K71" s="37">
        <f>SUM(K72:K74)</f>
        <v>1255708800</v>
      </c>
      <c r="L71" s="53">
        <v>0</v>
      </c>
      <c r="M71" s="37">
        <f>SUM(M72:M74)</f>
        <v>0</v>
      </c>
      <c r="N71" s="54">
        <v>2</v>
      </c>
      <c r="O71" s="37">
        <f>SUM(O72:O74)</f>
        <v>46618871</v>
      </c>
      <c r="P71" s="154">
        <v>0</v>
      </c>
      <c r="Q71" s="37">
        <f>SUM(Q72:Q74)</f>
        <v>1047107325</v>
      </c>
      <c r="R71" s="55"/>
      <c r="S71" s="37"/>
      <c r="T71" s="56">
        <f t="shared" si="18"/>
        <v>2</v>
      </c>
      <c r="U71" s="40">
        <f>Z71/J71*100</f>
        <v>150</v>
      </c>
      <c r="V71" s="41" t="s">
        <v>118</v>
      </c>
      <c r="W71" s="42">
        <f t="shared" si="15"/>
        <v>1093726196</v>
      </c>
      <c r="X71" s="43">
        <f t="shared" si="16"/>
        <v>87.100305102584301</v>
      </c>
      <c r="Y71" s="41" t="s">
        <v>118</v>
      </c>
      <c r="Z71" s="56">
        <f t="shared" si="17"/>
        <v>3</v>
      </c>
      <c r="AA71" s="42">
        <f t="shared" si="8"/>
        <v>1109756196</v>
      </c>
      <c r="AB71" s="43"/>
      <c r="AC71" s="41" t="s">
        <v>118</v>
      </c>
      <c r="AD71" s="43"/>
      <c r="AE71" s="69"/>
      <c r="AF71" s="10"/>
      <c r="AH71" s="14"/>
    </row>
    <row r="72" spans="1:34" s="12" customFormat="1" ht="209.4" customHeight="1" x14ac:dyDescent="0.3">
      <c r="A72" s="58"/>
      <c r="B72" s="45"/>
      <c r="C72" s="60" t="s">
        <v>104</v>
      </c>
      <c r="D72" s="82" t="s">
        <v>185</v>
      </c>
      <c r="E72" s="61">
        <v>22</v>
      </c>
      <c r="F72" s="95" t="s">
        <v>218</v>
      </c>
      <c r="G72" s="112">
        <f>16047300+25549800*2</f>
        <v>67146900</v>
      </c>
      <c r="H72" s="96">
        <v>10</v>
      </c>
      <c r="I72" s="112">
        <v>16030000</v>
      </c>
      <c r="J72" s="61">
        <v>6</v>
      </c>
      <c r="K72" s="112">
        <v>25549800</v>
      </c>
      <c r="L72" s="61">
        <v>0</v>
      </c>
      <c r="M72" s="112">
        <v>0</v>
      </c>
      <c r="N72" s="61">
        <v>6</v>
      </c>
      <c r="O72" s="112">
        <v>0</v>
      </c>
      <c r="P72" s="155">
        <v>0</v>
      </c>
      <c r="Q72" s="112">
        <v>21757800</v>
      </c>
      <c r="R72" s="61"/>
      <c r="S72" s="112"/>
      <c r="T72" s="64">
        <f t="shared" si="18"/>
        <v>6</v>
      </c>
      <c r="U72" s="65">
        <f t="shared" ref="U72:U78" si="19">T72/J72*100</f>
        <v>100</v>
      </c>
      <c r="V72" s="66" t="s">
        <v>118</v>
      </c>
      <c r="W72" s="122">
        <f t="shared" si="15"/>
        <v>21757800</v>
      </c>
      <c r="X72" s="68">
        <f t="shared" si="16"/>
        <v>85.158396543221471</v>
      </c>
      <c r="Y72" s="66" t="s">
        <v>118</v>
      </c>
      <c r="Z72" s="64">
        <f t="shared" si="17"/>
        <v>16</v>
      </c>
      <c r="AA72" s="122">
        <f t="shared" si="8"/>
        <v>37787800</v>
      </c>
      <c r="AB72" s="68"/>
      <c r="AC72" s="66" t="s">
        <v>118</v>
      </c>
      <c r="AD72" s="68"/>
      <c r="AE72" s="69"/>
      <c r="AF72" s="10"/>
      <c r="AH72" s="14"/>
    </row>
    <row r="73" spans="1:34" s="12" customFormat="1" ht="48" customHeight="1" x14ac:dyDescent="0.3">
      <c r="A73" s="58"/>
      <c r="B73" s="45"/>
      <c r="C73" s="60" t="s">
        <v>143</v>
      </c>
      <c r="D73" s="82" t="s">
        <v>186</v>
      </c>
      <c r="E73" s="61"/>
      <c r="F73" s="95" t="s">
        <v>116</v>
      </c>
      <c r="G73" s="112"/>
      <c r="H73" s="96"/>
      <c r="I73" s="112"/>
      <c r="J73" s="61">
        <v>3</v>
      </c>
      <c r="K73" s="112">
        <v>1117359000</v>
      </c>
      <c r="L73" s="61">
        <v>0</v>
      </c>
      <c r="M73" s="112">
        <v>0</v>
      </c>
      <c r="N73" s="61">
        <v>3</v>
      </c>
      <c r="O73" s="112">
        <v>0</v>
      </c>
      <c r="P73" s="155">
        <v>0</v>
      </c>
      <c r="Q73" s="112">
        <v>998762625</v>
      </c>
      <c r="R73" s="61"/>
      <c r="S73" s="112"/>
      <c r="T73" s="64">
        <f t="shared" si="18"/>
        <v>3</v>
      </c>
      <c r="U73" s="65">
        <f t="shared" si="19"/>
        <v>100</v>
      </c>
      <c r="V73" s="66" t="s">
        <v>118</v>
      </c>
      <c r="W73" s="122">
        <f t="shared" si="15"/>
        <v>998762625</v>
      </c>
      <c r="X73" s="68">
        <f t="shared" si="16"/>
        <v>89.386009778415001</v>
      </c>
      <c r="Y73" s="66" t="s">
        <v>118</v>
      </c>
      <c r="Z73" s="64">
        <f t="shared" si="17"/>
        <v>3</v>
      </c>
      <c r="AA73" s="122">
        <f t="shared" si="8"/>
        <v>998762625</v>
      </c>
      <c r="AB73" s="68"/>
      <c r="AC73" s="66" t="s">
        <v>118</v>
      </c>
      <c r="AD73" s="68"/>
      <c r="AE73" s="69"/>
      <c r="AF73" s="10"/>
      <c r="AH73" s="14"/>
    </row>
    <row r="74" spans="1:34" s="12" customFormat="1" ht="95.4" customHeight="1" x14ac:dyDescent="0.3">
      <c r="A74" s="58"/>
      <c r="B74" s="45"/>
      <c r="C74" s="123" t="s">
        <v>144</v>
      </c>
      <c r="D74" s="82" t="s">
        <v>187</v>
      </c>
      <c r="E74" s="61"/>
      <c r="F74" s="95" t="s">
        <v>116</v>
      </c>
      <c r="G74" s="112"/>
      <c r="H74" s="96"/>
      <c r="I74" s="112"/>
      <c r="J74" s="61">
        <v>1</v>
      </c>
      <c r="K74" s="112">
        <v>112800000</v>
      </c>
      <c r="L74" s="61">
        <v>0</v>
      </c>
      <c r="M74" s="112">
        <v>0</v>
      </c>
      <c r="N74" s="61">
        <v>0</v>
      </c>
      <c r="O74" s="112">
        <v>46618871</v>
      </c>
      <c r="P74" s="155">
        <v>0</v>
      </c>
      <c r="Q74" s="112">
        <v>26586900</v>
      </c>
      <c r="R74" s="61"/>
      <c r="S74" s="112"/>
      <c r="T74" s="64">
        <f t="shared" si="18"/>
        <v>0</v>
      </c>
      <c r="U74" s="65">
        <f t="shared" si="19"/>
        <v>0</v>
      </c>
      <c r="V74" s="66" t="s">
        <v>118</v>
      </c>
      <c r="W74" s="122">
        <f t="shared" si="15"/>
        <v>73205771</v>
      </c>
      <c r="X74" s="68">
        <f t="shared" si="16"/>
        <v>64.898733156028371</v>
      </c>
      <c r="Y74" s="66" t="s">
        <v>118</v>
      </c>
      <c r="Z74" s="64">
        <f t="shared" si="17"/>
        <v>0</v>
      </c>
      <c r="AA74" s="122">
        <f t="shared" si="8"/>
        <v>73205771</v>
      </c>
      <c r="AB74" s="68"/>
      <c r="AC74" s="66" t="s">
        <v>118</v>
      </c>
      <c r="AD74" s="68"/>
      <c r="AE74" s="69"/>
      <c r="AF74" s="10"/>
      <c r="AH74" s="14"/>
    </row>
    <row r="75" spans="1:34" s="12" customFormat="1" ht="74.400000000000006" customHeight="1" x14ac:dyDescent="0.3">
      <c r="A75" s="58"/>
      <c r="B75" s="45"/>
      <c r="C75" s="50" t="s">
        <v>97</v>
      </c>
      <c r="D75" s="124" t="s">
        <v>250</v>
      </c>
      <c r="E75" s="32" t="s">
        <v>251</v>
      </c>
      <c r="F75" s="125" t="s">
        <v>118</v>
      </c>
      <c r="G75" s="34">
        <f>G76+G81+G83+G89</f>
        <v>4568319450</v>
      </c>
      <c r="H75" s="126" t="s">
        <v>252</v>
      </c>
      <c r="I75" s="34">
        <f>I76+I81+I83+I89</f>
        <v>6668295215</v>
      </c>
      <c r="J75" s="127" t="s">
        <v>253</v>
      </c>
      <c r="K75" s="34">
        <f>K76+K81+K83+K89</f>
        <v>1959930275</v>
      </c>
      <c r="L75" s="128">
        <f>(2190+3388)/37737*100</f>
        <v>14.781249171900257</v>
      </c>
      <c r="M75" s="37">
        <f>M76+M83+M89</f>
        <v>30843650</v>
      </c>
      <c r="N75" s="128">
        <f>(2257+2967)/36444*100</f>
        <v>14.334321150257932</v>
      </c>
      <c r="O75" s="37">
        <f>O76+O83+O89</f>
        <v>291478050</v>
      </c>
      <c r="P75" s="169">
        <f>(2205+2857)/36311*100</f>
        <v>13.940679133045084</v>
      </c>
      <c r="Q75" s="37">
        <f>Q76+Q83+Q89</f>
        <v>292831150</v>
      </c>
      <c r="R75" s="127"/>
      <c r="S75" s="37"/>
      <c r="T75" s="39">
        <f t="shared" si="18"/>
        <v>43.056249455203272</v>
      </c>
      <c r="U75" s="40" t="e">
        <f t="shared" si="19"/>
        <v>#VALUE!</v>
      </c>
      <c r="V75" s="129" t="s">
        <v>118</v>
      </c>
      <c r="W75" s="42">
        <f t="shared" si="15"/>
        <v>615152850</v>
      </c>
      <c r="X75" s="130">
        <f t="shared" si="16"/>
        <v>31.386466031297978</v>
      </c>
      <c r="Y75" s="41" t="s">
        <v>118</v>
      </c>
      <c r="Z75" s="56">
        <f t="shared" si="17"/>
        <v>43.056249455203272</v>
      </c>
      <c r="AA75" s="42">
        <f t="shared" si="8"/>
        <v>7283448065</v>
      </c>
      <c r="AB75" s="130"/>
      <c r="AC75" s="41" t="s">
        <v>118</v>
      </c>
      <c r="AD75" s="43"/>
      <c r="AE75" s="69"/>
      <c r="AF75" s="10"/>
      <c r="AH75" s="14"/>
    </row>
    <row r="76" spans="1:34" s="12" customFormat="1" ht="155.25" customHeight="1" x14ac:dyDescent="0.3">
      <c r="A76" s="58"/>
      <c r="B76" s="45"/>
      <c r="C76" s="30" t="s">
        <v>98</v>
      </c>
      <c r="D76" s="30" t="s">
        <v>219</v>
      </c>
      <c r="E76" s="53">
        <v>44</v>
      </c>
      <c r="F76" s="93" t="s">
        <v>220</v>
      </c>
      <c r="G76" s="37">
        <f>SUM(G77:G80)</f>
        <v>1211315950</v>
      </c>
      <c r="H76" s="54">
        <v>44</v>
      </c>
      <c r="I76" s="37">
        <f>SUM(I77:I80)</f>
        <v>1994492715</v>
      </c>
      <c r="J76" s="53">
        <v>44</v>
      </c>
      <c r="K76" s="37">
        <f>SUM(K77:K80)</f>
        <v>483463825</v>
      </c>
      <c r="L76" s="54">
        <v>11</v>
      </c>
      <c r="M76" s="37">
        <f>SUM(M77:M80)</f>
        <v>3345000</v>
      </c>
      <c r="N76" s="54">
        <v>11</v>
      </c>
      <c r="O76" s="37">
        <f>SUM(O77:O80)</f>
        <v>149235550</v>
      </c>
      <c r="P76" s="154">
        <v>11</v>
      </c>
      <c r="Q76" s="37">
        <f>SUM(Q77:Q80)</f>
        <v>166621850</v>
      </c>
      <c r="R76" s="131"/>
      <c r="S76" s="37"/>
      <c r="T76" s="132">
        <f t="shared" si="18"/>
        <v>33</v>
      </c>
      <c r="U76" s="49">
        <f t="shared" si="19"/>
        <v>75</v>
      </c>
      <c r="V76" s="48" t="s">
        <v>118</v>
      </c>
      <c r="W76" s="47">
        <f t="shared" si="15"/>
        <v>319202400</v>
      </c>
      <c r="X76" s="49">
        <f t="shared" si="16"/>
        <v>66.024050506777826</v>
      </c>
      <c r="Y76" s="48" t="s">
        <v>118</v>
      </c>
      <c r="Z76" s="132">
        <f t="shared" si="17"/>
        <v>77</v>
      </c>
      <c r="AA76" s="47">
        <f t="shared" si="8"/>
        <v>2313695115</v>
      </c>
      <c r="AB76" s="43"/>
      <c r="AC76" s="41" t="s">
        <v>118</v>
      </c>
      <c r="AD76" s="43"/>
      <c r="AE76" s="69"/>
      <c r="AF76" s="10"/>
      <c r="AH76" s="14"/>
    </row>
    <row r="77" spans="1:34" s="12" customFormat="1" ht="87" x14ac:dyDescent="0.3">
      <c r="A77" s="58"/>
      <c r="B77" s="45"/>
      <c r="C77" s="74" t="s">
        <v>99</v>
      </c>
      <c r="D77" s="60" t="s">
        <v>188</v>
      </c>
      <c r="E77" s="61">
        <v>9</v>
      </c>
      <c r="F77" s="95" t="s">
        <v>125</v>
      </c>
      <c r="G77" s="63">
        <f>49157400+79098775*2</f>
        <v>207354950</v>
      </c>
      <c r="H77" s="61">
        <v>18</v>
      </c>
      <c r="I77" s="63">
        <v>51490750</v>
      </c>
      <c r="J77" s="61">
        <v>9</v>
      </c>
      <c r="K77" s="63">
        <v>37963825</v>
      </c>
      <c r="L77" s="61">
        <v>8</v>
      </c>
      <c r="M77" s="63">
        <v>3345000</v>
      </c>
      <c r="N77" s="61">
        <v>0</v>
      </c>
      <c r="O77" s="63">
        <f>13689550-M77</f>
        <v>10344550</v>
      </c>
      <c r="P77" s="155">
        <v>0</v>
      </c>
      <c r="Q77" s="63">
        <v>19360000</v>
      </c>
      <c r="R77" s="61"/>
      <c r="S77" s="63"/>
      <c r="T77" s="64">
        <f t="shared" si="18"/>
        <v>8</v>
      </c>
      <c r="U77" s="65">
        <f t="shared" si="19"/>
        <v>88.888888888888886</v>
      </c>
      <c r="V77" s="66" t="s">
        <v>118</v>
      </c>
      <c r="W77" s="67">
        <f t="shared" si="15"/>
        <v>33049550</v>
      </c>
      <c r="X77" s="68">
        <f t="shared" si="16"/>
        <v>87.055374425522189</v>
      </c>
      <c r="Y77" s="66" t="s">
        <v>118</v>
      </c>
      <c r="Z77" s="64">
        <f t="shared" si="17"/>
        <v>26</v>
      </c>
      <c r="AA77" s="67">
        <f t="shared" si="8"/>
        <v>84540300</v>
      </c>
      <c r="AB77" s="68"/>
      <c r="AC77" s="66" t="s">
        <v>118</v>
      </c>
      <c r="AD77" s="68"/>
      <c r="AE77" s="69"/>
      <c r="AF77" s="10"/>
      <c r="AH77" s="14"/>
    </row>
    <row r="78" spans="1:34" s="12" customFormat="1" ht="104.4" x14ac:dyDescent="0.3">
      <c r="A78" s="58"/>
      <c r="B78" s="45"/>
      <c r="C78" s="74" t="s">
        <v>120</v>
      </c>
      <c r="D78" s="60" t="s">
        <v>189</v>
      </c>
      <c r="E78" s="61">
        <v>12</v>
      </c>
      <c r="F78" s="95" t="s">
        <v>148</v>
      </c>
      <c r="G78" s="63">
        <v>810084000</v>
      </c>
      <c r="H78" s="61">
        <v>22</v>
      </c>
      <c r="I78" s="63">
        <v>1656992565</v>
      </c>
      <c r="J78" s="61">
        <v>12</v>
      </c>
      <c r="K78" s="63">
        <v>445500000</v>
      </c>
      <c r="L78" s="61">
        <v>3</v>
      </c>
      <c r="M78" s="63">
        <v>0</v>
      </c>
      <c r="N78" s="61">
        <v>3</v>
      </c>
      <c r="O78" s="63">
        <f>70950000+67941000</f>
        <v>138891000</v>
      </c>
      <c r="P78" s="155">
        <v>3</v>
      </c>
      <c r="Q78" s="63">
        <v>147261850</v>
      </c>
      <c r="R78" s="61"/>
      <c r="S78" s="63"/>
      <c r="T78" s="64">
        <f t="shared" si="18"/>
        <v>9</v>
      </c>
      <c r="U78" s="65">
        <f t="shared" si="19"/>
        <v>75</v>
      </c>
      <c r="V78" s="66" t="s">
        <v>118</v>
      </c>
      <c r="W78" s="67">
        <f t="shared" si="15"/>
        <v>286152850</v>
      </c>
      <c r="X78" s="68">
        <f t="shared" si="16"/>
        <v>64.2318406285073</v>
      </c>
      <c r="Y78" s="66" t="s">
        <v>118</v>
      </c>
      <c r="Z78" s="64">
        <f t="shared" si="17"/>
        <v>31</v>
      </c>
      <c r="AA78" s="67">
        <f t="shared" ref="AA78:AA96" si="20">SUM(I78,W78)</f>
        <v>1943145415</v>
      </c>
      <c r="AB78" s="68"/>
      <c r="AC78" s="66" t="s">
        <v>118</v>
      </c>
      <c r="AD78" s="68"/>
      <c r="AE78" s="69"/>
      <c r="AF78" s="10"/>
      <c r="AH78" s="14"/>
    </row>
    <row r="79" spans="1:34" s="12" customFormat="1" ht="87" x14ac:dyDescent="0.3">
      <c r="A79" s="58"/>
      <c r="B79" s="45"/>
      <c r="C79" s="105" t="s">
        <v>119</v>
      </c>
      <c r="D79" s="106" t="s">
        <v>190</v>
      </c>
      <c r="E79" s="61">
        <v>11</v>
      </c>
      <c r="F79" s="95" t="s">
        <v>162</v>
      </c>
      <c r="G79" s="63">
        <v>168187000</v>
      </c>
      <c r="H79" s="61">
        <v>22</v>
      </c>
      <c r="I79" s="63">
        <v>262141400</v>
      </c>
      <c r="J79" s="61"/>
      <c r="K79" s="63"/>
      <c r="L79" s="61"/>
      <c r="M79" s="63"/>
      <c r="N79" s="61"/>
      <c r="O79" s="63"/>
      <c r="P79" s="155"/>
      <c r="Q79" s="63"/>
      <c r="R79" s="61"/>
      <c r="S79" s="63"/>
      <c r="T79" s="64"/>
      <c r="U79" s="65"/>
      <c r="V79" s="66"/>
      <c r="W79" s="67"/>
      <c r="X79" s="68"/>
      <c r="Y79" s="66"/>
      <c r="Z79" s="64">
        <f t="shared" si="17"/>
        <v>22</v>
      </c>
      <c r="AA79" s="67">
        <f t="shared" si="20"/>
        <v>262141400</v>
      </c>
      <c r="AB79" s="68"/>
      <c r="AC79" s="66" t="s">
        <v>118</v>
      </c>
      <c r="AD79" s="68"/>
      <c r="AE79" s="69"/>
      <c r="AF79" s="10"/>
      <c r="AH79" s="14"/>
    </row>
    <row r="80" spans="1:34" s="12" customFormat="1" ht="61.5" customHeight="1" x14ac:dyDescent="0.3">
      <c r="A80" s="58"/>
      <c r="B80" s="45"/>
      <c r="C80" s="105" t="s">
        <v>105</v>
      </c>
      <c r="D80" s="106" t="s">
        <v>191</v>
      </c>
      <c r="E80" s="61">
        <v>0</v>
      </c>
      <c r="F80" s="95" t="s">
        <v>148</v>
      </c>
      <c r="G80" s="63">
        <v>25690000</v>
      </c>
      <c r="H80" s="96">
        <v>40</v>
      </c>
      <c r="I80" s="63">
        <v>23868000</v>
      </c>
      <c r="J80" s="61"/>
      <c r="K80" s="63"/>
      <c r="L80" s="61"/>
      <c r="M80" s="63"/>
      <c r="N80" s="61"/>
      <c r="O80" s="63"/>
      <c r="P80" s="155"/>
      <c r="Q80" s="63"/>
      <c r="R80" s="61"/>
      <c r="S80" s="63"/>
      <c r="T80" s="64"/>
      <c r="U80" s="65"/>
      <c r="V80" s="66"/>
      <c r="W80" s="67"/>
      <c r="X80" s="68"/>
      <c r="Y80" s="66"/>
      <c r="Z80" s="64">
        <f t="shared" si="17"/>
        <v>40</v>
      </c>
      <c r="AA80" s="67">
        <f t="shared" si="20"/>
        <v>23868000</v>
      </c>
      <c r="AB80" s="68"/>
      <c r="AC80" s="66" t="s">
        <v>118</v>
      </c>
      <c r="AD80" s="68"/>
      <c r="AE80" s="69"/>
      <c r="AF80" s="10"/>
      <c r="AH80" s="14"/>
    </row>
    <row r="81" spans="1:34" s="12" customFormat="1" ht="84.75" customHeight="1" x14ac:dyDescent="0.3">
      <c r="A81" s="58"/>
      <c r="B81" s="45"/>
      <c r="C81" s="84" t="s">
        <v>121</v>
      </c>
      <c r="D81" s="30" t="s">
        <v>126</v>
      </c>
      <c r="E81" s="39">
        <v>34812</v>
      </c>
      <c r="F81" s="93" t="s">
        <v>128</v>
      </c>
      <c r="G81" s="37">
        <f>SUM(G82)</f>
        <v>888000000</v>
      </c>
      <c r="H81" s="39">
        <v>33691</v>
      </c>
      <c r="I81" s="37">
        <f>SUM(I82)</f>
        <v>1473850000</v>
      </c>
      <c r="J81" s="39">
        <v>35212</v>
      </c>
      <c r="K81" s="37">
        <f>SUM(K82)</f>
        <v>810415000</v>
      </c>
      <c r="L81" s="39">
        <v>0</v>
      </c>
      <c r="M81" s="37">
        <f>SUM(M82)</f>
        <v>0</v>
      </c>
      <c r="N81" s="39">
        <v>26807</v>
      </c>
      <c r="O81" s="37">
        <f>SUM(O82)</f>
        <v>292660000</v>
      </c>
      <c r="P81" s="170">
        <v>26468</v>
      </c>
      <c r="Q81" s="37">
        <f>SUM(Q82)</f>
        <v>269222000</v>
      </c>
      <c r="R81" s="39"/>
      <c r="S81" s="37"/>
      <c r="T81" s="39">
        <f>N81</f>
        <v>26807</v>
      </c>
      <c r="U81" s="43">
        <f t="shared" ref="U81:U87" si="21">T81/J81*100</f>
        <v>76.130296489833015</v>
      </c>
      <c r="V81" s="41" t="s">
        <v>118</v>
      </c>
      <c r="W81" s="42">
        <f t="shared" ref="W81:W87" si="22">SUM(M81,O81,Q81,S81)</f>
        <v>561882000</v>
      </c>
      <c r="X81" s="43">
        <f t="shared" ref="X81:X87" si="23">W81/K81*100</f>
        <v>69.332625876865563</v>
      </c>
      <c r="Y81" s="41" t="s">
        <v>118</v>
      </c>
      <c r="Z81" s="39">
        <f t="shared" si="17"/>
        <v>60498</v>
      </c>
      <c r="AA81" s="42">
        <f t="shared" si="20"/>
        <v>2035732000</v>
      </c>
      <c r="AB81" s="43"/>
      <c r="AC81" s="41" t="s">
        <v>118</v>
      </c>
      <c r="AD81" s="43"/>
      <c r="AE81" s="69"/>
      <c r="AF81" s="10"/>
      <c r="AH81" s="14"/>
    </row>
    <row r="82" spans="1:34" s="12" customFormat="1" ht="69.599999999999994" x14ac:dyDescent="0.3">
      <c r="A82" s="58"/>
      <c r="B82" s="45"/>
      <c r="C82" s="74" t="s">
        <v>193</v>
      </c>
      <c r="D82" s="60" t="s">
        <v>192</v>
      </c>
      <c r="E82" s="61">
        <v>676</v>
      </c>
      <c r="F82" s="95" t="s">
        <v>153</v>
      </c>
      <c r="G82" s="63">
        <v>888000000</v>
      </c>
      <c r="H82" s="96">
        <v>1446</v>
      </c>
      <c r="I82" s="63">
        <v>1473850000</v>
      </c>
      <c r="J82" s="61">
        <v>740</v>
      </c>
      <c r="K82" s="63">
        <v>810415000</v>
      </c>
      <c r="L82" s="61">
        <v>740</v>
      </c>
      <c r="M82" s="63">
        <v>0</v>
      </c>
      <c r="N82" s="61">
        <v>0</v>
      </c>
      <c r="O82" s="63">
        <v>292660000</v>
      </c>
      <c r="P82" s="155">
        <v>0</v>
      </c>
      <c r="Q82" s="63">
        <v>269222000</v>
      </c>
      <c r="R82" s="61"/>
      <c r="S82" s="63"/>
      <c r="T82" s="64">
        <f>AVERAGE(N82,P82,R82)</f>
        <v>0</v>
      </c>
      <c r="U82" s="65">
        <f t="shared" si="21"/>
        <v>0</v>
      </c>
      <c r="V82" s="66" t="s">
        <v>118</v>
      </c>
      <c r="W82" s="67">
        <f t="shared" si="22"/>
        <v>561882000</v>
      </c>
      <c r="X82" s="68">
        <f t="shared" si="23"/>
        <v>69.332625876865563</v>
      </c>
      <c r="Y82" s="66" t="s">
        <v>118</v>
      </c>
      <c r="Z82" s="64">
        <f t="shared" si="17"/>
        <v>1446</v>
      </c>
      <c r="AA82" s="67">
        <f t="shared" si="20"/>
        <v>2035732000</v>
      </c>
      <c r="AB82" s="68"/>
      <c r="AC82" s="66" t="s">
        <v>118</v>
      </c>
      <c r="AD82" s="68"/>
      <c r="AE82" s="69"/>
      <c r="AF82" s="10"/>
      <c r="AH82" s="14"/>
    </row>
    <row r="83" spans="1:34" s="12" customFormat="1" ht="146.25" customHeight="1" x14ac:dyDescent="0.3">
      <c r="A83" s="58"/>
      <c r="B83" s="92"/>
      <c r="C83" s="84" t="s">
        <v>106</v>
      </c>
      <c r="D83" s="84" t="s">
        <v>254</v>
      </c>
      <c r="E83" s="53">
        <v>25</v>
      </c>
      <c r="F83" s="93" t="s">
        <v>221</v>
      </c>
      <c r="G83" s="37">
        <f>SUM(G84:G88)</f>
        <v>1878748600</v>
      </c>
      <c r="H83" s="53">
        <v>25</v>
      </c>
      <c r="I83" s="37">
        <f>SUM(I84:I88)</f>
        <v>2028693500</v>
      </c>
      <c r="J83" s="53">
        <v>25</v>
      </c>
      <c r="K83" s="37">
        <f>SUM(K84:K88)</f>
        <v>276506550</v>
      </c>
      <c r="L83" s="54">
        <v>25</v>
      </c>
      <c r="M83" s="37">
        <f>SUM(M84:M87)</f>
        <v>17462500</v>
      </c>
      <c r="N83" s="133">
        <v>0</v>
      </c>
      <c r="O83" s="37">
        <f>SUM(O84:O87)</f>
        <v>92742500</v>
      </c>
      <c r="P83" s="171">
        <v>0</v>
      </c>
      <c r="Q83" s="37">
        <f>SUM(Q84:Q87)</f>
        <v>45209300</v>
      </c>
      <c r="R83" s="55"/>
      <c r="S83" s="37"/>
      <c r="T83" s="56">
        <f>AVERAGE(L83,N83,P83,R83)</f>
        <v>8.3333333333333339</v>
      </c>
      <c r="U83" s="40">
        <f t="shared" si="21"/>
        <v>33.333333333333336</v>
      </c>
      <c r="V83" s="41" t="s">
        <v>118</v>
      </c>
      <c r="W83" s="42">
        <f t="shared" si="22"/>
        <v>155414300</v>
      </c>
      <c r="X83" s="43">
        <f t="shared" si="23"/>
        <v>56.206371964787095</v>
      </c>
      <c r="Y83" s="41" t="s">
        <v>118</v>
      </c>
      <c r="Z83" s="39">
        <f t="shared" si="17"/>
        <v>33.333333333333336</v>
      </c>
      <c r="AA83" s="42">
        <f t="shared" si="20"/>
        <v>2184107800</v>
      </c>
      <c r="AB83" s="43"/>
      <c r="AC83" s="41" t="s">
        <v>118</v>
      </c>
      <c r="AD83" s="43"/>
      <c r="AE83" s="69"/>
      <c r="AF83" s="10"/>
      <c r="AH83" s="14"/>
    </row>
    <row r="84" spans="1:34" s="12" customFormat="1" ht="208.8" x14ac:dyDescent="0.3">
      <c r="A84" s="58"/>
      <c r="B84" s="45"/>
      <c r="C84" s="74" t="s">
        <v>122</v>
      </c>
      <c r="D84" s="60" t="s">
        <v>194</v>
      </c>
      <c r="E84" s="61">
        <v>12</v>
      </c>
      <c r="F84" s="95" t="s">
        <v>148</v>
      </c>
      <c r="G84" s="63">
        <v>653036000</v>
      </c>
      <c r="H84" s="61">
        <v>36</v>
      </c>
      <c r="I84" s="63">
        <v>315933500</v>
      </c>
      <c r="J84" s="61">
        <v>12</v>
      </c>
      <c r="K84" s="63">
        <v>99636600</v>
      </c>
      <c r="L84" s="61">
        <v>3</v>
      </c>
      <c r="M84" s="63">
        <v>0</v>
      </c>
      <c r="N84" s="61">
        <v>3</v>
      </c>
      <c r="O84" s="63">
        <v>40960000</v>
      </c>
      <c r="P84" s="155">
        <v>3</v>
      </c>
      <c r="Q84" s="63">
        <v>40596800</v>
      </c>
      <c r="R84" s="61">
        <v>3</v>
      </c>
      <c r="S84" s="63"/>
      <c r="T84" s="64">
        <f>SUM(L84,N84,P84,R84)</f>
        <v>12</v>
      </c>
      <c r="U84" s="68">
        <f t="shared" si="21"/>
        <v>100</v>
      </c>
      <c r="V84" s="66" t="s">
        <v>118</v>
      </c>
      <c r="W84" s="67">
        <f t="shared" si="22"/>
        <v>81556800</v>
      </c>
      <c r="X84" s="68">
        <f t="shared" si="23"/>
        <v>81.854258374934503</v>
      </c>
      <c r="Y84" s="66" t="s">
        <v>118</v>
      </c>
      <c r="Z84" s="64">
        <f t="shared" si="17"/>
        <v>48</v>
      </c>
      <c r="AA84" s="67">
        <f t="shared" si="20"/>
        <v>397490300</v>
      </c>
      <c r="AB84" s="68"/>
      <c r="AC84" s="66" t="s">
        <v>118</v>
      </c>
      <c r="AD84" s="68"/>
      <c r="AE84" s="69"/>
      <c r="AF84" s="10"/>
      <c r="AH84" s="14"/>
    </row>
    <row r="85" spans="1:34" s="12" customFormat="1" ht="121.8" x14ac:dyDescent="0.3">
      <c r="A85" s="58"/>
      <c r="B85" s="45"/>
      <c r="C85" s="74" t="s">
        <v>107</v>
      </c>
      <c r="D85" s="60" t="s">
        <v>195</v>
      </c>
      <c r="E85" s="64">
        <v>2759</v>
      </c>
      <c r="F85" s="95" t="s">
        <v>153</v>
      </c>
      <c r="G85" s="63">
        <f>71025000+110000000*2</f>
        <v>291025000</v>
      </c>
      <c r="H85" s="64">
        <v>2255</v>
      </c>
      <c r="I85" s="63">
        <v>116156000</v>
      </c>
      <c r="J85" s="64">
        <v>4569</v>
      </c>
      <c r="K85" s="63">
        <v>110000000</v>
      </c>
      <c r="L85" s="64">
        <v>2017</v>
      </c>
      <c r="M85" s="63">
        <v>1500000</v>
      </c>
      <c r="N85" s="64">
        <v>1978</v>
      </c>
      <c r="O85" s="63">
        <f>35700000-M85</f>
        <v>34200000</v>
      </c>
      <c r="P85" s="179">
        <v>1992</v>
      </c>
      <c r="Q85" s="63">
        <v>1600000</v>
      </c>
      <c r="R85" s="64"/>
      <c r="S85" s="63"/>
      <c r="T85" s="64">
        <f>R85</f>
        <v>0</v>
      </c>
      <c r="U85" s="65">
        <f t="shared" si="21"/>
        <v>0</v>
      </c>
      <c r="V85" s="66" t="s">
        <v>118</v>
      </c>
      <c r="W85" s="67">
        <f t="shared" si="22"/>
        <v>37300000</v>
      </c>
      <c r="X85" s="68">
        <f t="shared" si="23"/>
        <v>33.909090909090914</v>
      </c>
      <c r="Y85" s="66" t="s">
        <v>118</v>
      </c>
      <c r="Z85" s="64">
        <f t="shared" si="17"/>
        <v>2255</v>
      </c>
      <c r="AA85" s="67">
        <f t="shared" si="20"/>
        <v>153456000</v>
      </c>
      <c r="AB85" s="68"/>
      <c r="AC85" s="66" t="s">
        <v>118</v>
      </c>
      <c r="AD85" s="68"/>
      <c r="AE85" s="69"/>
      <c r="AF85" s="10"/>
      <c r="AH85" s="14"/>
    </row>
    <row r="86" spans="1:34" s="12" customFormat="1" ht="121.8" x14ac:dyDescent="0.3">
      <c r="A86" s="58"/>
      <c r="B86" s="45"/>
      <c r="C86" s="74" t="s">
        <v>108</v>
      </c>
      <c r="D86" s="60" t="s">
        <v>196</v>
      </c>
      <c r="E86" s="61">
        <v>70</v>
      </c>
      <c r="F86" s="95" t="s">
        <v>153</v>
      </c>
      <c r="G86" s="63">
        <f>10095000+10094950+10095000</f>
        <v>30284950</v>
      </c>
      <c r="H86" s="96">
        <v>140</v>
      </c>
      <c r="I86" s="63">
        <v>9055500</v>
      </c>
      <c r="J86" s="61">
        <v>70</v>
      </c>
      <c r="K86" s="63">
        <v>10094950</v>
      </c>
      <c r="L86" s="61">
        <v>70</v>
      </c>
      <c r="M86" s="63">
        <v>2600000</v>
      </c>
      <c r="N86" s="61">
        <v>0</v>
      </c>
      <c r="O86" s="63">
        <f>8212500-M86</f>
        <v>5612500</v>
      </c>
      <c r="P86" s="155">
        <v>0</v>
      </c>
      <c r="Q86" s="63">
        <v>0</v>
      </c>
      <c r="R86" s="61"/>
      <c r="S86" s="63"/>
      <c r="T86" s="64">
        <f>SUM(L86,N86,P86,R86)</f>
        <v>70</v>
      </c>
      <c r="U86" s="65">
        <f t="shared" si="21"/>
        <v>100</v>
      </c>
      <c r="V86" s="66" t="s">
        <v>118</v>
      </c>
      <c r="W86" s="67">
        <f t="shared" si="22"/>
        <v>8212500</v>
      </c>
      <c r="X86" s="68">
        <f t="shared" si="23"/>
        <v>81.352557466852232</v>
      </c>
      <c r="Y86" s="66" t="s">
        <v>118</v>
      </c>
      <c r="Z86" s="64">
        <f t="shared" si="17"/>
        <v>210</v>
      </c>
      <c r="AA86" s="67">
        <f t="shared" si="20"/>
        <v>17268000</v>
      </c>
      <c r="AB86" s="68"/>
      <c r="AC86" s="66" t="s">
        <v>118</v>
      </c>
      <c r="AD86" s="68"/>
      <c r="AE86" s="69"/>
      <c r="AF86" s="10"/>
      <c r="AH86" s="14"/>
    </row>
    <row r="87" spans="1:34" s="12" customFormat="1" ht="69.599999999999994" x14ac:dyDescent="0.3">
      <c r="A87" s="58"/>
      <c r="B87" s="45"/>
      <c r="C87" s="74" t="s">
        <v>109</v>
      </c>
      <c r="D87" s="60" t="s">
        <v>197</v>
      </c>
      <c r="E87" s="61">
        <v>11</v>
      </c>
      <c r="F87" s="95" t="s">
        <v>148</v>
      </c>
      <c r="G87" s="63">
        <f>50597825+37597000+50597825</f>
        <v>138792650</v>
      </c>
      <c r="H87" s="61">
        <v>22</v>
      </c>
      <c r="I87" s="63">
        <v>48610000</v>
      </c>
      <c r="J87" s="61">
        <f>2+3+3+3</f>
        <v>11</v>
      </c>
      <c r="K87" s="63">
        <v>56775000</v>
      </c>
      <c r="L87" s="61">
        <v>1</v>
      </c>
      <c r="M87" s="63">
        <f>5000000+8362500</f>
        <v>13362500</v>
      </c>
      <c r="N87" s="61">
        <v>3</v>
      </c>
      <c r="O87" s="63">
        <f>25332500-M87</f>
        <v>11970000</v>
      </c>
      <c r="P87" s="155">
        <v>4</v>
      </c>
      <c r="Q87" s="63">
        <v>3012500</v>
      </c>
      <c r="R87" s="61"/>
      <c r="S87" s="63"/>
      <c r="T87" s="64">
        <f>SUM(L87,N87,P87,R87)</f>
        <v>8</v>
      </c>
      <c r="U87" s="65">
        <f t="shared" si="21"/>
        <v>72.727272727272734</v>
      </c>
      <c r="V87" s="66" t="s">
        <v>118</v>
      </c>
      <c r="W87" s="67">
        <f t="shared" si="22"/>
        <v>28345000</v>
      </c>
      <c r="X87" s="68">
        <f t="shared" si="23"/>
        <v>49.925143108762661</v>
      </c>
      <c r="Y87" s="66" t="s">
        <v>118</v>
      </c>
      <c r="Z87" s="64">
        <f t="shared" si="17"/>
        <v>30</v>
      </c>
      <c r="AA87" s="67">
        <f t="shared" si="20"/>
        <v>76955000</v>
      </c>
      <c r="AB87" s="68"/>
      <c r="AC87" s="66" t="s">
        <v>118</v>
      </c>
      <c r="AD87" s="68"/>
      <c r="AE87" s="69"/>
      <c r="AF87" s="10"/>
      <c r="AH87" s="14"/>
    </row>
    <row r="88" spans="1:34" s="12" customFormat="1" ht="88.5" customHeight="1" x14ac:dyDescent="0.3">
      <c r="A88" s="58"/>
      <c r="B88" s="45"/>
      <c r="C88" s="105" t="s">
        <v>127</v>
      </c>
      <c r="D88" s="106" t="s">
        <v>198</v>
      </c>
      <c r="E88" s="61">
        <v>11</v>
      </c>
      <c r="F88" s="95" t="s">
        <v>162</v>
      </c>
      <c r="G88" s="63">
        <v>765610000</v>
      </c>
      <c r="H88" s="61">
        <v>22</v>
      </c>
      <c r="I88" s="63">
        <v>1538938500</v>
      </c>
      <c r="J88" s="61"/>
      <c r="K88" s="63"/>
      <c r="L88" s="61"/>
      <c r="M88" s="63"/>
      <c r="N88" s="61"/>
      <c r="O88" s="63"/>
      <c r="P88" s="155"/>
      <c r="Q88" s="63"/>
      <c r="R88" s="61"/>
      <c r="S88" s="63"/>
      <c r="T88" s="64"/>
      <c r="U88" s="65"/>
      <c r="V88" s="66"/>
      <c r="W88" s="67"/>
      <c r="X88" s="68"/>
      <c r="Y88" s="66" t="s">
        <v>118</v>
      </c>
      <c r="Z88" s="64">
        <f t="shared" si="17"/>
        <v>22</v>
      </c>
      <c r="AA88" s="67">
        <f t="shared" si="20"/>
        <v>1538938500</v>
      </c>
      <c r="AB88" s="68"/>
      <c r="AC88" s="66" t="s">
        <v>118</v>
      </c>
      <c r="AD88" s="68"/>
      <c r="AE88" s="69"/>
      <c r="AF88" s="10"/>
      <c r="AH88" s="14"/>
    </row>
    <row r="89" spans="1:34" s="17" customFormat="1" ht="198.75" customHeight="1" x14ac:dyDescent="0.3">
      <c r="A89" s="58"/>
      <c r="B89" s="45"/>
      <c r="C89" s="84" t="s">
        <v>110</v>
      </c>
      <c r="D89" s="84" t="s">
        <v>255</v>
      </c>
      <c r="E89" s="54">
        <v>35412</v>
      </c>
      <c r="F89" s="55" t="s">
        <v>128</v>
      </c>
      <c r="G89" s="37">
        <f>SUM(G90:G91)</f>
        <v>590254900</v>
      </c>
      <c r="H89" s="54">
        <v>35012</v>
      </c>
      <c r="I89" s="37">
        <f>SUM(I90:I91)</f>
        <v>1171259000</v>
      </c>
      <c r="J89" s="53">
        <v>35212</v>
      </c>
      <c r="K89" s="37">
        <f>SUM(K90:K91)</f>
        <v>389544900</v>
      </c>
      <c r="L89" s="53">
        <v>27174</v>
      </c>
      <c r="M89" s="37">
        <f>SUM(M90:M91)</f>
        <v>10036150</v>
      </c>
      <c r="N89" s="53">
        <v>26807</v>
      </c>
      <c r="O89" s="37">
        <f>SUM(O90:O91)</f>
        <v>49500000</v>
      </c>
      <c r="P89" s="159">
        <v>26468</v>
      </c>
      <c r="Q89" s="37">
        <f>SUM(Q90:Q91)</f>
        <v>81000000</v>
      </c>
      <c r="R89" s="55"/>
      <c r="S89" s="37"/>
      <c r="T89" s="56">
        <f>AVERAGE(L89,N89,P89,R89)</f>
        <v>26816.333333333332</v>
      </c>
      <c r="U89" s="40">
        <f t="shared" ref="U89:U96" si="24">T89/J89*100</f>
        <v>76.156802605172487</v>
      </c>
      <c r="V89" s="41" t="s">
        <v>118</v>
      </c>
      <c r="W89" s="42">
        <f t="shared" ref="W89:W96" si="25">SUM(M89,O89,Q89,S89)</f>
        <v>140536150</v>
      </c>
      <c r="X89" s="43">
        <f t="shared" ref="X89:X96" si="26">W89/K89*100</f>
        <v>36.077009351168506</v>
      </c>
      <c r="Y89" s="41" t="s">
        <v>118</v>
      </c>
      <c r="Z89" s="39">
        <f t="shared" si="17"/>
        <v>61828.333333333328</v>
      </c>
      <c r="AA89" s="42">
        <f t="shared" si="20"/>
        <v>1311795150</v>
      </c>
      <c r="AB89" s="43"/>
      <c r="AC89" s="41" t="s">
        <v>118</v>
      </c>
      <c r="AD89" s="43"/>
      <c r="AE89" s="119"/>
      <c r="AF89" s="16"/>
      <c r="AH89" s="18"/>
    </row>
    <row r="90" spans="1:34" s="12" customFormat="1" ht="156.6" x14ac:dyDescent="0.3">
      <c r="A90" s="58"/>
      <c r="B90" s="92"/>
      <c r="C90" s="74" t="s">
        <v>111</v>
      </c>
      <c r="D90" s="60" t="s">
        <v>199</v>
      </c>
      <c r="E90" s="64">
        <v>5</v>
      </c>
      <c r="F90" s="95" t="s">
        <v>125</v>
      </c>
      <c r="G90" s="63">
        <f>10045000+10044900+10045000</f>
        <v>30134900</v>
      </c>
      <c r="H90" s="64">
        <v>10</v>
      </c>
      <c r="I90" s="63">
        <v>19669000</v>
      </c>
      <c r="J90" s="64">
        <v>5</v>
      </c>
      <c r="K90" s="63">
        <v>10044900</v>
      </c>
      <c r="L90" s="64">
        <v>5</v>
      </c>
      <c r="M90" s="63">
        <v>10036150</v>
      </c>
      <c r="N90" s="64">
        <v>0</v>
      </c>
      <c r="O90" s="63">
        <v>0</v>
      </c>
      <c r="P90" s="172">
        <v>0</v>
      </c>
      <c r="Q90" s="88">
        <v>0</v>
      </c>
      <c r="R90" s="64"/>
      <c r="S90" s="63"/>
      <c r="T90" s="64">
        <f>SUM(L90,N90,P90,R90)</f>
        <v>5</v>
      </c>
      <c r="U90" s="68">
        <f t="shared" si="24"/>
        <v>100</v>
      </c>
      <c r="V90" s="66" t="s">
        <v>118</v>
      </c>
      <c r="W90" s="67">
        <f t="shared" si="25"/>
        <v>10036150</v>
      </c>
      <c r="X90" s="68">
        <f t="shared" si="26"/>
        <v>99.912891118876246</v>
      </c>
      <c r="Y90" s="66" t="s">
        <v>118</v>
      </c>
      <c r="Z90" s="64">
        <f t="shared" si="17"/>
        <v>15</v>
      </c>
      <c r="AA90" s="67">
        <f t="shared" si="20"/>
        <v>29705150</v>
      </c>
      <c r="AB90" s="68"/>
      <c r="AC90" s="66" t="s">
        <v>118</v>
      </c>
      <c r="AD90" s="68"/>
      <c r="AE90" s="69"/>
      <c r="AF90" s="10"/>
      <c r="AH90" s="14"/>
    </row>
    <row r="91" spans="1:34" s="12" customFormat="1" ht="147" customHeight="1" x14ac:dyDescent="0.3">
      <c r="A91" s="58"/>
      <c r="B91" s="45"/>
      <c r="C91" s="74" t="s">
        <v>123</v>
      </c>
      <c r="D91" s="60" t="s">
        <v>200</v>
      </c>
      <c r="E91" s="61">
        <v>22</v>
      </c>
      <c r="F91" s="95" t="s">
        <v>201</v>
      </c>
      <c r="G91" s="63">
        <v>560120000</v>
      </c>
      <c r="H91" s="61">
        <v>44</v>
      </c>
      <c r="I91" s="63">
        <v>1151590000</v>
      </c>
      <c r="J91" s="61">
        <v>22</v>
      </c>
      <c r="K91" s="63">
        <v>379500000</v>
      </c>
      <c r="L91" s="61">
        <v>0</v>
      </c>
      <c r="M91" s="63" t="s">
        <v>260</v>
      </c>
      <c r="N91" s="61">
        <v>22</v>
      </c>
      <c r="O91" s="63">
        <v>49500000</v>
      </c>
      <c r="P91" s="155">
        <v>0</v>
      </c>
      <c r="Q91" s="88">
        <v>81000000</v>
      </c>
      <c r="R91" s="61"/>
      <c r="S91" s="63"/>
      <c r="T91" s="64">
        <f>SUM(L91,N91,P91,R91)</f>
        <v>22</v>
      </c>
      <c r="U91" s="65">
        <f t="shared" si="24"/>
        <v>100</v>
      </c>
      <c r="V91" s="66" t="s">
        <v>118</v>
      </c>
      <c r="W91" s="67">
        <f t="shared" si="25"/>
        <v>130500000</v>
      </c>
      <c r="X91" s="68">
        <f t="shared" si="26"/>
        <v>34.387351778656125</v>
      </c>
      <c r="Y91" s="66" t="s">
        <v>118</v>
      </c>
      <c r="Z91" s="64">
        <f t="shared" si="17"/>
        <v>66</v>
      </c>
      <c r="AA91" s="67">
        <f t="shared" si="20"/>
        <v>1282090000</v>
      </c>
      <c r="AB91" s="68"/>
      <c r="AC91" s="66" t="s">
        <v>118</v>
      </c>
      <c r="AD91" s="68"/>
      <c r="AE91" s="69"/>
      <c r="AF91" s="10"/>
      <c r="AH91" s="14"/>
    </row>
    <row r="92" spans="1:34" s="12" customFormat="1" ht="99.6" customHeight="1" x14ac:dyDescent="0.3">
      <c r="A92" s="58"/>
      <c r="B92" s="45"/>
      <c r="C92" s="84" t="s">
        <v>112</v>
      </c>
      <c r="D92" s="84" t="s">
        <v>256</v>
      </c>
      <c r="E92" s="53" t="s">
        <v>257</v>
      </c>
      <c r="F92" s="93" t="s">
        <v>118</v>
      </c>
      <c r="G92" s="37">
        <f>G93</f>
        <v>420335750</v>
      </c>
      <c r="H92" s="55" t="s">
        <v>258</v>
      </c>
      <c r="I92" s="37">
        <f>I93</f>
        <v>84990800</v>
      </c>
      <c r="J92" s="90">
        <f>225/315*100</f>
        <v>71.428571428571431</v>
      </c>
      <c r="K92" s="37">
        <f>K93</f>
        <v>1850355100</v>
      </c>
      <c r="L92" s="53">
        <v>0</v>
      </c>
      <c r="M92" s="37">
        <f>M93</f>
        <v>0</v>
      </c>
      <c r="N92" s="180">
        <f>60/315*100</f>
        <v>19.047619047619047</v>
      </c>
      <c r="O92" s="37">
        <f>O93</f>
        <v>103602300</v>
      </c>
      <c r="P92" s="164">
        <v>0</v>
      </c>
      <c r="Q92" s="37">
        <f>Q93</f>
        <v>253514973</v>
      </c>
      <c r="R92" s="55"/>
      <c r="S92" s="37"/>
      <c r="T92" s="56">
        <f t="shared" ref="T92:T96" si="27">SUM(L92,N92,P92,R92)</f>
        <v>19.047619047619047</v>
      </c>
      <c r="U92" s="43">
        <f t="shared" si="24"/>
        <v>26.666666666666668</v>
      </c>
      <c r="V92" s="41" t="s">
        <v>118</v>
      </c>
      <c r="W92" s="42">
        <f t="shared" si="25"/>
        <v>357117273</v>
      </c>
      <c r="X92" s="43">
        <f t="shared" si="26"/>
        <v>19.299931834705674</v>
      </c>
      <c r="Y92" s="41" t="s">
        <v>118</v>
      </c>
      <c r="Z92" s="39">
        <f t="shared" si="17"/>
        <v>19.047619047619047</v>
      </c>
      <c r="AA92" s="42">
        <f t="shared" si="20"/>
        <v>442108073</v>
      </c>
      <c r="AB92" s="43"/>
      <c r="AC92" s="41" t="s">
        <v>118</v>
      </c>
      <c r="AD92" s="43"/>
      <c r="AE92" s="69"/>
      <c r="AF92" s="10"/>
      <c r="AH92" s="14"/>
    </row>
    <row r="93" spans="1:34" s="12" customFormat="1" ht="133.19999999999999" customHeight="1" x14ac:dyDescent="0.3">
      <c r="A93" s="58"/>
      <c r="B93" s="45"/>
      <c r="C93" s="84" t="s">
        <v>113</v>
      </c>
      <c r="D93" s="84" t="s">
        <v>222</v>
      </c>
      <c r="E93" s="54">
        <v>42</v>
      </c>
      <c r="F93" s="93" t="s">
        <v>209</v>
      </c>
      <c r="G93" s="37">
        <f>SUM(G94:G96)</f>
        <v>420335750</v>
      </c>
      <c r="H93" s="53">
        <v>22</v>
      </c>
      <c r="I93" s="37">
        <f>SUM(I94:I96)</f>
        <v>84990800</v>
      </c>
      <c r="J93" s="134">
        <v>32</v>
      </c>
      <c r="K93" s="37">
        <f>SUM(K94:K96)</f>
        <v>1850355100</v>
      </c>
      <c r="L93" s="53">
        <v>22</v>
      </c>
      <c r="M93" s="37">
        <f>SUM(M94:M96)</f>
        <v>0</v>
      </c>
      <c r="N93" s="54">
        <v>3</v>
      </c>
      <c r="O93" s="37">
        <f>SUM(O94:O96)</f>
        <v>103602300</v>
      </c>
      <c r="P93" s="154">
        <v>3</v>
      </c>
      <c r="Q93" s="37">
        <f>SUM(Q94:Q96)</f>
        <v>253514973</v>
      </c>
      <c r="R93" s="55"/>
      <c r="S93" s="37"/>
      <c r="T93" s="56">
        <f t="shared" si="27"/>
        <v>28</v>
      </c>
      <c r="U93" s="40">
        <f t="shared" si="24"/>
        <v>87.5</v>
      </c>
      <c r="V93" s="41" t="s">
        <v>118</v>
      </c>
      <c r="W93" s="42">
        <f t="shared" si="25"/>
        <v>357117273</v>
      </c>
      <c r="X93" s="43">
        <f t="shared" si="26"/>
        <v>19.299931834705674</v>
      </c>
      <c r="Y93" s="41" t="s">
        <v>118</v>
      </c>
      <c r="Z93" s="56">
        <f t="shared" si="17"/>
        <v>50</v>
      </c>
      <c r="AA93" s="42">
        <f t="shared" si="20"/>
        <v>442108073</v>
      </c>
      <c r="AB93" s="43"/>
      <c r="AC93" s="41" t="s">
        <v>118</v>
      </c>
      <c r="AD93" s="43"/>
      <c r="AE93" s="69"/>
      <c r="AF93" s="10"/>
      <c r="AH93" s="14"/>
    </row>
    <row r="94" spans="1:34" s="12" customFormat="1" ht="171.75" customHeight="1" x14ac:dyDescent="0.3">
      <c r="A94" s="58"/>
      <c r="B94" s="45"/>
      <c r="C94" s="74" t="s">
        <v>114</v>
      </c>
      <c r="D94" s="74" t="s">
        <v>223</v>
      </c>
      <c r="E94" s="61">
        <v>240</v>
      </c>
      <c r="F94" s="95" t="s">
        <v>224</v>
      </c>
      <c r="G94" s="63">
        <f>32620000+169846375*2</f>
        <v>372312750</v>
      </c>
      <c r="H94" s="96">
        <v>210</v>
      </c>
      <c r="I94" s="63">
        <v>70538000</v>
      </c>
      <c r="J94" s="61">
        <v>225</v>
      </c>
      <c r="K94" s="63">
        <v>423843500</v>
      </c>
      <c r="L94" s="61">
        <v>0</v>
      </c>
      <c r="M94" s="63">
        <v>0</v>
      </c>
      <c r="N94" s="135" t="s">
        <v>225</v>
      </c>
      <c r="O94" s="63">
        <f>79200000+6311000</f>
        <v>85511000</v>
      </c>
      <c r="P94" s="173">
        <v>0</v>
      </c>
      <c r="Q94" s="63">
        <v>39600000</v>
      </c>
      <c r="R94" s="61"/>
      <c r="S94" s="63"/>
      <c r="T94" s="64">
        <f t="shared" si="27"/>
        <v>0</v>
      </c>
      <c r="U94" s="68">
        <f t="shared" si="24"/>
        <v>0</v>
      </c>
      <c r="V94" s="66" t="s">
        <v>118</v>
      </c>
      <c r="W94" s="67">
        <f t="shared" si="25"/>
        <v>125111000</v>
      </c>
      <c r="X94" s="68">
        <f t="shared" si="26"/>
        <v>29.518206602201047</v>
      </c>
      <c r="Y94" s="66" t="s">
        <v>118</v>
      </c>
      <c r="Z94" s="64">
        <f t="shared" si="17"/>
        <v>210</v>
      </c>
      <c r="AA94" s="67">
        <f t="shared" si="20"/>
        <v>195649000</v>
      </c>
      <c r="AB94" s="68"/>
      <c r="AC94" s="66" t="s">
        <v>118</v>
      </c>
      <c r="AD94" s="68"/>
      <c r="AE94" s="69"/>
      <c r="AF94" s="10"/>
      <c r="AH94" s="14"/>
    </row>
    <row r="95" spans="1:34" s="12" customFormat="1" ht="201.6" customHeight="1" x14ac:dyDescent="0.3">
      <c r="A95" s="48"/>
      <c r="B95" s="84"/>
      <c r="C95" s="74" t="s">
        <v>145</v>
      </c>
      <c r="D95" s="60" t="s">
        <v>202</v>
      </c>
      <c r="E95" s="61">
        <v>630</v>
      </c>
      <c r="F95" s="95" t="s">
        <v>153</v>
      </c>
      <c r="G95" s="63"/>
      <c r="H95" s="96"/>
      <c r="I95" s="63"/>
      <c r="J95" s="61">
        <v>630</v>
      </c>
      <c r="K95" s="63">
        <v>1411900000</v>
      </c>
      <c r="L95" s="61">
        <v>0</v>
      </c>
      <c r="M95" s="63">
        <v>0</v>
      </c>
      <c r="N95" s="61">
        <v>630</v>
      </c>
      <c r="O95" s="63">
        <v>3479700</v>
      </c>
      <c r="P95" s="155">
        <v>0</v>
      </c>
      <c r="Q95" s="63">
        <v>213914973</v>
      </c>
      <c r="R95" s="61"/>
      <c r="S95" s="63"/>
      <c r="T95" s="64">
        <f t="shared" si="27"/>
        <v>630</v>
      </c>
      <c r="U95" s="65">
        <f t="shared" si="24"/>
        <v>100</v>
      </c>
      <c r="V95" s="66" t="s">
        <v>118</v>
      </c>
      <c r="W95" s="67">
        <f t="shared" si="25"/>
        <v>217394673</v>
      </c>
      <c r="X95" s="68">
        <f t="shared" si="26"/>
        <v>15.397313761597847</v>
      </c>
      <c r="Y95" s="66" t="s">
        <v>118</v>
      </c>
      <c r="Z95" s="64">
        <f t="shared" si="17"/>
        <v>630</v>
      </c>
      <c r="AA95" s="67">
        <f t="shared" si="20"/>
        <v>217394673</v>
      </c>
      <c r="AB95" s="68"/>
      <c r="AC95" s="66" t="s">
        <v>118</v>
      </c>
      <c r="AD95" s="68"/>
      <c r="AE95" s="69"/>
      <c r="AF95" s="10"/>
      <c r="AH95" s="14"/>
    </row>
    <row r="96" spans="1:34" s="12" customFormat="1" ht="190.95" customHeight="1" x14ac:dyDescent="0.3">
      <c r="A96" s="48"/>
      <c r="B96" s="84"/>
      <c r="C96" s="74" t="s">
        <v>115</v>
      </c>
      <c r="D96" s="60" t="s">
        <v>203</v>
      </c>
      <c r="E96" s="61">
        <v>2</v>
      </c>
      <c r="F96" s="95" t="s">
        <v>148</v>
      </c>
      <c r="G96" s="63">
        <f>14452800+16785100*2</f>
        <v>48023000</v>
      </c>
      <c r="H96" s="96">
        <v>2</v>
      </c>
      <c r="I96" s="63">
        <v>14452800</v>
      </c>
      <c r="J96" s="61">
        <v>2</v>
      </c>
      <c r="K96" s="63">
        <v>14611600</v>
      </c>
      <c r="L96" s="61">
        <v>1</v>
      </c>
      <c r="M96" s="63">
        <v>0</v>
      </c>
      <c r="N96" s="63">
        <v>0</v>
      </c>
      <c r="O96" s="63">
        <v>14611600</v>
      </c>
      <c r="P96" s="163">
        <v>0</v>
      </c>
      <c r="Q96" s="63">
        <v>0</v>
      </c>
      <c r="R96" s="61"/>
      <c r="S96" s="63"/>
      <c r="T96" s="64">
        <f t="shared" si="27"/>
        <v>1</v>
      </c>
      <c r="U96" s="65">
        <f t="shared" si="24"/>
        <v>50</v>
      </c>
      <c r="V96" s="66" t="s">
        <v>118</v>
      </c>
      <c r="W96" s="67">
        <f t="shared" si="25"/>
        <v>14611600</v>
      </c>
      <c r="X96" s="68">
        <f t="shared" si="26"/>
        <v>100</v>
      </c>
      <c r="Y96" s="66" t="s">
        <v>118</v>
      </c>
      <c r="Z96" s="64">
        <f t="shared" si="17"/>
        <v>3</v>
      </c>
      <c r="AA96" s="67">
        <f t="shared" si="20"/>
        <v>29064400</v>
      </c>
      <c r="AB96" s="68"/>
      <c r="AC96" s="66" t="s">
        <v>118</v>
      </c>
      <c r="AD96" s="68"/>
      <c r="AE96" s="69"/>
      <c r="AF96" s="10"/>
      <c r="AH96" s="14"/>
    </row>
    <row r="97" spans="1:31" ht="17.399999999999999" x14ac:dyDescent="0.3">
      <c r="A97" s="254" t="s">
        <v>23</v>
      </c>
      <c r="B97" s="255"/>
      <c r="C97" s="255"/>
      <c r="D97" s="255"/>
      <c r="E97" s="255"/>
      <c r="F97" s="255"/>
      <c r="G97" s="255"/>
      <c r="H97" s="255"/>
      <c r="I97" s="255"/>
      <c r="J97" s="255"/>
      <c r="K97" s="255"/>
      <c r="L97" s="255"/>
      <c r="M97" s="255"/>
      <c r="N97" s="255"/>
      <c r="O97" s="255"/>
      <c r="P97" s="255"/>
      <c r="Q97" s="255"/>
      <c r="R97" s="255"/>
      <c r="S97" s="255"/>
      <c r="T97" s="255"/>
      <c r="U97" s="136" t="e">
        <f>AVERAGE(U13:U96)</f>
        <v>#VALUE!</v>
      </c>
      <c r="V97" s="137"/>
      <c r="W97" s="138"/>
      <c r="X97" s="136">
        <f>AVERAGE(X13,X39,X42,X48,X53,X60,X68,X75,X92)</f>
        <v>75.781749310912744</v>
      </c>
      <c r="Y97" s="139"/>
      <c r="Z97" s="138"/>
      <c r="AA97" s="138"/>
      <c r="AB97" s="138"/>
      <c r="AC97" s="139"/>
      <c r="AD97" s="140"/>
      <c r="AE97" s="69"/>
    </row>
    <row r="98" spans="1:31" ht="17.399999999999999" x14ac:dyDescent="0.3">
      <c r="A98" s="254" t="s">
        <v>24</v>
      </c>
      <c r="B98" s="255"/>
      <c r="C98" s="255"/>
      <c r="D98" s="255"/>
      <c r="E98" s="255"/>
      <c r="F98" s="255"/>
      <c r="G98" s="255"/>
      <c r="H98" s="255"/>
      <c r="I98" s="255"/>
      <c r="J98" s="255"/>
      <c r="K98" s="255"/>
      <c r="L98" s="255"/>
      <c r="M98" s="255"/>
      <c r="N98" s="255"/>
      <c r="O98" s="255"/>
      <c r="P98" s="255"/>
      <c r="Q98" s="255"/>
      <c r="R98" s="255"/>
      <c r="S98" s="255"/>
      <c r="T98" s="255"/>
      <c r="U98" s="141" t="e">
        <f>IF(U97&gt;=91,"Sangat Tinggi",IF(U97&gt;=76,"Tinggi",IF(U97&gt;=66,"Sedang",IF(U97&gt;=51,"Rendah",IF(U97&lt;=50,"Sangat Rendah")))))</f>
        <v>#VALUE!</v>
      </c>
      <c r="V98" s="137"/>
      <c r="W98" s="142"/>
      <c r="X98" s="141" t="str">
        <f>IF(X97&gt;=91,"Sangat Tinggi",IF(X97&gt;=76,"Tinggi",IF(X97&gt;=66,"Sedang",IF(X97&gt;=51,"Rendah",IF(X97&lt;=50,"Sangat Rendah")))))</f>
        <v>Sedang</v>
      </c>
      <c r="Y98" s="139"/>
      <c r="Z98" s="143"/>
      <c r="AA98" s="142"/>
      <c r="AB98" s="143"/>
      <c r="AC98" s="139"/>
      <c r="AD98" s="144"/>
      <c r="AE98" s="69"/>
    </row>
    <row r="99" spans="1:31" ht="17.399999999999999" x14ac:dyDescent="0.3">
      <c r="A99" s="256" t="s">
        <v>130</v>
      </c>
      <c r="B99" s="256"/>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69"/>
    </row>
    <row r="100" spans="1:31" ht="17.399999999999999" x14ac:dyDescent="0.3">
      <c r="A100" s="256" t="s">
        <v>261</v>
      </c>
      <c r="B100" s="256"/>
      <c r="C100" s="25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c r="AA100" s="256"/>
      <c r="AB100" s="256"/>
      <c r="AC100" s="256"/>
      <c r="AD100" s="256"/>
      <c r="AE100" s="69"/>
    </row>
    <row r="101" spans="1:31" ht="17.399999999999999" x14ac:dyDescent="0.3">
      <c r="A101" s="256" t="s">
        <v>50</v>
      </c>
      <c r="B101" s="256"/>
      <c r="C101" s="256"/>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69"/>
    </row>
    <row r="102" spans="1:31" ht="17.399999999999999" x14ac:dyDescent="0.3">
      <c r="A102" s="256" t="s">
        <v>51</v>
      </c>
      <c r="B102" s="256"/>
      <c r="C102" s="256"/>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89"/>
    </row>
    <row r="103" spans="1:31" ht="15" x14ac:dyDescent="0.25">
      <c r="A103" s="3"/>
      <c r="B103" s="3"/>
      <c r="C103" s="3"/>
      <c r="D103" s="3"/>
      <c r="E103" s="3"/>
      <c r="F103" s="3"/>
      <c r="G103" s="3"/>
      <c r="H103" s="3"/>
      <c r="I103" s="3"/>
      <c r="J103" s="3"/>
      <c r="K103" s="3"/>
      <c r="L103" s="3"/>
      <c r="M103" s="3"/>
      <c r="N103" s="3"/>
      <c r="O103" s="3"/>
      <c r="P103" s="3"/>
      <c r="Q103" s="3"/>
      <c r="R103" s="3"/>
      <c r="S103" s="3"/>
      <c r="T103" s="3"/>
      <c r="U103" s="3"/>
      <c r="V103" s="8"/>
      <c r="W103" s="3"/>
      <c r="X103" s="3"/>
      <c r="Y103" s="8"/>
      <c r="Z103" s="3"/>
      <c r="AA103" s="3"/>
      <c r="AB103" s="3"/>
      <c r="AC103" s="8"/>
      <c r="AD103" s="3"/>
    </row>
    <row r="104" spans="1:31" ht="15" x14ac:dyDescent="0.25">
      <c r="A104" s="3"/>
      <c r="B104" s="3"/>
      <c r="C104" s="3"/>
      <c r="D104" s="3"/>
      <c r="E104" s="3"/>
      <c r="F104" s="3"/>
      <c r="G104" s="3"/>
      <c r="H104" s="3"/>
      <c r="I104" s="3"/>
      <c r="J104" s="3"/>
      <c r="K104" s="3"/>
      <c r="L104" s="3"/>
      <c r="M104" s="3"/>
      <c r="N104" s="3"/>
      <c r="O104" s="3"/>
      <c r="P104" s="3"/>
      <c r="Q104" s="3"/>
      <c r="R104" s="3"/>
      <c r="S104" s="3"/>
      <c r="T104" s="253" t="s">
        <v>48</v>
      </c>
      <c r="U104" s="253"/>
      <c r="V104" s="253"/>
      <c r="W104" s="253"/>
      <c r="X104" s="253"/>
      <c r="Y104" s="8"/>
      <c r="Z104" s="3"/>
      <c r="AA104" s="253"/>
      <c r="AB104" s="253"/>
      <c r="AC104" s="253"/>
      <c r="AD104" s="253"/>
      <c r="AE104" s="253"/>
    </row>
    <row r="105" spans="1:31" ht="15.6" x14ac:dyDescent="0.3">
      <c r="A105" s="7"/>
      <c r="B105" s="3"/>
      <c r="C105" s="3"/>
      <c r="D105" s="3"/>
      <c r="E105" s="3"/>
      <c r="F105" s="3"/>
      <c r="G105" s="3"/>
      <c r="H105" s="3"/>
      <c r="I105" s="3"/>
      <c r="J105" s="3"/>
      <c r="K105" s="3"/>
      <c r="L105" s="3"/>
      <c r="M105" s="3"/>
      <c r="N105" s="3"/>
      <c r="O105" s="3"/>
      <c r="P105" s="3"/>
      <c r="Q105" s="3"/>
      <c r="R105" s="3"/>
      <c r="S105" s="3"/>
      <c r="T105" s="253" t="s">
        <v>235</v>
      </c>
      <c r="U105" s="253"/>
      <c r="V105" s="253"/>
      <c r="W105" s="253"/>
      <c r="X105" s="253"/>
      <c r="Y105" s="8"/>
      <c r="Z105" s="3"/>
      <c r="AA105" s="253"/>
      <c r="AB105" s="253"/>
      <c r="AC105" s="253"/>
      <c r="AD105" s="253"/>
      <c r="AE105" s="253"/>
    </row>
    <row r="106" spans="1:31" ht="15" x14ac:dyDescent="0.25">
      <c r="T106" s="253" t="s">
        <v>236</v>
      </c>
      <c r="U106" s="253"/>
      <c r="V106" s="253"/>
      <c r="W106" s="253"/>
      <c r="X106" s="253"/>
      <c r="AA106" s="253"/>
      <c r="AB106" s="253"/>
      <c r="AC106" s="253"/>
      <c r="AD106" s="253"/>
      <c r="AE106" s="253"/>
    </row>
    <row r="107" spans="1:31" ht="15" x14ac:dyDescent="0.25">
      <c r="T107" s="253" t="s">
        <v>49</v>
      </c>
      <c r="U107" s="253"/>
      <c r="V107" s="253"/>
      <c r="W107" s="253"/>
      <c r="X107" s="253"/>
      <c r="AA107" s="253"/>
      <c r="AB107" s="253"/>
      <c r="AC107" s="253"/>
      <c r="AD107" s="253"/>
      <c r="AE107" s="253"/>
    </row>
    <row r="108" spans="1:31" ht="36" customHeight="1" x14ac:dyDescent="0.25">
      <c r="A108" s="4" t="s">
        <v>25</v>
      </c>
      <c r="B108" s="4" t="s">
        <v>26</v>
      </c>
      <c r="C108" s="4" t="s">
        <v>27</v>
      </c>
      <c r="T108" s="3"/>
      <c r="U108" s="3"/>
      <c r="V108" s="8"/>
      <c r="W108" s="3"/>
      <c r="AA108" s="8"/>
      <c r="AB108" s="3"/>
      <c r="AC108" s="8"/>
      <c r="AD108" s="3"/>
    </row>
    <row r="109" spans="1:31" ht="27.6" x14ac:dyDescent="0.3">
      <c r="A109" s="5" t="s">
        <v>28</v>
      </c>
      <c r="B109" s="5" t="s">
        <v>29</v>
      </c>
      <c r="C109" s="5" t="s">
        <v>30</v>
      </c>
      <c r="T109" s="257" t="s">
        <v>237</v>
      </c>
      <c r="U109" s="257"/>
      <c r="V109" s="257"/>
      <c r="W109" s="257"/>
      <c r="X109" s="257"/>
      <c r="AA109" s="257"/>
      <c r="AB109" s="257"/>
      <c r="AC109" s="257"/>
      <c r="AD109" s="257"/>
      <c r="AE109" s="257"/>
    </row>
    <row r="110" spans="1:31" ht="27.6" x14ac:dyDescent="0.25">
      <c r="A110" s="5" t="s">
        <v>31</v>
      </c>
      <c r="B110" s="5" t="s">
        <v>32</v>
      </c>
      <c r="C110" s="5" t="s">
        <v>33</v>
      </c>
      <c r="T110" s="258" t="s">
        <v>238</v>
      </c>
      <c r="U110" s="258"/>
      <c r="V110" s="258"/>
      <c r="W110" s="258"/>
      <c r="X110" s="258"/>
      <c r="AA110" s="258"/>
      <c r="AB110" s="258"/>
      <c r="AC110" s="258"/>
      <c r="AD110" s="258"/>
      <c r="AE110" s="258"/>
    </row>
    <row r="111" spans="1:31" ht="27.6" x14ac:dyDescent="0.25">
      <c r="A111" s="5" t="s">
        <v>34</v>
      </c>
      <c r="B111" s="5" t="s">
        <v>35</v>
      </c>
      <c r="C111" s="5" t="s">
        <v>36</v>
      </c>
    </row>
    <row r="112" spans="1:31" ht="27.6" x14ac:dyDescent="0.25">
      <c r="A112" s="5" t="s">
        <v>37</v>
      </c>
      <c r="B112" s="5" t="s">
        <v>38</v>
      </c>
      <c r="C112" s="5" t="s">
        <v>39</v>
      </c>
    </row>
    <row r="113" spans="1:3" ht="27.6" x14ac:dyDescent="0.25">
      <c r="A113" s="5" t="s">
        <v>40</v>
      </c>
      <c r="B113" s="6" t="s">
        <v>41</v>
      </c>
      <c r="C113" s="5" t="s">
        <v>42</v>
      </c>
    </row>
  </sheetData>
  <mergeCells count="79">
    <mergeCell ref="T107:X107"/>
    <mergeCell ref="AA107:AE107"/>
    <mergeCell ref="T109:X109"/>
    <mergeCell ref="AA109:AE109"/>
    <mergeCell ref="T110:X110"/>
    <mergeCell ref="AA110:AE110"/>
    <mergeCell ref="T104:X104"/>
    <mergeCell ref="AA104:AE104"/>
    <mergeCell ref="T105:X105"/>
    <mergeCell ref="AA105:AE105"/>
    <mergeCell ref="T106:X106"/>
    <mergeCell ref="AA106:AE106"/>
    <mergeCell ref="A97:T97"/>
    <mergeCell ref="A98:T98"/>
    <mergeCell ref="A99:AD99"/>
    <mergeCell ref="A100:AD100"/>
    <mergeCell ref="A101:AD101"/>
    <mergeCell ref="A102:AD102"/>
    <mergeCell ref="AB11:AC11"/>
    <mergeCell ref="U12:V12"/>
    <mergeCell ref="X12:Y12"/>
    <mergeCell ref="AB12:AC12"/>
    <mergeCell ref="R11:R12"/>
    <mergeCell ref="S11:S12"/>
    <mergeCell ref="U11:V11"/>
    <mergeCell ref="X11:Y11"/>
    <mergeCell ref="L11:L12"/>
    <mergeCell ref="M11:M12"/>
    <mergeCell ref="N11:N12"/>
    <mergeCell ref="O11:O12"/>
    <mergeCell ref="P11:P12"/>
    <mergeCell ref="Q11:Q12"/>
    <mergeCell ref="E11:F12"/>
    <mergeCell ref="R10:S10"/>
    <mergeCell ref="T10:Y10"/>
    <mergeCell ref="Z10:AA10"/>
    <mergeCell ref="G11:G12"/>
    <mergeCell ref="H11:H12"/>
    <mergeCell ref="I11:I12"/>
    <mergeCell ref="J11:J12"/>
    <mergeCell ref="K11:K12"/>
    <mergeCell ref="L10:M10"/>
    <mergeCell ref="L9:M9"/>
    <mergeCell ref="N9:O9"/>
    <mergeCell ref="P9:Q9"/>
    <mergeCell ref="N10:O10"/>
    <mergeCell ref="P10:Q10"/>
    <mergeCell ref="AE7:AE8"/>
    <mergeCell ref="A7:A9"/>
    <mergeCell ref="B7:B9"/>
    <mergeCell ref="C7:C9"/>
    <mergeCell ref="D7:D9"/>
    <mergeCell ref="E7:G9"/>
    <mergeCell ref="H7:I9"/>
    <mergeCell ref="T9:Y9"/>
    <mergeCell ref="J7:K8"/>
    <mergeCell ref="L7:S8"/>
    <mergeCell ref="T7:Y8"/>
    <mergeCell ref="Z7:AA8"/>
    <mergeCell ref="Z9:AA9"/>
    <mergeCell ref="AB9:AD9"/>
    <mergeCell ref="R9:S9"/>
    <mergeCell ref="J9:K9"/>
    <mergeCell ref="C13:C14"/>
    <mergeCell ref="A6:AD6"/>
    <mergeCell ref="A1:AD1"/>
    <mergeCell ref="A2:AD2"/>
    <mergeCell ref="A3:AD3"/>
    <mergeCell ref="A4:AD4"/>
    <mergeCell ref="A5:AD5"/>
    <mergeCell ref="AB7:AD8"/>
    <mergeCell ref="AB10:AD10"/>
    <mergeCell ref="A10:A12"/>
    <mergeCell ref="B10:B12"/>
    <mergeCell ref="C10:C12"/>
    <mergeCell ref="D10:D12"/>
    <mergeCell ref="E10:G10"/>
    <mergeCell ref="H10:I10"/>
    <mergeCell ref="J10:K10"/>
  </mergeCells>
  <pageMargins left="0.23622047244094491" right="0.23622047244094491" top="3.937007874015748E-2" bottom="3.937007874015748E-2" header="0" footer="0"/>
  <pageSetup paperSize="5" scale="31" orientation="landscape"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Dinas PPKBPPPA (TW IV)</vt:lpstr>
      <vt:lpstr>Dinas PPKBPPPA</vt:lpstr>
      <vt:lpstr>'Dinas PPKBPPPA'!OLE_LINK1</vt:lpstr>
      <vt:lpstr>'Dinas PPKBPPPA (TW IV)'!OLE_LINK1</vt:lpstr>
      <vt:lpstr>'Dinas PPKBPPPA'!Print_Area</vt:lpstr>
      <vt:lpstr>'Dinas PPKBPPPA (TW IV)'!Print_Area</vt:lpstr>
      <vt:lpstr>'Dinas PPKBPPPA'!Print_Titles</vt:lpstr>
      <vt:lpstr>'Dinas PPKBPPPA (TW IV)'!Print_Titles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WINDOWS</cp:lastModifiedBy>
  <cp:lastPrinted>2022-10-10T00:16:29Z</cp:lastPrinted>
  <dcterms:created xsi:type="dcterms:W3CDTF">2020-03-18T05:59:44Z</dcterms:created>
  <dcterms:modified xsi:type="dcterms:W3CDTF">2023-01-10T05:52:27Z</dcterms:modified>
</cp:coreProperties>
</file>