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ATA PINDAHAN\2022\Pengendalian dan Evaluasi Renja, RKPD, RPJMD\Form E.81 TW IV\PD Ori\"/>
    </mc:Choice>
  </mc:AlternateContent>
  <xr:revisionPtr revIDLastSave="0" documentId="13_ncr:1_{125881DA-4237-4AAE-995D-CDCF6E2F7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as Pendidikan" sheetId="1" r:id="rId1"/>
  </sheets>
  <definedNames>
    <definedName name="_xlnm.Print_Area" localSheetId="0">'Dinas Pendidikan'!$A$1:$AE$146</definedName>
    <definedName name="_xlnm.Print_Titles" localSheetId="0">'Dinas Pendidikan'!$7:$12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1" l="1"/>
  <c r="Z53" i="1" s="1"/>
  <c r="S124" i="1"/>
  <c r="S123" i="1" s="1"/>
  <c r="R119" i="1"/>
  <c r="P119" i="1"/>
  <c r="S119" i="1"/>
  <c r="S116" i="1" s="1"/>
  <c r="R110" i="1"/>
  <c r="P110" i="1"/>
  <c r="S110" i="1"/>
  <c r="Q110" i="1"/>
  <c r="O110" i="1"/>
  <c r="M110" i="1"/>
  <c r="K110" i="1"/>
  <c r="R107" i="1"/>
  <c r="T107" i="1" s="1"/>
  <c r="P107" i="1"/>
  <c r="S107" i="1"/>
  <c r="S104" i="1" s="1"/>
  <c r="S98" i="1"/>
  <c r="L98" i="1"/>
  <c r="S86" i="1"/>
  <c r="N69" i="1"/>
  <c r="S69" i="1"/>
  <c r="R55" i="1"/>
  <c r="P55" i="1"/>
  <c r="N55" i="1"/>
  <c r="L55" i="1"/>
  <c r="S55" i="1"/>
  <c r="S37" i="1"/>
  <c r="S32" i="1"/>
  <c r="S25" i="1"/>
  <c r="S17" i="1"/>
  <c r="S20" i="1"/>
  <c r="T79" i="1"/>
  <c r="U53" i="1" l="1"/>
  <c r="S42" i="1"/>
  <c r="S16" i="1"/>
  <c r="R21" i="1"/>
  <c r="P20" i="1"/>
  <c r="Q124" i="1"/>
  <c r="Q123" i="1" s="1"/>
  <c r="Q119" i="1"/>
  <c r="Q116" i="1" s="1"/>
  <c r="Q107" i="1"/>
  <c r="Q98" i="1"/>
  <c r="Q86" i="1"/>
  <c r="Q69" i="1"/>
  <c r="Q55" i="1"/>
  <c r="Q37" i="1"/>
  <c r="Q32" i="1"/>
  <c r="Q25" i="1"/>
  <c r="P21" i="1"/>
  <c r="Q20" i="1"/>
  <c r="Q17" i="1"/>
  <c r="P17" i="1"/>
  <c r="Q104" i="1" l="1"/>
  <c r="Q42" i="1"/>
  <c r="Q16" i="1"/>
  <c r="T37" i="1"/>
  <c r="T32" i="1"/>
  <c r="T16" i="1"/>
  <c r="O124" i="1" l="1"/>
  <c r="O123" i="1" s="1"/>
  <c r="O119" i="1"/>
  <c r="O116" i="1" s="1"/>
  <c r="O107" i="1"/>
  <c r="O98" i="1"/>
  <c r="O86" i="1"/>
  <c r="N86" i="1"/>
  <c r="O69" i="1"/>
  <c r="O55" i="1"/>
  <c r="O37" i="1"/>
  <c r="O32" i="1"/>
  <c r="O25" i="1"/>
  <c r="N21" i="1"/>
  <c r="O20" i="1"/>
  <c r="N20" i="1"/>
  <c r="O17" i="1"/>
  <c r="N17" i="1"/>
  <c r="L21" i="1"/>
  <c r="I119" i="1"/>
  <c r="G119" i="1"/>
  <c r="I117" i="1"/>
  <c r="G114" i="1"/>
  <c r="G113" i="1" s="1"/>
  <c r="I114" i="1"/>
  <c r="I113" i="1" s="1"/>
  <c r="G110" i="1"/>
  <c r="I110" i="1"/>
  <c r="K107" i="1"/>
  <c r="W111" i="1"/>
  <c r="T111" i="1"/>
  <c r="U111" i="1" s="1"/>
  <c r="G107" i="1"/>
  <c r="I107" i="1"/>
  <c r="M107" i="1"/>
  <c r="G105" i="1"/>
  <c r="I105" i="1"/>
  <c r="G98" i="1"/>
  <c r="I98" i="1"/>
  <c r="K98" i="1"/>
  <c r="I86" i="1"/>
  <c r="G86" i="1"/>
  <c r="K86" i="1"/>
  <c r="G69" i="1"/>
  <c r="I69" i="1"/>
  <c r="W108" i="1"/>
  <c r="T108" i="1"/>
  <c r="U108" i="1" s="1"/>
  <c r="W100" i="1"/>
  <c r="T100" i="1"/>
  <c r="U100" i="1" s="1"/>
  <c r="W90" i="1"/>
  <c r="T90" i="1"/>
  <c r="U90" i="1" s="1"/>
  <c r="W88" i="1"/>
  <c r="T88" i="1"/>
  <c r="U88" i="1" s="1"/>
  <c r="AA108" i="1" l="1"/>
  <c r="AA88" i="1"/>
  <c r="AA100" i="1"/>
  <c r="AA90" i="1"/>
  <c r="AA111" i="1"/>
  <c r="T21" i="1"/>
  <c r="O104" i="1"/>
  <c r="O42" i="1"/>
  <c r="O16" i="1"/>
  <c r="G104" i="1"/>
  <c r="I116" i="1"/>
  <c r="X111" i="1"/>
  <c r="I104" i="1"/>
  <c r="X108" i="1"/>
  <c r="Z111" i="1"/>
  <c r="Z108" i="1"/>
  <c r="X100" i="1"/>
  <c r="Z100" i="1"/>
  <c r="X90" i="1"/>
  <c r="Z90" i="1"/>
  <c r="X88" i="1"/>
  <c r="Z88" i="1"/>
  <c r="W73" i="1"/>
  <c r="T73" i="1"/>
  <c r="U73" i="1" s="1"/>
  <c r="W72" i="1"/>
  <c r="T72" i="1"/>
  <c r="U72" i="1" s="1"/>
  <c r="W71" i="1"/>
  <c r="T71" i="1"/>
  <c r="U71" i="1" s="1"/>
  <c r="E71" i="1"/>
  <c r="W61" i="1"/>
  <c r="T61" i="1"/>
  <c r="U61" i="1" s="1"/>
  <c r="T60" i="1"/>
  <c r="U60" i="1" s="1"/>
  <c r="W57" i="1"/>
  <c r="T57" i="1"/>
  <c r="U57" i="1" s="1"/>
  <c r="E57" i="1"/>
  <c r="I55" i="1"/>
  <c r="I42" i="1" s="1"/>
  <c r="G17" i="1"/>
  <c r="G20" i="1"/>
  <c r="G25" i="1"/>
  <c r="G30" i="1"/>
  <c r="I30" i="1"/>
  <c r="G32" i="1"/>
  <c r="G37" i="1"/>
  <c r="I37" i="1"/>
  <c r="I32" i="1"/>
  <c r="I25" i="1"/>
  <c r="I20" i="1"/>
  <c r="I17" i="1"/>
  <c r="T51" i="1"/>
  <c r="U51" i="1" s="1"/>
  <c r="T52" i="1"/>
  <c r="U52" i="1" s="1"/>
  <c r="T54" i="1"/>
  <c r="Z54" i="1" s="1"/>
  <c r="T43" i="1"/>
  <c r="Z43" i="1" s="1"/>
  <c r="T44" i="1"/>
  <c r="U44" i="1" s="1"/>
  <c r="T45" i="1"/>
  <c r="Z45" i="1" s="1"/>
  <c r="T46" i="1"/>
  <c r="Z46" i="1" s="1"/>
  <c r="T47" i="1"/>
  <c r="U47" i="1" s="1"/>
  <c r="T48" i="1"/>
  <c r="U48" i="1" s="1"/>
  <c r="T49" i="1"/>
  <c r="Z49" i="1" s="1"/>
  <c r="T50" i="1"/>
  <c r="Z50" i="1" s="1"/>
  <c r="AA71" i="1" l="1"/>
  <c r="AA73" i="1"/>
  <c r="AA61" i="1"/>
  <c r="AA57" i="1"/>
  <c r="AA72" i="1"/>
  <c r="U54" i="1"/>
  <c r="X71" i="1"/>
  <c r="U43" i="1"/>
  <c r="X72" i="1"/>
  <c r="X73" i="1"/>
  <c r="Z73" i="1"/>
  <c r="Z72" i="1"/>
  <c r="Z71" i="1"/>
  <c r="X57" i="1"/>
  <c r="U49" i="1"/>
  <c r="G16" i="1"/>
  <c r="U50" i="1"/>
  <c r="X61" i="1"/>
  <c r="Z61" i="1"/>
  <c r="Z60" i="1"/>
  <c r="Z57" i="1"/>
  <c r="I16" i="1"/>
  <c r="U45" i="1"/>
  <c r="Z51" i="1"/>
  <c r="Z47" i="1"/>
  <c r="U46" i="1"/>
  <c r="Z52" i="1"/>
  <c r="Z48" i="1"/>
  <c r="Z44" i="1"/>
  <c r="L69" i="1"/>
  <c r="E41" i="1" l="1"/>
  <c r="E40" i="1"/>
  <c r="E39" i="1"/>
  <c r="E38" i="1"/>
  <c r="E31" i="1"/>
  <c r="E36" i="1"/>
  <c r="E35" i="1"/>
  <c r="E34" i="1"/>
  <c r="E33" i="1"/>
  <c r="E29" i="1"/>
  <c r="E28" i="1"/>
  <c r="E27" i="1"/>
  <c r="E26" i="1"/>
  <c r="E24" i="1"/>
  <c r="E23" i="1"/>
  <c r="E22" i="1"/>
  <c r="E21" i="1"/>
  <c r="E19" i="1"/>
  <c r="E18" i="1"/>
  <c r="J20" i="1"/>
  <c r="E17" i="1" l="1"/>
  <c r="E20" i="1"/>
  <c r="J104" i="1"/>
  <c r="E112" i="1"/>
  <c r="E109" i="1"/>
  <c r="E107" i="1"/>
  <c r="J107" i="1"/>
  <c r="E104" i="1"/>
  <c r="E105" i="1"/>
  <c r="E123" i="1"/>
  <c r="G124" i="1"/>
  <c r="G123" i="1" s="1"/>
  <c r="G117" i="1"/>
  <c r="G116" i="1" s="1"/>
  <c r="E126" i="1"/>
  <c r="E128" i="1"/>
  <c r="J119" i="1"/>
  <c r="E115" i="1"/>
  <c r="E114" i="1"/>
  <c r="E102" i="1"/>
  <c r="E103" i="1"/>
  <c r="E101" i="1"/>
  <c r="E92" i="1"/>
  <c r="T91" i="1"/>
  <c r="E91" i="1"/>
  <c r="J91" i="1"/>
  <c r="L86" i="1" s="1"/>
  <c r="E95" i="1"/>
  <c r="E78" i="1"/>
  <c r="T78" i="1"/>
  <c r="E79" i="1"/>
  <c r="E99" i="1"/>
  <c r="E89" i="1"/>
  <c r="E87" i="1"/>
  <c r="E77" i="1" l="1"/>
  <c r="E76" i="1"/>
  <c r="E82" i="1"/>
  <c r="E81" i="1"/>
  <c r="E80" i="1"/>
  <c r="E74" i="1"/>
  <c r="T66" i="1"/>
  <c r="E66" i="1"/>
  <c r="E68" i="1"/>
  <c r="E65" i="1"/>
  <c r="T65" i="1"/>
  <c r="E64" i="1"/>
  <c r="E63" i="1"/>
  <c r="E62" i="1"/>
  <c r="E59" i="1" l="1"/>
  <c r="E58" i="1"/>
  <c r="AA97" i="1" l="1"/>
  <c r="Z97" i="1"/>
  <c r="W102" i="1"/>
  <c r="T102" i="1"/>
  <c r="U102" i="1" s="1"/>
  <c r="E85" i="1"/>
  <c r="E84" i="1"/>
  <c r="AA102" i="1" l="1"/>
  <c r="X102" i="1"/>
  <c r="Z102" i="1"/>
  <c r="G55" i="1" l="1"/>
  <c r="E96" i="1"/>
  <c r="G42" i="1" l="1"/>
  <c r="K20" i="1" l="1"/>
  <c r="J123" i="1" l="1"/>
  <c r="AH24" i="1" l="1"/>
  <c r="W127" i="1" l="1"/>
  <c r="T127" i="1"/>
  <c r="U127" i="1" s="1"/>
  <c r="W126" i="1"/>
  <c r="T126" i="1"/>
  <c r="U126" i="1" s="1"/>
  <c r="AA128" i="1"/>
  <c r="W125" i="1"/>
  <c r="T125" i="1"/>
  <c r="U125" i="1" s="1"/>
  <c r="T124" i="1"/>
  <c r="U124" i="1" s="1"/>
  <c r="T123" i="1"/>
  <c r="U123" i="1" s="1"/>
  <c r="AA122" i="1"/>
  <c r="AA121" i="1"/>
  <c r="W120" i="1"/>
  <c r="T120" i="1"/>
  <c r="U120" i="1" s="1"/>
  <c r="T119" i="1"/>
  <c r="U119" i="1" s="1"/>
  <c r="AA118" i="1"/>
  <c r="T116" i="1"/>
  <c r="U116" i="1" s="1"/>
  <c r="AA115" i="1"/>
  <c r="AA112" i="1"/>
  <c r="T110" i="1"/>
  <c r="U110" i="1" s="1"/>
  <c r="AA109" i="1"/>
  <c r="U107" i="1"/>
  <c r="AA106" i="1"/>
  <c r="T104" i="1"/>
  <c r="U104" i="1" s="1"/>
  <c r="AA103" i="1"/>
  <c r="W101" i="1"/>
  <c r="T101" i="1"/>
  <c r="U101" i="1" s="1"/>
  <c r="W99" i="1"/>
  <c r="T99" i="1"/>
  <c r="W92" i="1"/>
  <c r="T92" i="1"/>
  <c r="U92" i="1" s="1"/>
  <c r="W91" i="1"/>
  <c r="U91" i="1"/>
  <c r="W89" i="1"/>
  <c r="T89" i="1"/>
  <c r="U89" i="1" s="1"/>
  <c r="W87" i="1"/>
  <c r="T87" i="1"/>
  <c r="W79" i="1"/>
  <c r="U79" i="1"/>
  <c r="W78" i="1"/>
  <c r="U78" i="1"/>
  <c r="Z83" i="1"/>
  <c r="W77" i="1"/>
  <c r="T77" i="1"/>
  <c r="U77" i="1" s="1"/>
  <c r="W76" i="1"/>
  <c r="T76" i="1"/>
  <c r="U76" i="1" s="1"/>
  <c r="AA82" i="1"/>
  <c r="AA81" i="1"/>
  <c r="AA80" i="1"/>
  <c r="W75" i="1"/>
  <c r="T75" i="1"/>
  <c r="U75" i="1" s="1"/>
  <c r="W74" i="1"/>
  <c r="T74" i="1"/>
  <c r="U74" i="1" s="1"/>
  <c r="W70" i="1"/>
  <c r="T70" i="1"/>
  <c r="W66" i="1"/>
  <c r="U66" i="1"/>
  <c r="AA68" i="1"/>
  <c r="W65" i="1"/>
  <c r="U65" i="1"/>
  <c r="W64" i="1"/>
  <c r="T64" i="1"/>
  <c r="U64" i="1" s="1"/>
  <c r="W63" i="1"/>
  <c r="T63" i="1"/>
  <c r="U63" i="1" s="1"/>
  <c r="AA67" i="1"/>
  <c r="W62" i="1"/>
  <c r="T62" i="1"/>
  <c r="U62" i="1" s="1"/>
  <c r="W59" i="1"/>
  <c r="T59" i="1"/>
  <c r="U59" i="1" s="1"/>
  <c r="W58" i="1"/>
  <c r="T58" i="1"/>
  <c r="U58" i="1" s="1"/>
  <c r="W56" i="1"/>
  <c r="T56" i="1"/>
  <c r="T42" i="1"/>
  <c r="Z42" i="1" s="1"/>
  <c r="AA41" i="1"/>
  <c r="AA40" i="1"/>
  <c r="T39" i="1"/>
  <c r="U39" i="1" s="1"/>
  <c r="W38" i="1"/>
  <c r="X38" i="1" s="1"/>
  <c r="T38" i="1"/>
  <c r="U38" i="1" s="1"/>
  <c r="U37" i="1"/>
  <c r="W36" i="1"/>
  <c r="T36" i="1"/>
  <c r="U36" i="1" s="1"/>
  <c r="W35" i="1"/>
  <c r="T35" i="1"/>
  <c r="U35" i="1" s="1"/>
  <c r="W34" i="1"/>
  <c r="T34" i="1"/>
  <c r="U34" i="1" s="1"/>
  <c r="W33" i="1"/>
  <c r="T33" i="1"/>
  <c r="U33" i="1" s="1"/>
  <c r="U32" i="1"/>
  <c r="T29" i="1"/>
  <c r="U29" i="1" s="1"/>
  <c r="W28" i="1"/>
  <c r="T28" i="1"/>
  <c r="U28" i="1" s="1"/>
  <c r="W27" i="1"/>
  <c r="T27" i="1"/>
  <c r="U27" i="1" s="1"/>
  <c r="W26" i="1"/>
  <c r="T26" i="1"/>
  <c r="U26" i="1" s="1"/>
  <c r="T25" i="1"/>
  <c r="U25" i="1" s="1"/>
  <c r="W24" i="1"/>
  <c r="T24" i="1"/>
  <c r="U24" i="1" s="1"/>
  <c r="W23" i="1"/>
  <c r="AA23" i="1" s="1"/>
  <c r="T23" i="1"/>
  <c r="U23" i="1" s="1"/>
  <c r="W22" i="1"/>
  <c r="T22" i="1"/>
  <c r="U22" i="1" s="1"/>
  <c r="W21" i="1"/>
  <c r="AA21" i="1" s="1"/>
  <c r="U21" i="1"/>
  <c r="W19" i="1"/>
  <c r="T19" i="1"/>
  <c r="U19" i="1" s="1"/>
  <c r="W18" i="1"/>
  <c r="T18" i="1"/>
  <c r="U18" i="1" s="1"/>
  <c r="Z16" i="1"/>
  <c r="U56" i="1" l="1"/>
  <c r="T55" i="1"/>
  <c r="U55" i="1" s="1"/>
  <c r="U70" i="1"/>
  <c r="T69" i="1"/>
  <c r="U69" i="1" s="1"/>
  <c r="U99" i="1"/>
  <c r="T98" i="1"/>
  <c r="U98" i="1" s="1"/>
  <c r="U87" i="1"/>
  <c r="T86" i="1"/>
  <c r="U86" i="1" s="1"/>
  <c r="AA70" i="1"/>
  <c r="AA76" i="1"/>
  <c r="AA77" i="1"/>
  <c r="AA62" i="1"/>
  <c r="AA75" i="1"/>
  <c r="AA125" i="1"/>
  <c r="X87" i="1"/>
  <c r="X99" i="1"/>
  <c r="X89" i="1"/>
  <c r="AA101" i="1"/>
  <c r="AA59" i="1"/>
  <c r="X35" i="1"/>
  <c r="AA34" i="1"/>
  <c r="AA58" i="1"/>
  <c r="X91" i="1"/>
  <c r="AA19" i="1"/>
  <c r="AA24" i="1"/>
  <c r="AA64" i="1"/>
  <c r="X79" i="1"/>
  <c r="X36" i="1"/>
  <c r="AA65" i="1"/>
  <c r="AA74" i="1"/>
  <c r="AA28" i="1"/>
  <c r="X92" i="1"/>
  <c r="X26" i="1"/>
  <c r="AA120" i="1"/>
  <c r="X22" i="1"/>
  <c r="AA33" i="1"/>
  <c r="AA126" i="1"/>
  <c r="AA66" i="1"/>
  <c r="AA27" i="1"/>
  <c r="X18" i="1"/>
  <c r="AA63" i="1"/>
  <c r="X78" i="1"/>
  <c r="AA127" i="1"/>
  <c r="AA56" i="1"/>
  <c r="U42" i="1"/>
  <c r="Z35" i="1"/>
  <c r="Z38" i="1"/>
  <c r="Z77" i="1"/>
  <c r="Z126" i="1"/>
  <c r="Z112" i="1"/>
  <c r="Z106" i="1"/>
  <c r="Z107" i="1"/>
  <c r="Z113" i="1"/>
  <c r="Z79" i="1"/>
  <c r="Z92" i="1"/>
  <c r="Z101" i="1"/>
  <c r="Z125" i="1"/>
  <c r="Z62" i="1"/>
  <c r="Z39" i="1"/>
  <c r="Z64" i="1"/>
  <c r="Z103" i="1"/>
  <c r="Z121" i="1"/>
  <c r="Z18" i="1"/>
  <c r="Z22" i="1"/>
  <c r="Z65" i="1"/>
  <c r="Z80" i="1"/>
  <c r="Z93" i="1"/>
  <c r="Z127" i="1"/>
  <c r="Z19" i="1"/>
  <c r="Z23" i="1"/>
  <c r="Z26" i="1"/>
  <c r="Z31" i="1"/>
  <c r="Z34" i="1"/>
  <c r="Z81" i="1"/>
  <c r="Z94" i="1"/>
  <c r="Z55" i="1"/>
  <c r="Z27" i="1"/>
  <c r="Z30" i="1"/>
  <c r="Z59" i="1"/>
  <c r="Z70" i="1"/>
  <c r="Z78" i="1"/>
  <c r="Z96" i="1"/>
  <c r="Z116" i="1"/>
  <c r="Z117" i="1"/>
  <c r="Z120" i="1"/>
  <c r="Z124" i="1"/>
  <c r="Z24" i="1"/>
  <c r="Z28" i="1"/>
  <c r="Z32" i="1"/>
  <c r="Z36" i="1"/>
  <c r="Z40" i="1"/>
  <c r="Z56" i="1"/>
  <c r="Z67" i="1"/>
  <c r="Z68" i="1"/>
  <c r="Z74" i="1"/>
  <c r="Z82" i="1"/>
  <c r="Z84" i="1"/>
  <c r="Z87" i="1"/>
  <c r="Z95" i="1"/>
  <c r="Z98" i="1"/>
  <c r="Z104" i="1"/>
  <c r="Z109" i="1"/>
  <c r="Z114" i="1"/>
  <c r="Z118" i="1"/>
  <c r="Z122" i="1"/>
  <c r="Z21" i="1"/>
  <c r="Z25" i="1"/>
  <c r="Z29" i="1"/>
  <c r="Z33" i="1"/>
  <c r="Z37" i="1"/>
  <c r="Z41" i="1"/>
  <c r="Z58" i="1"/>
  <c r="Z63" i="1"/>
  <c r="Z66" i="1"/>
  <c r="Z75" i="1"/>
  <c r="Z76" i="1"/>
  <c r="Z85" i="1"/>
  <c r="Z89" i="1"/>
  <c r="Z91" i="1"/>
  <c r="Z99" i="1"/>
  <c r="Z105" i="1"/>
  <c r="Z110" i="1"/>
  <c r="Z115" i="1"/>
  <c r="Z119" i="1"/>
  <c r="Z123" i="1"/>
  <c r="Z128" i="1"/>
  <c r="AA18" i="1"/>
  <c r="AA22" i="1"/>
  <c r="AA26" i="1"/>
  <c r="AA31" i="1"/>
  <c r="AA35" i="1"/>
  <c r="AA36" i="1"/>
  <c r="AA38" i="1"/>
  <c r="X19" i="1"/>
  <c r="X21" i="1"/>
  <c r="X23" i="1"/>
  <c r="X24" i="1"/>
  <c r="X27" i="1"/>
  <c r="X28" i="1"/>
  <c r="X33" i="1"/>
  <c r="X34" i="1"/>
  <c r="X56" i="1"/>
  <c r="X58" i="1"/>
  <c r="X59" i="1"/>
  <c r="X62" i="1"/>
  <c r="X63" i="1"/>
  <c r="X64" i="1"/>
  <c r="X65" i="1"/>
  <c r="X66" i="1"/>
  <c r="X70" i="1"/>
  <c r="X74" i="1"/>
  <c r="X75" i="1"/>
  <c r="X76" i="1"/>
  <c r="X77" i="1"/>
  <c r="AA83" i="1"/>
  <c r="AA78" i="1"/>
  <c r="AA84" i="1"/>
  <c r="AA85" i="1"/>
  <c r="AA79" i="1"/>
  <c r="AA87" i="1"/>
  <c r="AA89" i="1"/>
  <c r="AA93" i="1"/>
  <c r="AA94" i="1"/>
  <c r="AA95" i="1"/>
  <c r="AA91" i="1"/>
  <c r="AA96" i="1"/>
  <c r="AA92" i="1"/>
  <c r="AA99" i="1"/>
  <c r="X101" i="1"/>
  <c r="X120" i="1"/>
  <c r="X125" i="1"/>
  <c r="X126" i="1"/>
  <c r="X127" i="1"/>
  <c r="U16" i="1"/>
  <c r="L20" i="1"/>
  <c r="T20" i="1" s="1"/>
  <c r="L17" i="1"/>
  <c r="T17" i="1" s="1"/>
  <c r="Z17" i="1" s="1"/>
  <c r="J17" i="1"/>
  <c r="Z69" i="1" l="1"/>
  <c r="Z86" i="1"/>
  <c r="U17" i="1"/>
  <c r="U20" i="1"/>
  <c r="Z20" i="1"/>
  <c r="M124" i="1" l="1"/>
  <c r="M119" i="1"/>
  <c r="W119" i="1" s="1"/>
  <c r="W110" i="1"/>
  <c r="W107" i="1"/>
  <c r="M98" i="1"/>
  <c r="W98" i="1" s="1"/>
  <c r="M86" i="1"/>
  <c r="W86" i="1" s="1"/>
  <c r="M69" i="1"/>
  <c r="W69" i="1" s="1"/>
  <c r="M55" i="1"/>
  <c r="M37" i="1"/>
  <c r="W37" i="1" s="1"/>
  <c r="M32" i="1"/>
  <c r="W32" i="1" s="1"/>
  <c r="M25" i="1"/>
  <c r="W25" i="1" s="1"/>
  <c r="M20" i="1"/>
  <c r="W20" i="1" s="1"/>
  <c r="M17" i="1"/>
  <c r="M104" i="1" l="1"/>
  <c r="W104" i="1" s="1"/>
  <c r="AA37" i="1"/>
  <c r="AA20" i="1"/>
  <c r="AA25" i="1"/>
  <c r="W55" i="1"/>
  <c r="M42" i="1"/>
  <c r="W42" i="1" s="1"/>
  <c r="M116" i="1"/>
  <c r="W116" i="1" s="1"/>
  <c r="W17" i="1"/>
  <c r="M16" i="1"/>
  <c r="W16" i="1" s="1"/>
  <c r="AA98" i="1"/>
  <c r="AA30" i="1"/>
  <c r="AA69" i="1"/>
  <c r="AA107" i="1"/>
  <c r="AA119" i="1"/>
  <c r="AA32" i="1"/>
  <c r="AA86" i="1"/>
  <c r="AA110" i="1"/>
  <c r="W124" i="1"/>
  <c r="M123" i="1"/>
  <c r="W123" i="1" s="1"/>
  <c r="K124" i="1"/>
  <c r="K123" i="1" s="1"/>
  <c r="K119" i="1"/>
  <c r="X119" i="1" s="1"/>
  <c r="X110" i="1"/>
  <c r="X107" i="1"/>
  <c r="X98" i="1"/>
  <c r="X86" i="1"/>
  <c r="K69" i="1"/>
  <c r="X69" i="1" s="1"/>
  <c r="K55" i="1"/>
  <c r="K37" i="1"/>
  <c r="X37" i="1" s="1"/>
  <c r="K32" i="1"/>
  <c r="X32" i="1" s="1"/>
  <c r="K25" i="1"/>
  <c r="X25" i="1" s="1"/>
  <c r="X20" i="1"/>
  <c r="K17" i="1"/>
  <c r="AA42" i="1" l="1"/>
  <c r="K16" i="1"/>
  <c r="X16" i="1" s="1"/>
  <c r="AA116" i="1"/>
  <c r="AA117" i="1"/>
  <c r="AA55" i="1"/>
  <c r="X55" i="1"/>
  <c r="AA123" i="1"/>
  <c r="X123" i="1"/>
  <c r="AA113" i="1"/>
  <c r="AA16" i="1"/>
  <c r="AA104" i="1"/>
  <c r="K42" i="1"/>
  <c r="X42" i="1" s="1"/>
  <c r="K104" i="1"/>
  <c r="X104" i="1" s="1"/>
  <c r="K116" i="1"/>
  <c r="X116" i="1" s="1"/>
  <c r="AA124" i="1"/>
  <c r="X124" i="1"/>
  <c r="AA114" i="1"/>
  <c r="AA17" i="1"/>
  <c r="X17" i="1"/>
  <c r="AA105" i="1"/>
  <c r="AH23" i="1"/>
  <c r="AH22" i="1"/>
  <c r="AH21" i="1"/>
  <c r="AH20" i="1"/>
  <c r="AH16" i="1"/>
  <c r="X129" i="1" l="1"/>
  <c r="X130" i="1"/>
  <c r="U129" i="1"/>
  <c r="U130" i="1" s="1"/>
  <c r="W29" i="1"/>
  <c r="AA29" i="1" l="1"/>
  <c r="X29" i="1"/>
  <c r="W39" i="1"/>
  <c r="X39" i="1" l="1"/>
  <c r="AA39" i="1"/>
  <c r="W60" i="1" l="1"/>
  <c r="X60" i="1" l="1"/>
  <c r="AA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H5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J55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J56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SDN kaliring dan haratai</t>
        </r>
      </text>
    </comment>
    <comment ref="J57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SDN kaliring dan haratai</t>
        </r>
      </text>
    </comment>
    <comment ref="J5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halaman 2 daha utara, 1 kalumpang, 1 jambu hulu, WC kalumpang,padang batung, telaga langsat, sei raya</t>
        </r>
      </text>
    </comment>
    <comment ref="L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WC kalumpang, pdg batung, sei raya</t>
        </r>
      </text>
    </comment>
    <comment ref="N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WC kalumpang, pdg batung, sei raya</t>
        </r>
      </text>
    </comment>
    <comment ref="P5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WC kalumpang, pdg batung, sei raya</t>
        </r>
      </text>
    </comment>
    <comment ref="J5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angkinang,dasel, kdg, sei raya, pdg btg, loksado 2, dabar 2</t>
        </r>
      </text>
    </comment>
    <comment ref="J6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angkinang,dasel, kdg, sei raya, pdg btg, loksado 2, dabar 2</t>
        </r>
      </text>
    </comment>
    <comment ref="J6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angkinang,dasel, kdg, sei raya, pdg btg, loksado 2, dabar 2</t>
        </r>
      </text>
    </comment>
    <comment ref="J6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WC kdg, sei raya, simpur</t>
        </r>
      </text>
    </comment>
    <comment ref="J6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4 alat peraga 1 pengadaan laptop</t>
        </r>
      </text>
    </comment>
    <comment ref="J69" authorId="0" shapeId="0" xr:uid="{00000000-0006-0000-0000-00000E000000}">
      <text>
        <r>
          <rPr>
            <b/>
            <sz val="12"/>
            <color indexed="81"/>
            <rFont val="Tahoma"/>
            <family val="2"/>
          </rPr>
          <t>jumlah capaian seluruh sub kegiatan/jumlah target seluruh sub kegiatanX100</t>
        </r>
      </text>
    </comment>
    <comment ref="J70" authorId="1" shapeId="0" xr:uid="{00000000-0006-0000-0000-00000F000000}">
      <text>
        <r>
          <rPr>
            <sz val="12"/>
            <color indexed="81"/>
            <rFont val="Tahoma"/>
            <family val="2"/>
          </rPr>
          <t>Penyediaan Lahan Perpus SMP 2 Kdg</t>
        </r>
      </text>
    </comment>
    <comment ref="J71" authorId="1" shapeId="0" xr:uid="{00000000-0006-0000-0000-000010000000}">
      <text>
        <r>
          <rPr>
            <sz val="12"/>
            <color indexed="81"/>
            <rFont val="Tahoma"/>
            <family val="2"/>
          </rPr>
          <t>Penyediaan Lahan Perpus SMP 2 Kdg</t>
        </r>
      </text>
    </comment>
    <comment ref="J72" authorId="1" shapeId="0" xr:uid="{00000000-0006-0000-0000-000011000000}">
      <text>
        <r>
          <rPr>
            <sz val="12"/>
            <color indexed="81"/>
            <rFont val="Tahoma"/>
            <family val="2"/>
          </rPr>
          <t>Penyediaan Lahan Perpus SMP 2 Kdg</t>
        </r>
      </text>
    </comment>
    <comment ref="J73" authorId="1" shapeId="0" xr:uid="{00000000-0006-0000-0000-000012000000}">
      <text>
        <r>
          <rPr>
            <sz val="12"/>
            <color indexed="81"/>
            <rFont val="Tahoma"/>
            <family val="2"/>
          </rPr>
          <t>Penyediaan Lahan Perpus SMP 2 Kdg</t>
        </r>
      </text>
    </comment>
    <comment ref="J7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Darul Amin Dahut</t>
        </r>
      </text>
    </comment>
    <comment ref="J7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Halaman smp 2 loksado, pagar smp 2 angkinang, halaman smp 1 dahut, halaman smp 1 tegal</t>
        </r>
      </text>
    </comment>
    <comment ref="J7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wc smp 4 dahut, ruang guru smp 1 kdg</t>
        </r>
      </text>
    </comment>
    <comment ref="J8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SMP 2 Sei raya 2, SMP 3 Dasel 3, SMP 1 kdg 3, SMP 1 pdg btg 2, SMP 2 Dahut 2, SMP 4 Dasel 2</t>
        </r>
      </text>
    </comment>
    <comment ref="H8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SMP 1 angkinang</t>
        </r>
      </text>
    </comment>
    <comment ref="J8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SMP 3 pdg btg</t>
        </r>
      </text>
    </comment>
    <comment ref="J8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SMP 2 Kdg</t>
        </r>
      </text>
    </comment>
    <comment ref="J8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TK Azzahra kdg</t>
        </r>
      </text>
    </comment>
    <comment ref="J88" authorId="1" shapeId="0" xr:uid="{00000000-0006-0000-0000-00001B000000}">
      <text>
        <r>
          <rPr>
            <sz val="12"/>
            <color indexed="81"/>
            <rFont val="Tahoma"/>
            <family val="2"/>
          </rPr>
          <t>TK mekar subur Dasel, TK undas pdg btg, TPA Ibnu Amin Sei Raya</t>
        </r>
      </text>
    </comment>
    <comment ref="J89" authorId="1" shapeId="0" xr:uid="{00000000-0006-0000-0000-00001C000000}">
      <text>
        <r>
          <rPr>
            <sz val="12"/>
            <color indexed="81"/>
            <rFont val="Tahoma"/>
            <family val="2"/>
          </rPr>
          <t>TK mekar subur Dasel, TK undas pdg btg, TPA Ibnu Amin Sei Raya</t>
        </r>
      </text>
    </comment>
    <comment ref="J90" authorId="1" shapeId="0" xr:uid="{00000000-0006-0000-0000-00001D000000}">
      <text>
        <r>
          <rPr>
            <sz val="12"/>
            <color indexed="81"/>
            <rFont val="Tahoma"/>
            <family val="2"/>
          </rPr>
          <t>TK mekar subur Dasel, TK undas pdg btg, TPA Ibnu Amin Sei Raya</t>
        </r>
      </text>
    </comment>
    <comment ref="I9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Negeri</t>
        </r>
      </text>
    </comment>
    <comment ref="J9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pengurukan tanah TPA ibnu amin kec.sei raya</t>
        </r>
      </text>
    </comment>
    <comment ref="J99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PKBM serumpun pdg btg</t>
        </r>
      </text>
    </comment>
    <comment ref="D11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Jumlah penduduk yg mengunjungi peninggalan sejarah/target jumlah penduduk yang mengunjungi peninggalan sejarahX100</t>
        </r>
      </text>
    </comment>
  </commentList>
</comments>
</file>

<file path=xl/sharedStrings.xml><?xml version="1.0" encoding="utf-8"?>
<sst xmlns="http://schemas.openxmlformats.org/spreadsheetml/2006/main" count="663" uniqueCount="289">
  <si>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</si>
  <si>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</si>
  <si>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</si>
  <si>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</si>
  <si>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</si>
  <si>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</si>
  <si>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</si>
  <si>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</si>
  <si>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</si>
  <si>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</si>
  <si>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</si>
  <si>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</si>
  <si>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</si>
  <si>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</si>
  <si>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</si>
  <si>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</si>
  <si>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</si>
  <si>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</si>
  <si>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</si>
  <si>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</si>
  <si>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</si>
  <si>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</si>
  <si>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</si>
  <si>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</si>
  <si>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</si>
  <si>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</si>
  <si>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</si>
  <si>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</si>
  <si>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</si>
  <si>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</si>
  <si>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</si>
  <si>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</si>
  <si>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</si>
  <si>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</si>
  <si>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</si>
  <si>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</si>
  <si>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</si>
  <si>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</si>
  <si>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</si>
  <si>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</si>
  <si>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</si>
  <si>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</si>
  <si>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</si>
  <si>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</si>
  <si>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</si>
  <si>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</si>
  <si>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</si>
  <si>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</si>
  <si>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</si>
  <si>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</si>
  <si>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</si>
  <si>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</si>
  <si>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</si>
  <si>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</si>
  <si>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</si>
  <si>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</si>
  <si>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</si>
  <si>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</si>
  <si>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Keg</t>
  </si>
  <si>
    <t>Org</t>
  </si>
  <si>
    <t>%</t>
  </si>
  <si>
    <t>Paket</t>
  </si>
  <si>
    <t>Meningkatnya Pemanfaatan Potensi Pariwisata dan Kebudayaan Bagi Masyarakat</t>
  </si>
  <si>
    <t>Pembangunan Perpustakaan Sekolah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</si>
  <si>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</si>
  <si>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</si>
  <si>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</si>
  <si>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</si>
  <si>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Kabupaten Hulu Sungai Selatan</t>
  </si>
  <si>
    <t>Hj.SITI ERMA, S.Sos, M.AP</t>
  </si>
  <si>
    <t>NIP. 19670328 198609 2 001</t>
  </si>
  <si>
    <t>DINAS PENDIDIKAN DAN KEBUDAYAAN</t>
  </si>
  <si>
    <t>Kepala Dinas Pendidikan dan Kebudayaan</t>
  </si>
  <si>
    <t>Dinas Pendidikan dan Kebudayaan</t>
  </si>
  <si>
    <t>Program Penunjang Urusan Pemerintahan Daerah Kabupaten/Kota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</si>
  <si>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</si>
  <si>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</si>
  <si>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</si>
  <si>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</si>
  <si>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</si>
  <si>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</si>
  <si>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</si>
  <si>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</si>
  <si>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Penyelenggaraan Rapat Koordinasi dan Konsultasi SKPD</t>
  </si>
  <si>
    <t>Pengadaan Barang Milik Daerah Penunjang Urusan Pemerintah Daerah</t>
  </si>
  <si>
    <t>Penyediaan Jasa Penunjang Urusan Pemerintahan Daerah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</si>
  <si>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</si>
  <si>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</si>
  <si>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</si>
  <si>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</si>
  <si>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</si>
  <si>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Pengadaan Kendaraan Dinas Operasional atau Lapangan</t>
  </si>
  <si>
    <t>Penyediaan Jasa Surat Menyurat</t>
  </si>
  <si>
    <t>Penyediaan Jasa Komunikasi, Sumber Daya air dan Listrik</t>
  </si>
  <si>
    <t>Penyediaan Jasa Perlengkapan dan Peralatan Kantor</t>
  </si>
  <si>
    <t>Penyediaan Jasa Pemeliharaan, Biaya Pemeliharaan dan Pajak Kendaraan Perorangan Dinas atau Kendaraan Dinas Jabatan</t>
  </si>
  <si>
    <t>Pengelolaan Pendidikan Sekolah Dasar</t>
  </si>
  <si>
    <t>Program Pengelolaan Pendidikan</t>
  </si>
  <si>
    <t>Rehabilitasi Sedang/ Berat Ruang Kelas</t>
  </si>
  <si>
    <t>Rehabilitasi Sedang/ Berat Sarana, Prasarana dan Utilitas Sekolah</t>
  </si>
  <si>
    <t>Pengadaan Alat Praktik dan Peraga Siswa</t>
  </si>
  <si>
    <t>Pembinaan Minat Bakat dan Kreativitas Siswa</t>
  </si>
  <si>
    <t>Penyediaan Pendidik dan Tenaga Kependidikan bagi satuan pendidikan Sekolah Dasar</t>
  </si>
  <si>
    <t>Pengembangan Karir Pendidik dan Tenaga Kependidikan pada Satuan Pendidikan Sekolah Dasar</t>
  </si>
  <si>
    <t>Pengelolaan Dana BOS Sekolah Dasar</t>
  </si>
  <si>
    <t>Pembangunan Asrama Sekolah</t>
  </si>
  <si>
    <t>Rehabilitasi Sedang/ Berat Ruang Kelas Sekolah</t>
  </si>
  <si>
    <t>Rehabilitasi Sedang/ Berat Perpustakaan Sekolah</t>
  </si>
  <si>
    <t>Rehabilitasi Sedang/ Berat Kantin Sekolah</t>
  </si>
  <si>
    <t>Rehabilitasi Sedang/ berat Sarana, Prasarana dan Utilitas Sekolah</t>
  </si>
  <si>
    <t>Penyediaan Pendidik dan Tenaga Kependidikan bagi satuan pendidikan Sekolah Menengah Pertama</t>
  </si>
  <si>
    <t>Pembinaan Kelembagaan dan Manajemen Sekolah</t>
  </si>
  <si>
    <t>Pengelolaan Dana BOS Sekolah Menengah Pertama</t>
  </si>
  <si>
    <t>Pengelolaan Pendidikan Sekolah Menengeah Pertama</t>
  </si>
  <si>
    <t>Pengelolaan Pendidikan  Anak Usia Dini (PAUD)</t>
  </si>
  <si>
    <t>Rehabilitasi Sedang/ Berat Gedung/ Ruang Kelas/ Ruang Guru PAUD</t>
  </si>
  <si>
    <t>Pemeliharaan Rutin Sarana, Prasarana dan Utilitas PAUD</t>
  </si>
  <si>
    <t>Penyelenggaraan Proses Belajar PAUD</t>
  </si>
  <si>
    <t>Penyediaan Pendidik dan Tenaga Kependidikan bagi satuan PAUD</t>
  </si>
  <si>
    <t>Pengembangan Karir Pendidik dan Tenaga kependidikan pada Satuan Pendidikan PAUD</t>
  </si>
  <si>
    <t>Pembinaan Kelembagaan dan Menejemen PAUD</t>
  </si>
  <si>
    <t>Pengelolaan Pendidikan  Nonformal/ Kesetaraan</t>
  </si>
  <si>
    <t>Pembangunan Gedung/ Ruang Kelas/ Ruang Guru Nonformal/ Kesetaraan</t>
  </si>
  <si>
    <t>Penyelenggaraan Proses Belajar Nonformal/ Kesetaraan</t>
  </si>
  <si>
    <t>Pengembangan Karir Pendidik dan Tenaga Kependidikan pada Satuan Pendidikan Norformal/ Kesetaraan</t>
  </si>
  <si>
    <t>Program Pengembangan Kebudayaan</t>
  </si>
  <si>
    <t>Pengelolaan Kebudayaan yang Masyarakat Pelakunya dalam Daerah Kabupaten/Kota</t>
  </si>
  <si>
    <t>Pelindungan, Pengembangan, Pemanfaatan Objek Pemajuan Kebudayaan</t>
  </si>
  <si>
    <t>Pelestarian Kesenian Tradisional yang Masyarakat Pelakunya dalam Daerah Kabupaten/Kota</t>
  </si>
  <si>
    <t>Pembinaan Sumber Daya Manusia, Lembaga, dan Pranata Tradisional</t>
  </si>
  <si>
    <t>Pembinaan Lembaga Adat yang Penganutnya dalam Daerah Kabupaten/ Kota</t>
  </si>
  <si>
    <t>Pembinaan Sumber Daya Manusia, Lembaga, dan Pranata Adat</t>
  </si>
  <si>
    <t>Program Pembinaan Sejarah</t>
  </si>
  <si>
    <t>Pembinaan Sejarah dalam 1 (satu) Daerah Kabupaten/ Kota</t>
  </si>
  <si>
    <t>Pemberdayaan Sumber Daya Manusia dan Lembaga Sejarah Lokal Kabupaten/ Kota</t>
  </si>
  <si>
    <t>Program Pelestarian dan Pengelolaan Cagar Budaya</t>
  </si>
  <si>
    <t>Pendaftaran Objek Diduga Cagar Budaya</t>
  </si>
  <si>
    <t>Pengelolaan Cagar Budaya Peringkat Kabupaten/ Kota</t>
  </si>
  <si>
    <t>Pengembangan Cagar Budaya</t>
  </si>
  <si>
    <t>Pemanfaatan Cagar Budaya</t>
  </si>
  <si>
    <t>Program Pengelolaan Permuseuman</t>
  </si>
  <si>
    <t>Pengelolaan Museum Kabupaten/Kota</t>
  </si>
  <si>
    <t>Pelindungan, Pengembangan dan Pemanfaatan Koleksi secara Terpadu</t>
  </si>
  <si>
    <t>Penyediaan dan Pemeliharaan Sarana dan Prasarana Museum</t>
  </si>
  <si>
    <t>Unit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</si>
  <si>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</si>
  <si>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</si>
  <si>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</si>
  <si>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</si>
  <si>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</si>
  <si>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Museum Terkelola Dengan Baik</t>
  </si>
  <si>
    <t>Museum</t>
  </si>
  <si>
    <t>Cagar Budaya</t>
  </si>
  <si>
    <t>Musem</t>
  </si>
  <si>
    <t>Ruang</t>
  </si>
  <si>
    <t>Pembangunan Sarana, Prasarana dan Utilitas Sekolah</t>
  </si>
  <si>
    <t>Perencanaan, Penganggaran dan Evaluasi Kinerja Perangkat Daerah</t>
  </si>
  <si>
    <t>Lap</t>
  </si>
  <si>
    <t>Persentase Cagar Budaya Terlestarikan dan Terkelola dengan Baik</t>
  </si>
  <si>
    <t>Pengelolaan Dana BOP Sekolah</t>
  </si>
  <si>
    <t>Pengelolaan Dana BOP PAUD</t>
  </si>
  <si>
    <t>Persentase pengelolaan pendidikan sekolah dasar</t>
  </si>
  <si>
    <t>Pembangunan Gedung/ Ruang Kelas/ Ruang Guru PAUD</t>
  </si>
  <si>
    <t>Pengadaan Mebel PAUD</t>
  </si>
  <si>
    <t>Pengadaan Mebel Sekolah</t>
  </si>
  <si>
    <t>Pengembangan Karir Pendidik dan Tenaga Kependidikan pada Satuan Pendidikan Sekolah Menengah Pertama</t>
  </si>
  <si>
    <t>Persentase pengelolaan pendidikan sekolah menengah pertama</t>
  </si>
  <si>
    <t>Persentase pengelolaan pendidikan anak usia dini (PAUD)</t>
  </si>
  <si>
    <t>Persentase pengelolaan pendidikan nonformal/kesetaraan</t>
  </si>
  <si>
    <t>Persentase Penduduk yang Mengunjungi Peninggalan Sejarah</t>
  </si>
  <si>
    <t>Jumlah Sejarah Lokal yang dibina</t>
  </si>
  <si>
    <t>Penetapan Cagar Budaya Peringkat Kabupaten/ Kota</t>
  </si>
  <si>
    <t>Jumlah Cagar Budaya yang ditetapkan</t>
  </si>
  <si>
    <t>Jumlah Cagar Budaya Peringkat Kabupaten yang terkelola</t>
  </si>
  <si>
    <t>Pelindungan Cagar Budaya</t>
  </si>
  <si>
    <t>Jumlah Museum yang Dikelola</t>
  </si>
  <si>
    <t>Persentase Cakupan Pengelolaan Kebudayaan yang Pelakunya Masyarakat dalam Daerah Kab</t>
  </si>
  <si>
    <t>Persentase OPK yang dikembangkan menjadi daya tarik wisata</t>
  </si>
  <si>
    <t>Persentase Cakupan Kesenian Tradisional yang Masyarakat Pelakunya dalam Daerah Kabupaten</t>
  </si>
  <si>
    <t>Jumlah Cakupan Pembinaan Lembaga Adat</t>
  </si>
  <si>
    <t>Balai Adat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</si>
  <si>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</si>
  <si>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</si>
  <si>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</si>
  <si>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</si>
  <si>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Pembangunan Ruang Unit Kesehatan Sekolah</t>
  </si>
  <si>
    <t>Rehabilitasi Sedang/Berat Ruang Unit Kesehatan Sekolah</t>
  </si>
  <si>
    <t>Pembangunan Laboratorium</t>
  </si>
  <si>
    <t>Pembangunan Sarana, Prasarana dan Utilitas PAUD</t>
  </si>
  <si>
    <t>Pengadaan Alat Praktik dan Peraga Siswa PAUD</t>
  </si>
  <si>
    <t>Pengadaan Alat Praktik dan Peraga Siswa Nonformal/Kesetaraan</t>
  </si>
  <si>
    <t>Penyediaan Sarana dan Prasarana Pembinaan Lembaga Adat</t>
  </si>
  <si>
    <t>Pelindungan, Pengembangan, Pemanfaatan Objek Pemajuan Tradisi Budaya</t>
  </si>
  <si>
    <t>Pembinaan dan Peningkatan Mutu dan Kapasitas Sumber Daya Manusia Permuseuman</t>
  </si>
  <si>
    <t>Peningkatan Pelayanan dan Akses Masyarakat terhadap Museum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</si>
  <si>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</si>
  <si>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</si>
  <si>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</si>
  <si>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</si>
  <si>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</si>
  <si>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</si>
  <si>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</si>
  <si>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</si>
  <si>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</si>
  <si>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</si>
  <si>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Unit Kendaraan Dinas Operasional atau Lapangan yang Disediakan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</si>
  <si>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</si>
  <si>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</si>
  <si>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</si>
  <si>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Laporan Penyediaan Jasa Peralatan dan Perlengkapan Kantor yang Disediakan</t>
  </si>
  <si>
    <t>Jumlah Kendaraan Dinas Operasional atau Lapangan yang Dipelihara dan dibayarkan Pajak dan Perizinannya</t>
  </si>
  <si>
    <t>Jumlah Gedung Kantor dan Bangunan Lainnya yang Dipelihara/Direhabilitasi</t>
  </si>
  <si>
    <t>Jumlah Sarana dan Prasarana Gedung Kantor atau Bangunan Lainnya yang Dipelihara/Direhabilitasi</t>
  </si>
  <si>
    <t>Jumlah Kendaraan Perorangan Dinas atau Kendaraan Dinas Jabatan yang Dipelihara dan dibayarkan Pajaknya</t>
  </si>
  <si>
    <t>Jumlah Ruang Unit Kesehatan Sekolah yang Telah Dibangun</t>
  </si>
  <si>
    <t>Jumlah Perpustakaan Sekolah Yang Telah Dibangun</t>
  </si>
  <si>
    <t>Jumlah Sarana, Prasarana, dan Utilitas Sekolah Dasar Yang Telah Dibangun</t>
  </si>
  <si>
    <t>Jumlah Ruang Kelas Yang Direhabilitasi Sedang/Berat</t>
  </si>
  <si>
    <t>Rehabilitasi Sedang/Berat Ruang Guru/Kepala Sekolah/TU</t>
  </si>
  <si>
    <t>Jumlah Ruang Guru/Kepala Sekolah/TU Yang Telah Direhabilitasi Sedang/Berat</t>
  </si>
  <si>
    <t>Jumlah Ruang Unit Kesehatan Sekolah Yang Telah Direhabilitasi Sedang/Berat</t>
  </si>
  <si>
    <t>Jumlah Alat Praktik dan Peraga Siswa Yang Tersedia</t>
  </si>
  <si>
    <t>Jumlah Siswa yang Mengikuti Ajang Kompetisi/Lomba Akademik dan Non Akademik</t>
  </si>
  <si>
    <t>Peserta Didik</t>
  </si>
  <si>
    <t>Jumlah Pendidik dan Tenaga Kependidikan yang Tersedia pada Satuan Pendidikan Sekolah Dasar</t>
  </si>
  <si>
    <t>Jumlah Sekolah Dasar yang Mengelola Dana BOS</t>
  </si>
  <si>
    <t>Satuan Pendidikan</t>
  </si>
  <si>
    <t>Jumlah Mebel sekolah yang Tersedia</t>
  </si>
  <si>
    <t>Jumlah Pendidik dan Tenaga Kependidikan yang Mendapatkan Fasilitasi Kenaikan Pangkat/Golongan, Pemberian Promosi, Peningkatan Kompetensi dan Kualifikasi</t>
  </si>
  <si>
    <t>Jumlah Ruang Laboratorium yang Telah Dibangun</t>
  </si>
  <si>
    <t>Jumlah Ruang Serba Guna/Aula yang Telah Dibangun</t>
  </si>
  <si>
    <t>Jumlah Asrama Sekolah Yang Telah Dibangun</t>
  </si>
  <si>
    <t>Jumlah Sarana, Prasarana dan Utilitas Sekolah Yang Telah Dibangun</t>
  </si>
  <si>
    <t>Jumlah Sarana, Prasarana, dan Utilitas Sekolah Dasar Yang Telah Direhabilitasi Sedang/Berat</t>
  </si>
  <si>
    <t>Jumlah Pendidik dan Tenaga Kependidikan yang Tersedia pada Satuan Pendidikan Sekolah Menengah Pertama</t>
  </si>
  <si>
    <t>Jumlah Sekolah Menengah Pertama yang Mengelola Dana BOS</t>
  </si>
  <si>
    <t>Jumlah Ruang Kelas Sekolah Yang Direhabilitasi Sedang/Berat</t>
  </si>
  <si>
    <t>Jumlah Perpustakaan Sekolah yang Telah Direhabilitasi Sedang/Berat</t>
  </si>
  <si>
    <t>Jumlah Kantin Sekolah yang Direhabilitasi Sedang/Berat</t>
  </si>
  <si>
    <t>Jumlah Sekolah Menengah Pertama yang Dilaksanakan Pembinaan</t>
  </si>
  <si>
    <t>Jumlah Gedung/Ruang Kelas/Ruang Guru PAUD yang Telah Dibangun</t>
  </si>
  <si>
    <t>Jumlah Sarana, Prasarana dan Utilitas PAUD yang Telah Dibangun</t>
  </si>
  <si>
    <t>Jumlah Gedung/Ruang Kelas/Ruang Guru PAUD yang Telah Direhabilitasi Sedang/Berat</t>
  </si>
  <si>
    <t>Jumlah Alat Praktik dan Peraga PAUD yang Tersedia</t>
  </si>
  <si>
    <t>Jumlah Pendidik dan Tenaga Kependidikan yang Tersedia pada PAUD</t>
  </si>
  <si>
    <t>Jumlah PAUD yang  Mengelola Dana BOP</t>
  </si>
  <si>
    <t>Jumlah Sarana, Prasarana dan Utilitas PAUD yang Dilaksanakan Pemeliharaan</t>
  </si>
  <si>
    <t>Jumlah Mebel PAUD yang Tersedia</t>
  </si>
  <si>
    <t>Jumlah Peserta Didik PAUD yang Mengikuti Proses Belajar</t>
  </si>
  <si>
    <t>Jumlah PAUD yang Dilaksanakan Pembinaan Kelembagaan dan Manajemen</t>
  </si>
  <si>
    <t>Jumlah Gedung/Ruang Kelas/Ruang Guru Non Formal/Kesetaraan yang Telah Dibangun</t>
  </si>
  <si>
    <t>Jumlah Alat Praktik dan Peraga Siswa Non Formal/ Kesetaraan yang Tersedia</t>
  </si>
  <si>
    <t>Jumlah Peserta Didik yang Mengikuti Proses Belajar</t>
  </si>
  <si>
    <t>Jumlah Sekolah Non Formal/Kesetaraan yang Mengelola Dana BOP</t>
  </si>
  <si>
    <t>Jumlah Objek  Pemajuan Kebudayaan yang Dilakukan Pelindungan, Pengembangan, Pemanfaatan</t>
  </si>
  <si>
    <t>Objek</t>
  </si>
  <si>
    <t>Jumlah Objek Pemajuan Tradisi Budaya yang Dilakukan Pelindungan, Pengembangan dan Pemanfaatan</t>
  </si>
  <si>
    <t>Jumlah Laporan Pembinaan Sumber Daya Manusia, Lembaga, dan Pranata Tradisional</t>
  </si>
  <si>
    <t>Jumlah Sarana dan Prasarana Lembaga Adat yang Disediakan/Difasilitasi</t>
  </si>
  <si>
    <t>Jumlah Sumber Daya Manusia, Lembaga, dan Pranata Adat yang Dibina</t>
  </si>
  <si>
    <t>Jumlah Sumber Daya Manusia dan Lembaga Sejarah Lokal Provinsi yang Diberdayakan</t>
  </si>
  <si>
    <t>Jumlah Objek Diduga Cagar Budaya yang Didaftarkan</t>
  </si>
  <si>
    <t>Jumlah Objek Cagar Budaya yang Dimanfaatkan</t>
  </si>
  <si>
    <t>Jumlah Objek Cagar Budaya yang Dikembangkan</t>
  </si>
  <si>
    <t>Jumlah Objek Cagar Budaya yang Dilindungi</t>
  </si>
  <si>
    <t>Jumlah Koleksi Museum yang Dilakukan Pelindungan, Pengembangan, dan Pemanfataan Koleksi Secara Terpadu</t>
  </si>
  <si>
    <t>Jumlah Pelayanan dan Akses Masyarakat Terhadap Museum</t>
  </si>
  <si>
    <t>Jumlah Sarana dan Prasarana Museum yang Tersedia dan Terpelihara</t>
  </si>
  <si>
    <t>Jumlah Sumber Daya Manusia Permuseuman yang Ditingkatkan Mutu dan Kapasitasnya</t>
  </si>
  <si>
    <t>Penyediaan Peralatan dan Perlengkapan Kantor</t>
  </si>
  <si>
    <t>Penyediaan Barang Cetakan dan Penggandaan</t>
  </si>
  <si>
    <t>Penyediaan Bahan Logistik Kantor</t>
  </si>
  <si>
    <t>PERIODE PELAKSANAAN TRIWULAN III TAHUN 2022</t>
  </si>
  <si>
    <t>Kandangan,          Oktober  2022</t>
  </si>
  <si>
    <t>Pembangunan Sarana Prasarana dan Utilitas Sekolah</t>
  </si>
  <si>
    <t>Pembangunan Ruang Serba Guna/ Aula</t>
  </si>
  <si>
    <t xml:space="preserve">Rata-rata kemampuan Literasi SD berdasarkan asesmen nasional </t>
  </si>
  <si>
    <t xml:space="preserve">Rata-rata kemampuan Numerasi SD berdasarkan asesmen nasional </t>
  </si>
  <si>
    <t>APK SD Sederajat</t>
  </si>
  <si>
    <t>APM SD Sederajat</t>
  </si>
  <si>
    <t xml:space="preserve">Rata-rata kemampuan Literasi SMP berdasarkan asesmen nasional </t>
  </si>
  <si>
    <t xml:space="preserve">Rata-rata kemampuan Numerasi SMP berdasarkan asesmen nasional </t>
  </si>
  <si>
    <t>APK SMP Sederajat</t>
  </si>
  <si>
    <t>APM SMP Sederajat</t>
  </si>
  <si>
    <t>Persentase Satuan PAUD yang Mendapatkan Minimal Akreditasi B</t>
  </si>
  <si>
    <t>Persentase Guru PAUD Formal dengan kualifikasi S1 / D IV</t>
  </si>
  <si>
    <t>Rasio pengawas dan penilik PAUD</t>
  </si>
  <si>
    <t>APK PAUD</t>
  </si>
  <si>
    <t>Angka Partisipasi Pend. Non 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</si>
</sst>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  <font>
      <sz val="12"/>
      <color indexed="81"/>
      <name val="Tahoma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4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9" fontId="8" fillId="0" borderId="2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166" fontId="8" fillId="0" borderId="2" xfId="0" applyNumberFormat="1" applyFont="1" applyBorder="1" applyAlignment="1">
      <alignment vertical="top"/>
    </xf>
    <xf numFmtId="166" fontId="6" fillId="0" borderId="6" xfId="1" quotePrefix="1" applyNumberFormat="1" applyFont="1" applyFill="1" applyBorder="1" applyAlignment="1">
      <alignment vertical="top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166" fontId="8" fillId="0" borderId="6" xfId="1" quotePrefix="1" applyNumberFormat="1" applyFont="1" applyFill="1" applyBorder="1" applyAlignment="1">
      <alignment vertical="top"/>
    </xf>
    <xf numFmtId="0" fontId="4" fillId="3" borderId="15" xfId="0" applyFont="1" applyFill="1" applyBorder="1"/>
    <xf numFmtId="2" fontId="8" fillId="4" borderId="14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3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1" fontId="6" fillId="0" borderId="15" xfId="0" applyNumberFormat="1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 wrapText="1"/>
    </xf>
    <xf numFmtId="0" fontId="16" fillId="0" borderId="11" xfId="0" applyFont="1" applyBorder="1"/>
    <xf numFmtId="0" fontId="16" fillId="0" borderId="0" xfId="0" applyFont="1"/>
    <xf numFmtId="166" fontId="6" fillId="0" borderId="0" xfId="1" quotePrefix="1" applyNumberFormat="1" applyFont="1" applyFill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164" fontId="8" fillId="0" borderId="15" xfId="2" applyFont="1" applyFill="1" applyBorder="1" applyAlignment="1">
      <alignment vertical="top"/>
    </xf>
    <xf numFmtId="166" fontId="8" fillId="0" borderId="15" xfId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164" fontId="8" fillId="0" borderId="15" xfId="0" applyNumberFormat="1" applyFont="1" applyBorder="1" applyAlignment="1">
      <alignment vertical="top"/>
    </xf>
    <xf numFmtId="2" fontId="8" fillId="0" borderId="15" xfId="0" applyNumberFormat="1" applyFont="1" applyBorder="1" applyAlignment="1">
      <alignment horizontal="center" vertical="top"/>
    </xf>
    <xf numFmtId="3" fontId="8" fillId="0" borderId="15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9" fontId="8" fillId="0" borderId="12" xfId="0" applyNumberFormat="1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/>
    </xf>
    <xf numFmtId="164" fontId="6" fillId="0" borderId="15" xfId="0" applyNumberFormat="1" applyFont="1" applyBorder="1" applyAlignment="1">
      <alignment vertical="top"/>
    </xf>
    <xf numFmtId="164" fontId="8" fillId="0" borderId="11" xfId="2" applyFont="1" applyFill="1" applyBorder="1" applyAlignment="1">
      <alignment vertical="top"/>
    </xf>
    <xf numFmtId="166" fontId="8" fillId="0" borderId="11" xfId="1" applyNumberFormat="1" applyFont="1" applyFill="1" applyBorder="1" applyAlignment="1">
      <alignment vertical="top"/>
    </xf>
    <xf numFmtId="166" fontId="6" fillId="0" borderId="11" xfId="1" quotePrefix="1" applyNumberFormat="1" applyFont="1" applyFill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2" fontId="6" fillId="0" borderId="14" xfId="0" applyNumberFormat="1" applyFont="1" applyBorder="1" applyAlignment="1">
      <alignment horizontal="center" vertical="top"/>
    </xf>
    <xf numFmtId="2" fontId="8" fillId="0" borderId="11" xfId="0" applyNumberFormat="1" applyFont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2" xfId="2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6" fontId="0" fillId="0" borderId="17" xfId="1" applyNumberFormat="1" applyFont="1" applyFill="1" applyBorder="1" applyAlignment="1">
      <alignment horizontal="center" vertical="center"/>
    </xf>
    <xf numFmtId="166" fontId="8" fillId="0" borderId="11" xfId="1" quotePrefix="1" applyNumberFormat="1" applyFont="1" applyFill="1" applyBorder="1" applyAlignment="1">
      <alignment vertical="top"/>
    </xf>
    <xf numFmtId="166" fontId="0" fillId="0" borderId="17" xfId="1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20" fontId="6" fillId="0" borderId="14" xfId="0" applyNumberFormat="1" applyFont="1" applyBorder="1" applyAlignment="1">
      <alignment horizontal="center" vertical="top" wrapText="1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145"/>
  <sheetViews>
    <sheetView tabSelected="1" showRuler="0" view="pageBreakPreview" topLeftCell="A6" zoomScale="70" zoomScaleNormal="40" zoomScaleSheetLayoutView="70" zoomScalePageLayoutView="55" workbookViewId="0">
      <pane xSplit="11" ySplit="10" topLeftCell="L49" activePane="bottomRight" state="frozen"/>
      <selection activeCell="A6" sqref="A6"/>
      <selection pane="topRight" activeCell="L6" sqref="L6"/>
      <selection pane="bottomLeft" activeCell="A16" sqref="A16"/>
      <selection pane="bottomRight" activeCell="U54" sqref="U5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8.5703125" style="2" bestFit="1" customWidth="1"/>
    <col min="6" max="6" width="8.7109375" style="2" bestFit="1" customWidth="1"/>
    <col min="7" max="7" width="21.7109375" style="2" bestFit="1" customWidth="1"/>
    <col min="8" max="8" width="8.5703125" style="2" bestFit="1" customWidth="1"/>
    <col min="9" max="9" width="21.42578125" style="2" customWidth="1"/>
    <col min="10" max="10" width="9" style="2" customWidth="1"/>
    <col min="11" max="11" width="21.7109375" style="2" customWidth="1"/>
    <col min="12" max="12" width="15.7109375" style="2" bestFit="1" customWidth="1"/>
    <col min="13" max="13" width="20.140625" style="2" customWidth="1"/>
    <col min="14" max="14" width="7.7109375" style="2" customWidth="1"/>
    <col min="15" max="15" width="21.5703125" style="2" customWidth="1"/>
    <col min="16" max="16" width="8.28515625" style="2" bestFit="1" customWidth="1"/>
    <col min="17" max="17" width="18.28515625" style="2" customWidth="1"/>
    <col min="18" max="18" width="9" style="2" customWidth="1"/>
    <col min="19" max="19" width="17.85546875" style="2" customWidth="1"/>
    <col min="20" max="20" width="8.5703125" style="2" bestFit="1" customWidth="1"/>
    <col min="21" max="21" width="10" style="2" customWidth="1"/>
    <col min="22" max="22" width="5.5703125" style="4" customWidth="1"/>
    <col min="23" max="23" width="22.85546875" style="2" customWidth="1"/>
    <col min="24" max="24" width="9.85546875" style="2" customWidth="1"/>
    <col min="25" max="25" width="5.5703125" style="4" customWidth="1"/>
    <col min="26" max="26" width="8" style="2" customWidth="1"/>
    <col min="27" max="27" width="21.42578125" style="2" customWidth="1"/>
    <col min="28" max="28" width="8" style="2" customWidth="1"/>
    <col min="29" max="29" width="5.5703125" style="4" customWidth="1"/>
    <col min="30" max="30" width="13.1406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"/>
    </row>
    <row r="2" spans="1:37" ht="23.25" x14ac:dyDescent="0.3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3"/>
    </row>
    <row r="3" spans="1:37" ht="23.25" x14ac:dyDescent="0.35">
      <c r="A3" s="131" t="s">
        <v>71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3"/>
    </row>
    <row r="4" spans="1:37" ht="23.25" x14ac:dyDescent="0.35">
      <c r="A4" s="132" t="s">
        <v>272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"/>
    </row>
    <row r="5" spans="1:37" ht="18" x14ac:dyDescent="0.2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</row>
    <row r="6" spans="1:37" ht="18" x14ac:dyDescent="0.25">
      <c r="A6" s="127" t="s">
        <v>71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</row>
    <row r="7" spans="1:37" ht="81" customHeight="1" x14ac:dyDescent="0.2">
      <c r="A7" s="134" t="s">
        <v>3</v>
      </c>
      <c r="B7" s="134" t="s">
        <v>4</v>
      </c>
      <c r="C7" s="135" t="s">
        <v>5</v>
      </c>
      <c r="D7" s="135" t="s">
        <v>6</v>
      </c>
      <c r="E7" s="136" t="s">
        <v>7</v>
      </c>
      <c r="F7" s="137"/>
      <c r="G7" s="138"/>
      <c r="H7" s="136" t="s">
        <v>184</v>
      </c>
      <c r="I7" s="138"/>
      <c r="J7" s="136" t="s">
        <v>181</v>
      </c>
      <c r="K7" s="137"/>
      <c r="L7" s="136" t="s">
        <v>8</v>
      </c>
      <c r="M7" s="137"/>
      <c r="N7" s="137"/>
      <c r="O7" s="137"/>
      <c r="P7" s="137"/>
      <c r="Q7" s="137"/>
      <c r="R7" s="137"/>
      <c r="S7" s="138"/>
      <c r="T7" s="136" t="s">
        <v>66</v>
      </c>
      <c r="U7" s="137"/>
      <c r="V7" s="137"/>
      <c r="W7" s="137"/>
      <c r="X7" s="137"/>
      <c r="Y7" s="138"/>
      <c r="Z7" s="136" t="s">
        <v>182</v>
      </c>
      <c r="AA7" s="138"/>
      <c r="AB7" s="136" t="s">
        <v>183</v>
      </c>
      <c r="AC7" s="137"/>
      <c r="AD7" s="137"/>
      <c r="AE7" s="148" t="s">
        <v>9</v>
      </c>
      <c r="AG7" s="4"/>
      <c r="AH7" s="4"/>
      <c r="AI7" s="4"/>
      <c r="AJ7" s="4"/>
      <c r="AK7" s="4"/>
    </row>
    <row r="8" spans="1:37" ht="18" customHeight="1" x14ac:dyDescent="0.2">
      <c r="A8" s="134"/>
      <c r="B8" s="134"/>
      <c r="C8" s="135"/>
      <c r="D8" s="135"/>
      <c r="E8" s="139"/>
      <c r="F8" s="140"/>
      <c r="G8" s="141"/>
      <c r="H8" s="139"/>
      <c r="I8" s="141"/>
      <c r="J8" s="142"/>
      <c r="K8" s="143"/>
      <c r="L8" s="142"/>
      <c r="M8" s="143"/>
      <c r="N8" s="143"/>
      <c r="O8" s="143"/>
      <c r="P8" s="143"/>
      <c r="Q8" s="143"/>
      <c r="R8" s="143"/>
      <c r="S8" s="144"/>
      <c r="T8" s="142"/>
      <c r="U8" s="143"/>
      <c r="V8" s="143"/>
      <c r="W8" s="143"/>
      <c r="X8" s="143"/>
      <c r="Y8" s="144"/>
      <c r="Z8" s="142"/>
      <c r="AA8" s="144"/>
      <c r="AB8" s="142"/>
      <c r="AC8" s="143"/>
      <c r="AD8" s="143"/>
      <c r="AE8" s="149"/>
    </row>
    <row r="9" spans="1:37" ht="15.75" customHeight="1" x14ac:dyDescent="0.2">
      <c r="A9" s="134"/>
      <c r="B9" s="134"/>
      <c r="C9" s="135"/>
      <c r="D9" s="135"/>
      <c r="E9" s="142"/>
      <c r="F9" s="143"/>
      <c r="G9" s="144"/>
      <c r="H9" s="142"/>
      <c r="I9" s="144"/>
      <c r="J9" s="150">
        <v>2022</v>
      </c>
      <c r="K9" s="151"/>
      <c r="L9" s="128" t="s">
        <v>10</v>
      </c>
      <c r="M9" s="130"/>
      <c r="N9" s="128" t="s">
        <v>11</v>
      </c>
      <c r="O9" s="130"/>
      <c r="P9" s="128" t="s">
        <v>12</v>
      </c>
      <c r="Q9" s="130"/>
      <c r="R9" s="128" t="s">
        <v>13</v>
      </c>
      <c r="S9" s="130"/>
      <c r="T9" s="128">
        <v>2022</v>
      </c>
      <c r="U9" s="129"/>
      <c r="V9" s="129"/>
      <c r="W9" s="129"/>
      <c r="X9" s="129"/>
      <c r="Y9" s="130"/>
      <c r="Z9" s="128">
        <v>2022</v>
      </c>
      <c r="AA9" s="130"/>
      <c r="AB9" s="128">
        <v>2022</v>
      </c>
      <c r="AC9" s="129"/>
      <c r="AD9" s="130"/>
      <c r="AE9" s="5"/>
    </row>
    <row r="10" spans="1:37" s="7" customFormat="1" ht="15.75" x14ac:dyDescent="0.25">
      <c r="A10" s="152">
        <v>1</v>
      </c>
      <c r="B10" s="152">
        <v>2</v>
      </c>
      <c r="C10" s="152">
        <v>3</v>
      </c>
      <c r="D10" s="152">
        <v>4</v>
      </c>
      <c r="E10" s="145">
        <v>5</v>
      </c>
      <c r="F10" s="146"/>
      <c r="G10" s="147"/>
      <c r="H10" s="145">
        <v>6</v>
      </c>
      <c r="I10" s="147"/>
      <c r="J10" s="159">
        <v>7</v>
      </c>
      <c r="K10" s="160"/>
      <c r="L10" s="159">
        <v>8</v>
      </c>
      <c r="M10" s="160"/>
      <c r="N10" s="159">
        <v>9</v>
      </c>
      <c r="O10" s="160"/>
      <c r="P10" s="159">
        <v>10</v>
      </c>
      <c r="Q10" s="160"/>
      <c r="R10" s="159">
        <v>11</v>
      </c>
      <c r="S10" s="160"/>
      <c r="T10" s="156">
        <v>12</v>
      </c>
      <c r="U10" s="158"/>
      <c r="V10" s="158"/>
      <c r="W10" s="158"/>
      <c r="X10" s="158"/>
      <c r="Y10" s="157"/>
      <c r="Z10" s="156">
        <v>13</v>
      </c>
      <c r="AA10" s="157"/>
      <c r="AB10" s="156">
        <v>14</v>
      </c>
      <c r="AC10" s="158"/>
      <c r="AD10" s="157"/>
      <c r="AE10" s="6">
        <v>15</v>
      </c>
    </row>
    <row r="11" spans="1:37" s="7" customFormat="1" ht="87" customHeight="1" x14ac:dyDescent="0.2">
      <c r="A11" s="173"/>
      <c r="B11" s="173"/>
      <c r="C11" s="173"/>
      <c r="D11" s="173"/>
      <c r="E11" s="154" t="s">
        <v>14</v>
      </c>
      <c r="F11" s="162"/>
      <c r="G11" s="153" t="s">
        <v>15</v>
      </c>
      <c r="H11" s="154" t="s">
        <v>14</v>
      </c>
      <c r="I11" s="153" t="s">
        <v>15</v>
      </c>
      <c r="J11" s="154" t="s">
        <v>14</v>
      </c>
      <c r="K11" s="152" t="s">
        <v>15</v>
      </c>
      <c r="L11" s="154" t="s">
        <v>14</v>
      </c>
      <c r="M11" s="152" t="s">
        <v>15</v>
      </c>
      <c r="N11" s="154" t="s">
        <v>14</v>
      </c>
      <c r="O11" s="152" t="s">
        <v>15</v>
      </c>
      <c r="P11" s="154" t="s">
        <v>14</v>
      </c>
      <c r="Q11" s="152" t="s">
        <v>15</v>
      </c>
      <c r="R11" s="154" t="s">
        <v>14</v>
      </c>
      <c r="S11" s="152" t="s">
        <v>15</v>
      </c>
      <c r="T11" s="110" t="s">
        <v>16</v>
      </c>
      <c r="U11" s="145" t="s">
        <v>64</v>
      </c>
      <c r="V11" s="147"/>
      <c r="W11" s="8" t="s">
        <v>17</v>
      </c>
      <c r="X11" s="145" t="s">
        <v>65</v>
      </c>
      <c r="Y11" s="147"/>
      <c r="Z11" s="110" t="s">
        <v>18</v>
      </c>
      <c r="AA11" s="8" t="s">
        <v>19</v>
      </c>
      <c r="AB11" s="145" t="s">
        <v>20</v>
      </c>
      <c r="AC11" s="147"/>
      <c r="AD11" s="8" t="s">
        <v>21</v>
      </c>
      <c r="AE11" s="9"/>
    </row>
    <row r="12" spans="1:37" s="7" customFormat="1" ht="15.75" x14ac:dyDescent="0.2">
      <c r="A12" s="153"/>
      <c r="B12" s="153"/>
      <c r="C12" s="153"/>
      <c r="D12" s="153"/>
      <c r="E12" s="155"/>
      <c r="F12" s="161"/>
      <c r="G12" s="163"/>
      <c r="H12" s="155"/>
      <c r="I12" s="163"/>
      <c r="J12" s="155"/>
      <c r="K12" s="153"/>
      <c r="L12" s="155"/>
      <c r="M12" s="153"/>
      <c r="N12" s="155"/>
      <c r="O12" s="153"/>
      <c r="P12" s="155"/>
      <c r="Q12" s="153"/>
      <c r="R12" s="155"/>
      <c r="S12" s="153"/>
      <c r="T12" s="111" t="s">
        <v>14</v>
      </c>
      <c r="U12" s="155" t="s">
        <v>14</v>
      </c>
      <c r="V12" s="161"/>
      <c r="W12" s="10" t="s">
        <v>15</v>
      </c>
      <c r="X12" s="155" t="s">
        <v>15</v>
      </c>
      <c r="Y12" s="161"/>
      <c r="Z12" s="111" t="s">
        <v>14</v>
      </c>
      <c r="AA12" s="10" t="s">
        <v>15</v>
      </c>
      <c r="AB12" s="155" t="s">
        <v>14</v>
      </c>
      <c r="AC12" s="161"/>
      <c r="AD12" s="10" t="s">
        <v>15</v>
      </c>
      <c r="AE12" s="65"/>
    </row>
    <row r="13" spans="1:37" ht="15" hidden="1" customHeight="1" x14ac:dyDescent="0.2">
      <c r="A13" s="170"/>
      <c r="B13" s="181" t="s">
        <v>22</v>
      </c>
      <c r="C13" s="175" t="s">
        <v>23</v>
      </c>
      <c r="D13" s="181" t="s">
        <v>24</v>
      </c>
      <c r="E13" s="164" t="s">
        <v>25</v>
      </c>
      <c r="F13" s="165"/>
      <c r="G13" s="170"/>
      <c r="H13" s="164" t="s">
        <v>26</v>
      </c>
      <c r="I13" s="175" t="s">
        <v>27</v>
      </c>
      <c r="J13" s="178" t="s">
        <v>28</v>
      </c>
      <c r="K13" s="175" t="s">
        <v>29</v>
      </c>
      <c r="L13" s="178" t="s">
        <v>30</v>
      </c>
      <c r="M13" s="11"/>
      <c r="N13" s="11"/>
      <c r="O13" s="11"/>
      <c r="P13" s="11"/>
      <c r="Q13" s="11"/>
      <c r="R13" s="11"/>
      <c r="S13" s="11"/>
      <c r="T13" s="11"/>
      <c r="U13" s="11"/>
      <c r="V13" s="12"/>
      <c r="W13" s="11"/>
      <c r="X13" s="11"/>
      <c r="Y13" s="12"/>
      <c r="Z13" s="11"/>
      <c r="AA13" s="11"/>
      <c r="AB13" s="11"/>
      <c r="AC13" s="12"/>
      <c r="AD13" s="11"/>
      <c r="AE13" s="13"/>
    </row>
    <row r="14" spans="1:37" ht="15" hidden="1" customHeight="1" x14ac:dyDescent="0.2">
      <c r="A14" s="171"/>
      <c r="B14" s="182"/>
      <c r="C14" s="176"/>
      <c r="D14" s="182"/>
      <c r="E14" s="166"/>
      <c r="F14" s="167"/>
      <c r="G14" s="171"/>
      <c r="H14" s="166"/>
      <c r="I14" s="176"/>
      <c r="J14" s="179"/>
      <c r="K14" s="176"/>
      <c r="L14" s="179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4"/>
      <c r="Y14" s="15"/>
      <c r="Z14" s="14"/>
      <c r="AA14" s="14"/>
      <c r="AB14" s="14"/>
      <c r="AC14" s="15"/>
      <c r="AD14" s="14"/>
      <c r="AE14" s="13"/>
    </row>
    <row r="15" spans="1:37" ht="15" hidden="1" customHeight="1" x14ac:dyDescent="0.2">
      <c r="A15" s="172"/>
      <c r="B15" s="183"/>
      <c r="C15" s="177"/>
      <c r="D15" s="183"/>
      <c r="E15" s="168"/>
      <c r="F15" s="169"/>
      <c r="G15" s="172"/>
      <c r="H15" s="168"/>
      <c r="I15" s="177"/>
      <c r="J15" s="180"/>
      <c r="K15" s="177"/>
      <c r="L15" s="180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6"/>
      <c r="X15" s="16"/>
      <c r="Y15" s="17"/>
      <c r="Z15" s="16"/>
      <c r="AA15" s="16"/>
      <c r="AB15" s="16"/>
      <c r="AC15" s="17"/>
      <c r="AD15" s="16"/>
      <c r="AE15" s="13"/>
    </row>
    <row r="16" spans="1:37" ht="116.25" customHeight="1" x14ac:dyDescent="0.2">
      <c r="A16" s="50">
        <v>1</v>
      </c>
      <c r="B16" s="19" t="s">
        <v>31</v>
      </c>
      <c r="C16" s="51" t="s">
        <v>74</v>
      </c>
      <c r="D16" s="21" t="s">
        <v>149</v>
      </c>
      <c r="E16" s="47">
        <v>100</v>
      </c>
      <c r="F16" s="48" t="s">
        <v>60</v>
      </c>
      <c r="G16" s="54">
        <f>G17+G20+G25+G30+G32+G37</f>
        <v>180246000</v>
      </c>
      <c r="H16" s="47">
        <v>100</v>
      </c>
      <c r="I16" s="54">
        <f>I17+I20+I25+I30+I32+I37</f>
        <v>221042561256</v>
      </c>
      <c r="J16" s="47">
        <v>100</v>
      </c>
      <c r="K16" s="54">
        <f>K17+K20+K25+K30+K32+K37</f>
        <v>265713169180</v>
      </c>
      <c r="L16" s="47">
        <v>100</v>
      </c>
      <c r="M16" s="54">
        <f>M17+M20+M25+M30+M32+M37</f>
        <v>32560654363</v>
      </c>
      <c r="N16" s="47">
        <v>100</v>
      </c>
      <c r="O16" s="54">
        <f>O17+O20+O25+O30+O32+O37</f>
        <v>65589849496</v>
      </c>
      <c r="P16" s="47">
        <v>100</v>
      </c>
      <c r="Q16" s="54">
        <f>Q17+Q20+Q25+Q30+Q32+Q37</f>
        <v>64301760937</v>
      </c>
      <c r="R16" s="120"/>
      <c r="S16" s="54">
        <f>S17+S20+S25+S30+S32+S37</f>
        <v>69072018078</v>
      </c>
      <c r="T16" s="57">
        <f>AVERAGE(L16,N16,P16,R16)</f>
        <v>100</v>
      </c>
      <c r="U16" s="57">
        <f t="shared" ref="U16:U29" si="0">T16/J16*100</f>
        <v>100</v>
      </c>
      <c r="V16" s="60" t="s">
        <v>60</v>
      </c>
      <c r="W16" s="58">
        <f t="shared" ref="W16:W29" si="1">SUM(M16,O16,Q16,S16)</f>
        <v>231524282874</v>
      </c>
      <c r="X16" s="62">
        <f t="shared" ref="X16:X29" si="2">W16/K16*100</f>
        <v>87.133160764478447</v>
      </c>
      <c r="Y16" s="50" t="s">
        <v>60</v>
      </c>
      <c r="Z16" s="59">
        <f t="shared" ref="Z16:Z41" si="3">SUM(H16,T16)</f>
        <v>200</v>
      </c>
      <c r="AA16" s="58">
        <f t="shared" ref="AA16:AA42" si="4">SUM(I16,W16)</f>
        <v>452566844130</v>
      </c>
      <c r="AB16" s="59"/>
      <c r="AC16" s="60" t="s">
        <v>60</v>
      </c>
      <c r="AD16" s="62"/>
      <c r="AE16" s="26" t="s">
        <v>73</v>
      </c>
      <c r="AH16" s="27">
        <f>M16+O16+Q16+S16</f>
        <v>231524282874</v>
      </c>
    </row>
    <row r="17" spans="1:34" s="80" customFormat="1" ht="156" customHeight="1" x14ac:dyDescent="0.25">
      <c r="A17" s="50">
        <v>2</v>
      </c>
      <c r="B17" s="51" t="s">
        <v>32</v>
      </c>
      <c r="C17" s="21" t="s">
        <v>156</v>
      </c>
      <c r="D17" s="21" t="s">
        <v>145</v>
      </c>
      <c r="E17" s="47">
        <f>SUM(E18:E19)</f>
        <v>45</v>
      </c>
      <c r="F17" s="48" t="s">
        <v>57</v>
      </c>
      <c r="G17" s="44">
        <f>SUM(G18:G19)</f>
        <v>0</v>
      </c>
      <c r="H17" s="47">
        <v>30</v>
      </c>
      <c r="I17" s="44">
        <f t="shared" ref="I17:O17" si="5">SUM(I18:I19)</f>
        <v>9500000</v>
      </c>
      <c r="J17" s="47">
        <f t="shared" si="5"/>
        <v>15</v>
      </c>
      <c r="K17" s="44">
        <f t="shared" si="5"/>
        <v>9500000</v>
      </c>
      <c r="L17" s="47">
        <f t="shared" si="5"/>
        <v>5</v>
      </c>
      <c r="M17" s="44">
        <f t="shared" si="5"/>
        <v>5500000</v>
      </c>
      <c r="N17" s="47">
        <f t="shared" si="5"/>
        <v>0</v>
      </c>
      <c r="O17" s="44">
        <f t="shared" si="5"/>
        <v>0</v>
      </c>
      <c r="P17" s="47">
        <f t="shared" ref="P17:S17" si="6">SUM(P18:P19)</f>
        <v>10</v>
      </c>
      <c r="Q17" s="44">
        <f t="shared" si="6"/>
        <v>4000000</v>
      </c>
      <c r="R17" s="47"/>
      <c r="S17" s="44">
        <f t="shared" si="6"/>
        <v>0</v>
      </c>
      <c r="T17" s="57">
        <f>SUM(L17,N17,P17,R17)</f>
        <v>15</v>
      </c>
      <c r="U17" s="57">
        <f t="shared" si="0"/>
        <v>100</v>
      </c>
      <c r="V17" s="60" t="s">
        <v>60</v>
      </c>
      <c r="W17" s="61">
        <f t="shared" si="1"/>
        <v>9500000</v>
      </c>
      <c r="X17" s="59">
        <f t="shared" si="2"/>
        <v>100</v>
      </c>
      <c r="Y17" s="60" t="s">
        <v>60</v>
      </c>
      <c r="Z17" s="57">
        <f t="shared" si="3"/>
        <v>45</v>
      </c>
      <c r="AA17" s="61">
        <f t="shared" si="4"/>
        <v>19000000</v>
      </c>
      <c r="AB17" s="59"/>
      <c r="AC17" s="60" t="s">
        <v>60</v>
      </c>
      <c r="AD17" s="59"/>
      <c r="AE17" s="79"/>
      <c r="AH17" s="81"/>
    </row>
    <row r="18" spans="1:34" ht="87" customHeight="1" x14ac:dyDescent="0.2">
      <c r="A18" s="18"/>
      <c r="B18" s="19"/>
      <c r="C18" s="28" t="s">
        <v>75</v>
      </c>
      <c r="D18" s="31" t="s">
        <v>195</v>
      </c>
      <c r="E18" s="22">
        <f>5*3</f>
        <v>15</v>
      </c>
      <c r="F18" s="23" t="s">
        <v>57</v>
      </c>
      <c r="G18" s="25"/>
      <c r="H18" s="22">
        <v>10</v>
      </c>
      <c r="I18" s="25">
        <v>5500000</v>
      </c>
      <c r="J18" s="22">
        <v>5</v>
      </c>
      <c r="K18" s="25">
        <v>5500000</v>
      </c>
      <c r="L18" s="22">
        <v>5</v>
      </c>
      <c r="M18" s="25">
        <v>5500000</v>
      </c>
      <c r="N18" s="22">
        <v>0</v>
      </c>
      <c r="O18" s="25">
        <v>0</v>
      </c>
      <c r="P18" s="22">
        <v>0</v>
      </c>
      <c r="Q18" s="25">
        <v>0</v>
      </c>
      <c r="R18" s="22">
        <v>0</v>
      </c>
      <c r="S18" s="25">
        <v>0</v>
      </c>
      <c r="T18" s="56">
        <f>SUM(L18,N18,P18,R18)</f>
        <v>5</v>
      </c>
      <c r="U18" s="56">
        <f t="shared" si="0"/>
        <v>100</v>
      </c>
      <c r="V18" s="37" t="s">
        <v>60</v>
      </c>
      <c r="W18" s="42">
        <f t="shared" si="1"/>
        <v>5500000</v>
      </c>
      <c r="X18" s="55">
        <f t="shared" si="2"/>
        <v>100</v>
      </c>
      <c r="Y18" s="37" t="s">
        <v>60</v>
      </c>
      <c r="Z18" s="56">
        <f t="shared" si="3"/>
        <v>15</v>
      </c>
      <c r="AA18" s="42">
        <f t="shared" si="4"/>
        <v>11000000</v>
      </c>
      <c r="AB18" s="55"/>
      <c r="AC18" s="37" t="s">
        <v>60</v>
      </c>
      <c r="AD18" s="55"/>
      <c r="AE18" s="13"/>
      <c r="AH18" s="27"/>
    </row>
    <row r="19" spans="1:34" ht="90" x14ac:dyDescent="0.2">
      <c r="A19" s="18"/>
      <c r="B19" s="19"/>
      <c r="C19" s="28" t="s">
        <v>76</v>
      </c>
      <c r="D19" s="31" t="s">
        <v>196</v>
      </c>
      <c r="E19" s="22">
        <f>10*3</f>
        <v>30</v>
      </c>
      <c r="F19" s="23" t="s">
        <v>157</v>
      </c>
      <c r="G19" s="25"/>
      <c r="H19" s="22">
        <v>20</v>
      </c>
      <c r="I19" s="25">
        <v>4000000</v>
      </c>
      <c r="J19" s="22">
        <v>10</v>
      </c>
      <c r="K19" s="25">
        <v>4000000</v>
      </c>
      <c r="L19" s="22"/>
      <c r="M19" s="30">
        <v>0</v>
      </c>
      <c r="N19" s="22"/>
      <c r="O19" s="30">
        <v>0</v>
      </c>
      <c r="P19" s="22">
        <v>10</v>
      </c>
      <c r="Q19" s="30">
        <v>4000000</v>
      </c>
      <c r="R19" s="22">
        <v>0</v>
      </c>
      <c r="S19" s="25">
        <v>0</v>
      </c>
      <c r="T19" s="56">
        <f>SUM(L19,N19,P19,R19)</f>
        <v>10</v>
      </c>
      <c r="U19" s="56">
        <f t="shared" si="0"/>
        <v>100</v>
      </c>
      <c r="V19" s="37" t="s">
        <v>60</v>
      </c>
      <c r="W19" s="42">
        <f t="shared" si="1"/>
        <v>4000000</v>
      </c>
      <c r="X19" s="55">
        <f t="shared" si="2"/>
        <v>100</v>
      </c>
      <c r="Y19" s="37" t="s">
        <v>60</v>
      </c>
      <c r="Z19" s="56">
        <f t="shared" si="3"/>
        <v>30</v>
      </c>
      <c r="AA19" s="42">
        <f t="shared" si="4"/>
        <v>8000000</v>
      </c>
      <c r="AB19" s="55"/>
      <c r="AC19" s="37" t="s">
        <v>60</v>
      </c>
      <c r="AD19" s="55"/>
      <c r="AE19" s="13"/>
      <c r="AH19" s="27"/>
    </row>
    <row r="20" spans="1:34" ht="94.5" x14ac:dyDescent="0.2">
      <c r="A20" s="18"/>
      <c r="B20" s="19"/>
      <c r="C20" s="20" t="s">
        <v>77</v>
      </c>
      <c r="D20" s="21" t="s">
        <v>146</v>
      </c>
      <c r="E20" s="76">
        <f>SUM(E22:E24)</f>
        <v>42</v>
      </c>
      <c r="F20" s="77" t="s">
        <v>57</v>
      </c>
      <c r="G20" s="44">
        <f>SUM(G21:G24)</f>
        <v>0</v>
      </c>
      <c r="H20" s="76">
        <v>28</v>
      </c>
      <c r="I20" s="44">
        <f>SUM(I21:I24)</f>
        <v>219340918360</v>
      </c>
      <c r="J20" s="76">
        <f>SUM(J22:J24)</f>
        <v>14</v>
      </c>
      <c r="K20" s="44">
        <f>SUM(K21:K24)</f>
        <v>263941472980</v>
      </c>
      <c r="L20" s="76">
        <f>SUM(L22:L24)</f>
        <v>1</v>
      </c>
      <c r="M20" s="44">
        <f>SUM(M21:M24)</f>
        <v>32255459398</v>
      </c>
      <c r="N20" s="76">
        <f>SUM(N22:N24)</f>
        <v>0</v>
      </c>
      <c r="O20" s="44">
        <f>SUM(O21:O24)</f>
        <v>65364807096</v>
      </c>
      <c r="P20" s="76">
        <f>SUM(P22:P24)</f>
        <v>0</v>
      </c>
      <c r="Q20" s="44">
        <f>SUM(Q21:Q24)</f>
        <v>64087613617</v>
      </c>
      <c r="R20" s="76">
        <v>0</v>
      </c>
      <c r="S20" s="44">
        <f>SUM(S21:S24)</f>
        <v>68177125735</v>
      </c>
      <c r="T20" s="57">
        <f>SUM(L20,N20,P20,R20)</f>
        <v>1</v>
      </c>
      <c r="U20" s="57">
        <f t="shared" si="0"/>
        <v>7.1428571428571423</v>
      </c>
      <c r="V20" s="60" t="s">
        <v>60</v>
      </c>
      <c r="W20" s="61">
        <f t="shared" si="1"/>
        <v>229885005846</v>
      </c>
      <c r="X20" s="59">
        <f t="shared" si="2"/>
        <v>87.096962538895667</v>
      </c>
      <c r="Y20" s="60" t="s">
        <v>60</v>
      </c>
      <c r="Z20" s="57">
        <f t="shared" si="3"/>
        <v>29</v>
      </c>
      <c r="AA20" s="61">
        <f t="shared" si="4"/>
        <v>449225924206</v>
      </c>
      <c r="AB20" s="59"/>
      <c r="AC20" s="60" t="s">
        <v>60</v>
      </c>
      <c r="AD20" s="59"/>
      <c r="AE20" s="32"/>
      <c r="AH20" s="27">
        <f>M20+O20+Q20+S20</f>
        <v>229885005846</v>
      </c>
    </row>
    <row r="21" spans="1:34" ht="90" x14ac:dyDescent="0.2">
      <c r="A21" s="18"/>
      <c r="B21" s="19"/>
      <c r="C21" s="28" t="s">
        <v>78</v>
      </c>
      <c r="D21" s="28" t="s">
        <v>197</v>
      </c>
      <c r="E21" s="22">
        <f>12*3</f>
        <v>36</v>
      </c>
      <c r="F21" s="29" t="s">
        <v>59</v>
      </c>
      <c r="G21" s="25"/>
      <c r="H21" s="105">
        <v>2000</v>
      </c>
      <c r="I21" s="25">
        <v>219335918360</v>
      </c>
      <c r="J21" s="105">
        <v>2000</v>
      </c>
      <c r="K21" s="25">
        <v>263936472980</v>
      </c>
      <c r="L21" s="105">
        <f>AVERAGE(1897,1890,1876)</f>
        <v>1887.6666666666667</v>
      </c>
      <c r="M21" s="25">
        <v>32254079398</v>
      </c>
      <c r="N21" s="105">
        <f>AVERAGE(1897,1890,1876)</f>
        <v>1887.6666666666667</v>
      </c>
      <c r="O21" s="25">
        <v>65364807096</v>
      </c>
      <c r="P21" s="105">
        <f>AVERAGE(1897,1890,1876)</f>
        <v>1887.6666666666667</v>
      </c>
      <c r="Q21" s="25">
        <v>64087613617</v>
      </c>
      <c r="R21" s="105">
        <f>AVERAGE(1897,1890,1876)</f>
        <v>1887.6666666666667</v>
      </c>
      <c r="S21" s="25">
        <v>68174125735</v>
      </c>
      <c r="T21" s="56">
        <f>AVERAGE(L21,N21,P21,R21)</f>
        <v>1887.6666666666667</v>
      </c>
      <c r="U21" s="55">
        <f t="shared" si="0"/>
        <v>94.38333333333334</v>
      </c>
      <c r="V21" s="37" t="s">
        <v>60</v>
      </c>
      <c r="W21" s="42">
        <f t="shared" si="1"/>
        <v>229880625846</v>
      </c>
      <c r="X21" s="55">
        <f t="shared" si="2"/>
        <v>87.096953009377899</v>
      </c>
      <c r="Y21" s="37" t="s">
        <v>60</v>
      </c>
      <c r="Z21" s="56">
        <f t="shared" si="3"/>
        <v>3887.666666666667</v>
      </c>
      <c r="AA21" s="42">
        <f t="shared" si="4"/>
        <v>449216544206</v>
      </c>
      <c r="AB21" s="55"/>
      <c r="AC21" s="37" t="s">
        <v>60</v>
      </c>
      <c r="AD21" s="55"/>
      <c r="AE21" s="13"/>
      <c r="AH21" s="27">
        <f>M21+O21+Q21+S21</f>
        <v>229880625846</v>
      </c>
    </row>
    <row r="22" spans="1:34" ht="195" x14ac:dyDescent="0.2">
      <c r="A22" s="18"/>
      <c r="B22" s="19"/>
      <c r="C22" s="28" t="s">
        <v>79</v>
      </c>
      <c r="D22" s="31" t="s">
        <v>198</v>
      </c>
      <c r="E22" s="22">
        <f>1*3</f>
        <v>3</v>
      </c>
      <c r="F22" s="29" t="s">
        <v>157</v>
      </c>
      <c r="G22" s="25"/>
      <c r="H22" s="22">
        <v>2</v>
      </c>
      <c r="I22" s="25">
        <v>2000000</v>
      </c>
      <c r="J22" s="22">
        <v>1</v>
      </c>
      <c r="K22" s="25">
        <v>2000000</v>
      </c>
      <c r="L22" s="22">
        <v>1</v>
      </c>
      <c r="M22" s="25">
        <v>1380000</v>
      </c>
      <c r="N22" s="22">
        <v>0</v>
      </c>
      <c r="O22" s="25">
        <v>0</v>
      </c>
      <c r="P22" s="22">
        <v>0</v>
      </c>
      <c r="Q22" s="25">
        <v>0</v>
      </c>
      <c r="R22" s="22">
        <v>0</v>
      </c>
      <c r="S22" s="25">
        <v>0</v>
      </c>
      <c r="T22" s="56">
        <f t="shared" ref="T22:T29" si="7">SUM(L22,N22,P22,R22)</f>
        <v>1</v>
      </c>
      <c r="U22" s="56">
        <f t="shared" si="0"/>
        <v>100</v>
      </c>
      <c r="V22" s="37" t="s">
        <v>60</v>
      </c>
      <c r="W22" s="42">
        <f t="shared" si="1"/>
        <v>1380000</v>
      </c>
      <c r="X22" s="55">
        <f t="shared" si="2"/>
        <v>69</v>
      </c>
      <c r="Y22" s="37" t="s">
        <v>60</v>
      </c>
      <c r="Z22" s="56">
        <f t="shared" si="3"/>
        <v>3</v>
      </c>
      <c r="AA22" s="42">
        <f t="shared" si="4"/>
        <v>3380000</v>
      </c>
      <c r="AB22" s="55"/>
      <c r="AC22" s="37" t="s">
        <v>60</v>
      </c>
      <c r="AD22" s="55"/>
      <c r="AE22" s="13"/>
      <c r="AH22" s="27">
        <f>M22+O22+Q22+S22</f>
        <v>1380000</v>
      </c>
    </row>
    <row r="23" spans="1:34" ht="210" x14ac:dyDescent="0.2">
      <c r="A23" s="18"/>
      <c r="B23" s="19"/>
      <c r="C23" s="28" t="s">
        <v>80</v>
      </c>
      <c r="D23" s="31" t="s">
        <v>199</v>
      </c>
      <c r="E23" s="22">
        <f>12*3</f>
        <v>36</v>
      </c>
      <c r="F23" s="29" t="s">
        <v>157</v>
      </c>
      <c r="G23" s="25"/>
      <c r="H23" s="22">
        <v>24</v>
      </c>
      <c r="I23" s="25">
        <v>1500000</v>
      </c>
      <c r="J23" s="22">
        <v>12</v>
      </c>
      <c r="K23" s="25">
        <v>1500000</v>
      </c>
      <c r="L23" s="85">
        <v>0</v>
      </c>
      <c r="M23" s="25">
        <v>0</v>
      </c>
      <c r="N23" s="85">
        <v>0</v>
      </c>
      <c r="O23" s="25">
        <v>0</v>
      </c>
      <c r="P23" s="85">
        <v>0</v>
      </c>
      <c r="Q23" s="25">
        <v>0</v>
      </c>
      <c r="R23" s="85">
        <v>12</v>
      </c>
      <c r="S23" s="25">
        <v>1500000</v>
      </c>
      <c r="T23" s="56">
        <f t="shared" si="7"/>
        <v>12</v>
      </c>
      <c r="U23" s="56">
        <f t="shared" si="0"/>
        <v>100</v>
      </c>
      <c r="V23" s="37" t="s">
        <v>60</v>
      </c>
      <c r="W23" s="42">
        <f t="shared" si="1"/>
        <v>1500000</v>
      </c>
      <c r="X23" s="55">
        <f t="shared" si="2"/>
        <v>100</v>
      </c>
      <c r="Y23" s="37" t="s">
        <v>60</v>
      </c>
      <c r="Z23" s="56">
        <f t="shared" si="3"/>
        <v>36</v>
      </c>
      <c r="AA23" s="42">
        <f t="shared" si="4"/>
        <v>3000000</v>
      </c>
      <c r="AB23" s="55"/>
      <c r="AC23" s="37" t="s">
        <v>60</v>
      </c>
      <c r="AD23" s="55"/>
      <c r="AE23" s="13"/>
      <c r="AH23" s="27">
        <f>M23+O23+Q23+S23</f>
        <v>1500000</v>
      </c>
    </row>
    <row r="24" spans="1:34" ht="105" x14ac:dyDescent="0.2">
      <c r="A24" s="18"/>
      <c r="B24" s="19"/>
      <c r="C24" s="28" t="s">
        <v>81</v>
      </c>
      <c r="D24" s="31" t="s">
        <v>200</v>
      </c>
      <c r="E24" s="22">
        <f>1*3</f>
        <v>3</v>
      </c>
      <c r="F24" s="29" t="s">
        <v>57</v>
      </c>
      <c r="G24" s="25"/>
      <c r="H24" s="22">
        <v>2</v>
      </c>
      <c r="I24" s="25">
        <v>1500000</v>
      </c>
      <c r="J24" s="22">
        <v>1</v>
      </c>
      <c r="K24" s="25">
        <v>1500000</v>
      </c>
      <c r="L24" s="22">
        <v>0</v>
      </c>
      <c r="M24" s="25">
        <v>0</v>
      </c>
      <c r="N24" s="22">
        <v>0</v>
      </c>
      <c r="O24" s="25">
        <v>0</v>
      </c>
      <c r="P24" s="22">
        <v>0</v>
      </c>
      <c r="Q24" s="25">
        <v>0</v>
      </c>
      <c r="R24" s="22">
        <v>1</v>
      </c>
      <c r="S24" s="25">
        <v>1500000</v>
      </c>
      <c r="T24" s="56">
        <f t="shared" si="7"/>
        <v>1</v>
      </c>
      <c r="U24" s="56">
        <f t="shared" si="0"/>
        <v>100</v>
      </c>
      <c r="V24" s="37" t="s">
        <v>60</v>
      </c>
      <c r="W24" s="42">
        <f t="shared" si="1"/>
        <v>1500000</v>
      </c>
      <c r="X24" s="55">
        <f t="shared" si="2"/>
        <v>100</v>
      </c>
      <c r="Y24" s="37" t="s">
        <v>60</v>
      </c>
      <c r="Z24" s="56">
        <f t="shared" si="3"/>
        <v>3</v>
      </c>
      <c r="AA24" s="42">
        <f t="shared" si="4"/>
        <v>3000000</v>
      </c>
      <c r="AB24" s="55"/>
      <c r="AC24" s="37" t="s">
        <v>60</v>
      </c>
      <c r="AD24" s="55"/>
      <c r="AE24" s="13"/>
      <c r="AH24" s="27">
        <f>M24+O24+Q24+S24</f>
        <v>1500000</v>
      </c>
    </row>
    <row r="25" spans="1:34" ht="94.5" x14ac:dyDescent="0.2">
      <c r="A25" s="18"/>
      <c r="B25" s="19"/>
      <c r="C25" s="19" t="s">
        <v>82</v>
      </c>
      <c r="D25" s="21" t="s">
        <v>147</v>
      </c>
      <c r="E25" s="76">
        <v>1</v>
      </c>
      <c r="F25" s="77" t="s">
        <v>57</v>
      </c>
      <c r="G25" s="44">
        <f>SUM(G26:G29)</f>
        <v>0</v>
      </c>
      <c r="H25" s="76">
        <v>2</v>
      </c>
      <c r="I25" s="44">
        <f>SUM(I26:I29)</f>
        <v>851309600</v>
      </c>
      <c r="J25" s="76">
        <v>1</v>
      </c>
      <c r="K25" s="44">
        <f>SUM(K26:K29)</f>
        <v>633169400</v>
      </c>
      <c r="L25" s="76">
        <v>0</v>
      </c>
      <c r="M25" s="44">
        <f>SUM(M26:M29)</f>
        <v>106613200</v>
      </c>
      <c r="N25" s="76">
        <v>0</v>
      </c>
      <c r="O25" s="44">
        <f>SUM(O26:O29)</f>
        <v>59274400</v>
      </c>
      <c r="P25" s="76">
        <v>0</v>
      </c>
      <c r="Q25" s="44">
        <f>SUM(Q26:Q29)</f>
        <v>20816700</v>
      </c>
      <c r="R25" s="47">
        <v>0</v>
      </c>
      <c r="S25" s="44">
        <f>SUM(S26:S29)</f>
        <v>389241714</v>
      </c>
      <c r="T25" s="57">
        <f t="shared" si="7"/>
        <v>0</v>
      </c>
      <c r="U25" s="57">
        <f t="shared" si="0"/>
        <v>0</v>
      </c>
      <c r="V25" s="60" t="s">
        <v>60</v>
      </c>
      <c r="W25" s="61">
        <f t="shared" si="1"/>
        <v>575946014</v>
      </c>
      <c r="X25" s="59">
        <f t="shared" si="2"/>
        <v>90.96238921211291</v>
      </c>
      <c r="Y25" s="60" t="s">
        <v>60</v>
      </c>
      <c r="Z25" s="57">
        <f t="shared" si="3"/>
        <v>2</v>
      </c>
      <c r="AA25" s="61">
        <f t="shared" si="4"/>
        <v>1427255614</v>
      </c>
      <c r="AB25" s="59"/>
      <c r="AC25" s="60" t="s">
        <v>60</v>
      </c>
      <c r="AD25" s="59"/>
      <c r="AE25" s="13"/>
      <c r="AH25" s="27"/>
    </row>
    <row r="26" spans="1:34" ht="83.25" customHeight="1" x14ac:dyDescent="0.2">
      <c r="A26" s="18"/>
      <c r="B26" s="19"/>
      <c r="C26" s="31" t="s">
        <v>269</v>
      </c>
      <c r="D26" s="31" t="s">
        <v>201</v>
      </c>
      <c r="E26" s="22">
        <f>12*3</f>
        <v>36</v>
      </c>
      <c r="F26" s="23" t="s">
        <v>61</v>
      </c>
      <c r="G26" s="25"/>
      <c r="H26" s="22">
        <v>24</v>
      </c>
      <c r="I26" s="25">
        <v>592638600</v>
      </c>
      <c r="J26" s="22">
        <v>12</v>
      </c>
      <c r="K26" s="25">
        <v>344219400</v>
      </c>
      <c r="L26" s="22">
        <v>3</v>
      </c>
      <c r="M26" s="25">
        <v>69931400</v>
      </c>
      <c r="N26" s="22">
        <v>3</v>
      </c>
      <c r="O26" s="25">
        <v>41299400</v>
      </c>
      <c r="P26" s="22">
        <v>3</v>
      </c>
      <c r="Q26" s="25">
        <v>20816700</v>
      </c>
      <c r="R26" s="22">
        <v>3</v>
      </c>
      <c r="S26" s="25">
        <v>171142500</v>
      </c>
      <c r="T26" s="56">
        <f t="shared" si="7"/>
        <v>12</v>
      </c>
      <c r="U26" s="56">
        <f t="shared" si="0"/>
        <v>100</v>
      </c>
      <c r="V26" s="37" t="s">
        <v>60</v>
      </c>
      <c r="W26" s="42">
        <f t="shared" si="1"/>
        <v>303190000</v>
      </c>
      <c r="X26" s="55">
        <f t="shared" si="2"/>
        <v>88.080451014672619</v>
      </c>
      <c r="Y26" s="37" t="s">
        <v>60</v>
      </c>
      <c r="Z26" s="56">
        <f t="shared" si="3"/>
        <v>36</v>
      </c>
      <c r="AA26" s="42">
        <f t="shared" si="4"/>
        <v>895828600</v>
      </c>
      <c r="AB26" s="55"/>
      <c r="AC26" s="37" t="s">
        <v>60</v>
      </c>
      <c r="AD26" s="55"/>
      <c r="AE26" s="13"/>
      <c r="AH26" s="27"/>
    </row>
    <row r="27" spans="1:34" ht="77.25" customHeight="1" x14ac:dyDescent="0.2">
      <c r="A27" s="18"/>
      <c r="B27" s="19"/>
      <c r="C27" s="31" t="s">
        <v>271</v>
      </c>
      <c r="D27" s="31" t="s">
        <v>202</v>
      </c>
      <c r="E27" s="22">
        <f t="shared" ref="E27:E29" si="8">12*3</f>
        <v>36</v>
      </c>
      <c r="F27" s="23" t="s">
        <v>61</v>
      </c>
      <c r="G27" s="30"/>
      <c r="H27" s="22">
        <v>24</v>
      </c>
      <c r="I27" s="30">
        <v>51050000</v>
      </c>
      <c r="J27" s="22">
        <v>12</v>
      </c>
      <c r="K27" s="25">
        <v>80825000</v>
      </c>
      <c r="L27" s="22">
        <v>3</v>
      </c>
      <c r="M27" s="25">
        <v>5625000</v>
      </c>
      <c r="N27" s="22">
        <v>3</v>
      </c>
      <c r="O27" s="25">
        <v>0</v>
      </c>
      <c r="P27" s="22">
        <v>3</v>
      </c>
      <c r="Q27" s="25">
        <v>0</v>
      </c>
      <c r="R27" s="22">
        <v>3</v>
      </c>
      <c r="S27" s="25">
        <v>59006014</v>
      </c>
      <c r="T27" s="56">
        <f t="shared" si="7"/>
        <v>12</v>
      </c>
      <c r="U27" s="56">
        <f t="shared" si="0"/>
        <v>100</v>
      </c>
      <c r="V27" s="37" t="s">
        <v>60</v>
      </c>
      <c r="W27" s="42">
        <f t="shared" si="1"/>
        <v>64631014</v>
      </c>
      <c r="X27" s="55">
        <f t="shared" si="2"/>
        <v>79.96413733374574</v>
      </c>
      <c r="Y27" s="37" t="s">
        <v>60</v>
      </c>
      <c r="Z27" s="56">
        <f t="shared" si="3"/>
        <v>36</v>
      </c>
      <c r="AA27" s="42">
        <f t="shared" si="4"/>
        <v>115681014</v>
      </c>
      <c r="AB27" s="55"/>
      <c r="AC27" s="37" t="s">
        <v>60</v>
      </c>
      <c r="AD27" s="55"/>
      <c r="AE27" s="13"/>
      <c r="AH27" s="27"/>
    </row>
    <row r="28" spans="1:34" ht="90" x14ac:dyDescent="0.2">
      <c r="A28" s="18"/>
      <c r="B28" s="19"/>
      <c r="C28" s="31" t="s">
        <v>270</v>
      </c>
      <c r="D28" s="31" t="s">
        <v>203</v>
      </c>
      <c r="E28" s="22">
        <f t="shared" si="8"/>
        <v>36</v>
      </c>
      <c r="F28" s="23" t="s">
        <v>61</v>
      </c>
      <c r="G28" s="25"/>
      <c r="H28" s="22">
        <v>24</v>
      </c>
      <c r="I28" s="25">
        <v>52621000</v>
      </c>
      <c r="J28" s="22">
        <v>12</v>
      </c>
      <c r="K28" s="25">
        <v>43125000</v>
      </c>
      <c r="L28" s="22">
        <v>3</v>
      </c>
      <c r="M28" s="25">
        <v>7000000</v>
      </c>
      <c r="N28" s="22">
        <v>3</v>
      </c>
      <c r="O28" s="25">
        <v>13575000</v>
      </c>
      <c r="P28" s="22">
        <v>3</v>
      </c>
      <c r="Q28" s="25">
        <v>0</v>
      </c>
      <c r="R28" s="22">
        <v>3</v>
      </c>
      <c r="S28" s="25">
        <v>22550000</v>
      </c>
      <c r="T28" s="56">
        <f t="shared" si="7"/>
        <v>12</v>
      </c>
      <c r="U28" s="56">
        <f t="shared" si="0"/>
        <v>100</v>
      </c>
      <c r="V28" s="37" t="s">
        <v>60</v>
      </c>
      <c r="W28" s="42">
        <f t="shared" si="1"/>
        <v>43125000</v>
      </c>
      <c r="X28" s="55">
        <f t="shared" si="2"/>
        <v>100</v>
      </c>
      <c r="Y28" s="37" t="s">
        <v>60</v>
      </c>
      <c r="Z28" s="56">
        <f t="shared" si="3"/>
        <v>36</v>
      </c>
      <c r="AA28" s="42">
        <f t="shared" si="4"/>
        <v>95746000</v>
      </c>
      <c r="AB28" s="55"/>
      <c r="AC28" s="37" t="s">
        <v>60</v>
      </c>
      <c r="AD28" s="55"/>
      <c r="AE28" s="13"/>
      <c r="AH28" s="27"/>
    </row>
    <row r="29" spans="1:34" ht="120" x14ac:dyDescent="0.2">
      <c r="A29" s="18"/>
      <c r="B29" s="19"/>
      <c r="C29" s="31" t="s">
        <v>83</v>
      </c>
      <c r="D29" s="63" t="s">
        <v>204</v>
      </c>
      <c r="E29" s="22">
        <f t="shared" si="8"/>
        <v>36</v>
      </c>
      <c r="F29" s="29" t="s">
        <v>157</v>
      </c>
      <c r="G29" s="25"/>
      <c r="H29" s="22">
        <v>24</v>
      </c>
      <c r="I29" s="25">
        <v>155000000</v>
      </c>
      <c r="J29" s="22">
        <v>12</v>
      </c>
      <c r="K29" s="25">
        <v>165000000</v>
      </c>
      <c r="L29" s="22">
        <v>3</v>
      </c>
      <c r="M29" s="25">
        <v>24056800</v>
      </c>
      <c r="N29" s="22">
        <v>3</v>
      </c>
      <c r="O29" s="25">
        <v>4400000</v>
      </c>
      <c r="P29" s="22">
        <v>3</v>
      </c>
      <c r="Q29" s="25">
        <v>0</v>
      </c>
      <c r="R29" s="22">
        <v>3</v>
      </c>
      <c r="S29" s="25">
        <v>136543200</v>
      </c>
      <c r="T29" s="56">
        <f t="shared" si="7"/>
        <v>12</v>
      </c>
      <c r="U29" s="56">
        <f t="shared" si="0"/>
        <v>100</v>
      </c>
      <c r="V29" s="37" t="s">
        <v>60</v>
      </c>
      <c r="W29" s="42">
        <f t="shared" si="1"/>
        <v>165000000</v>
      </c>
      <c r="X29" s="55">
        <f t="shared" si="2"/>
        <v>100</v>
      </c>
      <c r="Y29" s="56" t="s">
        <v>60</v>
      </c>
      <c r="Z29" s="56">
        <f t="shared" si="3"/>
        <v>36</v>
      </c>
      <c r="AA29" s="42">
        <f t="shared" si="4"/>
        <v>320000000</v>
      </c>
      <c r="AB29" s="55"/>
      <c r="AC29" s="37" t="s">
        <v>60</v>
      </c>
      <c r="AD29" s="55"/>
      <c r="AE29" s="13"/>
      <c r="AH29" s="27"/>
    </row>
    <row r="30" spans="1:34" s="80" customFormat="1" ht="112.5" customHeight="1" x14ac:dyDescent="0.25">
      <c r="A30" s="18"/>
      <c r="B30" s="19"/>
      <c r="C30" s="113" t="s">
        <v>84</v>
      </c>
      <c r="D30" s="113" t="s">
        <v>148</v>
      </c>
      <c r="E30" s="47">
        <v>100</v>
      </c>
      <c r="F30" s="48" t="s">
        <v>60</v>
      </c>
      <c r="G30" s="44">
        <f>G31</f>
        <v>24150000</v>
      </c>
      <c r="H30" s="47">
        <v>100</v>
      </c>
      <c r="I30" s="44">
        <f>I31</f>
        <v>20210000</v>
      </c>
      <c r="J30" s="47"/>
      <c r="K30" s="44"/>
      <c r="L30" s="47"/>
      <c r="M30" s="44"/>
      <c r="N30" s="47"/>
      <c r="O30" s="44"/>
      <c r="P30" s="47"/>
      <c r="Q30" s="44"/>
      <c r="R30" s="47"/>
      <c r="S30" s="44"/>
      <c r="T30" s="57"/>
      <c r="U30" s="57"/>
      <c r="V30" s="60"/>
      <c r="W30" s="61"/>
      <c r="X30" s="59"/>
      <c r="Y30" s="60"/>
      <c r="Z30" s="57">
        <f t="shared" si="3"/>
        <v>100</v>
      </c>
      <c r="AA30" s="61">
        <f t="shared" si="4"/>
        <v>20210000</v>
      </c>
      <c r="AB30" s="59"/>
      <c r="AC30" s="60" t="s">
        <v>60</v>
      </c>
      <c r="AD30" s="59"/>
      <c r="AE30" s="79"/>
      <c r="AH30" s="81"/>
    </row>
    <row r="31" spans="1:34" ht="120" x14ac:dyDescent="0.2">
      <c r="A31" s="18"/>
      <c r="B31" s="19"/>
      <c r="C31" s="114" t="s">
        <v>91</v>
      </c>
      <c r="D31" s="114" t="s">
        <v>205</v>
      </c>
      <c r="E31" s="22">
        <f>1*3</f>
        <v>3</v>
      </c>
      <c r="F31" s="23" t="s">
        <v>144</v>
      </c>
      <c r="G31" s="25">
        <v>24150000</v>
      </c>
      <c r="H31" s="22">
        <v>2</v>
      </c>
      <c r="I31" s="25">
        <v>20210000</v>
      </c>
      <c r="J31" s="22"/>
      <c r="K31" s="25"/>
      <c r="L31" s="22"/>
      <c r="M31" s="121"/>
      <c r="N31" s="22"/>
      <c r="O31" s="121"/>
      <c r="P31" s="22"/>
      <c r="Q31" s="121"/>
      <c r="R31" s="22"/>
      <c r="S31" s="25"/>
      <c r="T31" s="56"/>
      <c r="U31" s="56"/>
      <c r="V31" s="37"/>
      <c r="W31" s="42"/>
      <c r="X31" s="55"/>
      <c r="Y31" s="37"/>
      <c r="Z31" s="56">
        <f t="shared" si="3"/>
        <v>2</v>
      </c>
      <c r="AA31" s="42">
        <f t="shared" si="4"/>
        <v>20210000</v>
      </c>
      <c r="AB31" s="55"/>
      <c r="AC31" s="37" t="s">
        <v>60</v>
      </c>
      <c r="AD31" s="55"/>
      <c r="AE31" s="13"/>
      <c r="AH31" s="27"/>
    </row>
    <row r="32" spans="1:34" ht="94.5" x14ac:dyDescent="0.2">
      <c r="A32" s="18"/>
      <c r="B32" s="19"/>
      <c r="C32" s="21" t="s">
        <v>85</v>
      </c>
      <c r="D32" s="21" t="s">
        <v>148</v>
      </c>
      <c r="E32" s="47">
        <v>100</v>
      </c>
      <c r="F32" s="48" t="s">
        <v>60</v>
      </c>
      <c r="G32" s="44">
        <f>SUM(G33:G36)</f>
        <v>0</v>
      </c>
      <c r="H32" s="47">
        <v>100</v>
      </c>
      <c r="I32" s="44">
        <f>SUM(I33:I36)</f>
        <v>248523454</v>
      </c>
      <c r="J32" s="47">
        <v>100</v>
      </c>
      <c r="K32" s="44">
        <f>SUM(K33:K36)</f>
        <v>471530800</v>
      </c>
      <c r="L32" s="47">
        <v>100</v>
      </c>
      <c r="M32" s="44">
        <f>SUM(M33:M36)</f>
        <v>94497109</v>
      </c>
      <c r="N32" s="47">
        <v>100</v>
      </c>
      <c r="O32" s="44">
        <f>SUM(O33:O36)</f>
        <v>48000000</v>
      </c>
      <c r="P32" s="47">
        <v>100</v>
      </c>
      <c r="Q32" s="44">
        <f>SUM(Q33:Q36)</f>
        <v>74700000</v>
      </c>
      <c r="R32" s="47">
        <v>100</v>
      </c>
      <c r="S32" s="44">
        <f>SUM(S33:S36)</f>
        <v>181887905</v>
      </c>
      <c r="T32" s="57">
        <f>AVERAGE(L32,N32,P32,R32)</f>
        <v>100</v>
      </c>
      <c r="U32" s="57">
        <f t="shared" ref="U32:U39" si="9">T32/J32*100</f>
        <v>100</v>
      </c>
      <c r="V32" s="60" t="s">
        <v>60</v>
      </c>
      <c r="W32" s="61">
        <f t="shared" ref="W32:W39" si="10">SUM(M32,O32,Q32,S32)</f>
        <v>399085014</v>
      </c>
      <c r="X32" s="59">
        <f t="shared" ref="X32:X39" si="11">W32/K32*100</f>
        <v>84.636043711248561</v>
      </c>
      <c r="Y32" s="60" t="s">
        <v>60</v>
      </c>
      <c r="Z32" s="57">
        <f t="shared" si="3"/>
        <v>200</v>
      </c>
      <c r="AA32" s="61">
        <f t="shared" si="4"/>
        <v>647608468</v>
      </c>
      <c r="AB32" s="59"/>
      <c r="AC32" s="60" t="s">
        <v>60</v>
      </c>
      <c r="AD32" s="59"/>
      <c r="AE32" s="13"/>
      <c r="AH32" s="27"/>
    </row>
    <row r="33" spans="1:34" ht="75" x14ac:dyDescent="0.2">
      <c r="A33" s="18"/>
      <c r="B33" s="19"/>
      <c r="C33" s="31" t="s">
        <v>92</v>
      </c>
      <c r="D33" s="31" t="s">
        <v>206</v>
      </c>
      <c r="E33" s="22">
        <f t="shared" ref="E33:E41" si="12">12*3</f>
        <v>36</v>
      </c>
      <c r="F33" s="23" t="s">
        <v>157</v>
      </c>
      <c r="G33" s="25"/>
      <c r="H33" s="22">
        <v>24</v>
      </c>
      <c r="I33" s="25">
        <v>0</v>
      </c>
      <c r="J33" s="22">
        <v>12</v>
      </c>
      <c r="K33" s="25">
        <v>600000</v>
      </c>
      <c r="L33" s="22">
        <v>0</v>
      </c>
      <c r="M33" s="25">
        <v>0</v>
      </c>
      <c r="N33" s="22">
        <v>0</v>
      </c>
      <c r="O33" s="25">
        <v>0</v>
      </c>
      <c r="P33" s="22">
        <v>0</v>
      </c>
      <c r="Q33" s="25">
        <v>0</v>
      </c>
      <c r="R33" s="22">
        <v>0</v>
      </c>
      <c r="S33" s="25">
        <v>0</v>
      </c>
      <c r="T33" s="56">
        <f>SUM(L33,N33,P33,R33)</f>
        <v>0</v>
      </c>
      <c r="U33" s="56">
        <f t="shared" si="9"/>
        <v>0</v>
      </c>
      <c r="V33" s="37" t="s">
        <v>60</v>
      </c>
      <c r="W33" s="42">
        <f t="shared" si="10"/>
        <v>0</v>
      </c>
      <c r="X33" s="55">
        <f t="shared" si="11"/>
        <v>0</v>
      </c>
      <c r="Y33" s="37" t="s">
        <v>60</v>
      </c>
      <c r="Z33" s="56">
        <f t="shared" si="3"/>
        <v>24</v>
      </c>
      <c r="AA33" s="42">
        <f t="shared" si="4"/>
        <v>0</v>
      </c>
      <c r="AB33" s="55"/>
      <c r="AC33" s="37" t="s">
        <v>60</v>
      </c>
      <c r="AD33" s="55"/>
      <c r="AE33" s="13"/>
      <c r="AH33" s="27"/>
    </row>
    <row r="34" spans="1:34" ht="135" x14ac:dyDescent="0.2">
      <c r="A34" s="18"/>
      <c r="B34" s="19"/>
      <c r="C34" s="31" t="s">
        <v>93</v>
      </c>
      <c r="D34" s="31" t="s">
        <v>207</v>
      </c>
      <c r="E34" s="22">
        <f t="shared" si="12"/>
        <v>36</v>
      </c>
      <c r="F34" s="23" t="s">
        <v>157</v>
      </c>
      <c r="G34" s="25"/>
      <c r="H34" s="22">
        <v>24</v>
      </c>
      <c r="I34" s="25">
        <v>125052934</v>
      </c>
      <c r="J34" s="22">
        <v>12</v>
      </c>
      <c r="K34" s="25">
        <v>119050000</v>
      </c>
      <c r="L34" s="22">
        <v>3</v>
      </c>
      <c r="M34" s="25">
        <v>18180949</v>
      </c>
      <c r="N34" s="22">
        <v>0</v>
      </c>
      <c r="O34" s="25">
        <v>0</v>
      </c>
      <c r="P34" s="22">
        <v>0</v>
      </c>
      <c r="Q34" s="25">
        <v>0</v>
      </c>
      <c r="R34" s="22">
        <v>9</v>
      </c>
      <c r="S34" s="25">
        <v>57262625</v>
      </c>
      <c r="T34" s="56">
        <f>SUM(L34,N34,P34,R34)</f>
        <v>12</v>
      </c>
      <c r="U34" s="56">
        <f t="shared" si="9"/>
        <v>100</v>
      </c>
      <c r="V34" s="37" t="s">
        <v>60</v>
      </c>
      <c r="W34" s="42">
        <f t="shared" si="10"/>
        <v>75443574</v>
      </c>
      <c r="X34" s="55">
        <f t="shared" si="11"/>
        <v>63.371334733305332</v>
      </c>
      <c r="Y34" s="37" t="s">
        <v>60</v>
      </c>
      <c r="Z34" s="56">
        <f t="shared" si="3"/>
        <v>36</v>
      </c>
      <c r="AA34" s="42">
        <f t="shared" si="4"/>
        <v>200496508</v>
      </c>
      <c r="AB34" s="55"/>
      <c r="AC34" s="37" t="s">
        <v>60</v>
      </c>
      <c r="AD34" s="55"/>
      <c r="AE34" s="13"/>
      <c r="AH34" s="27"/>
    </row>
    <row r="35" spans="1:34" ht="135" x14ac:dyDescent="0.2">
      <c r="A35" s="18"/>
      <c r="B35" s="19"/>
      <c r="C35" s="31" t="s">
        <v>94</v>
      </c>
      <c r="D35" s="31" t="s">
        <v>209</v>
      </c>
      <c r="E35" s="22">
        <f t="shared" si="12"/>
        <v>36</v>
      </c>
      <c r="F35" s="23" t="s">
        <v>157</v>
      </c>
      <c r="G35" s="25"/>
      <c r="H35" s="22">
        <v>24</v>
      </c>
      <c r="I35" s="25">
        <v>10135000</v>
      </c>
      <c r="J35" s="22">
        <v>12</v>
      </c>
      <c r="K35" s="25">
        <v>7800000</v>
      </c>
      <c r="L35" s="22">
        <v>0</v>
      </c>
      <c r="M35" s="25">
        <v>0</v>
      </c>
      <c r="N35" s="22">
        <v>0</v>
      </c>
      <c r="O35" s="25">
        <v>0</v>
      </c>
      <c r="P35" s="22">
        <v>6</v>
      </c>
      <c r="Q35" s="25">
        <v>2700000</v>
      </c>
      <c r="R35" s="22">
        <v>6</v>
      </c>
      <c r="S35" s="25">
        <v>5100000</v>
      </c>
      <c r="T35" s="56">
        <f>SUM(L35,N35,P35,R35)</f>
        <v>12</v>
      </c>
      <c r="U35" s="56">
        <f t="shared" si="9"/>
        <v>100</v>
      </c>
      <c r="V35" s="37" t="s">
        <v>60</v>
      </c>
      <c r="W35" s="42">
        <f t="shared" si="10"/>
        <v>7800000</v>
      </c>
      <c r="X35" s="55">
        <f t="shared" si="11"/>
        <v>100</v>
      </c>
      <c r="Y35" s="37" t="s">
        <v>60</v>
      </c>
      <c r="Z35" s="56">
        <f t="shared" si="3"/>
        <v>36</v>
      </c>
      <c r="AA35" s="42">
        <f t="shared" si="4"/>
        <v>17935000</v>
      </c>
      <c r="AB35" s="55"/>
      <c r="AC35" s="37" t="s">
        <v>60</v>
      </c>
      <c r="AD35" s="55"/>
      <c r="AE35" s="13"/>
      <c r="AH35" s="27"/>
    </row>
    <row r="36" spans="1:34" ht="120" x14ac:dyDescent="0.2">
      <c r="A36" s="18"/>
      <c r="B36" s="19"/>
      <c r="C36" s="31" t="s">
        <v>86</v>
      </c>
      <c r="D36" s="31" t="s">
        <v>208</v>
      </c>
      <c r="E36" s="22">
        <f t="shared" si="12"/>
        <v>36</v>
      </c>
      <c r="F36" s="23" t="s">
        <v>157</v>
      </c>
      <c r="G36" s="25"/>
      <c r="H36" s="22">
        <v>24</v>
      </c>
      <c r="I36" s="25">
        <v>113335520</v>
      </c>
      <c r="J36" s="22">
        <v>12</v>
      </c>
      <c r="K36" s="25">
        <v>344080800</v>
      </c>
      <c r="L36" s="22">
        <v>3</v>
      </c>
      <c r="M36" s="25">
        <v>76316160</v>
      </c>
      <c r="N36" s="22">
        <v>3</v>
      </c>
      <c r="O36" s="25">
        <v>48000000</v>
      </c>
      <c r="P36" s="22">
        <v>3</v>
      </c>
      <c r="Q36" s="25">
        <v>72000000</v>
      </c>
      <c r="R36" s="22">
        <v>3</v>
      </c>
      <c r="S36" s="25">
        <v>119525280</v>
      </c>
      <c r="T36" s="56">
        <f>SUM(L36,N36,P36,R36)</f>
        <v>12</v>
      </c>
      <c r="U36" s="56">
        <f t="shared" si="9"/>
        <v>100</v>
      </c>
      <c r="V36" s="37" t="s">
        <v>60</v>
      </c>
      <c r="W36" s="42">
        <f t="shared" si="10"/>
        <v>315841440</v>
      </c>
      <c r="X36" s="55">
        <f t="shared" si="11"/>
        <v>91.792811455913849</v>
      </c>
      <c r="Y36" s="37" t="s">
        <v>60</v>
      </c>
      <c r="Z36" s="56">
        <f t="shared" si="3"/>
        <v>36</v>
      </c>
      <c r="AA36" s="42">
        <f t="shared" si="4"/>
        <v>429176960</v>
      </c>
      <c r="AB36" s="55"/>
      <c r="AC36" s="37" t="s">
        <v>60</v>
      </c>
      <c r="AD36" s="55"/>
      <c r="AE36" s="13"/>
      <c r="AH36" s="27"/>
    </row>
    <row r="37" spans="1:34" s="80" customFormat="1" ht="110.25" x14ac:dyDescent="0.25">
      <c r="A37" s="18"/>
      <c r="B37" s="19"/>
      <c r="C37" s="21" t="s">
        <v>87</v>
      </c>
      <c r="D37" s="21" t="s">
        <v>148</v>
      </c>
      <c r="E37" s="47">
        <v>100</v>
      </c>
      <c r="F37" s="48" t="s">
        <v>60</v>
      </c>
      <c r="G37" s="44">
        <f>SUM(G38:G41)</f>
        <v>156096000</v>
      </c>
      <c r="H37" s="47">
        <v>100</v>
      </c>
      <c r="I37" s="44">
        <f>SUM(I38:I41)</f>
        <v>572099842</v>
      </c>
      <c r="J37" s="47">
        <v>100</v>
      </c>
      <c r="K37" s="44">
        <f>SUM(K38:K41)</f>
        <v>657496000</v>
      </c>
      <c r="L37" s="47">
        <v>100</v>
      </c>
      <c r="M37" s="44">
        <f>SUM(M38:M41)</f>
        <v>98584656</v>
      </c>
      <c r="N37" s="47">
        <v>100</v>
      </c>
      <c r="O37" s="44">
        <f>SUM(O38:O41)</f>
        <v>117768000</v>
      </c>
      <c r="P37" s="47">
        <v>100</v>
      </c>
      <c r="Q37" s="44">
        <f>SUM(Q38:Q41)</f>
        <v>114630620</v>
      </c>
      <c r="R37" s="47">
        <v>100</v>
      </c>
      <c r="S37" s="44">
        <f>SUM(S38:S41)</f>
        <v>323762724</v>
      </c>
      <c r="T37" s="57">
        <f>AVERAGE(L37,N37,P37,R37)</f>
        <v>100</v>
      </c>
      <c r="U37" s="57">
        <f t="shared" si="9"/>
        <v>100</v>
      </c>
      <c r="V37" s="60" t="s">
        <v>60</v>
      </c>
      <c r="W37" s="61">
        <f t="shared" si="10"/>
        <v>654746000</v>
      </c>
      <c r="X37" s="59">
        <f t="shared" si="11"/>
        <v>99.581746504921696</v>
      </c>
      <c r="Y37" s="60" t="s">
        <v>60</v>
      </c>
      <c r="Z37" s="57">
        <f t="shared" si="3"/>
        <v>200</v>
      </c>
      <c r="AA37" s="61">
        <f t="shared" si="4"/>
        <v>1226845842</v>
      </c>
      <c r="AB37" s="59"/>
      <c r="AC37" s="60" t="s">
        <v>60</v>
      </c>
      <c r="AD37" s="59"/>
      <c r="AE37" s="79"/>
      <c r="AH37" s="81"/>
    </row>
    <row r="38" spans="1:34" ht="168" customHeight="1" x14ac:dyDescent="0.2">
      <c r="A38" s="18"/>
      <c r="B38" s="19"/>
      <c r="C38" s="31" t="s">
        <v>95</v>
      </c>
      <c r="D38" s="31" t="s">
        <v>213</v>
      </c>
      <c r="E38" s="22">
        <f t="shared" si="12"/>
        <v>36</v>
      </c>
      <c r="F38" s="23" t="s">
        <v>144</v>
      </c>
      <c r="G38" s="25"/>
      <c r="H38" s="22">
        <v>24</v>
      </c>
      <c r="I38" s="25">
        <v>6000000</v>
      </c>
      <c r="J38" s="22">
        <v>1</v>
      </c>
      <c r="K38" s="25">
        <v>19200000</v>
      </c>
      <c r="L38" s="22">
        <v>0</v>
      </c>
      <c r="M38" s="25">
        <v>0</v>
      </c>
      <c r="N38" s="22">
        <v>0</v>
      </c>
      <c r="O38" s="25">
        <v>0</v>
      </c>
      <c r="P38" s="22">
        <v>0</v>
      </c>
      <c r="Q38" s="25">
        <v>0</v>
      </c>
      <c r="R38" s="22">
        <v>1</v>
      </c>
      <c r="S38" s="25">
        <v>16450000</v>
      </c>
      <c r="T38" s="56">
        <f>SUM(L38,N38,P38,R38)</f>
        <v>1</v>
      </c>
      <c r="U38" s="56">
        <f t="shared" si="9"/>
        <v>100</v>
      </c>
      <c r="V38" s="37" t="s">
        <v>60</v>
      </c>
      <c r="W38" s="42">
        <f t="shared" si="10"/>
        <v>16450000</v>
      </c>
      <c r="X38" s="55">
        <f t="shared" si="11"/>
        <v>85.677083333333343</v>
      </c>
      <c r="Y38" s="37" t="s">
        <v>60</v>
      </c>
      <c r="Z38" s="56">
        <f t="shared" si="3"/>
        <v>25</v>
      </c>
      <c r="AA38" s="42">
        <f t="shared" si="4"/>
        <v>22450000</v>
      </c>
      <c r="AB38" s="55"/>
      <c r="AC38" s="37" t="s">
        <v>60</v>
      </c>
      <c r="AD38" s="55"/>
      <c r="AE38" s="13"/>
      <c r="AH38" s="27"/>
    </row>
    <row r="39" spans="1:34" ht="180" x14ac:dyDescent="0.2">
      <c r="A39" s="18"/>
      <c r="B39" s="19"/>
      <c r="C39" s="31" t="s">
        <v>88</v>
      </c>
      <c r="D39" s="31" t="s">
        <v>210</v>
      </c>
      <c r="E39" s="22">
        <f t="shared" si="12"/>
        <v>36</v>
      </c>
      <c r="F39" s="23" t="s">
        <v>144</v>
      </c>
      <c r="G39" s="25"/>
      <c r="H39" s="22">
        <v>24</v>
      </c>
      <c r="I39" s="25">
        <v>413158466</v>
      </c>
      <c r="J39" s="22">
        <v>36</v>
      </c>
      <c r="K39" s="25">
        <v>638296000</v>
      </c>
      <c r="L39" s="22">
        <v>3</v>
      </c>
      <c r="M39" s="25">
        <v>98584656</v>
      </c>
      <c r="N39" s="22">
        <v>3</v>
      </c>
      <c r="O39" s="25">
        <v>117768000</v>
      </c>
      <c r="P39" s="22">
        <v>3</v>
      </c>
      <c r="Q39" s="25">
        <v>114630620</v>
      </c>
      <c r="R39" s="22">
        <v>27</v>
      </c>
      <c r="S39" s="25">
        <v>307312724</v>
      </c>
      <c r="T39" s="56">
        <f>SUM(L39,N39,P39,R39)</f>
        <v>36</v>
      </c>
      <c r="U39" s="56">
        <f t="shared" si="9"/>
        <v>100</v>
      </c>
      <c r="V39" s="37" t="s">
        <v>60</v>
      </c>
      <c r="W39" s="42">
        <f t="shared" si="10"/>
        <v>638296000</v>
      </c>
      <c r="X39" s="55">
        <f t="shared" si="11"/>
        <v>100</v>
      </c>
      <c r="Y39" s="37" t="s">
        <v>60</v>
      </c>
      <c r="Z39" s="56">
        <f t="shared" si="3"/>
        <v>60</v>
      </c>
      <c r="AA39" s="42">
        <f t="shared" si="4"/>
        <v>1051454466</v>
      </c>
      <c r="AB39" s="55"/>
      <c r="AC39" s="37" t="s">
        <v>60</v>
      </c>
      <c r="AD39" s="55"/>
      <c r="AE39" s="13"/>
      <c r="AH39" s="27"/>
    </row>
    <row r="40" spans="1:34" ht="105" x14ac:dyDescent="0.2">
      <c r="A40" s="18"/>
      <c r="B40" s="19"/>
      <c r="C40" s="115" t="s">
        <v>89</v>
      </c>
      <c r="D40" s="114" t="s">
        <v>211</v>
      </c>
      <c r="E40" s="22">
        <f t="shared" si="12"/>
        <v>36</v>
      </c>
      <c r="F40" s="23" t="s">
        <v>144</v>
      </c>
      <c r="G40" s="25">
        <v>39456000</v>
      </c>
      <c r="H40" s="22">
        <v>24</v>
      </c>
      <c r="I40" s="25">
        <v>39452928</v>
      </c>
      <c r="J40" s="22"/>
      <c r="K40" s="25"/>
      <c r="L40" s="22"/>
      <c r="M40" s="25"/>
      <c r="N40" s="22"/>
      <c r="O40" s="25"/>
      <c r="P40" s="22"/>
      <c r="Q40" s="25"/>
      <c r="R40" s="22"/>
      <c r="S40" s="25"/>
      <c r="T40" s="56"/>
      <c r="U40" s="56"/>
      <c r="V40" s="37"/>
      <c r="W40" s="42"/>
      <c r="X40" s="55"/>
      <c r="Y40" s="37"/>
      <c r="Z40" s="56">
        <f t="shared" si="3"/>
        <v>24</v>
      </c>
      <c r="AA40" s="42">
        <f t="shared" si="4"/>
        <v>39452928</v>
      </c>
      <c r="AB40" s="55"/>
      <c r="AC40" s="37" t="s">
        <v>60</v>
      </c>
      <c r="AD40" s="55"/>
      <c r="AE40" s="13"/>
      <c r="AH40" s="27"/>
    </row>
    <row r="41" spans="1:34" ht="135" x14ac:dyDescent="0.2">
      <c r="A41" s="18"/>
      <c r="B41" s="19"/>
      <c r="C41" s="117" t="s">
        <v>90</v>
      </c>
      <c r="D41" s="118" t="s">
        <v>212</v>
      </c>
      <c r="E41" s="22">
        <f t="shared" si="12"/>
        <v>36</v>
      </c>
      <c r="F41" s="23" t="s">
        <v>144</v>
      </c>
      <c r="G41" s="64">
        <v>116640000</v>
      </c>
      <c r="H41" s="22">
        <v>24</v>
      </c>
      <c r="I41" s="64">
        <v>113488448</v>
      </c>
      <c r="J41" s="22"/>
      <c r="K41" s="64"/>
      <c r="L41" s="22"/>
      <c r="M41" s="64"/>
      <c r="N41" s="22"/>
      <c r="O41" s="64"/>
      <c r="P41" s="22"/>
      <c r="Q41" s="64"/>
      <c r="R41" s="22"/>
      <c r="S41" s="64"/>
      <c r="T41" s="56"/>
      <c r="U41" s="56"/>
      <c r="V41" s="37"/>
      <c r="W41" s="82"/>
      <c r="X41" s="55"/>
      <c r="Y41" s="37"/>
      <c r="Z41" s="56">
        <f t="shared" si="3"/>
        <v>24</v>
      </c>
      <c r="AA41" s="82">
        <f t="shared" si="4"/>
        <v>113488448</v>
      </c>
      <c r="AB41" s="55"/>
      <c r="AC41" s="37" t="s">
        <v>60</v>
      </c>
      <c r="AD41" s="55"/>
      <c r="AE41" s="13"/>
      <c r="AH41" s="27"/>
    </row>
    <row r="42" spans="1:34" ht="102" customHeight="1" x14ac:dyDescent="0.2">
      <c r="A42" s="18"/>
      <c r="B42" s="90"/>
      <c r="C42" s="51" t="s">
        <v>97</v>
      </c>
      <c r="D42" s="92" t="s">
        <v>276</v>
      </c>
      <c r="E42" s="22"/>
      <c r="F42" s="91"/>
      <c r="G42" s="54">
        <f>G55+G69+G86+G98</f>
        <v>152632908096</v>
      </c>
      <c r="H42" s="94">
        <v>100</v>
      </c>
      <c r="I42" s="54">
        <f>I55+I69+I86+I98</f>
        <v>59358731949</v>
      </c>
      <c r="J42" s="94">
        <v>2.5</v>
      </c>
      <c r="K42" s="54">
        <f>K55+K69+K86+K98</f>
        <v>62637310615</v>
      </c>
      <c r="L42" s="93"/>
      <c r="M42" s="54">
        <f>M55+M69+M86+M98</f>
        <v>1890853210</v>
      </c>
      <c r="N42" s="93"/>
      <c r="O42" s="54">
        <f>O55+O69+O86+O98</f>
        <v>4945496014</v>
      </c>
      <c r="P42" s="93"/>
      <c r="Q42" s="54">
        <f>Q55+Q69+Q86+Q98</f>
        <v>9077205845</v>
      </c>
      <c r="R42" s="112">
        <v>1.67</v>
      </c>
      <c r="S42" s="54">
        <f>S55+S69+S86+S98</f>
        <v>43682284509</v>
      </c>
      <c r="T42" s="59">
        <f t="shared" ref="T42:T64" si="13">SUM(L42,N42,P42,R42)</f>
        <v>1.67</v>
      </c>
      <c r="U42" s="59">
        <f t="shared" ref="U42:U66" si="14">T42/J42*100</f>
        <v>66.8</v>
      </c>
      <c r="V42" s="101" t="s">
        <v>60</v>
      </c>
      <c r="W42" s="58">
        <f>SUM(M42,O42,Q42,S42)</f>
        <v>59595839578</v>
      </c>
      <c r="X42" s="62">
        <f>W42/K42*100</f>
        <v>95.144314136195291</v>
      </c>
      <c r="Y42" s="50" t="s">
        <v>60</v>
      </c>
      <c r="Z42" s="57">
        <f t="shared" ref="Z42:Z54" si="15">T42</f>
        <v>1.67</v>
      </c>
      <c r="AA42" s="58">
        <f t="shared" si="4"/>
        <v>118954571527</v>
      </c>
      <c r="AB42" s="102"/>
      <c r="AC42" s="60" t="s">
        <v>60</v>
      </c>
      <c r="AD42" s="62"/>
      <c r="AE42" s="13"/>
      <c r="AH42" s="27"/>
    </row>
    <row r="43" spans="1:34" ht="110.25" x14ac:dyDescent="0.2">
      <c r="A43" s="18"/>
      <c r="B43" s="90"/>
      <c r="C43" s="19"/>
      <c r="D43" s="92" t="s">
        <v>277</v>
      </c>
      <c r="E43" s="22"/>
      <c r="F43" s="91"/>
      <c r="G43" s="97"/>
      <c r="H43" s="94">
        <v>0</v>
      </c>
      <c r="I43" s="98"/>
      <c r="J43" s="94">
        <v>2.5</v>
      </c>
      <c r="K43" s="99"/>
      <c r="L43" s="94"/>
      <c r="M43" s="99"/>
      <c r="N43" s="94"/>
      <c r="O43" s="99"/>
      <c r="P43" s="94"/>
      <c r="Q43" s="99"/>
      <c r="R43" s="94">
        <v>1.58</v>
      </c>
      <c r="S43" s="122"/>
      <c r="T43" s="59">
        <f t="shared" si="13"/>
        <v>1.58</v>
      </c>
      <c r="U43" s="59">
        <f t="shared" si="14"/>
        <v>63.2</v>
      </c>
      <c r="V43" s="101" t="s">
        <v>60</v>
      </c>
      <c r="W43" s="100"/>
      <c r="X43" s="103"/>
      <c r="Y43" s="74"/>
      <c r="Z43" s="57">
        <f t="shared" si="15"/>
        <v>1.58</v>
      </c>
      <c r="AA43" s="100"/>
      <c r="AB43" s="95"/>
      <c r="AC43" s="37"/>
      <c r="AD43" s="103"/>
      <c r="AE43" s="13"/>
      <c r="AH43" s="27"/>
    </row>
    <row r="44" spans="1:34" ht="37.5" customHeight="1" x14ac:dyDescent="0.2">
      <c r="A44" s="18"/>
      <c r="B44" s="90"/>
      <c r="C44" s="19"/>
      <c r="D44" s="92" t="s">
        <v>278</v>
      </c>
      <c r="E44" s="22"/>
      <c r="F44" s="91"/>
      <c r="G44" s="97"/>
      <c r="H44" s="94">
        <v>0</v>
      </c>
      <c r="I44" s="98"/>
      <c r="J44" s="94">
        <v>100</v>
      </c>
      <c r="K44" s="99"/>
      <c r="L44" s="94"/>
      <c r="M44" s="99"/>
      <c r="N44" s="94"/>
      <c r="O44" s="99"/>
      <c r="P44" s="94"/>
      <c r="Q44" s="99"/>
      <c r="R44" s="94">
        <v>104.06</v>
      </c>
      <c r="S44" s="122"/>
      <c r="T44" s="59">
        <f t="shared" si="13"/>
        <v>104.06</v>
      </c>
      <c r="U44" s="59">
        <f t="shared" si="14"/>
        <v>104.06</v>
      </c>
      <c r="V44" s="101" t="s">
        <v>60</v>
      </c>
      <c r="W44" s="100"/>
      <c r="X44" s="103"/>
      <c r="Y44" s="74"/>
      <c r="Z44" s="57">
        <f t="shared" si="15"/>
        <v>104.06</v>
      </c>
      <c r="AA44" s="100"/>
      <c r="AB44" s="95"/>
      <c r="AC44" s="37"/>
      <c r="AD44" s="103"/>
      <c r="AE44" s="13"/>
      <c r="AH44" s="27"/>
    </row>
    <row r="45" spans="1:34" ht="31.5" x14ac:dyDescent="0.2">
      <c r="A45" s="18"/>
      <c r="B45" s="90"/>
      <c r="C45" s="19"/>
      <c r="D45" s="92" t="s">
        <v>279</v>
      </c>
      <c r="E45" s="22"/>
      <c r="F45" s="91"/>
      <c r="G45" s="97"/>
      <c r="H45" s="94">
        <v>79.61</v>
      </c>
      <c r="I45" s="98"/>
      <c r="J45" s="94">
        <v>90</v>
      </c>
      <c r="K45" s="99"/>
      <c r="L45" s="94"/>
      <c r="M45" s="99"/>
      <c r="N45" s="94"/>
      <c r="O45" s="99"/>
      <c r="P45" s="94"/>
      <c r="Q45" s="99"/>
      <c r="R45" s="112">
        <v>99.74</v>
      </c>
      <c r="S45" s="122"/>
      <c r="T45" s="59">
        <f t="shared" si="13"/>
        <v>99.74</v>
      </c>
      <c r="U45" s="59">
        <f t="shared" si="14"/>
        <v>110.82222222222222</v>
      </c>
      <c r="V45" s="101" t="s">
        <v>60</v>
      </c>
      <c r="W45" s="100"/>
      <c r="X45" s="103"/>
      <c r="Y45" s="74"/>
      <c r="Z45" s="57">
        <f t="shared" si="15"/>
        <v>99.74</v>
      </c>
      <c r="AA45" s="100"/>
      <c r="AB45" s="95"/>
      <c r="AC45" s="37"/>
      <c r="AD45" s="103"/>
      <c r="AE45" s="13"/>
      <c r="AH45" s="27"/>
    </row>
    <row r="46" spans="1:34" ht="94.5" x14ac:dyDescent="0.2">
      <c r="A46" s="18"/>
      <c r="B46" s="90"/>
      <c r="C46" s="19"/>
      <c r="D46" s="92" t="s">
        <v>280</v>
      </c>
      <c r="E46" s="22"/>
      <c r="F46" s="91"/>
      <c r="G46" s="97"/>
      <c r="H46" s="112">
        <v>99.47</v>
      </c>
      <c r="I46" s="98"/>
      <c r="J46" s="94">
        <v>2.5</v>
      </c>
      <c r="K46" s="99"/>
      <c r="L46" s="94"/>
      <c r="M46" s="99"/>
      <c r="N46" s="94"/>
      <c r="O46" s="99"/>
      <c r="P46" s="94"/>
      <c r="Q46" s="99"/>
      <c r="R46" s="112">
        <v>1.68</v>
      </c>
      <c r="S46" s="122"/>
      <c r="T46" s="59">
        <f t="shared" si="13"/>
        <v>1.68</v>
      </c>
      <c r="U46" s="59">
        <f t="shared" si="14"/>
        <v>67.199999999999989</v>
      </c>
      <c r="V46" s="101" t="s">
        <v>60</v>
      </c>
      <c r="W46" s="100"/>
      <c r="X46" s="103"/>
      <c r="Y46" s="74"/>
      <c r="Z46" s="57">
        <f t="shared" si="15"/>
        <v>1.68</v>
      </c>
      <c r="AA46" s="100"/>
      <c r="AB46" s="95"/>
      <c r="AC46" s="37"/>
      <c r="AD46" s="103"/>
      <c r="AE46" s="13"/>
      <c r="AH46" s="27"/>
    </row>
    <row r="47" spans="1:34" ht="110.25" x14ac:dyDescent="0.2">
      <c r="A47" s="18"/>
      <c r="B47" s="90"/>
      <c r="C47" s="19"/>
      <c r="D47" s="92" t="s">
        <v>281</v>
      </c>
      <c r="E47" s="22"/>
      <c r="F47" s="91"/>
      <c r="G47" s="97"/>
      <c r="H47" s="112">
        <v>98.2</v>
      </c>
      <c r="I47" s="98"/>
      <c r="J47" s="94">
        <v>2.5</v>
      </c>
      <c r="K47" s="99"/>
      <c r="L47" s="94"/>
      <c r="M47" s="99"/>
      <c r="N47" s="94"/>
      <c r="O47" s="99"/>
      <c r="P47" s="94"/>
      <c r="Q47" s="99"/>
      <c r="R47" s="112">
        <v>1.58</v>
      </c>
      <c r="S47" s="122"/>
      <c r="T47" s="59">
        <f t="shared" si="13"/>
        <v>1.58</v>
      </c>
      <c r="U47" s="59">
        <f t="shared" si="14"/>
        <v>63.2</v>
      </c>
      <c r="V47" s="101" t="s">
        <v>60</v>
      </c>
      <c r="W47" s="100"/>
      <c r="X47" s="103"/>
      <c r="Y47" s="74"/>
      <c r="Z47" s="57">
        <f t="shared" si="15"/>
        <v>1.58</v>
      </c>
      <c r="AA47" s="100"/>
      <c r="AB47" s="95"/>
      <c r="AC47" s="37"/>
      <c r="AD47" s="103"/>
      <c r="AE47" s="13"/>
      <c r="AH47" s="27"/>
    </row>
    <row r="48" spans="1:34" ht="31.5" x14ac:dyDescent="0.2">
      <c r="A48" s="18"/>
      <c r="B48" s="90"/>
      <c r="C48" s="19"/>
      <c r="D48" s="92" t="s">
        <v>282</v>
      </c>
      <c r="E48" s="22"/>
      <c r="F48" s="91"/>
      <c r="G48" s="97"/>
      <c r="H48" s="94">
        <v>0</v>
      </c>
      <c r="I48" s="98"/>
      <c r="J48" s="94">
        <v>100</v>
      </c>
      <c r="K48" s="99"/>
      <c r="L48" s="94"/>
      <c r="M48" s="99"/>
      <c r="N48" s="94"/>
      <c r="O48" s="99"/>
      <c r="P48" s="94"/>
      <c r="Q48" s="99"/>
      <c r="R48" s="112">
        <v>88.74</v>
      </c>
      <c r="S48" s="122"/>
      <c r="T48" s="59">
        <f t="shared" si="13"/>
        <v>88.74</v>
      </c>
      <c r="U48" s="59">
        <f t="shared" si="14"/>
        <v>88.74</v>
      </c>
      <c r="V48" s="101" t="s">
        <v>60</v>
      </c>
      <c r="W48" s="100"/>
      <c r="X48" s="103"/>
      <c r="Y48" s="74"/>
      <c r="Z48" s="57">
        <f t="shared" si="15"/>
        <v>88.74</v>
      </c>
      <c r="AA48" s="100"/>
      <c r="AB48" s="95"/>
      <c r="AC48" s="37"/>
      <c r="AD48" s="103"/>
      <c r="AE48" s="13"/>
      <c r="AH48" s="27"/>
    </row>
    <row r="49" spans="1:34" ht="31.5" x14ac:dyDescent="0.2">
      <c r="A49" s="18"/>
      <c r="B49" s="90"/>
      <c r="C49" s="19"/>
      <c r="D49" s="92" t="s">
        <v>283</v>
      </c>
      <c r="E49" s="22"/>
      <c r="F49" s="91"/>
      <c r="G49" s="97"/>
      <c r="H49" s="94">
        <v>100</v>
      </c>
      <c r="I49" s="98"/>
      <c r="J49" s="94">
        <v>90</v>
      </c>
      <c r="K49" s="99"/>
      <c r="L49" s="94"/>
      <c r="M49" s="99"/>
      <c r="N49" s="94"/>
      <c r="O49" s="99"/>
      <c r="P49" s="94"/>
      <c r="Q49" s="99"/>
      <c r="R49" s="112">
        <v>74.67</v>
      </c>
      <c r="S49" s="122"/>
      <c r="T49" s="59">
        <f t="shared" si="13"/>
        <v>74.67</v>
      </c>
      <c r="U49" s="59">
        <f t="shared" si="14"/>
        <v>82.966666666666669</v>
      </c>
      <c r="V49" s="101" t="s">
        <v>60</v>
      </c>
      <c r="W49" s="100"/>
      <c r="X49" s="103"/>
      <c r="Y49" s="74"/>
      <c r="Z49" s="57">
        <f t="shared" si="15"/>
        <v>74.67</v>
      </c>
      <c r="AA49" s="100"/>
      <c r="AB49" s="95"/>
      <c r="AC49" s="37"/>
      <c r="AD49" s="103"/>
      <c r="AE49" s="13"/>
      <c r="AH49" s="27"/>
    </row>
    <row r="50" spans="1:34" ht="94.5" x14ac:dyDescent="0.2">
      <c r="A50" s="18"/>
      <c r="B50" s="90"/>
      <c r="C50" s="19"/>
      <c r="D50" s="92" t="s">
        <v>284</v>
      </c>
      <c r="E50" s="22"/>
      <c r="F50" s="91"/>
      <c r="G50" s="97"/>
      <c r="H50" s="112">
        <v>91.98</v>
      </c>
      <c r="I50" s="98"/>
      <c r="J50" s="94">
        <v>50</v>
      </c>
      <c r="K50" s="99"/>
      <c r="L50" s="94"/>
      <c r="M50" s="99"/>
      <c r="N50" s="94"/>
      <c r="O50" s="99"/>
      <c r="P50" s="94"/>
      <c r="Q50" s="99"/>
      <c r="R50" s="112">
        <v>37.33</v>
      </c>
      <c r="S50" s="122"/>
      <c r="T50" s="59">
        <f t="shared" si="13"/>
        <v>37.33</v>
      </c>
      <c r="U50" s="59">
        <f t="shared" si="14"/>
        <v>74.66</v>
      </c>
      <c r="V50" s="101" t="s">
        <v>60</v>
      </c>
      <c r="W50" s="100"/>
      <c r="X50" s="103"/>
      <c r="Y50" s="74"/>
      <c r="Z50" s="57">
        <f t="shared" si="15"/>
        <v>37.33</v>
      </c>
      <c r="AA50" s="100"/>
      <c r="AB50" s="95"/>
      <c r="AC50" s="37"/>
      <c r="AD50" s="103"/>
      <c r="AE50" s="13"/>
      <c r="AH50" s="27"/>
    </row>
    <row r="51" spans="1:34" ht="94.5" x14ac:dyDescent="0.2">
      <c r="A51" s="18"/>
      <c r="B51" s="90"/>
      <c r="C51" s="19"/>
      <c r="D51" s="92" t="s">
        <v>285</v>
      </c>
      <c r="E51" s="22"/>
      <c r="F51" s="91"/>
      <c r="G51" s="97"/>
      <c r="H51" s="112">
        <v>74.38</v>
      </c>
      <c r="I51" s="98"/>
      <c r="J51" s="94">
        <v>52</v>
      </c>
      <c r="K51" s="99"/>
      <c r="L51" s="94"/>
      <c r="M51" s="99"/>
      <c r="N51" s="94"/>
      <c r="O51" s="99"/>
      <c r="P51" s="94"/>
      <c r="Q51" s="99"/>
      <c r="R51" s="112">
        <v>53</v>
      </c>
      <c r="S51" s="122"/>
      <c r="T51" s="59">
        <f t="shared" si="13"/>
        <v>53</v>
      </c>
      <c r="U51" s="59">
        <f t="shared" si="14"/>
        <v>101.92307692307692</v>
      </c>
      <c r="V51" s="101" t="s">
        <v>60</v>
      </c>
      <c r="W51" s="100"/>
      <c r="X51" s="103"/>
      <c r="Y51" s="74"/>
      <c r="Z51" s="57">
        <f t="shared" si="15"/>
        <v>53</v>
      </c>
      <c r="AA51" s="100"/>
      <c r="AB51" s="95"/>
      <c r="AC51" s="37"/>
      <c r="AD51" s="103"/>
      <c r="AE51" s="13"/>
      <c r="AH51" s="27"/>
    </row>
    <row r="52" spans="1:34" ht="63" x14ac:dyDescent="0.2">
      <c r="A52" s="18"/>
      <c r="B52" s="90"/>
      <c r="C52" s="19"/>
      <c r="D52" s="92" t="s">
        <v>286</v>
      </c>
      <c r="E52" s="22"/>
      <c r="F52" s="91"/>
      <c r="G52" s="97"/>
      <c r="H52" s="94">
        <v>0</v>
      </c>
      <c r="I52" s="98"/>
      <c r="J52" s="187">
        <v>0.21319444444444444</v>
      </c>
      <c r="K52" s="99"/>
      <c r="L52" s="94"/>
      <c r="M52" s="99"/>
      <c r="N52" s="94"/>
      <c r="O52" s="99"/>
      <c r="P52" s="94"/>
      <c r="Q52" s="99"/>
      <c r="R52" s="187">
        <v>5.2083333333333336E-2</v>
      </c>
      <c r="S52" s="122"/>
      <c r="T52" s="57">
        <f t="shared" si="13"/>
        <v>5.2083333333333336E-2</v>
      </c>
      <c r="U52" s="59">
        <f t="shared" si="14"/>
        <v>24.4299674267101</v>
      </c>
      <c r="V52" s="101" t="s">
        <v>60</v>
      </c>
      <c r="W52" s="100"/>
      <c r="X52" s="103"/>
      <c r="Y52" s="74"/>
      <c r="Z52" s="57">
        <f t="shared" si="15"/>
        <v>5.2083333333333336E-2</v>
      </c>
      <c r="AA52" s="100"/>
      <c r="AB52" s="95"/>
      <c r="AC52" s="37"/>
      <c r="AD52" s="103"/>
      <c r="AE52" s="13"/>
      <c r="AH52" s="27"/>
    </row>
    <row r="53" spans="1:34" ht="30" customHeight="1" x14ac:dyDescent="0.2">
      <c r="A53" s="18"/>
      <c r="B53" s="90"/>
      <c r="C53" s="20"/>
      <c r="D53" s="92" t="s">
        <v>287</v>
      </c>
      <c r="E53" s="22"/>
      <c r="F53" s="91"/>
      <c r="G53" s="83"/>
      <c r="H53" s="94">
        <v>100</v>
      </c>
      <c r="I53" s="84"/>
      <c r="J53" s="94">
        <v>91</v>
      </c>
      <c r="K53" s="43"/>
      <c r="L53" s="94"/>
      <c r="M53" s="43"/>
      <c r="N53" s="94"/>
      <c r="O53" s="43"/>
      <c r="P53" s="94"/>
      <c r="Q53" s="43"/>
      <c r="R53" s="94">
        <v>103</v>
      </c>
      <c r="S53" s="30"/>
      <c r="T53" s="57">
        <f t="shared" ref="T53" si="16">SUM(L53,N53,P53,R53)</f>
        <v>103</v>
      </c>
      <c r="U53" s="59">
        <f t="shared" ref="U53" si="17">T53/J53*100</f>
        <v>113.18681318681318</v>
      </c>
      <c r="V53" s="101" t="s">
        <v>60</v>
      </c>
      <c r="W53" s="87"/>
      <c r="X53" s="88"/>
      <c r="Y53" s="86"/>
      <c r="Z53" s="57">
        <f t="shared" ref="Z53" si="18">T53</f>
        <v>103</v>
      </c>
      <c r="AA53" s="87"/>
      <c r="AB53" s="95"/>
      <c r="AC53" s="37"/>
      <c r="AD53" s="88"/>
      <c r="AE53" s="13"/>
      <c r="AH53" s="27"/>
    </row>
    <row r="54" spans="1:34" ht="63" x14ac:dyDescent="0.2">
      <c r="A54" s="18"/>
      <c r="B54" s="90"/>
      <c r="C54" s="20"/>
      <c r="D54" s="92" t="s">
        <v>288</v>
      </c>
      <c r="E54" s="22"/>
      <c r="F54" s="91"/>
      <c r="G54" s="83"/>
      <c r="H54" s="94">
        <v>100</v>
      </c>
      <c r="I54" s="84"/>
      <c r="J54" s="94">
        <v>85</v>
      </c>
      <c r="K54" s="43"/>
      <c r="L54" s="94"/>
      <c r="M54" s="43"/>
      <c r="N54" s="94"/>
      <c r="O54" s="43"/>
      <c r="P54" s="94"/>
      <c r="Q54" s="43"/>
      <c r="R54" s="94">
        <v>100</v>
      </c>
      <c r="S54" s="30"/>
      <c r="T54" s="57">
        <f t="shared" si="13"/>
        <v>100</v>
      </c>
      <c r="U54" s="59">
        <f t="shared" si="14"/>
        <v>117.64705882352942</v>
      </c>
      <c r="V54" s="101" t="s">
        <v>60</v>
      </c>
      <c r="W54" s="87"/>
      <c r="X54" s="88"/>
      <c r="Y54" s="86"/>
      <c r="Z54" s="57">
        <f t="shared" si="15"/>
        <v>100</v>
      </c>
      <c r="AA54" s="87"/>
      <c r="AB54" s="95"/>
      <c r="AC54" s="37"/>
      <c r="AD54" s="88"/>
      <c r="AE54" s="13"/>
      <c r="AH54" s="27"/>
    </row>
    <row r="55" spans="1:34" s="80" customFormat="1" ht="126.75" customHeight="1" x14ac:dyDescent="0.25">
      <c r="A55" s="18"/>
      <c r="B55" s="19"/>
      <c r="C55" s="20" t="s">
        <v>96</v>
      </c>
      <c r="D55" s="21" t="s">
        <v>161</v>
      </c>
      <c r="E55" s="47">
        <v>100</v>
      </c>
      <c r="F55" s="48" t="s">
        <v>60</v>
      </c>
      <c r="G55" s="43">
        <f>SUM(G56:G66)</f>
        <v>88710993296</v>
      </c>
      <c r="H55" s="47">
        <v>201.77969802262763</v>
      </c>
      <c r="I55" s="43">
        <f>SUM(I56:I66)</f>
        <v>27765760360</v>
      </c>
      <c r="J55" s="47">
        <v>100</v>
      </c>
      <c r="K55" s="43">
        <f>SUM(K56:K66)</f>
        <v>34957145177</v>
      </c>
      <c r="L55" s="108">
        <f>SUM(L56:L66)/SUM(J56:J66)*100</f>
        <v>99.643874643874639</v>
      </c>
      <c r="M55" s="43">
        <f>SUM(M56:M66)</f>
        <v>1170500000</v>
      </c>
      <c r="N55" s="108">
        <f>SUM(N56:N66)/SUM(J56:J66)*100</f>
        <v>99.704924704924707</v>
      </c>
      <c r="O55" s="43">
        <f>SUM(O56:O66)</f>
        <v>2946829549</v>
      </c>
      <c r="P55" s="108">
        <f>SUM(P56:P66)/SUM(J56:J66)*100</f>
        <v>98.341473341473346</v>
      </c>
      <c r="Q55" s="43">
        <f>SUM(Q56:Q66)</f>
        <v>5718055651</v>
      </c>
      <c r="R55" s="108">
        <f>SUM(R56:R66)/SUM(J56:J66)*100</f>
        <v>98.285510785510795</v>
      </c>
      <c r="S55" s="43">
        <f>SUM(S56:S66)</f>
        <v>23535920001</v>
      </c>
      <c r="T55" s="108">
        <f>SUM(T56:T66)/SUM(J56:J66)*100</f>
        <v>99.272486772486772</v>
      </c>
      <c r="U55" s="59">
        <f t="shared" si="14"/>
        <v>99.272486772486772</v>
      </c>
      <c r="V55" s="60" t="s">
        <v>60</v>
      </c>
      <c r="W55" s="96">
        <f t="shared" ref="W55:W66" si="19">SUM(M55,O55,Q55,S55)</f>
        <v>33371305201</v>
      </c>
      <c r="X55" s="59">
        <f t="shared" ref="X55:X66" si="20">W55/K55*100</f>
        <v>95.463474010905784</v>
      </c>
      <c r="Y55" s="60" t="s">
        <v>60</v>
      </c>
      <c r="Z55" s="57">
        <f t="shared" ref="Z55:Z86" si="21">SUM(H55,T55)</f>
        <v>301.05218479511439</v>
      </c>
      <c r="AA55" s="96">
        <f t="shared" ref="AA55:AA86" si="22">SUM(I55,W55)</f>
        <v>61137065561</v>
      </c>
      <c r="AB55" s="59"/>
      <c r="AC55" s="60" t="s">
        <v>60</v>
      </c>
      <c r="AD55" s="59"/>
      <c r="AE55" s="79"/>
      <c r="AH55" s="81"/>
    </row>
    <row r="56" spans="1:34" ht="90" x14ac:dyDescent="0.2">
      <c r="A56" s="74"/>
      <c r="B56" s="75"/>
      <c r="C56" s="28" t="s">
        <v>185</v>
      </c>
      <c r="D56" s="31" t="s">
        <v>214</v>
      </c>
      <c r="E56" s="22"/>
      <c r="F56" s="23" t="s">
        <v>154</v>
      </c>
      <c r="G56" s="25"/>
      <c r="H56" s="22"/>
      <c r="I56" s="25"/>
      <c r="J56" s="22">
        <v>3</v>
      </c>
      <c r="K56" s="25">
        <v>234000000</v>
      </c>
      <c r="L56" s="22">
        <v>0</v>
      </c>
      <c r="M56" s="25">
        <v>0</v>
      </c>
      <c r="N56" s="22">
        <v>0</v>
      </c>
      <c r="O56" s="25">
        <v>0</v>
      </c>
      <c r="P56" s="22">
        <v>0</v>
      </c>
      <c r="Q56" s="25">
        <v>0</v>
      </c>
      <c r="R56" s="22">
        <v>3</v>
      </c>
      <c r="S56" s="25">
        <v>233159481</v>
      </c>
      <c r="T56" s="56">
        <f t="shared" si="13"/>
        <v>3</v>
      </c>
      <c r="U56" s="56">
        <f t="shared" si="14"/>
        <v>100</v>
      </c>
      <c r="V56" s="37" t="s">
        <v>60</v>
      </c>
      <c r="W56" s="42">
        <f t="shared" si="19"/>
        <v>233159481</v>
      </c>
      <c r="X56" s="55">
        <f t="shared" si="20"/>
        <v>99.640803846153844</v>
      </c>
      <c r="Y56" s="37" t="s">
        <v>60</v>
      </c>
      <c r="Z56" s="55">
        <f t="shared" si="21"/>
        <v>3</v>
      </c>
      <c r="AA56" s="42">
        <f t="shared" si="22"/>
        <v>233159481</v>
      </c>
      <c r="AB56" s="55"/>
      <c r="AC56" s="37" t="s">
        <v>60</v>
      </c>
      <c r="AD56" s="55"/>
      <c r="AE56" s="13"/>
      <c r="AH56" s="27"/>
    </row>
    <row r="57" spans="1:34" ht="75" x14ac:dyDescent="0.2">
      <c r="A57" s="74"/>
      <c r="B57" s="75"/>
      <c r="C57" s="28" t="s">
        <v>63</v>
      </c>
      <c r="D57" s="31" t="s">
        <v>215</v>
      </c>
      <c r="E57" s="22">
        <f>2+3+3</f>
        <v>8</v>
      </c>
      <c r="F57" s="23" t="s">
        <v>154</v>
      </c>
      <c r="G57" s="25">
        <v>1005150000</v>
      </c>
      <c r="H57" s="22">
        <v>3</v>
      </c>
      <c r="I57" s="25">
        <v>483560000</v>
      </c>
      <c r="J57" s="22">
        <v>9</v>
      </c>
      <c r="K57" s="25">
        <v>1225885450</v>
      </c>
      <c r="L57" s="22">
        <v>0</v>
      </c>
      <c r="M57" s="25">
        <v>0</v>
      </c>
      <c r="N57" s="22">
        <v>0</v>
      </c>
      <c r="O57" s="25">
        <v>52162997</v>
      </c>
      <c r="P57" s="22">
        <v>6</v>
      </c>
      <c r="Q57" s="25">
        <v>483801224</v>
      </c>
      <c r="R57" s="22">
        <v>3</v>
      </c>
      <c r="S57" s="25">
        <v>675287130</v>
      </c>
      <c r="T57" s="56">
        <f t="shared" si="13"/>
        <v>9</v>
      </c>
      <c r="U57" s="56">
        <f t="shared" si="14"/>
        <v>100</v>
      </c>
      <c r="V57" s="37" t="s">
        <v>60</v>
      </c>
      <c r="W57" s="42">
        <f t="shared" si="19"/>
        <v>1211251351</v>
      </c>
      <c r="X57" s="55">
        <f t="shared" si="20"/>
        <v>98.806242540850775</v>
      </c>
      <c r="Y57" s="37" t="s">
        <v>60</v>
      </c>
      <c r="Z57" s="55">
        <f t="shared" si="21"/>
        <v>12</v>
      </c>
      <c r="AA57" s="42">
        <f t="shared" si="22"/>
        <v>1694811351</v>
      </c>
      <c r="AB57" s="55"/>
      <c r="AC57" s="37" t="s">
        <v>60</v>
      </c>
      <c r="AD57" s="55"/>
      <c r="AE57" s="13"/>
      <c r="AH57" s="27"/>
    </row>
    <row r="58" spans="1:34" ht="120" x14ac:dyDescent="0.2">
      <c r="A58" s="18"/>
      <c r="B58" s="19"/>
      <c r="C58" s="28" t="s">
        <v>274</v>
      </c>
      <c r="D58" s="31" t="s">
        <v>216</v>
      </c>
      <c r="E58" s="22">
        <f>8+13+13</f>
        <v>34</v>
      </c>
      <c r="F58" s="23" t="s">
        <v>144</v>
      </c>
      <c r="G58" s="52">
        <v>3364400000</v>
      </c>
      <c r="H58" s="46">
        <v>27</v>
      </c>
      <c r="I58" s="24">
        <v>3378658076</v>
      </c>
      <c r="J58" s="22">
        <v>18</v>
      </c>
      <c r="K58" s="25">
        <v>2172150000</v>
      </c>
      <c r="L58" s="22">
        <v>3</v>
      </c>
      <c r="M58" s="25">
        <v>0</v>
      </c>
      <c r="N58" s="22">
        <v>3</v>
      </c>
      <c r="O58" s="25">
        <v>324131000</v>
      </c>
      <c r="P58" s="22">
        <v>6</v>
      </c>
      <c r="Q58" s="25">
        <v>1193198030</v>
      </c>
      <c r="R58" s="22">
        <v>6</v>
      </c>
      <c r="S58" s="25">
        <v>644202939</v>
      </c>
      <c r="T58" s="56">
        <f t="shared" si="13"/>
        <v>18</v>
      </c>
      <c r="U58" s="56">
        <f t="shared" si="14"/>
        <v>100</v>
      </c>
      <c r="V58" s="37" t="s">
        <v>60</v>
      </c>
      <c r="W58" s="42">
        <f t="shared" si="19"/>
        <v>2161531969</v>
      </c>
      <c r="X58" s="55">
        <f t="shared" si="20"/>
        <v>99.511174136224483</v>
      </c>
      <c r="Y58" s="37" t="s">
        <v>60</v>
      </c>
      <c r="Z58" s="56">
        <f t="shared" si="21"/>
        <v>45</v>
      </c>
      <c r="AA58" s="42">
        <f t="shared" si="22"/>
        <v>5540190045</v>
      </c>
      <c r="AB58" s="55"/>
      <c r="AC58" s="37" t="s">
        <v>60</v>
      </c>
      <c r="AD58" s="55"/>
      <c r="AE58" s="13"/>
      <c r="AH58" s="27"/>
    </row>
    <row r="59" spans="1:34" ht="90" x14ac:dyDescent="0.2">
      <c r="A59" s="18"/>
      <c r="B59" s="19"/>
      <c r="C59" s="28" t="s">
        <v>98</v>
      </c>
      <c r="D59" s="31" t="s">
        <v>217</v>
      </c>
      <c r="E59" s="22">
        <f>9+12+12</f>
        <v>33</v>
      </c>
      <c r="F59" s="23" t="s">
        <v>154</v>
      </c>
      <c r="G59" s="52">
        <v>3209453000</v>
      </c>
      <c r="H59" s="46">
        <v>27</v>
      </c>
      <c r="I59" s="24">
        <v>1763118000</v>
      </c>
      <c r="J59" s="22">
        <v>14</v>
      </c>
      <c r="K59" s="25">
        <v>3330502050</v>
      </c>
      <c r="L59" s="22">
        <v>0</v>
      </c>
      <c r="M59" s="25">
        <v>0</v>
      </c>
      <c r="N59" s="22">
        <v>4</v>
      </c>
      <c r="O59" s="25">
        <v>298143204</v>
      </c>
      <c r="P59" s="22">
        <v>8</v>
      </c>
      <c r="Q59" s="25">
        <v>1313600353</v>
      </c>
      <c r="R59" s="22">
        <v>2</v>
      </c>
      <c r="S59" s="25">
        <v>1682911350</v>
      </c>
      <c r="T59" s="56">
        <f t="shared" si="13"/>
        <v>14</v>
      </c>
      <c r="U59" s="56">
        <f t="shared" si="14"/>
        <v>100</v>
      </c>
      <c r="V59" s="37" t="s">
        <v>60</v>
      </c>
      <c r="W59" s="42">
        <f t="shared" si="19"/>
        <v>3294654907</v>
      </c>
      <c r="X59" s="55">
        <f t="shared" si="20"/>
        <v>98.923671492710838</v>
      </c>
      <c r="Y59" s="37" t="s">
        <v>60</v>
      </c>
      <c r="Z59" s="56">
        <f t="shared" si="21"/>
        <v>41</v>
      </c>
      <c r="AA59" s="42">
        <f t="shared" si="22"/>
        <v>5057772907</v>
      </c>
      <c r="AB59" s="55"/>
      <c r="AC59" s="37" t="s">
        <v>60</v>
      </c>
      <c r="AD59" s="55"/>
      <c r="AE59" s="13"/>
      <c r="AH59" s="27"/>
    </row>
    <row r="60" spans="1:34" ht="120" x14ac:dyDescent="0.2">
      <c r="A60" s="18"/>
      <c r="B60" s="19"/>
      <c r="C60" s="28" t="s">
        <v>218</v>
      </c>
      <c r="D60" s="31" t="s">
        <v>219</v>
      </c>
      <c r="E60" s="22"/>
      <c r="F60" s="23" t="s">
        <v>154</v>
      </c>
      <c r="G60" s="52"/>
      <c r="H60" s="46"/>
      <c r="I60" s="24"/>
      <c r="J60" s="22">
        <v>8</v>
      </c>
      <c r="K60" s="25">
        <v>1272900000</v>
      </c>
      <c r="L60" s="22">
        <v>0</v>
      </c>
      <c r="M60" s="25">
        <v>0</v>
      </c>
      <c r="N60" s="22">
        <v>2</v>
      </c>
      <c r="O60" s="25">
        <v>110416750</v>
      </c>
      <c r="P60" s="22">
        <v>4</v>
      </c>
      <c r="Q60" s="25">
        <v>173969000</v>
      </c>
      <c r="R60" s="22">
        <v>2</v>
      </c>
      <c r="S60" s="25">
        <v>971618950</v>
      </c>
      <c r="T60" s="56">
        <f t="shared" si="13"/>
        <v>8</v>
      </c>
      <c r="U60" s="56">
        <f t="shared" si="14"/>
        <v>100</v>
      </c>
      <c r="V60" s="37" t="s">
        <v>60</v>
      </c>
      <c r="W60" s="42">
        <f t="shared" si="19"/>
        <v>1256004700</v>
      </c>
      <c r="X60" s="55">
        <f t="shared" si="20"/>
        <v>98.672692277476628</v>
      </c>
      <c r="Y60" s="37" t="s">
        <v>60</v>
      </c>
      <c r="Z60" s="56">
        <f t="shared" si="21"/>
        <v>8</v>
      </c>
      <c r="AA60" s="42">
        <f t="shared" si="22"/>
        <v>1256004700</v>
      </c>
      <c r="AB60" s="55"/>
      <c r="AC60" s="37" t="s">
        <v>60</v>
      </c>
      <c r="AD60" s="55"/>
      <c r="AE60" s="13"/>
      <c r="AH60" s="27"/>
    </row>
    <row r="61" spans="1:34" ht="120" x14ac:dyDescent="0.2">
      <c r="A61" s="18"/>
      <c r="B61" s="19"/>
      <c r="C61" s="28" t="s">
        <v>186</v>
      </c>
      <c r="D61" s="31" t="s">
        <v>220</v>
      </c>
      <c r="E61" s="22"/>
      <c r="F61" s="23" t="s">
        <v>154</v>
      </c>
      <c r="G61" s="52"/>
      <c r="H61" s="46"/>
      <c r="I61" s="24"/>
      <c r="J61" s="22">
        <v>3</v>
      </c>
      <c r="K61" s="25">
        <v>119000000</v>
      </c>
      <c r="L61" s="22">
        <v>0</v>
      </c>
      <c r="M61" s="25">
        <v>0</v>
      </c>
      <c r="N61" s="22">
        <v>0</v>
      </c>
      <c r="O61" s="25">
        <v>0</v>
      </c>
      <c r="P61" s="22">
        <v>1</v>
      </c>
      <c r="Q61" s="25">
        <v>28895444</v>
      </c>
      <c r="R61" s="22">
        <v>2</v>
      </c>
      <c r="S61" s="25">
        <v>86686333</v>
      </c>
      <c r="T61" s="56">
        <f t="shared" si="13"/>
        <v>3</v>
      </c>
      <c r="U61" s="56">
        <f t="shared" si="14"/>
        <v>100</v>
      </c>
      <c r="V61" s="37" t="s">
        <v>60</v>
      </c>
      <c r="W61" s="42">
        <f t="shared" si="19"/>
        <v>115581777</v>
      </c>
      <c r="X61" s="55">
        <f t="shared" si="20"/>
        <v>97.127543697478984</v>
      </c>
      <c r="Y61" s="37" t="s">
        <v>60</v>
      </c>
      <c r="Z61" s="56">
        <f t="shared" si="21"/>
        <v>3</v>
      </c>
      <c r="AA61" s="42">
        <f t="shared" si="22"/>
        <v>115581777</v>
      </c>
      <c r="AB61" s="55"/>
      <c r="AC61" s="37" t="s">
        <v>60</v>
      </c>
      <c r="AD61" s="55"/>
      <c r="AE61" s="13"/>
      <c r="AH61" s="27"/>
    </row>
    <row r="62" spans="1:34" ht="150" x14ac:dyDescent="0.2">
      <c r="A62" s="18"/>
      <c r="B62" s="19"/>
      <c r="C62" s="28" t="s">
        <v>99</v>
      </c>
      <c r="D62" s="31" t="s">
        <v>233</v>
      </c>
      <c r="E62" s="22">
        <f>3+5+5</f>
        <v>13</v>
      </c>
      <c r="F62" s="23" t="s">
        <v>144</v>
      </c>
      <c r="G62" s="52">
        <v>795000000</v>
      </c>
      <c r="H62" s="46">
        <v>7</v>
      </c>
      <c r="I62" s="24">
        <v>279402000</v>
      </c>
      <c r="J62" s="22">
        <v>8</v>
      </c>
      <c r="K62" s="25">
        <v>495700000</v>
      </c>
      <c r="L62" s="22">
        <v>0</v>
      </c>
      <c r="M62" s="25">
        <v>0</v>
      </c>
      <c r="N62" s="22">
        <v>2</v>
      </c>
      <c r="O62" s="25">
        <v>69667250</v>
      </c>
      <c r="P62" s="22">
        <v>4</v>
      </c>
      <c r="Q62" s="25">
        <v>228369600</v>
      </c>
      <c r="R62" s="22">
        <v>2</v>
      </c>
      <c r="S62" s="25">
        <v>190933250</v>
      </c>
      <c r="T62" s="56">
        <f t="shared" si="13"/>
        <v>8</v>
      </c>
      <c r="U62" s="56">
        <f t="shared" si="14"/>
        <v>100</v>
      </c>
      <c r="V62" s="37" t="s">
        <v>60</v>
      </c>
      <c r="W62" s="42">
        <f t="shared" si="19"/>
        <v>488970100</v>
      </c>
      <c r="X62" s="55">
        <f t="shared" si="20"/>
        <v>98.642344159774055</v>
      </c>
      <c r="Y62" s="37" t="s">
        <v>60</v>
      </c>
      <c r="Z62" s="56">
        <f t="shared" si="21"/>
        <v>15</v>
      </c>
      <c r="AA62" s="42">
        <f t="shared" si="22"/>
        <v>768372100</v>
      </c>
      <c r="AB62" s="55"/>
      <c r="AC62" s="37" t="s">
        <v>60</v>
      </c>
      <c r="AD62" s="55"/>
      <c r="AE62" s="13"/>
      <c r="AH62" s="27"/>
    </row>
    <row r="63" spans="1:34" ht="75" x14ac:dyDescent="0.2">
      <c r="A63" s="18"/>
      <c r="B63" s="19"/>
      <c r="C63" s="28" t="s">
        <v>100</v>
      </c>
      <c r="D63" s="31" t="s">
        <v>221</v>
      </c>
      <c r="E63" s="22">
        <f>5+1+1</f>
        <v>7</v>
      </c>
      <c r="F63" s="23" t="s">
        <v>61</v>
      </c>
      <c r="G63" s="52">
        <v>1732120000</v>
      </c>
      <c r="H63" s="46">
        <v>21</v>
      </c>
      <c r="I63" s="24">
        <v>1807152000</v>
      </c>
      <c r="J63" s="22">
        <v>6</v>
      </c>
      <c r="K63" s="25">
        <v>1265000000</v>
      </c>
      <c r="L63" s="22">
        <v>0</v>
      </c>
      <c r="M63" s="25">
        <v>0</v>
      </c>
      <c r="N63" s="22">
        <v>0</v>
      </c>
      <c r="O63" s="25">
        <v>0</v>
      </c>
      <c r="P63" s="22">
        <v>4</v>
      </c>
      <c r="Q63" s="25">
        <v>463222000</v>
      </c>
      <c r="R63" s="22">
        <v>2</v>
      </c>
      <c r="S63" s="25">
        <v>747700000</v>
      </c>
      <c r="T63" s="56">
        <f t="shared" si="13"/>
        <v>6</v>
      </c>
      <c r="U63" s="56">
        <f t="shared" si="14"/>
        <v>100</v>
      </c>
      <c r="V63" s="37" t="s">
        <v>60</v>
      </c>
      <c r="W63" s="42">
        <f t="shared" si="19"/>
        <v>1210922000</v>
      </c>
      <c r="X63" s="55">
        <f t="shared" si="20"/>
        <v>95.725059288537551</v>
      </c>
      <c r="Y63" s="37" t="s">
        <v>60</v>
      </c>
      <c r="Z63" s="56">
        <f t="shared" si="21"/>
        <v>27</v>
      </c>
      <c r="AA63" s="42">
        <f t="shared" si="22"/>
        <v>3018074000</v>
      </c>
      <c r="AB63" s="55"/>
      <c r="AC63" s="37" t="s">
        <v>60</v>
      </c>
      <c r="AD63" s="55"/>
      <c r="AE63" s="13"/>
      <c r="AH63" s="27"/>
    </row>
    <row r="64" spans="1:34" ht="135" x14ac:dyDescent="0.2">
      <c r="A64" s="18"/>
      <c r="B64" s="19"/>
      <c r="C64" s="28" t="s">
        <v>101</v>
      </c>
      <c r="D64" s="31" t="s">
        <v>222</v>
      </c>
      <c r="E64" s="22">
        <f>4+4+4</f>
        <v>12</v>
      </c>
      <c r="F64" s="49" t="s">
        <v>223</v>
      </c>
      <c r="G64" s="25">
        <v>2801914700</v>
      </c>
      <c r="H64" s="46">
        <v>5</v>
      </c>
      <c r="I64" s="24">
        <v>803024500</v>
      </c>
      <c r="J64" s="22">
        <v>4</v>
      </c>
      <c r="K64" s="25">
        <v>333763500</v>
      </c>
      <c r="L64" s="22">
        <v>0</v>
      </c>
      <c r="M64" s="25">
        <v>0</v>
      </c>
      <c r="N64" s="22">
        <v>4</v>
      </c>
      <c r="O64" s="25">
        <v>333763500</v>
      </c>
      <c r="P64" s="22">
        <v>0</v>
      </c>
      <c r="Q64" s="25">
        <v>0</v>
      </c>
      <c r="R64" s="22"/>
      <c r="S64" s="25">
        <v>0</v>
      </c>
      <c r="T64" s="56">
        <f t="shared" si="13"/>
        <v>4</v>
      </c>
      <c r="U64" s="56">
        <f t="shared" si="14"/>
        <v>100</v>
      </c>
      <c r="V64" s="37" t="s">
        <v>60</v>
      </c>
      <c r="W64" s="42">
        <f t="shared" si="19"/>
        <v>333763500</v>
      </c>
      <c r="X64" s="55">
        <f t="shared" si="20"/>
        <v>100</v>
      </c>
      <c r="Y64" s="37" t="s">
        <v>60</v>
      </c>
      <c r="Z64" s="56">
        <f t="shared" si="21"/>
        <v>9</v>
      </c>
      <c r="AA64" s="42">
        <f t="shared" si="22"/>
        <v>1136788000</v>
      </c>
      <c r="AB64" s="55"/>
      <c r="AC64" s="37" t="s">
        <v>60</v>
      </c>
      <c r="AD64" s="55"/>
      <c r="AE64" s="13"/>
      <c r="AH64" s="27"/>
    </row>
    <row r="65" spans="1:34" ht="150" x14ac:dyDescent="0.2">
      <c r="A65" s="18"/>
      <c r="B65" s="19"/>
      <c r="C65" s="28" t="s">
        <v>102</v>
      </c>
      <c r="D65" s="31" t="s">
        <v>224</v>
      </c>
      <c r="E65" s="105">
        <f>H65+954+954</f>
        <v>3812.916666666667</v>
      </c>
      <c r="F65" s="23" t="s">
        <v>59</v>
      </c>
      <c r="G65" s="52">
        <v>22741032000</v>
      </c>
      <c r="H65" s="46">
        <v>1904.9166666666667</v>
      </c>
      <c r="I65" s="24">
        <v>14462358784</v>
      </c>
      <c r="J65" s="22">
        <v>953</v>
      </c>
      <c r="K65" s="25">
        <v>6949762000</v>
      </c>
      <c r="L65" s="22">
        <v>953</v>
      </c>
      <c r="M65" s="25">
        <v>1170500000</v>
      </c>
      <c r="N65" s="22">
        <v>953</v>
      </c>
      <c r="O65" s="25">
        <v>1758544848</v>
      </c>
      <c r="P65" s="22">
        <v>667</v>
      </c>
      <c r="Q65" s="25">
        <v>1833000000</v>
      </c>
      <c r="R65" s="46">
        <v>667</v>
      </c>
      <c r="S65" s="25">
        <v>1536640568</v>
      </c>
      <c r="T65" s="56">
        <f>AVERAGE(L65,N65,P65,R65)</f>
        <v>810</v>
      </c>
      <c r="U65" s="55">
        <f t="shared" si="14"/>
        <v>84.994753410283323</v>
      </c>
      <c r="V65" s="37" t="s">
        <v>60</v>
      </c>
      <c r="W65" s="42">
        <f t="shared" si="19"/>
        <v>6298685416</v>
      </c>
      <c r="X65" s="55">
        <f t="shared" si="20"/>
        <v>90.631670782395133</v>
      </c>
      <c r="Y65" s="37" t="s">
        <v>60</v>
      </c>
      <c r="Z65" s="56">
        <f t="shared" si="21"/>
        <v>2714.916666666667</v>
      </c>
      <c r="AA65" s="42">
        <f t="shared" si="22"/>
        <v>20761044200</v>
      </c>
      <c r="AB65" s="55"/>
      <c r="AC65" s="37" t="s">
        <v>60</v>
      </c>
      <c r="AD65" s="55"/>
      <c r="AE65" s="13"/>
      <c r="AH65" s="27"/>
    </row>
    <row r="66" spans="1:34" ht="75" x14ac:dyDescent="0.2">
      <c r="A66" s="18"/>
      <c r="B66" s="19"/>
      <c r="C66" s="28" t="s">
        <v>104</v>
      </c>
      <c r="D66" s="31" t="s">
        <v>225</v>
      </c>
      <c r="E66" s="105">
        <f>J66+18648+18668</f>
        <v>55946</v>
      </c>
      <c r="F66" s="49" t="s">
        <v>226</v>
      </c>
      <c r="G66" s="53">
        <v>53061923596</v>
      </c>
      <c r="H66" s="107">
        <v>37260</v>
      </c>
      <c r="I66" s="24">
        <v>4788487000</v>
      </c>
      <c r="J66" s="105">
        <v>18630</v>
      </c>
      <c r="K66" s="25">
        <v>17558482177</v>
      </c>
      <c r="L66" s="105">
        <v>18630</v>
      </c>
      <c r="M66" s="25">
        <v>0</v>
      </c>
      <c r="N66" s="105">
        <v>18630</v>
      </c>
      <c r="O66" s="25">
        <v>0</v>
      </c>
      <c r="P66" s="105">
        <v>18630</v>
      </c>
      <c r="Q66" s="25">
        <v>0</v>
      </c>
      <c r="R66" s="105">
        <v>18630</v>
      </c>
      <c r="S66" s="25">
        <v>16766780000</v>
      </c>
      <c r="T66" s="107">
        <f>AVERAGE(L66,P66,R66)</f>
        <v>18630</v>
      </c>
      <c r="U66" s="56">
        <f t="shared" si="14"/>
        <v>100</v>
      </c>
      <c r="V66" s="37" t="s">
        <v>60</v>
      </c>
      <c r="W66" s="42">
        <f t="shared" si="19"/>
        <v>16766780000</v>
      </c>
      <c r="X66" s="55">
        <f t="shared" si="20"/>
        <v>95.491055724411893</v>
      </c>
      <c r="Y66" s="37" t="s">
        <v>60</v>
      </c>
      <c r="Z66" s="56">
        <f t="shared" si="21"/>
        <v>55890</v>
      </c>
      <c r="AA66" s="42">
        <f t="shared" si="22"/>
        <v>21555267000</v>
      </c>
      <c r="AB66" s="55"/>
      <c r="AC66" s="37" t="s">
        <v>60</v>
      </c>
      <c r="AD66" s="55"/>
      <c r="AE66" s="13"/>
      <c r="AH66" s="27"/>
    </row>
    <row r="67" spans="1:34" ht="60" x14ac:dyDescent="0.2">
      <c r="A67" s="18"/>
      <c r="B67" s="19"/>
      <c r="C67" s="115" t="s">
        <v>164</v>
      </c>
      <c r="D67" s="114" t="s">
        <v>227</v>
      </c>
      <c r="E67" s="22">
        <v>2</v>
      </c>
      <c r="F67" s="23" t="s">
        <v>61</v>
      </c>
      <c r="G67" s="25">
        <v>401800000</v>
      </c>
      <c r="H67" s="22">
        <v>2</v>
      </c>
      <c r="I67" s="24">
        <v>598018400</v>
      </c>
      <c r="J67" s="22"/>
      <c r="K67" s="25"/>
      <c r="L67" s="22"/>
      <c r="M67" s="25"/>
      <c r="N67" s="22"/>
      <c r="O67" s="25"/>
      <c r="P67" s="22"/>
      <c r="Q67" s="25"/>
      <c r="R67" s="22"/>
      <c r="S67" s="25"/>
      <c r="T67" s="56"/>
      <c r="U67" s="56"/>
      <c r="V67" s="37"/>
      <c r="W67" s="42"/>
      <c r="X67" s="55"/>
      <c r="Y67" s="37"/>
      <c r="Z67" s="56">
        <f t="shared" si="21"/>
        <v>2</v>
      </c>
      <c r="AA67" s="42">
        <f t="shared" si="22"/>
        <v>598018400</v>
      </c>
      <c r="AB67" s="55"/>
      <c r="AC67" s="37" t="s">
        <v>60</v>
      </c>
      <c r="AD67" s="55"/>
      <c r="AE67" s="13"/>
      <c r="AH67" s="27"/>
    </row>
    <row r="68" spans="1:34" ht="240" x14ac:dyDescent="0.2">
      <c r="A68" s="18"/>
      <c r="B68" s="19"/>
      <c r="C68" s="115" t="s">
        <v>103</v>
      </c>
      <c r="D68" s="114" t="s">
        <v>228</v>
      </c>
      <c r="E68" s="106">
        <f>J68*2</f>
        <v>0</v>
      </c>
      <c r="F68" s="49" t="s">
        <v>59</v>
      </c>
      <c r="G68" s="52">
        <v>1499942700</v>
      </c>
      <c r="H68" s="46">
        <v>600</v>
      </c>
      <c r="I68" s="24">
        <v>455570550</v>
      </c>
      <c r="J68" s="22"/>
      <c r="K68" s="25"/>
      <c r="L68" s="22"/>
      <c r="M68" s="25"/>
      <c r="N68" s="22"/>
      <c r="O68" s="25"/>
      <c r="P68" s="22"/>
      <c r="Q68" s="25"/>
      <c r="R68" s="22"/>
      <c r="S68" s="25"/>
      <c r="T68" s="56"/>
      <c r="U68" s="56"/>
      <c r="V68" s="37"/>
      <c r="W68" s="42"/>
      <c r="X68" s="55"/>
      <c r="Y68" s="37"/>
      <c r="Z68" s="56">
        <f t="shared" si="21"/>
        <v>600</v>
      </c>
      <c r="AA68" s="42">
        <f t="shared" si="22"/>
        <v>455570550</v>
      </c>
      <c r="AB68" s="55"/>
      <c r="AC68" s="37" t="s">
        <v>60</v>
      </c>
      <c r="AD68" s="55"/>
      <c r="AE68" s="13"/>
      <c r="AH68" s="27"/>
    </row>
    <row r="69" spans="1:34" s="80" customFormat="1" ht="137.25" customHeight="1" x14ac:dyDescent="0.25">
      <c r="A69" s="18"/>
      <c r="B69" s="19"/>
      <c r="C69" s="20" t="s">
        <v>113</v>
      </c>
      <c r="D69" s="21" t="s">
        <v>166</v>
      </c>
      <c r="E69" s="47">
        <v>100</v>
      </c>
      <c r="F69" s="48" t="s">
        <v>60</v>
      </c>
      <c r="G69" s="44">
        <f>SUM(G70:G85)</f>
        <v>34228281000</v>
      </c>
      <c r="H69" s="47">
        <v>460.24096385542174</v>
      </c>
      <c r="I69" s="44">
        <f>SUM(I70:I85)</f>
        <v>16671529975</v>
      </c>
      <c r="J69" s="47">
        <v>100</v>
      </c>
      <c r="K69" s="44">
        <f>SUM(K70:K79)</f>
        <v>13260822973</v>
      </c>
      <c r="L69" s="108">
        <f>SUM(L70:L78)/SUM(J70:J78)*100</f>
        <v>90.756302521008408</v>
      </c>
      <c r="M69" s="44">
        <f>SUM(M70:M79)</f>
        <v>313250282</v>
      </c>
      <c r="N69" s="108">
        <f>SUM(N70:N78)/SUM(J70:J78)*100</f>
        <v>92.436974789915965</v>
      </c>
      <c r="O69" s="44">
        <f>SUM(O70:O79)</f>
        <v>941419789</v>
      </c>
      <c r="P69" s="108">
        <v>0</v>
      </c>
      <c r="Q69" s="44">
        <f>SUM(Q70:Q79)</f>
        <v>1923446444</v>
      </c>
      <c r="R69" s="108">
        <v>0</v>
      </c>
      <c r="S69" s="44">
        <f>SUM(S70:S79)</f>
        <v>9281693125</v>
      </c>
      <c r="T69" s="108">
        <f>SUM(T70:T79)/SUM(J70:J79)*100</f>
        <v>99.122340425531917</v>
      </c>
      <c r="U69" s="59">
        <f t="shared" ref="U69:U79" si="23">T69/J69*100</f>
        <v>99.122340425531917</v>
      </c>
      <c r="V69" s="60" t="s">
        <v>60</v>
      </c>
      <c r="W69" s="61">
        <f t="shared" ref="W69:W79" si="24">SUM(M69,O69,Q69,S69)</f>
        <v>12459809640</v>
      </c>
      <c r="X69" s="59">
        <f t="shared" ref="X69:X79" si="25">W69/K69*100</f>
        <v>93.959550364023997</v>
      </c>
      <c r="Y69" s="60" t="s">
        <v>60</v>
      </c>
      <c r="Z69" s="57">
        <f t="shared" si="21"/>
        <v>559.36330428095368</v>
      </c>
      <c r="AA69" s="61">
        <f t="shared" si="22"/>
        <v>29131339615</v>
      </c>
      <c r="AB69" s="59"/>
      <c r="AC69" s="60" t="s">
        <v>60</v>
      </c>
      <c r="AD69" s="59"/>
      <c r="AE69" s="79"/>
      <c r="AH69" s="81"/>
    </row>
    <row r="70" spans="1:34" ht="90" x14ac:dyDescent="0.2">
      <c r="A70" s="74"/>
      <c r="B70" s="75"/>
      <c r="C70" s="28" t="s">
        <v>185</v>
      </c>
      <c r="D70" s="31" t="s">
        <v>214</v>
      </c>
      <c r="E70" s="22"/>
      <c r="F70" s="23" t="s">
        <v>154</v>
      </c>
      <c r="G70" s="25"/>
      <c r="H70" s="22"/>
      <c r="I70" s="25"/>
      <c r="J70" s="22">
        <v>1</v>
      </c>
      <c r="K70" s="25">
        <v>253506000</v>
      </c>
      <c r="L70" s="22">
        <v>0</v>
      </c>
      <c r="M70" s="25">
        <v>0</v>
      </c>
      <c r="N70" s="22">
        <v>0</v>
      </c>
      <c r="O70" s="25">
        <v>0</v>
      </c>
      <c r="P70" s="22">
        <v>0</v>
      </c>
      <c r="Q70" s="25">
        <v>62004279</v>
      </c>
      <c r="R70" s="22">
        <v>1</v>
      </c>
      <c r="S70" s="25">
        <v>186012835</v>
      </c>
      <c r="T70" s="56">
        <f t="shared" ref="T70:T77" si="26">SUM(L70,N70,P70,R70)</f>
        <v>1</v>
      </c>
      <c r="U70" s="56">
        <f t="shared" si="23"/>
        <v>100</v>
      </c>
      <c r="V70" s="37" t="s">
        <v>60</v>
      </c>
      <c r="W70" s="42">
        <f t="shared" si="24"/>
        <v>248017114</v>
      </c>
      <c r="X70" s="55">
        <f t="shared" si="25"/>
        <v>97.834810221454333</v>
      </c>
      <c r="Y70" s="37" t="s">
        <v>60</v>
      </c>
      <c r="Z70" s="55">
        <f t="shared" si="21"/>
        <v>1</v>
      </c>
      <c r="AA70" s="42">
        <f t="shared" si="22"/>
        <v>248017114</v>
      </c>
      <c r="AB70" s="55"/>
      <c r="AC70" s="37" t="s">
        <v>60</v>
      </c>
      <c r="AD70" s="55"/>
      <c r="AE70" s="13"/>
      <c r="AH70" s="27"/>
    </row>
    <row r="71" spans="1:34" ht="75" x14ac:dyDescent="0.2">
      <c r="A71" s="74"/>
      <c r="B71" s="75"/>
      <c r="C71" s="28" t="s">
        <v>63</v>
      </c>
      <c r="D71" s="31" t="s">
        <v>215</v>
      </c>
      <c r="E71" s="22">
        <f>J71*3</f>
        <v>3</v>
      </c>
      <c r="F71" s="23" t="s">
        <v>154</v>
      </c>
      <c r="G71" s="25">
        <v>1359800000</v>
      </c>
      <c r="H71" s="22">
        <v>1</v>
      </c>
      <c r="I71" s="25">
        <v>173880500</v>
      </c>
      <c r="J71" s="22">
        <v>1</v>
      </c>
      <c r="K71" s="25">
        <v>518000000</v>
      </c>
      <c r="L71" s="22">
        <v>0</v>
      </c>
      <c r="M71" s="25">
        <v>0</v>
      </c>
      <c r="N71" s="22">
        <v>0</v>
      </c>
      <c r="O71" s="25">
        <v>52162997</v>
      </c>
      <c r="P71" s="22">
        <v>0</v>
      </c>
      <c r="Q71" s="25">
        <v>90637003</v>
      </c>
      <c r="R71" s="22">
        <v>1</v>
      </c>
      <c r="S71" s="25">
        <v>357640750</v>
      </c>
      <c r="T71" s="56">
        <f t="shared" si="26"/>
        <v>1</v>
      </c>
      <c r="U71" s="56">
        <f t="shared" si="23"/>
        <v>100</v>
      </c>
      <c r="V71" s="37" t="s">
        <v>60</v>
      </c>
      <c r="W71" s="42">
        <f t="shared" si="24"/>
        <v>500440750</v>
      </c>
      <c r="X71" s="55">
        <f t="shared" si="25"/>
        <v>96.6101833976834</v>
      </c>
      <c r="Y71" s="37" t="s">
        <v>60</v>
      </c>
      <c r="Z71" s="55">
        <f t="shared" si="21"/>
        <v>2</v>
      </c>
      <c r="AA71" s="42">
        <f t="shared" si="22"/>
        <v>674321250</v>
      </c>
      <c r="AB71" s="55"/>
      <c r="AC71" s="37" t="s">
        <v>60</v>
      </c>
      <c r="AD71" s="55"/>
      <c r="AE71" s="13"/>
      <c r="AH71" s="27"/>
    </row>
    <row r="72" spans="1:34" ht="75" x14ac:dyDescent="0.2">
      <c r="A72" s="74"/>
      <c r="B72" s="75"/>
      <c r="C72" s="28" t="s">
        <v>187</v>
      </c>
      <c r="D72" s="31" t="s">
        <v>229</v>
      </c>
      <c r="E72" s="22"/>
      <c r="F72" s="23" t="s">
        <v>154</v>
      </c>
      <c r="G72" s="25"/>
      <c r="H72" s="22"/>
      <c r="I72" s="25"/>
      <c r="J72" s="22">
        <v>2</v>
      </c>
      <c r="K72" s="25">
        <v>1125690000</v>
      </c>
      <c r="L72" s="22">
        <v>0</v>
      </c>
      <c r="M72" s="25">
        <v>0</v>
      </c>
      <c r="N72" s="22">
        <v>0</v>
      </c>
      <c r="O72" s="25">
        <v>0</v>
      </c>
      <c r="P72" s="22">
        <v>0</v>
      </c>
      <c r="Q72" s="25">
        <v>276614469</v>
      </c>
      <c r="R72" s="22">
        <v>2</v>
      </c>
      <c r="S72" s="25">
        <v>829843407</v>
      </c>
      <c r="T72" s="56">
        <f t="shared" si="26"/>
        <v>2</v>
      </c>
      <c r="U72" s="56">
        <f t="shared" si="23"/>
        <v>100</v>
      </c>
      <c r="V72" s="37" t="s">
        <v>60</v>
      </c>
      <c r="W72" s="42">
        <f t="shared" si="24"/>
        <v>1106457876</v>
      </c>
      <c r="X72" s="55">
        <f t="shared" si="25"/>
        <v>98.291525730885056</v>
      </c>
      <c r="Y72" s="37" t="s">
        <v>60</v>
      </c>
      <c r="Z72" s="55">
        <f t="shared" si="21"/>
        <v>2</v>
      </c>
      <c r="AA72" s="42">
        <f t="shared" si="22"/>
        <v>1106457876</v>
      </c>
      <c r="AB72" s="55"/>
      <c r="AC72" s="37" t="s">
        <v>60</v>
      </c>
      <c r="AD72" s="55"/>
      <c r="AE72" s="13"/>
      <c r="AH72" s="27"/>
    </row>
    <row r="73" spans="1:34" ht="75" x14ac:dyDescent="0.2">
      <c r="A73" s="74"/>
      <c r="B73" s="75"/>
      <c r="C73" s="28" t="s">
        <v>275</v>
      </c>
      <c r="D73" s="31" t="s">
        <v>230</v>
      </c>
      <c r="E73" s="22"/>
      <c r="F73" s="23" t="s">
        <v>154</v>
      </c>
      <c r="G73" s="25"/>
      <c r="H73" s="22"/>
      <c r="I73" s="25"/>
      <c r="J73" s="22">
        <v>1</v>
      </c>
      <c r="K73" s="25">
        <v>154488000</v>
      </c>
      <c r="L73" s="22">
        <v>0</v>
      </c>
      <c r="M73" s="25">
        <v>0</v>
      </c>
      <c r="N73" s="22">
        <v>0</v>
      </c>
      <c r="O73" s="25">
        <v>0</v>
      </c>
      <c r="P73" s="22">
        <v>0</v>
      </c>
      <c r="Q73" s="25">
        <v>37663300</v>
      </c>
      <c r="R73" s="22">
        <v>1</v>
      </c>
      <c r="S73" s="25">
        <v>112989900</v>
      </c>
      <c r="T73" s="56">
        <f t="shared" si="26"/>
        <v>1</v>
      </c>
      <c r="U73" s="56">
        <f t="shared" si="23"/>
        <v>100</v>
      </c>
      <c r="V73" s="37" t="s">
        <v>60</v>
      </c>
      <c r="W73" s="42">
        <f t="shared" si="24"/>
        <v>150653200</v>
      </c>
      <c r="X73" s="55">
        <f t="shared" si="25"/>
        <v>97.51773600538553</v>
      </c>
      <c r="Y73" s="37" t="s">
        <v>60</v>
      </c>
      <c r="Z73" s="55">
        <f t="shared" si="21"/>
        <v>1</v>
      </c>
      <c r="AA73" s="42">
        <f t="shared" si="22"/>
        <v>150653200</v>
      </c>
      <c r="AB73" s="55"/>
      <c r="AC73" s="37" t="s">
        <v>60</v>
      </c>
      <c r="AD73" s="55"/>
      <c r="AE73" s="13"/>
      <c r="AH73" s="27"/>
    </row>
    <row r="74" spans="1:34" ht="75" x14ac:dyDescent="0.2">
      <c r="A74" s="18"/>
      <c r="B74" s="19"/>
      <c r="C74" s="28" t="s">
        <v>105</v>
      </c>
      <c r="D74" s="31" t="s">
        <v>231</v>
      </c>
      <c r="E74" s="22">
        <f>1+2+1</f>
        <v>4</v>
      </c>
      <c r="F74" s="23" t="s">
        <v>144</v>
      </c>
      <c r="G74" s="52">
        <v>1000000000</v>
      </c>
      <c r="H74" s="46">
        <v>1</v>
      </c>
      <c r="I74" s="24">
        <v>233527011</v>
      </c>
      <c r="J74" s="22">
        <v>1</v>
      </c>
      <c r="K74" s="25">
        <v>200885000</v>
      </c>
      <c r="L74" s="22">
        <v>0</v>
      </c>
      <c r="M74" s="25">
        <v>0</v>
      </c>
      <c r="N74" s="22">
        <v>0</v>
      </c>
      <c r="O74" s="25">
        <v>92263000</v>
      </c>
      <c r="P74" s="22">
        <v>1</v>
      </c>
      <c r="Q74" s="25">
        <v>107317000</v>
      </c>
      <c r="R74" s="22"/>
      <c r="S74" s="25">
        <v>0</v>
      </c>
      <c r="T74" s="56">
        <f t="shared" si="26"/>
        <v>1</v>
      </c>
      <c r="U74" s="56">
        <f t="shared" si="23"/>
        <v>100</v>
      </c>
      <c r="V74" s="37" t="s">
        <v>60</v>
      </c>
      <c r="W74" s="42">
        <f t="shared" si="24"/>
        <v>199580000</v>
      </c>
      <c r="X74" s="55">
        <f t="shared" si="25"/>
        <v>99.350374592428508</v>
      </c>
      <c r="Y74" s="37" t="s">
        <v>60</v>
      </c>
      <c r="Z74" s="56">
        <f t="shared" si="21"/>
        <v>2</v>
      </c>
      <c r="AA74" s="42">
        <f t="shared" si="22"/>
        <v>433107011</v>
      </c>
      <c r="AB74" s="55"/>
      <c r="AC74" s="37" t="s">
        <v>60</v>
      </c>
      <c r="AD74" s="55"/>
      <c r="AE74" s="13"/>
      <c r="AH74" s="27"/>
    </row>
    <row r="75" spans="1:34" ht="105.75" customHeight="1" x14ac:dyDescent="0.2">
      <c r="A75" s="18"/>
      <c r="B75" s="19"/>
      <c r="C75" s="28" t="s">
        <v>155</v>
      </c>
      <c r="D75" s="31" t="s">
        <v>232</v>
      </c>
      <c r="E75" s="22">
        <v>9</v>
      </c>
      <c r="F75" s="23" t="s">
        <v>144</v>
      </c>
      <c r="G75" s="52">
        <v>1552050000</v>
      </c>
      <c r="H75" s="46">
        <v>10</v>
      </c>
      <c r="I75" s="24">
        <v>1867868783</v>
      </c>
      <c r="J75" s="22">
        <v>3</v>
      </c>
      <c r="K75" s="25">
        <v>449900000</v>
      </c>
      <c r="L75" s="22">
        <v>0</v>
      </c>
      <c r="M75" s="25">
        <v>149379946</v>
      </c>
      <c r="N75" s="22">
        <v>1</v>
      </c>
      <c r="O75" s="25">
        <v>174751054</v>
      </c>
      <c r="P75" s="22">
        <v>1</v>
      </c>
      <c r="Q75" s="25">
        <v>117953440</v>
      </c>
      <c r="R75" s="22">
        <v>1</v>
      </c>
      <c r="S75" s="25">
        <v>5701050</v>
      </c>
      <c r="T75" s="56">
        <f t="shared" si="26"/>
        <v>3</v>
      </c>
      <c r="U75" s="56">
        <f t="shared" si="23"/>
        <v>100</v>
      </c>
      <c r="V75" s="37" t="s">
        <v>60</v>
      </c>
      <c r="W75" s="42">
        <f t="shared" si="24"/>
        <v>447785490</v>
      </c>
      <c r="X75" s="55">
        <f t="shared" si="25"/>
        <v>99.530004445432326</v>
      </c>
      <c r="Y75" s="37" t="s">
        <v>60</v>
      </c>
      <c r="Z75" s="56">
        <f t="shared" si="21"/>
        <v>13</v>
      </c>
      <c r="AA75" s="42">
        <f t="shared" si="22"/>
        <v>2315654273</v>
      </c>
      <c r="AB75" s="55"/>
      <c r="AC75" s="37" t="s">
        <v>60</v>
      </c>
      <c r="AD75" s="55"/>
      <c r="AE75" s="13"/>
      <c r="AH75" s="27"/>
    </row>
    <row r="76" spans="1:34" ht="150" x14ac:dyDescent="0.2">
      <c r="A76" s="18"/>
      <c r="B76" s="19"/>
      <c r="C76" s="28" t="s">
        <v>109</v>
      </c>
      <c r="D76" s="31" t="s">
        <v>233</v>
      </c>
      <c r="E76" s="22">
        <f>2+4+6</f>
        <v>12</v>
      </c>
      <c r="F76" s="23" t="s">
        <v>144</v>
      </c>
      <c r="G76" s="52">
        <v>1428346450</v>
      </c>
      <c r="H76" s="46">
        <v>4</v>
      </c>
      <c r="I76" s="24">
        <v>548292363</v>
      </c>
      <c r="J76" s="22">
        <v>9</v>
      </c>
      <c r="K76" s="25">
        <v>2219315000</v>
      </c>
      <c r="L76" s="22">
        <v>0</v>
      </c>
      <c r="M76" s="25">
        <v>0</v>
      </c>
      <c r="N76" s="22">
        <v>3</v>
      </c>
      <c r="O76" s="25">
        <v>69667250</v>
      </c>
      <c r="P76" s="22">
        <v>3</v>
      </c>
      <c r="Q76" s="25">
        <v>964030953</v>
      </c>
      <c r="R76" s="22">
        <v>3</v>
      </c>
      <c r="S76" s="25">
        <v>1145910107</v>
      </c>
      <c r="T76" s="56">
        <f t="shared" si="26"/>
        <v>9</v>
      </c>
      <c r="U76" s="56">
        <f t="shared" si="23"/>
        <v>100</v>
      </c>
      <c r="V76" s="37" t="s">
        <v>60</v>
      </c>
      <c r="W76" s="42">
        <f t="shared" si="24"/>
        <v>2179608310</v>
      </c>
      <c r="X76" s="55">
        <f t="shared" si="25"/>
        <v>98.210858305378011</v>
      </c>
      <c r="Y76" s="37" t="s">
        <v>60</v>
      </c>
      <c r="Z76" s="56">
        <f t="shared" si="21"/>
        <v>13</v>
      </c>
      <c r="AA76" s="42">
        <f t="shared" si="22"/>
        <v>2727900673</v>
      </c>
      <c r="AB76" s="55"/>
      <c r="AC76" s="37" t="s">
        <v>60</v>
      </c>
      <c r="AD76" s="55"/>
      <c r="AE76" s="13"/>
      <c r="AH76" s="27"/>
    </row>
    <row r="77" spans="1:34" ht="75" x14ac:dyDescent="0.2">
      <c r="A77" s="18"/>
      <c r="B77" s="19"/>
      <c r="C77" s="28" t="s">
        <v>100</v>
      </c>
      <c r="D77" s="31" t="s">
        <v>221</v>
      </c>
      <c r="E77" s="22">
        <f>J77+4</f>
        <v>8</v>
      </c>
      <c r="F77" s="23" t="s">
        <v>61</v>
      </c>
      <c r="G77" s="52">
        <v>965310000</v>
      </c>
      <c r="H77" s="46">
        <v>4</v>
      </c>
      <c r="I77" s="24">
        <v>2197736400</v>
      </c>
      <c r="J77" s="22">
        <v>4</v>
      </c>
      <c r="K77" s="25">
        <v>378736000</v>
      </c>
      <c r="L77" s="22">
        <v>0</v>
      </c>
      <c r="M77" s="25">
        <v>0</v>
      </c>
      <c r="N77" s="22">
        <v>0</v>
      </c>
      <c r="O77" s="25">
        <v>0</v>
      </c>
      <c r="P77" s="22">
        <v>1</v>
      </c>
      <c r="Q77" s="25">
        <v>83226000</v>
      </c>
      <c r="R77" s="22">
        <v>3</v>
      </c>
      <c r="S77" s="25">
        <v>277420500</v>
      </c>
      <c r="T77" s="56">
        <f t="shared" si="26"/>
        <v>4</v>
      </c>
      <c r="U77" s="56">
        <f t="shared" si="23"/>
        <v>100</v>
      </c>
      <c r="V77" s="37" t="s">
        <v>60</v>
      </c>
      <c r="W77" s="42">
        <f t="shared" si="24"/>
        <v>360646500</v>
      </c>
      <c r="X77" s="55">
        <f t="shared" si="25"/>
        <v>95.223717840395423</v>
      </c>
      <c r="Y77" s="37" t="s">
        <v>60</v>
      </c>
      <c r="Z77" s="56">
        <f t="shared" si="21"/>
        <v>8</v>
      </c>
      <c r="AA77" s="42">
        <f t="shared" si="22"/>
        <v>2558382900</v>
      </c>
      <c r="AB77" s="55"/>
      <c r="AC77" s="37" t="s">
        <v>60</v>
      </c>
      <c r="AD77" s="55"/>
      <c r="AE77" s="13"/>
      <c r="AH77" s="27"/>
    </row>
    <row r="78" spans="1:34" ht="165" x14ac:dyDescent="0.2">
      <c r="A78" s="18"/>
      <c r="B78" s="19"/>
      <c r="C78" s="28" t="s">
        <v>110</v>
      </c>
      <c r="D78" s="31" t="s">
        <v>234</v>
      </c>
      <c r="E78" s="22">
        <f>216*3</f>
        <v>648</v>
      </c>
      <c r="F78" s="23" t="s">
        <v>59</v>
      </c>
      <c r="G78" s="53">
        <v>4680288000</v>
      </c>
      <c r="H78" s="22">
        <v>432</v>
      </c>
      <c r="I78" s="24">
        <v>2901063936</v>
      </c>
      <c r="J78" s="22">
        <v>216</v>
      </c>
      <c r="K78" s="25">
        <v>1674845150</v>
      </c>
      <c r="L78" s="22">
        <v>216</v>
      </c>
      <c r="M78" s="25">
        <v>163870336</v>
      </c>
      <c r="N78" s="22">
        <v>216</v>
      </c>
      <c r="O78" s="25">
        <v>552575488</v>
      </c>
      <c r="P78" s="22">
        <v>117</v>
      </c>
      <c r="Q78" s="25">
        <v>184000000</v>
      </c>
      <c r="R78" s="22">
        <v>117</v>
      </c>
      <c r="S78" s="25">
        <v>754094576</v>
      </c>
      <c r="T78" s="56">
        <f>AVERAGE(L78,N78,P78,R78)</f>
        <v>166.5</v>
      </c>
      <c r="U78" s="56">
        <f t="shared" si="23"/>
        <v>77.083333333333343</v>
      </c>
      <c r="V78" s="37" t="s">
        <v>60</v>
      </c>
      <c r="W78" s="42">
        <f t="shared" si="24"/>
        <v>1654540400</v>
      </c>
      <c r="X78" s="55">
        <f t="shared" si="25"/>
        <v>98.78766404165782</v>
      </c>
      <c r="Y78" s="37" t="s">
        <v>60</v>
      </c>
      <c r="Z78" s="56">
        <f t="shared" si="21"/>
        <v>598.5</v>
      </c>
      <c r="AA78" s="42">
        <f t="shared" si="22"/>
        <v>4555604336</v>
      </c>
      <c r="AB78" s="55"/>
      <c r="AC78" s="37" t="s">
        <v>60</v>
      </c>
      <c r="AD78" s="55"/>
      <c r="AE78" s="13"/>
      <c r="AH78" s="27"/>
    </row>
    <row r="79" spans="1:34" ht="105" x14ac:dyDescent="0.2">
      <c r="A79" s="18"/>
      <c r="B79" s="19"/>
      <c r="C79" s="28" t="s">
        <v>112</v>
      </c>
      <c r="D79" s="31" t="s">
        <v>235</v>
      </c>
      <c r="E79" s="105">
        <f>5402+4769+4769</f>
        <v>14940</v>
      </c>
      <c r="F79" s="49" t="s">
        <v>226</v>
      </c>
      <c r="G79" s="53">
        <v>16309980000</v>
      </c>
      <c r="H79" s="105">
        <v>10804</v>
      </c>
      <c r="I79" s="24">
        <v>2803635743</v>
      </c>
      <c r="J79" s="105">
        <v>5402</v>
      </c>
      <c r="K79" s="25">
        <v>6285457823</v>
      </c>
      <c r="L79" s="22">
        <v>5402</v>
      </c>
      <c r="M79" s="25">
        <v>0</v>
      </c>
      <c r="N79" s="105">
        <v>5402</v>
      </c>
      <c r="O79" s="25">
        <v>0</v>
      </c>
      <c r="P79" s="105">
        <v>5402</v>
      </c>
      <c r="Q79" s="25">
        <v>0</v>
      </c>
      <c r="R79" s="105">
        <v>5402</v>
      </c>
      <c r="S79" s="25">
        <v>5612080000</v>
      </c>
      <c r="T79" s="107">
        <f>AVERAGE(N79,P79,R79,L79)</f>
        <v>5402</v>
      </c>
      <c r="U79" s="56">
        <f t="shared" si="23"/>
        <v>100</v>
      </c>
      <c r="V79" s="37" t="s">
        <v>60</v>
      </c>
      <c r="W79" s="42">
        <f t="shared" si="24"/>
        <v>5612080000</v>
      </c>
      <c r="X79" s="55">
        <f t="shared" si="25"/>
        <v>89.286733886974019</v>
      </c>
      <c r="Y79" s="37" t="s">
        <v>60</v>
      </c>
      <c r="Z79" s="56">
        <f t="shared" si="21"/>
        <v>16206</v>
      </c>
      <c r="AA79" s="42">
        <f t="shared" si="22"/>
        <v>8415715743</v>
      </c>
      <c r="AB79" s="55"/>
      <c r="AC79" s="37" t="s">
        <v>60</v>
      </c>
      <c r="AD79" s="55"/>
      <c r="AE79" s="13"/>
      <c r="AH79" s="27"/>
    </row>
    <row r="80" spans="1:34" ht="93" customHeight="1" x14ac:dyDescent="0.2">
      <c r="A80" s="18"/>
      <c r="B80" s="19"/>
      <c r="C80" s="115" t="s">
        <v>106</v>
      </c>
      <c r="D80" s="114" t="s">
        <v>236</v>
      </c>
      <c r="E80" s="22">
        <f>14+7+7</f>
        <v>28</v>
      </c>
      <c r="F80" s="23" t="s">
        <v>154</v>
      </c>
      <c r="G80" s="52">
        <v>4734389550</v>
      </c>
      <c r="H80" s="46">
        <v>21</v>
      </c>
      <c r="I80" s="24">
        <v>5234604441</v>
      </c>
      <c r="J80" s="22"/>
      <c r="K80" s="25"/>
      <c r="L80" s="22"/>
      <c r="M80" s="25"/>
      <c r="N80" s="22"/>
      <c r="O80" s="25"/>
      <c r="P80" s="22"/>
      <c r="Q80" s="25"/>
      <c r="R80" s="22"/>
      <c r="S80" s="25"/>
      <c r="T80" s="56"/>
      <c r="U80" s="56"/>
      <c r="V80" s="37"/>
      <c r="W80" s="42"/>
      <c r="X80" s="55"/>
      <c r="Y80" s="37"/>
      <c r="Z80" s="56">
        <f t="shared" si="21"/>
        <v>21</v>
      </c>
      <c r="AA80" s="42">
        <f t="shared" si="22"/>
        <v>5234604441</v>
      </c>
      <c r="AB80" s="55"/>
      <c r="AC80" s="37" t="s">
        <v>60</v>
      </c>
      <c r="AD80" s="55"/>
      <c r="AE80" s="13"/>
      <c r="AH80" s="27"/>
    </row>
    <row r="81" spans="1:34" ht="105" x14ac:dyDescent="0.2">
      <c r="A81" s="18"/>
      <c r="B81" s="19"/>
      <c r="C81" s="115" t="s">
        <v>107</v>
      </c>
      <c r="D81" s="114" t="s">
        <v>237</v>
      </c>
      <c r="E81" s="22">
        <f>1+2</f>
        <v>3</v>
      </c>
      <c r="F81" s="23" t="s">
        <v>154</v>
      </c>
      <c r="G81" s="52">
        <v>359820000</v>
      </c>
      <c r="H81" s="22">
        <v>2</v>
      </c>
      <c r="I81" s="24">
        <v>294855120</v>
      </c>
      <c r="J81" s="22"/>
      <c r="K81" s="25"/>
      <c r="L81" s="22"/>
      <c r="M81" s="25"/>
      <c r="N81" s="22"/>
      <c r="O81" s="25"/>
      <c r="P81" s="22"/>
      <c r="Q81" s="25"/>
      <c r="R81" s="22"/>
      <c r="S81" s="25"/>
      <c r="T81" s="56"/>
      <c r="U81" s="56"/>
      <c r="V81" s="37"/>
      <c r="W81" s="42"/>
      <c r="X81" s="55"/>
      <c r="Y81" s="37"/>
      <c r="Z81" s="56">
        <f t="shared" si="21"/>
        <v>2</v>
      </c>
      <c r="AA81" s="42">
        <f t="shared" si="22"/>
        <v>294855120</v>
      </c>
      <c r="AB81" s="55"/>
      <c r="AC81" s="37" t="s">
        <v>60</v>
      </c>
      <c r="AD81" s="55"/>
      <c r="AE81" s="13"/>
      <c r="AH81" s="27"/>
    </row>
    <row r="82" spans="1:34" ht="64.5" customHeight="1" x14ac:dyDescent="0.2">
      <c r="A82" s="18"/>
      <c r="B82" s="19"/>
      <c r="C82" s="115" t="s">
        <v>108</v>
      </c>
      <c r="D82" s="114" t="s">
        <v>238</v>
      </c>
      <c r="E82" s="22">
        <f>1+2</f>
        <v>3</v>
      </c>
      <c r="F82" s="23" t="s">
        <v>144</v>
      </c>
      <c r="G82" s="52">
        <v>312840000</v>
      </c>
      <c r="H82" s="46">
        <v>1</v>
      </c>
      <c r="I82" s="24">
        <v>86322178</v>
      </c>
      <c r="J82" s="22"/>
      <c r="K82" s="25"/>
      <c r="L82" s="22"/>
      <c r="M82" s="25"/>
      <c r="N82" s="22"/>
      <c r="O82" s="25"/>
      <c r="P82" s="22"/>
      <c r="Q82" s="25"/>
      <c r="R82" s="22"/>
      <c r="S82" s="25"/>
      <c r="T82" s="56"/>
      <c r="U82" s="56"/>
      <c r="V82" s="37"/>
      <c r="W82" s="42"/>
      <c r="X82" s="55"/>
      <c r="Y82" s="37"/>
      <c r="Z82" s="56">
        <f t="shared" si="21"/>
        <v>1</v>
      </c>
      <c r="AA82" s="42">
        <f t="shared" si="22"/>
        <v>86322178</v>
      </c>
      <c r="AB82" s="55"/>
      <c r="AC82" s="37" t="s">
        <v>60</v>
      </c>
      <c r="AD82" s="55"/>
      <c r="AE82" s="13"/>
      <c r="AH82" s="27"/>
    </row>
    <row r="83" spans="1:34" ht="128.25" customHeight="1" x14ac:dyDescent="0.2">
      <c r="A83" s="18"/>
      <c r="B83" s="19"/>
      <c r="C83" s="115" t="s">
        <v>101</v>
      </c>
      <c r="D83" s="114" t="s">
        <v>222</v>
      </c>
      <c r="E83" s="104"/>
      <c r="F83" s="49" t="s">
        <v>223</v>
      </c>
      <c r="G83" s="52">
        <v>1020320000</v>
      </c>
      <c r="H83" s="46">
        <v>6</v>
      </c>
      <c r="I83" s="24">
        <v>123588300</v>
      </c>
      <c r="J83" s="22"/>
      <c r="K83" s="25"/>
      <c r="L83" s="22"/>
      <c r="M83" s="25"/>
      <c r="N83" s="22"/>
      <c r="O83" s="25"/>
      <c r="P83" s="22"/>
      <c r="Q83" s="25"/>
      <c r="R83" s="22"/>
      <c r="S83" s="25"/>
      <c r="T83" s="56"/>
      <c r="U83" s="56"/>
      <c r="V83" s="37"/>
      <c r="W83" s="42"/>
      <c r="X83" s="55"/>
      <c r="Y83" s="37"/>
      <c r="Z83" s="56">
        <f t="shared" si="21"/>
        <v>6</v>
      </c>
      <c r="AA83" s="42">
        <f t="shared" si="22"/>
        <v>123588300</v>
      </c>
      <c r="AB83" s="55"/>
      <c r="AC83" s="37" t="s">
        <v>60</v>
      </c>
      <c r="AD83" s="55"/>
      <c r="AE83" s="13"/>
      <c r="AH83" s="27"/>
    </row>
    <row r="84" spans="1:34" ht="240" x14ac:dyDescent="0.2">
      <c r="A84" s="18"/>
      <c r="B84" s="19"/>
      <c r="C84" s="115" t="s">
        <v>165</v>
      </c>
      <c r="D84" s="114" t="s">
        <v>228</v>
      </c>
      <c r="E84" s="22">
        <f>J84*2</f>
        <v>0</v>
      </c>
      <c r="F84" s="23" t="s">
        <v>59</v>
      </c>
      <c r="G84" s="25">
        <v>139590000</v>
      </c>
      <c r="H84" s="22">
        <v>18</v>
      </c>
      <c r="I84" s="24">
        <v>60095000</v>
      </c>
      <c r="J84" s="22"/>
      <c r="K84" s="25"/>
      <c r="L84" s="22"/>
      <c r="M84" s="25"/>
      <c r="N84" s="22"/>
      <c r="O84" s="25"/>
      <c r="P84" s="22"/>
      <c r="Q84" s="25"/>
      <c r="R84" s="22"/>
      <c r="S84" s="25"/>
      <c r="T84" s="56"/>
      <c r="U84" s="56"/>
      <c r="V84" s="37"/>
      <c r="W84" s="42"/>
      <c r="X84" s="55"/>
      <c r="Y84" s="37"/>
      <c r="Z84" s="56">
        <f t="shared" si="21"/>
        <v>18</v>
      </c>
      <c r="AA84" s="42">
        <f t="shared" si="22"/>
        <v>60095000</v>
      </c>
      <c r="AB84" s="55"/>
      <c r="AC84" s="37" t="s">
        <v>60</v>
      </c>
      <c r="AD84" s="55"/>
      <c r="AE84" s="13"/>
      <c r="AH84" s="27"/>
    </row>
    <row r="85" spans="1:34" ht="105" x14ac:dyDescent="0.2">
      <c r="A85" s="18"/>
      <c r="B85" s="19"/>
      <c r="C85" s="115" t="s">
        <v>111</v>
      </c>
      <c r="D85" s="114" t="s">
        <v>239</v>
      </c>
      <c r="E85" s="104">
        <f>J85*2</f>
        <v>0</v>
      </c>
      <c r="F85" s="49" t="s">
        <v>226</v>
      </c>
      <c r="G85" s="52">
        <v>365547000</v>
      </c>
      <c r="H85" s="46">
        <v>74</v>
      </c>
      <c r="I85" s="24">
        <v>146060200</v>
      </c>
      <c r="J85" s="22"/>
      <c r="K85" s="25"/>
      <c r="L85" s="22"/>
      <c r="M85" s="25"/>
      <c r="N85" s="22"/>
      <c r="O85" s="25"/>
      <c r="P85" s="22"/>
      <c r="Q85" s="25"/>
      <c r="R85" s="22"/>
      <c r="S85" s="25"/>
      <c r="T85" s="56"/>
      <c r="U85" s="56"/>
      <c r="V85" s="37"/>
      <c r="W85" s="42"/>
      <c r="X85" s="55"/>
      <c r="Y85" s="37"/>
      <c r="Z85" s="56">
        <f t="shared" si="21"/>
        <v>74</v>
      </c>
      <c r="AA85" s="42">
        <f t="shared" si="22"/>
        <v>146060200</v>
      </c>
      <c r="AB85" s="55"/>
      <c r="AC85" s="37" t="s">
        <v>60</v>
      </c>
      <c r="AD85" s="55"/>
      <c r="AE85" s="13"/>
      <c r="AH85" s="27"/>
    </row>
    <row r="86" spans="1:34" s="80" customFormat="1" ht="131.25" customHeight="1" x14ac:dyDescent="0.25">
      <c r="A86" s="18"/>
      <c r="B86" s="19"/>
      <c r="C86" s="20" t="s">
        <v>114</v>
      </c>
      <c r="D86" s="21" t="s">
        <v>167</v>
      </c>
      <c r="E86" s="47">
        <v>100</v>
      </c>
      <c r="F86" s="48" t="s">
        <v>60</v>
      </c>
      <c r="G86" s="44">
        <f>SUM(G87:G97)</f>
        <v>22911438000</v>
      </c>
      <c r="H86" s="47">
        <v>112.96183113902646</v>
      </c>
      <c r="I86" s="44">
        <f>SUM(I87:I97)</f>
        <v>9058531934</v>
      </c>
      <c r="J86" s="47">
        <v>100</v>
      </c>
      <c r="K86" s="44">
        <f>SUM(K87:K97)</f>
        <v>7425100500</v>
      </c>
      <c r="L86" s="108">
        <f>SUM(L87:L98)/SUM(J87:J98)*100</f>
        <v>4.0824017083281001</v>
      </c>
      <c r="M86" s="44">
        <f>SUM(M87:M97)</f>
        <v>386852928</v>
      </c>
      <c r="N86" s="108">
        <f>SUM(N87:N98)/SUM(L87:L98)*100</f>
        <v>101.23076923076924</v>
      </c>
      <c r="O86" s="44">
        <f>SUM(O87:O97)</f>
        <v>332520176</v>
      </c>
      <c r="P86" s="108">
        <v>0</v>
      </c>
      <c r="Q86" s="44">
        <f>SUM(Q87:Q97)</f>
        <v>1036262400</v>
      </c>
      <c r="R86" s="108">
        <v>0</v>
      </c>
      <c r="S86" s="44">
        <f>SUM(S87:S97)</f>
        <v>5603666408</v>
      </c>
      <c r="T86" s="108">
        <f>SUM(T87:T92)/SUM(J87:J92)*100</f>
        <v>100</v>
      </c>
      <c r="U86" s="124">
        <f t="shared" ref="U86:U92" si="27">T86/J86*100</f>
        <v>100</v>
      </c>
      <c r="V86" s="60" t="s">
        <v>60</v>
      </c>
      <c r="W86" s="61">
        <f t="shared" ref="W86:W92" si="28">SUM(M86,O86,Q86,S86)</f>
        <v>7359301912</v>
      </c>
      <c r="X86" s="59">
        <f t="shared" ref="X86:X92" si="29">W86/K86*100</f>
        <v>99.113835725186476</v>
      </c>
      <c r="Y86" s="60" t="s">
        <v>60</v>
      </c>
      <c r="Z86" s="57">
        <f t="shared" si="21"/>
        <v>212.96183113902646</v>
      </c>
      <c r="AA86" s="61">
        <f t="shared" si="22"/>
        <v>16417833846</v>
      </c>
      <c r="AB86" s="59"/>
      <c r="AC86" s="60" t="s">
        <v>60</v>
      </c>
      <c r="AD86" s="59"/>
      <c r="AE86" s="79"/>
      <c r="AH86" s="81"/>
    </row>
    <row r="87" spans="1:34" ht="105" x14ac:dyDescent="0.2">
      <c r="A87" s="18"/>
      <c r="B87" s="19"/>
      <c r="C87" s="28" t="s">
        <v>162</v>
      </c>
      <c r="D87" s="31" t="s">
        <v>240</v>
      </c>
      <c r="E87" s="22">
        <f>1+1+2</f>
        <v>4</v>
      </c>
      <c r="F87" s="23" t="s">
        <v>144</v>
      </c>
      <c r="G87" s="25">
        <v>747050000</v>
      </c>
      <c r="H87" s="22">
        <v>1</v>
      </c>
      <c r="I87" s="25">
        <v>155003208</v>
      </c>
      <c r="J87" s="22">
        <v>2</v>
      </c>
      <c r="K87" s="25">
        <v>299000000</v>
      </c>
      <c r="L87" s="22">
        <v>0</v>
      </c>
      <c r="M87" s="25">
        <v>0</v>
      </c>
      <c r="N87" s="22">
        <v>0</v>
      </c>
      <c r="O87" s="25">
        <v>82323000</v>
      </c>
      <c r="P87" s="22">
        <v>1</v>
      </c>
      <c r="Q87" s="25">
        <v>118644760</v>
      </c>
      <c r="R87" s="22">
        <v>1</v>
      </c>
      <c r="S87" s="25">
        <v>72449250</v>
      </c>
      <c r="T87" s="56">
        <f>SUM(L87,N87,P87,R87)</f>
        <v>2</v>
      </c>
      <c r="U87" s="56">
        <f t="shared" si="27"/>
        <v>100</v>
      </c>
      <c r="V87" s="37" t="s">
        <v>60</v>
      </c>
      <c r="W87" s="42">
        <f t="shared" si="28"/>
        <v>273417010</v>
      </c>
      <c r="X87" s="55">
        <f t="shared" si="29"/>
        <v>91.443816053511711</v>
      </c>
      <c r="Y87" s="37" t="s">
        <v>60</v>
      </c>
      <c r="Z87" s="56">
        <f t="shared" ref="Z87:Z118" si="30">SUM(H87,T87)</f>
        <v>3</v>
      </c>
      <c r="AA87" s="42">
        <f t="shared" ref="AA87:AA118" si="31">SUM(I87,W87)</f>
        <v>428420218</v>
      </c>
      <c r="AB87" s="55"/>
      <c r="AC87" s="37" t="s">
        <v>60</v>
      </c>
      <c r="AD87" s="55"/>
      <c r="AE87" s="13"/>
      <c r="AH87" s="27"/>
    </row>
    <row r="88" spans="1:34" ht="105" x14ac:dyDescent="0.2">
      <c r="A88" s="18"/>
      <c r="B88" s="19"/>
      <c r="C88" s="28" t="s">
        <v>188</v>
      </c>
      <c r="D88" s="31" t="s">
        <v>241</v>
      </c>
      <c r="E88" s="22"/>
      <c r="F88" s="23" t="s">
        <v>144</v>
      </c>
      <c r="G88" s="52"/>
      <c r="H88" s="46"/>
      <c r="I88" s="24"/>
      <c r="J88" s="22">
        <v>2</v>
      </c>
      <c r="K88" s="25">
        <v>218316500</v>
      </c>
      <c r="L88" s="22">
        <v>0</v>
      </c>
      <c r="M88" s="25">
        <v>0</v>
      </c>
      <c r="N88" s="22">
        <v>0</v>
      </c>
      <c r="O88" s="25">
        <v>0</v>
      </c>
      <c r="P88" s="22">
        <v>0</v>
      </c>
      <c r="Q88" s="25">
        <v>53643500</v>
      </c>
      <c r="R88" s="22">
        <v>2</v>
      </c>
      <c r="S88" s="25">
        <v>160930500</v>
      </c>
      <c r="T88" s="56">
        <f>SUM(L88,N88,P88,R88)</f>
        <v>2</v>
      </c>
      <c r="U88" s="56">
        <f t="shared" si="27"/>
        <v>100</v>
      </c>
      <c r="V88" s="37" t="s">
        <v>60</v>
      </c>
      <c r="W88" s="42">
        <f t="shared" si="28"/>
        <v>214574000</v>
      </c>
      <c r="X88" s="55">
        <f t="shared" si="29"/>
        <v>98.285745694897088</v>
      </c>
      <c r="Y88" s="37" t="s">
        <v>60</v>
      </c>
      <c r="Z88" s="56">
        <f t="shared" si="30"/>
        <v>2</v>
      </c>
      <c r="AA88" s="42">
        <f t="shared" si="31"/>
        <v>214574000</v>
      </c>
      <c r="AB88" s="55"/>
      <c r="AC88" s="37" t="s">
        <v>60</v>
      </c>
      <c r="AD88" s="55"/>
      <c r="AE88" s="13"/>
      <c r="AH88" s="27"/>
    </row>
    <row r="89" spans="1:34" ht="135" x14ac:dyDescent="0.2">
      <c r="A89" s="18"/>
      <c r="B89" s="19"/>
      <c r="C89" s="28" t="s">
        <v>115</v>
      </c>
      <c r="D89" s="31" t="s">
        <v>242</v>
      </c>
      <c r="E89" s="22">
        <f>3+3+3</f>
        <v>9</v>
      </c>
      <c r="F89" s="23" t="s">
        <v>144</v>
      </c>
      <c r="G89" s="52">
        <v>996108000</v>
      </c>
      <c r="H89" s="46">
        <v>5</v>
      </c>
      <c r="I89" s="24">
        <v>696416046</v>
      </c>
      <c r="J89" s="22">
        <v>5</v>
      </c>
      <c r="K89" s="25">
        <v>946156900</v>
      </c>
      <c r="L89" s="22">
        <v>0</v>
      </c>
      <c r="M89" s="25">
        <v>0</v>
      </c>
      <c r="N89" s="22">
        <v>1</v>
      </c>
      <c r="O89" s="25">
        <v>71946700</v>
      </c>
      <c r="P89" s="22">
        <v>2</v>
      </c>
      <c r="Q89" s="25">
        <v>220679640</v>
      </c>
      <c r="R89" s="22">
        <v>2</v>
      </c>
      <c r="S89" s="25">
        <v>641408250</v>
      </c>
      <c r="T89" s="56">
        <f>SUM(L89,N89,P89,R89)</f>
        <v>5</v>
      </c>
      <c r="U89" s="56">
        <f t="shared" si="27"/>
        <v>100</v>
      </c>
      <c r="V89" s="37" t="s">
        <v>60</v>
      </c>
      <c r="W89" s="42">
        <f t="shared" si="28"/>
        <v>934034590</v>
      </c>
      <c r="X89" s="55">
        <f t="shared" si="29"/>
        <v>98.718784379208145</v>
      </c>
      <c r="Y89" s="37" t="s">
        <v>60</v>
      </c>
      <c r="Z89" s="56">
        <f t="shared" si="30"/>
        <v>10</v>
      </c>
      <c r="AA89" s="42">
        <f t="shared" si="31"/>
        <v>1630450636</v>
      </c>
      <c r="AB89" s="55"/>
      <c r="AC89" s="37" t="s">
        <v>60</v>
      </c>
      <c r="AD89" s="55"/>
      <c r="AE89" s="13"/>
      <c r="AH89" s="27"/>
    </row>
    <row r="90" spans="1:34" ht="75" x14ac:dyDescent="0.2">
      <c r="A90" s="18"/>
      <c r="B90" s="19"/>
      <c r="C90" s="28" t="s">
        <v>189</v>
      </c>
      <c r="D90" s="31" t="s">
        <v>243</v>
      </c>
      <c r="E90" s="22"/>
      <c r="F90" s="23" t="s">
        <v>61</v>
      </c>
      <c r="G90" s="52"/>
      <c r="H90" s="46"/>
      <c r="I90" s="24"/>
      <c r="J90" s="22">
        <v>6</v>
      </c>
      <c r="K90" s="25">
        <v>215547100</v>
      </c>
      <c r="L90" s="22">
        <v>0</v>
      </c>
      <c r="M90" s="25">
        <v>0</v>
      </c>
      <c r="N90" s="22">
        <v>0</v>
      </c>
      <c r="O90" s="25">
        <v>49599500</v>
      </c>
      <c r="P90" s="22">
        <v>3</v>
      </c>
      <c r="Q90" s="25">
        <v>124294500</v>
      </c>
      <c r="R90" s="22">
        <v>3</v>
      </c>
      <c r="S90" s="25">
        <v>40870600</v>
      </c>
      <c r="T90" s="56">
        <f>SUM(L90,N90,P90,R90)</f>
        <v>6</v>
      </c>
      <c r="U90" s="56">
        <f t="shared" si="27"/>
        <v>100</v>
      </c>
      <c r="V90" s="37" t="s">
        <v>60</v>
      </c>
      <c r="W90" s="42">
        <f t="shared" si="28"/>
        <v>214764600</v>
      </c>
      <c r="X90" s="55">
        <f t="shared" si="29"/>
        <v>99.636970295587375</v>
      </c>
      <c r="Y90" s="37" t="s">
        <v>60</v>
      </c>
      <c r="Z90" s="56">
        <f t="shared" si="30"/>
        <v>6</v>
      </c>
      <c r="AA90" s="42">
        <f t="shared" si="31"/>
        <v>214764600</v>
      </c>
      <c r="AB90" s="55"/>
      <c r="AC90" s="37" t="s">
        <v>60</v>
      </c>
      <c r="AD90" s="55"/>
      <c r="AE90" s="13"/>
      <c r="AH90" s="27"/>
    </row>
    <row r="91" spans="1:34" ht="90" customHeight="1" x14ac:dyDescent="0.2">
      <c r="A91" s="18"/>
      <c r="B91" s="19"/>
      <c r="C91" s="28" t="s">
        <v>118</v>
      </c>
      <c r="D91" s="31" t="s">
        <v>244</v>
      </c>
      <c r="E91" s="22">
        <f>325*3</f>
        <v>975</v>
      </c>
      <c r="F91" s="23" t="s">
        <v>59</v>
      </c>
      <c r="G91" s="52">
        <v>5012640000</v>
      </c>
      <c r="H91" s="46">
        <v>650</v>
      </c>
      <c r="I91" s="24">
        <v>1585511712</v>
      </c>
      <c r="J91" s="22">
        <f>297+28</f>
        <v>325</v>
      </c>
      <c r="K91" s="25">
        <v>1586880000</v>
      </c>
      <c r="L91" s="22">
        <v>325</v>
      </c>
      <c r="M91" s="25">
        <v>386852928</v>
      </c>
      <c r="N91" s="22">
        <v>325</v>
      </c>
      <c r="O91" s="25">
        <v>128650976</v>
      </c>
      <c r="P91" s="22">
        <v>325</v>
      </c>
      <c r="Q91" s="25">
        <v>519000000</v>
      </c>
      <c r="R91" s="22">
        <v>325</v>
      </c>
      <c r="S91" s="25">
        <v>528807808</v>
      </c>
      <c r="T91" s="56">
        <f>AVERAGE(L91,N91,P91,R91)</f>
        <v>325</v>
      </c>
      <c r="U91" s="56">
        <f t="shared" si="27"/>
        <v>100</v>
      </c>
      <c r="V91" s="37" t="s">
        <v>60</v>
      </c>
      <c r="W91" s="42">
        <f t="shared" si="28"/>
        <v>1563311712</v>
      </c>
      <c r="X91" s="55">
        <f t="shared" si="29"/>
        <v>98.514803387779793</v>
      </c>
      <c r="Y91" s="37" t="s">
        <v>60</v>
      </c>
      <c r="Z91" s="56">
        <f t="shared" si="30"/>
        <v>975</v>
      </c>
      <c r="AA91" s="42">
        <f t="shared" si="31"/>
        <v>3148823424</v>
      </c>
      <c r="AB91" s="55"/>
      <c r="AC91" s="37" t="s">
        <v>60</v>
      </c>
      <c r="AD91" s="55"/>
      <c r="AE91" s="13"/>
      <c r="AH91" s="27"/>
    </row>
    <row r="92" spans="1:34" ht="60" x14ac:dyDescent="0.2">
      <c r="A92" s="18"/>
      <c r="B92" s="19"/>
      <c r="C92" s="28" t="s">
        <v>160</v>
      </c>
      <c r="D92" s="31" t="s">
        <v>245</v>
      </c>
      <c r="E92" s="105">
        <f>7521*3</f>
        <v>22563</v>
      </c>
      <c r="F92" s="49" t="s">
        <v>226</v>
      </c>
      <c r="G92" s="25">
        <v>14403600000</v>
      </c>
      <c r="H92" s="46">
        <v>7521</v>
      </c>
      <c r="I92" s="24">
        <v>4476624400</v>
      </c>
      <c r="J92" s="105">
        <v>7521</v>
      </c>
      <c r="K92" s="25">
        <v>4159200000</v>
      </c>
      <c r="L92" s="22"/>
      <c r="M92" s="25">
        <v>0</v>
      </c>
      <c r="N92" s="22"/>
      <c r="O92" s="25">
        <v>0</v>
      </c>
      <c r="P92" s="22"/>
      <c r="Q92" s="25">
        <v>0</v>
      </c>
      <c r="R92" s="105">
        <v>7521</v>
      </c>
      <c r="S92" s="25">
        <v>4159200000</v>
      </c>
      <c r="T92" s="107">
        <f>SUM(L92,N92,P92,R92)</f>
        <v>7521</v>
      </c>
      <c r="U92" s="56">
        <f t="shared" si="27"/>
        <v>100</v>
      </c>
      <c r="V92" s="37" t="s">
        <v>60</v>
      </c>
      <c r="W92" s="42">
        <f t="shared" si="28"/>
        <v>4159200000</v>
      </c>
      <c r="X92" s="55">
        <f t="shared" si="29"/>
        <v>100</v>
      </c>
      <c r="Y92" s="37" t="s">
        <v>60</v>
      </c>
      <c r="Z92" s="107">
        <f t="shared" si="30"/>
        <v>15042</v>
      </c>
      <c r="AA92" s="42">
        <f t="shared" si="31"/>
        <v>8635824400</v>
      </c>
      <c r="AB92" s="55"/>
      <c r="AC92" s="37" t="s">
        <v>60</v>
      </c>
      <c r="AD92" s="55"/>
      <c r="AE92" s="13"/>
      <c r="AH92" s="27"/>
    </row>
    <row r="93" spans="1:34" ht="108" customHeight="1" x14ac:dyDescent="0.2">
      <c r="A93" s="18"/>
      <c r="B93" s="19"/>
      <c r="C93" s="115" t="s">
        <v>116</v>
      </c>
      <c r="D93" s="114" t="s">
        <v>246</v>
      </c>
      <c r="E93" s="22">
        <v>2</v>
      </c>
      <c r="F93" s="23" t="s">
        <v>144</v>
      </c>
      <c r="G93" s="25">
        <v>80000000</v>
      </c>
      <c r="H93" s="46">
        <v>1</v>
      </c>
      <c r="I93" s="24">
        <v>39572268</v>
      </c>
      <c r="J93" s="22"/>
      <c r="K93" s="25"/>
      <c r="L93" s="22"/>
      <c r="M93" s="25"/>
      <c r="N93" s="22"/>
      <c r="O93" s="25"/>
      <c r="P93" s="22"/>
      <c r="Q93" s="25"/>
      <c r="R93" s="22"/>
      <c r="S93" s="25"/>
      <c r="T93" s="56"/>
      <c r="U93" s="56"/>
      <c r="V93" s="37"/>
      <c r="W93" s="42"/>
      <c r="X93" s="55"/>
      <c r="Y93" s="37"/>
      <c r="Z93" s="56">
        <f t="shared" si="30"/>
        <v>1</v>
      </c>
      <c r="AA93" s="42">
        <f t="shared" si="31"/>
        <v>39572268</v>
      </c>
      <c r="AB93" s="55"/>
      <c r="AC93" s="37" t="s">
        <v>60</v>
      </c>
      <c r="AD93" s="55"/>
      <c r="AE93" s="13"/>
      <c r="AH93" s="27"/>
    </row>
    <row r="94" spans="1:34" ht="72.75" customHeight="1" x14ac:dyDescent="0.2">
      <c r="A94" s="18"/>
      <c r="B94" s="19"/>
      <c r="C94" s="115" t="s">
        <v>163</v>
      </c>
      <c r="D94" s="114" t="s">
        <v>247</v>
      </c>
      <c r="E94" s="22">
        <v>10</v>
      </c>
      <c r="F94" s="23" t="s">
        <v>61</v>
      </c>
      <c r="G94" s="25">
        <v>106740000</v>
      </c>
      <c r="H94" s="46">
        <v>23</v>
      </c>
      <c r="I94" s="24">
        <v>256633800</v>
      </c>
      <c r="J94" s="22"/>
      <c r="K94" s="25"/>
      <c r="L94" s="22"/>
      <c r="M94" s="25"/>
      <c r="N94" s="22"/>
      <c r="O94" s="25"/>
      <c r="P94" s="22"/>
      <c r="Q94" s="25"/>
      <c r="R94" s="22"/>
      <c r="S94" s="25"/>
      <c r="T94" s="56"/>
      <c r="U94" s="56"/>
      <c r="V94" s="37"/>
      <c r="W94" s="42"/>
      <c r="X94" s="55"/>
      <c r="Y94" s="37"/>
      <c r="Z94" s="56">
        <f t="shared" si="30"/>
        <v>23</v>
      </c>
      <c r="AA94" s="42">
        <f t="shared" si="31"/>
        <v>256633800</v>
      </c>
      <c r="AB94" s="55"/>
      <c r="AC94" s="37" t="s">
        <v>60</v>
      </c>
      <c r="AD94" s="55"/>
      <c r="AE94" s="13"/>
      <c r="AH94" s="27"/>
    </row>
    <row r="95" spans="1:34" ht="105" x14ac:dyDescent="0.2">
      <c r="A95" s="18"/>
      <c r="B95" s="19"/>
      <c r="C95" s="115" t="s">
        <v>117</v>
      </c>
      <c r="D95" s="114" t="s">
        <v>248</v>
      </c>
      <c r="E95" s="22">
        <f>10+10</f>
        <v>20</v>
      </c>
      <c r="F95" s="49" t="s">
        <v>223</v>
      </c>
      <c r="G95" s="25">
        <v>580000000</v>
      </c>
      <c r="H95" s="22">
        <v>10</v>
      </c>
      <c r="I95" s="24">
        <v>267110000</v>
      </c>
      <c r="J95" s="22"/>
      <c r="K95" s="25"/>
      <c r="L95" s="22"/>
      <c r="M95" s="25"/>
      <c r="N95" s="22"/>
      <c r="O95" s="25"/>
      <c r="P95" s="22"/>
      <c r="Q95" s="25"/>
      <c r="R95" s="22"/>
      <c r="S95" s="25"/>
      <c r="T95" s="56"/>
      <c r="U95" s="56"/>
      <c r="V95" s="37"/>
      <c r="W95" s="42"/>
      <c r="X95" s="55"/>
      <c r="Y95" s="37"/>
      <c r="Z95" s="56">
        <f t="shared" si="30"/>
        <v>10</v>
      </c>
      <c r="AA95" s="42">
        <f t="shared" si="31"/>
        <v>267110000</v>
      </c>
      <c r="AB95" s="55"/>
      <c r="AC95" s="37" t="s">
        <v>60</v>
      </c>
      <c r="AD95" s="55"/>
      <c r="AE95" s="13"/>
      <c r="AH95" s="27"/>
    </row>
    <row r="96" spans="1:34" ht="240" x14ac:dyDescent="0.2">
      <c r="A96" s="18"/>
      <c r="B96" s="19"/>
      <c r="C96" s="115" t="s">
        <v>119</v>
      </c>
      <c r="D96" s="114" t="s">
        <v>228</v>
      </c>
      <c r="E96" s="22">
        <f>J96*2</f>
        <v>0</v>
      </c>
      <c r="F96" s="23" t="s">
        <v>59</v>
      </c>
      <c r="G96" s="25">
        <v>641300000</v>
      </c>
      <c r="H96" s="46">
        <v>470</v>
      </c>
      <c r="I96" s="24">
        <v>1410660500</v>
      </c>
      <c r="J96" s="22"/>
      <c r="K96" s="25"/>
      <c r="L96" s="22"/>
      <c r="M96" s="25"/>
      <c r="N96" s="22"/>
      <c r="O96" s="25"/>
      <c r="P96" s="22"/>
      <c r="Q96" s="25"/>
      <c r="R96" s="22"/>
      <c r="S96" s="25"/>
      <c r="T96" s="56"/>
      <c r="U96" s="56"/>
      <c r="V96" s="37"/>
      <c r="W96" s="42"/>
      <c r="X96" s="55"/>
      <c r="Y96" s="37"/>
      <c r="Z96" s="56">
        <f t="shared" si="30"/>
        <v>470</v>
      </c>
      <c r="AA96" s="42">
        <f t="shared" si="31"/>
        <v>1410660500</v>
      </c>
      <c r="AB96" s="55"/>
      <c r="AC96" s="37" t="s">
        <v>60</v>
      </c>
      <c r="AD96" s="55"/>
      <c r="AE96" s="13"/>
      <c r="AH96" s="27"/>
    </row>
    <row r="97" spans="1:34" ht="105" x14ac:dyDescent="0.2">
      <c r="A97" s="18"/>
      <c r="B97" s="19"/>
      <c r="C97" s="115" t="s">
        <v>120</v>
      </c>
      <c r="D97" s="114" t="s">
        <v>249</v>
      </c>
      <c r="E97" s="22">
        <v>60</v>
      </c>
      <c r="F97" s="49" t="s">
        <v>226</v>
      </c>
      <c r="G97" s="25">
        <v>344000000</v>
      </c>
      <c r="H97" s="46">
        <v>60</v>
      </c>
      <c r="I97" s="24">
        <v>171000000</v>
      </c>
      <c r="J97" s="22"/>
      <c r="K97" s="25"/>
      <c r="L97" s="22"/>
      <c r="M97" s="25"/>
      <c r="N97" s="22"/>
      <c r="O97" s="25"/>
      <c r="P97" s="22"/>
      <c r="Q97" s="25"/>
      <c r="R97" s="22"/>
      <c r="S97" s="25"/>
      <c r="T97" s="56"/>
      <c r="U97" s="56"/>
      <c r="V97" s="37"/>
      <c r="W97" s="42"/>
      <c r="X97" s="55"/>
      <c r="Y97" s="37"/>
      <c r="Z97" s="56">
        <f t="shared" si="30"/>
        <v>60</v>
      </c>
      <c r="AA97" s="42">
        <f t="shared" si="31"/>
        <v>171000000</v>
      </c>
      <c r="AB97" s="55"/>
      <c r="AC97" s="37" t="s">
        <v>60</v>
      </c>
      <c r="AD97" s="55"/>
      <c r="AE97" s="13"/>
      <c r="AH97" s="27"/>
    </row>
    <row r="98" spans="1:34" s="80" customFormat="1" ht="98.25" customHeight="1" x14ac:dyDescent="0.25">
      <c r="A98" s="18"/>
      <c r="B98" s="19"/>
      <c r="C98" s="20" t="s">
        <v>121</v>
      </c>
      <c r="D98" s="21" t="s">
        <v>168</v>
      </c>
      <c r="E98" s="47">
        <v>100</v>
      </c>
      <c r="F98" s="48" t="s">
        <v>60</v>
      </c>
      <c r="G98" s="44">
        <f>SUM(G99:G103)</f>
        <v>6782195800</v>
      </c>
      <c r="H98" s="47">
        <v>112</v>
      </c>
      <c r="I98" s="44">
        <f>SUM(I99:I103)</f>
        <v>5862909680</v>
      </c>
      <c r="J98" s="47">
        <v>100</v>
      </c>
      <c r="K98" s="44">
        <f>SUM(K99:K103)</f>
        <v>6994241965</v>
      </c>
      <c r="L98" s="108">
        <f>SUM(L99:L102)/SUM(J99:J102)*100</f>
        <v>0</v>
      </c>
      <c r="M98" s="44">
        <f>SUM(M99:M103)</f>
        <v>20250000</v>
      </c>
      <c r="N98" s="47">
        <v>3</v>
      </c>
      <c r="O98" s="44">
        <f>SUM(O99:O103)</f>
        <v>724726500</v>
      </c>
      <c r="P98" s="47">
        <v>0</v>
      </c>
      <c r="Q98" s="44">
        <f>SUM(Q99:Q103)</f>
        <v>399441350</v>
      </c>
      <c r="R98" s="47">
        <v>0</v>
      </c>
      <c r="S98" s="44">
        <f>SUM(S99:S103)</f>
        <v>5261004975</v>
      </c>
      <c r="T98" s="109">
        <f>SUM(T99:T102)/SUM(J99:J102)*100</f>
        <v>100</v>
      </c>
      <c r="U98" s="57">
        <f>T98/J98*100</f>
        <v>100</v>
      </c>
      <c r="V98" s="60" t="s">
        <v>60</v>
      </c>
      <c r="W98" s="61">
        <f>SUM(M98,O98,Q98,S98)</f>
        <v>6405422825</v>
      </c>
      <c r="X98" s="59">
        <f>W98/K98*100</f>
        <v>91.581373035898395</v>
      </c>
      <c r="Y98" s="60" t="s">
        <v>60</v>
      </c>
      <c r="Z98" s="57">
        <f t="shared" si="30"/>
        <v>212</v>
      </c>
      <c r="AA98" s="61">
        <f t="shared" si="31"/>
        <v>12268332505</v>
      </c>
      <c r="AB98" s="59"/>
      <c r="AC98" s="60" t="s">
        <v>60</v>
      </c>
      <c r="AD98" s="59"/>
      <c r="AE98" s="79"/>
      <c r="AH98" s="81"/>
    </row>
    <row r="99" spans="1:34" ht="135" x14ac:dyDescent="0.2">
      <c r="A99" s="18"/>
      <c r="B99" s="19"/>
      <c r="C99" s="28" t="s">
        <v>122</v>
      </c>
      <c r="D99" s="31" t="s">
        <v>250</v>
      </c>
      <c r="E99" s="22">
        <f>1+1+1</f>
        <v>3</v>
      </c>
      <c r="F99" s="23" t="s">
        <v>144</v>
      </c>
      <c r="G99" s="25">
        <v>666690000</v>
      </c>
      <c r="H99" s="22">
        <v>1</v>
      </c>
      <c r="I99" s="25">
        <v>195357435</v>
      </c>
      <c r="J99" s="22">
        <v>4</v>
      </c>
      <c r="K99" s="25">
        <v>1125539000</v>
      </c>
      <c r="L99" s="22">
        <v>0</v>
      </c>
      <c r="M99" s="25">
        <v>0</v>
      </c>
      <c r="N99" s="22">
        <v>1</v>
      </c>
      <c r="O99" s="25">
        <v>256766500</v>
      </c>
      <c r="P99" s="22">
        <v>2</v>
      </c>
      <c r="Q99" s="25">
        <v>385941350</v>
      </c>
      <c r="R99" s="22">
        <v>1</v>
      </c>
      <c r="S99" s="25">
        <v>473821750</v>
      </c>
      <c r="T99" s="56">
        <f>SUM(L99,N99,P99,R99)</f>
        <v>4</v>
      </c>
      <c r="U99" s="56">
        <f>T99/J99*100</f>
        <v>100</v>
      </c>
      <c r="V99" s="37" t="s">
        <v>60</v>
      </c>
      <c r="W99" s="42">
        <f>SUM(M99,O99,Q99,S99)</f>
        <v>1116529600</v>
      </c>
      <c r="X99" s="55">
        <f>W99/K99*100</f>
        <v>99.199547949915555</v>
      </c>
      <c r="Y99" s="37" t="s">
        <v>60</v>
      </c>
      <c r="Z99" s="56">
        <f t="shared" si="30"/>
        <v>5</v>
      </c>
      <c r="AA99" s="42">
        <f t="shared" si="31"/>
        <v>1311887035</v>
      </c>
      <c r="AB99" s="55"/>
      <c r="AC99" s="37" t="s">
        <v>60</v>
      </c>
      <c r="AD99" s="55"/>
      <c r="AE99" s="13"/>
      <c r="AH99" s="27"/>
    </row>
    <row r="100" spans="1:34" ht="120" x14ac:dyDescent="0.2">
      <c r="A100" s="18"/>
      <c r="B100" s="19"/>
      <c r="C100" s="28" t="s">
        <v>190</v>
      </c>
      <c r="D100" s="31" t="s">
        <v>251</v>
      </c>
      <c r="E100" s="105"/>
      <c r="F100" s="49" t="s">
        <v>61</v>
      </c>
      <c r="G100" s="52"/>
      <c r="H100" s="105"/>
      <c r="I100" s="24"/>
      <c r="J100" s="105">
        <v>1</v>
      </c>
      <c r="K100" s="25">
        <v>100000000</v>
      </c>
      <c r="L100" s="22">
        <v>0</v>
      </c>
      <c r="M100" s="25">
        <v>0</v>
      </c>
      <c r="N100" s="22">
        <v>0</v>
      </c>
      <c r="O100" s="25">
        <v>0</v>
      </c>
      <c r="P100" s="22">
        <v>0</v>
      </c>
      <c r="Q100" s="25">
        <v>0</v>
      </c>
      <c r="R100" s="22">
        <v>1</v>
      </c>
      <c r="S100" s="25">
        <v>96999000</v>
      </c>
      <c r="T100" s="107">
        <f>SUM(L100,N100,P100,R100)</f>
        <v>1</v>
      </c>
      <c r="U100" s="56">
        <f>T100/J100*100</f>
        <v>100</v>
      </c>
      <c r="V100" s="37" t="s">
        <v>60</v>
      </c>
      <c r="W100" s="42">
        <f>SUM(M100,O100,Q100,S100)</f>
        <v>96999000</v>
      </c>
      <c r="X100" s="55">
        <f>W100/K100*100</f>
        <v>96.998999999999995</v>
      </c>
      <c r="Y100" s="37" t="s">
        <v>60</v>
      </c>
      <c r="Z100" s="56">
        <f t="shared" si="30"/>
        <v>1</v>
      </c>
      <c r="AA100" s="42">
        <f t="shared" si="31"/>
        <v>96999000</v>
      </c>
      <c r="AB100" s="55"/>
      <c r="AC100" s="37" t="s">
        <v>60</v>
      </c>
      <c r="AD100" s="55"/>
      <c r="AE100" s="13"/>
      <c r="AH100" s="27"/>
    </row>
    <row r="101" spans="1:34" ht="90" x14ac:dyDescent="0.2">
      <c r="A101" s="18"/>
      <c r="B101" s="19"/>
      <c r="C101" s="28" t="s">
        <v>123</v>
      </c>
      <c r="D101" s="31" t="s">
        <v>252</v>
      </c>
      <c r="E101" s="105">
        <f>J101*3</f>
        <v>48</v>
      </c>
      <c r="F101" s="49" t="s">
        <v>223</v>
      </c>
      <c r="G101" s="52">
        <v>4300010000</v>
      </c>
      <c r="H101" s="105">
        <v>32</v>
      </c>
      <c r="I101" s="24">
        <v>1432670155</v>
      </c>
      <c r="J101" s="105">
        <v>16</v>
      </c>
      <c r="K101" s="25">
        <v>2113002965</v>
      </c>
      <c r="L101" s="22">
        <v>0</v>
      </c>
      <c r="M101" s="25">
        <v>20250000</v>
      </c>
      <c r="N101" s="22">
        <v>8</v>
      </c>
      <c r="O101" s="25">
        <v>467960000</v>
      </c>
      <c r="P101" s="22">
        <v>4</v>
      </c>
      <c r="Q101" s="25">
        <v>13500000</v>
      </c>
      <c r="R101" s="22">
        <v>4</v>
      </c>
      <c r="S101" s="25">
        <v>1034484225</v>
      </c>
      <c r="T101" s="107">
        <f>SUM(L101,N101,P101,R101)</f>
        <v>16</v>
      </c>
      <c r="U101" s="56">
        <f>T101/J101*100</f>
        <v>100</v>
      </c>
      <c r="V101" s="37" t="s">
        <v>60</v>
      </c>
      <c r="W101" s="42">
        <f>SUM(M101,O101,Q101,S101)</f>
        <v>1536194225</v>
      </c>
      <c r="X101" s="55">
        <f>W101/K101*100</f>
        <v>72.701943652975416</v>
      </c>
      <c r="Y101" s="37" t="s">
        <v>60</v>
      </c>
      <c r="Z101" s="56">
        <f t="shared" si="30"/>
        <v>48</v>
      </c>
      <c r="AA101" s="42">
        <f t="shared" si="31"/>
        <v>2968864380</v>
      </c>
      <c r="AB101" s="55"/>
      <c r="AC101" s="37" t="s">
        <v>60</v>
      </c>
      <c r="AD101" s="55"/>
      <c r="AE101" s="13"/>
      <c r="AH101" s="27"/>
    </row>
    <row r="102" spans="1:34" ht="90" x14ac:dyDescent="0.2">
      <c r="A102" s="18"/>
      <c r="B102" s="19"/>
      <c r="C102" s="28" t="s">
        <v>159</v>
      </c>
      <c r="D102" s="31" t="s">
        <v>253</v>
      </c>
      <c r="E102" s="105">
        <f>2915*3</f>
        <v>8745</v>
      </c>
      <c r="F102" s="49" t="s">
        <v>226</v>
      </c>
      <c r="G102" s="25">
        <v>1213950000</v>
      </c>
      <c r="H102" s="46">
        <v>2372</v>
      </c>
      <c r="I102" s="24">
        <v>4024719590</v>
      </c>
      <c r="J102" s="105">
        <v>2915</v>
      </c>
      <c r="K102" s="25">
        <v>3655700000</v>
      </c>
      <c r="L102" s="22">
        <v>0</v>
      </c>
      <c r="M102" s="25">
        <v>0</v>
      </c>
      <c r="N102" s="22">
        <v>0</v>
      </c>
      <c r="O102" s="25">
        <v>0</v>
      </c>
      <c r="P102" s="22">
        <v>0</v>
      </c>
      <c r="Q102" s="25">
        <v>0</v>
      </c>
      <c r="R102" s="22">
        <v>2915</v>
      </c>
      <c r="S102" s="25">
        <v>3655700000</v>
      </c>
      <c r="T102" s="107">
        <f>SUM(L102,N102,P102,R102)</f>
        <v>2915</v>
      </c>
      <c r="U102" s="56">
        <f>T102/J102*100</f>
        <v>100</v>
      </c>
      <c r="V102" s="37" t="s">
        <v>60</v>
      </c>
      <c r="W102" s="42">
        <f>SUM(M102,O102,Q102,S102)</f>
        <v>3655700000</v>
      </c>
      <c r="X102" s="55">
        <f>W102/K102*100</f>
        <v>100</v>
      </c>
      <c r="Y102" s="37" t="s">
        <v>60</v>
      </c>
      <c r="Z102" s="107">
        <f t="shared" si="30"/>
        <v>5287</v>
      </c>
      <c r="AA102" s="42">
        <f t="shared" si="31"/>
        <v>7680419590</v>
      </c>
      <c r="AB102" s="55"/>
      <c r="AC102" s="37" t="s">
        <v>60</v>
      </c>
      <c r="AD102" s="55"/>
      <c r="AE102" s="13"/>
      <c r="AH102" s="27"/>
    </row>
    <row r="103" spans="1:34" ht="240" x14ac:dyDescent="0.2">
      <c r="A103" s="18"/>
      <c r="B103" s="19"/>
      <c r="C103" s="115" t="s">
        <v>124</v>
      </c>
      <c r="D103" s="114" t="s">
        <v>228</v>
      </c>
      <c r="E103" s="22">
        <f>100+100</f>
        <v>200</v>
      </c>
      <c r="F103" s="23" t="s">
        <v>59</v>
      </c>
      <c r="G103" s="25">
        <v>601545800</v>
      </c>
      <c r="H103" s="46">
        <v>100</v>
      </c>
      <c r="I103" s="24">
        <v>210162500</v>
      </c>
      <c r="J103" s="22"/>
      <c r="K103" s="25"/>
      <c r="L103" s="22"/>
      <c r="M103" s="25"/>
      <c r="N103" s="22"/>
      <c r="O103" s="25"/>
      <c r="P103" s="22"/>
      <c r="Q103" s="25"/>
      <c r="R103" s="22"/>
      <c r="S103" s="25"/>
      <c r="T103" s="56"/>
      <c r="U103" s="56"/>
      <c r="V103" s="37"/>
      <c r="W103" s="42"/>
      <c r="X103" s="55"/>
      <c r="Y103" s="37"/>
      <c r="Z103" s="56">
        <f t="shared" si="30"/>
        <v>100</v>
      </c>
      <c r="AA103" s="42">
        <f t="shared" si="31"/>
        <v>210162500</v>
      </c>
      <c r="AB103" s="55"/>
      <c r="AC103" s="37" t="s">
        <v>60</v>
      </c>
      <c r="AD103" s="55"/>
      <c r="AE103" s="13"/>
      <c r="AH103" s="27"/>
    </row>
    <row r="104" spans="1:34" ht="110.25" x14ac:dyDescent="0.2">
      <c r="A104" s="50">
        <v>16</v>
      </c>
      <c r="B104" s="51" t="s">
        <v>62</v>
      </c>
      <c r="C104" s="20" t="s">
        <v>125</v>
      </c>
      <c r="D104" s="21" t="s">
        <v>177</v>
      </c>
      <c r="E104" s="109">
        <f>9/9*100</f>
        <v>100</v>
      </c>
      <c r="F104" s="78" t="s">
        <v>60</v>
      </c>
      <c r="G104" s="44">
        <f>G105+G107+G110</f>
        <v>2048737500</v>
      </c>
      <c r="H104" s="108">
        <v>133.33333333333331</v>
      </c>
      <c r="I104" s="44">
        <f>I105+I107+I110</f>
        <v>824937263</v>
      </c>
      <c r="J104" s="108">
        <f>6/9*100</f>
        <v>66.666666666666657</v>
      </c>
      <c r="K104" s="44">
        <f>K105+K107+K110</f>
        <v>1766600000</v>
      </c>
      <c r="L104" s="47">
        <v>0</v>
      </c>
      <c r="M104" s="44">
        <f>M105+M107+M110</f>
        <v>0</v>
      </c>
      <c r="N104" s="47">
        <v>0</v>
      </c>
      <c r="O104" s="44">
        <f>O105+O107+O110</f>
        <v>0</v>
      </c>
      <c r="P104" s="47">
        <v>0</v>
      </c>
      <c r="Q104" s="44">
        <f>Q105+Q107+Q110</f>
        <v>866750000</v>
      </c>
      <c r="R104" s="108">
        <v>66.666666666666657</v>
      </c>
      <c r="S104" s="44">
        <f>S105+S107+S110</f>
        <v>869140000</v>
      </c>
      <c r="T104" s="59">
        <f>SUM(L104,N104,P104,R104)</f>
        <v>66.666666666666657</v>
      </c>
      <c r="U104" s="57">
        <f>T104/J104*100</f>
        <v>100</v>
      </c>
      <c r="V104" s="60" t="s">
        <v>60</v>
      </c>
      <c r="W104" s="61">
        <f>SUM(M104,O104,Q104,S104)</f>
        <v>1735890000</v>
      </c>
      <c r="X104" s="59">
        <f>W104/K104*100</f>
        <v>98.26163251443451</v>
      </c>
      <c r="Y104" s="60" t="s">
        <v>60</v>
      </c>
      <c r="Z104" s="57">
        <f t="shared" si="30"/>
        <v>199.99999999999997</v>
      </c>
      <c r="AA104" s="61">
        <f t="shared" si="31"/>
        <v>2560827263</v>
      </c>
      <c r="AB104" s="59"/>
      <c r="AC104" s="60" t="s">
        <v>60</v>
      </c>
      <c r="AD104" s="59"/>
      <c r="AE104" s="13"/>
      <c r="AH104" s="27"/>
    </row>
    <row r="105" spans="1:34" ht="157.5" x14ac:dyDescent="0.2">
      <c r="A105" s="18"/>
      <c r="B105" s="19"/>
      <c r="C105" s="116" t="s">
        <v>126</v>
      </c>
      <c r="D105" s="113" t="s">
        <v>176</v>
      </c>
      <c r="E105" s="109">
        <f>9/9*100</f>
        <v>100</v>
      </c>
      <c r="F105" s="78" t="s">
        <v>60</v>
      </c>
      <c r="G105" s="44">
        <f>SUM(G106)</f>
        <v>1277103000</v>
      </c>
      <c r="H105" s="108">
        <v>133.33333333333331</v>
      </c>
      <c r="I105" s="44">
        <f>SUM(I106)</f>
        <v>393219799</v>
      </c>
      <c r="J105" s="108"/>
      <c r="K105" s="44"/>
      <c r="L105" s="47"/>
      <c r="M105" s="44"/>
      <c r="N105" s="47"/>
      <c r="O105" s="44"/>
      <c r="P105" s="47"/>
      <c r="Q105" s="44"/>
      <c r="R105" s="47"/>
      <c r="S105" s="44"/>
      <c r="T105" s="59"/>
      <c r="U105" s="57"/>
      <c r="V105" s="60"/>
      <c r="W105" s="61"/>
      <c r="X105" s="59"/>
      <c r="Y105" s="60"/>
      <c r="Z105" s="57">
        <f t="shared" si="30"/>
        <v>133.33333333333331</v>
      </c>
      <c r="AA105" s="61">
        <f t="shared" si="31"/>
        <v>393219799</v>
      </c>
      <c r="AB105" s="59"/>
      <c r="AC105" s="60" t="s">
        <v>60</v>
      </c>
      <c r="AD105" s="59"/>
      <c r="AE105" s="13"/>
      <c r="AH105" s="27"/>
    </row>
    <row r="106" spans="1:34" ht="135" x14ac:dyDescent="0.2">
      <c r="A106" s="18"/>
      <c r="B106" s="19"/>
      <c r="C106" s="115" t="s">
        <v>127</v>
      </c>
      <c r="D106" s="114" t="s">
        <v>254</v>
      </c>
      <c r="E106" s="22">
        <v>9</v>
      </c>
      <c r="F106" s="23" t="s">
        <v>255</v>
      </c>
      <c r="G106" s="25">
        <v>1277103000</v>
      </c>
      <c r="H106" s="22">
        <v>12</v>
      </c>
      <c r="I106" s="25">
        <v>393219799</v>
      </c>
      <c r="J106" s="22"/>
      <c r="K106" s="25"/>
      <c r="L106" s="22"/>
      <c r="M106" s="123"/>
      <c r="N106" s="22"/>
      <c r="O106" s="123"/>
      <c r="P106" s="22"/>
      <c r="Q106" s="123"/>
      <c r="R106" s="22"/>
      <c r="S106" s="25"/>
      <c r="T106" s="56"/>
      <c r="U106" s="56"/>
      <c r="V106" s="37"/>
      <c r="W106" s="42"/>
      <c r="X106" s="55"/>
      <c r="Y106" s="37"/>
      <c r="Z106" s="56">
        <f t="shared" si="30"/>
        <v>12</v>
      </c>
      <c r="AA106" s="42">
        <f t="shared" si="31"/>
        <v>393219799</v>
      </c>
      <c r="AB106" s="55"/>
      <c r="AC106" s="37" t="s">
        <v>60</v>
      </c>
      <c r="AD106" s="55"/>
      <c r="AE106" s="13"/>
      <c r="AH106" s="27"/>
    </row>
    <row r="107" spans="1:34" s="80" customFormat="1" ht="164.25" customHeight="1" x14ac:dyDescent="0.25">
      <c r="A107" s="18"/>
      <c r="B107" s="19"/>
      <c r="C107" s="20" t="s">
        <v>128</v>
      </c>
      <c r="D107" s="21" t="s">
        <v>178</v>
      </c>
      <c r="E107" s="47">
        <f>12/12*100</f>
        <v>100</v>
      </c>
      <c r="F107" s="48" t="s">
        <v>60</v>
      </c>
      <c r="G107" s="44">
        <f>SUM(G108:G109)</f>
        <v>640131000</v>
      </c>
      <c r="H107" s="108">
        <v>99.999999999999986</v>
      </c>
      <c r="I107" s="44">
        <f>SUM(I108:I109)</f>
        <v>314913964</v>
      </c>
      <c r="J107" s="108">
        <f>8/12*100</f>
        <v>66.666666666666657</v>
      </c>
      <c r="K107" s="44">
        <f>SUM(K108:K109)</f>
        <v>1754000000</v>
      </c>
      <c r="L107" s="47">
        <v>0</v>
      </c>
      <c r="M107" s="44">
        <f>SUM(M108:M109)</f>
        <v>0</v>
      </c>
      <c r="N107" s="47">
        <v>0</v>
      </c>
      <c r="O107" s="44">
        <f>SUM(O108:O109)</f>
        <v>0</v>
      </c>
      <c r="P107" s="108">
        <f>7/12*100</f>
        <v>58.333333333333336</v>
      </c>
      <c r="Q107" s="44">
        <f>SUM(Q108:Q109)</f>
        <v>864650000</v>
      </c>
      <c r="R107" s="108">
        <f>8/12*100</f>
        <v>66.666666666666657</v>
      </c>
      <c r="S107" s="44">
        <f>SUM(S108:S109)</f>
        <v>861790000</v>
      </c>
      <c r="T107" s="59">
        <f>R107</f>
        <v>66.666666666666657</v>
      </c>
      <c r="U107" s="57">
        <f>T107/J107*100</f>
        <v>100</v>
      </c>
      <c r="V107" s="60" t="s">
        <v>60</v>
      </c>
      <c r="W107" s="61">
        <f>SUM(M107,O107,Q107,S107)</f>
        <v>1726440000</v>
      </c>
      <c r="X107" s="59">
        <f>W107/K107*100</f>
        <v>98.428734321550735</v>
      </c>
      <c r="Y107" s="60" t="s">
        <v>60</v>
      </c>
      <c r="Z107" s="57">
        <f t="shared" si="30"/>
        <v>166.66666666666663</v>
      </c>
      <c r="AA107" s="61">
        <f t="shared" si="31"/>
        <v>2041353964</v>
      </c>
      <c r="AB107" s="59"/>
      <c r="AC107" s="60" t="s">
        <v>60</v>
      </c>
      <c r="AD107" s="59"/>
      <c r="AE107" s="79"/>
      <c r="AH107" s="81"/>
    </row>
    <row r="108" spans="1:34" ht="135" x14ac:dyDescent="0.2">
      <c r="A108" s="18"/>
      <c r="B108" s="19"/>
      <c r="C108" s="28" t="s">
        <v>192</v>
      </c>
      <c r="D108" s="31" t="s">
        <v>256</v>
      </c>
      <c r="E108" s="22"/>
      <c r="F108" s="23" t="s">
        <v>255</v>
      </c>
      <c r="G108" s="25"/>
      <c r="H108" s="22"/>
      <c r="I108" s="25"/>
      <c r="J108" s="22">
        <v>3</v>
      </c>
      <c r="K108" s="25">
        <v>1754000000</v>
      </c>
      <c r="L108" s="22">
        <v>0</v>
      </c>
      <c r="M108" s="25">
        <v>0</v>
      </c>
      <c r="N108" s="22">
        <v>0</v>
      </c>
      <c r="O108" s="25">
        <v>0</v>
      </c>
      <c r="P108" s="22">
        <v>2</v>
      </c>
      <c r="Q108" s="25">
        <v>864650000</v>
      </c>
      <c r="R108" s="22">
        <v>1</v>
      </c>
      <c r="S108" s="25">
        <v>861790000</v>
      </c>
      <c r="T108" s="56">
        <f>SUM(L108,N108,P108,R108)</f>
        <v>3</v>
      </c>
      <c r="U108" s="56">
        <f>T108/J108*100</f>
        <v>100</v>
      </c>
      <c r="V108" s="37" t="s">
        <v>60</v>
      </c>
      <c r="W108" s="42">
        <f>SUM(M108,O108,Q108,S108)</f>
        <v>1726440000</v>
      </c>
      <c r="X108" s="55">
        <f>W108/K108*100</f>
        <v>98.428734321550735</v>
      </c>
      <c r="Y108" s="37" t="s">
        <v>60</v>
      </c>
      <c r="Z108" s="56">
        <f t="shared" si="30"/>
        <v>3</v>
      </c>
      <c r="AA108" s="42">
        <f t="shared" si="31"/>
        <v>1726440000</v>
      </c>
      <c r="AB108" s="55"/>
      <c r="AC108" s="37" t="s">
        <v>60</v>
      </c>
      <c r="AD108" s="55"/>
      <c r="AE108" s="13"/>
      <c r="AH108" s="27"/>
    </row>
    <row r="109" spans="1:34" ht="135" x14ac:dyDescent="0.2">
      <c r="A109" s="18"/>
      <c r="B109" s="19"/>
      <c r="C109" s="115" t="s">
        <v>129</v>
      </c>
      <c r="D109" s="114" t="s">
        <v>257</v>
      </c>
      <c r="E109" s="22">
        <f>J109*2</f>
        <v>0</v>
      </c>
      <c r="F109" s="23" t="s">
        <v>157</v>
      </c>
      <c r="G109" s="25">
        <v>640131000</v>
      </c>
      <c r="H109" s="22">
        <v>3</v>
      </c>
      <c r="I109" s="25">
        <v>314913964</v>
      </c>
      <c r="J109" s="22"/>
      <c r="K109" s="25"/>
      <c r="L109" s="22"/>
      <c r="M109" s="25"/>
      <c r="N109" s="22"/>
      <c r="O109" s="25"/>
      <c r="P109" s="22"/>
      <c r="Q109" s="25"/>
      <c r="R109" s="22"/>
      <c r="S109" s="25"/>
      <c r="T109" s="56"/>
      <c r="U109" s="56"/>
      <c r="V109" s="37"/>
      <c r="W109" s="42"/>
      <c r="X109" s="55"/>
      <c r="Y109" s="37"/>
      <c r="Z109" s="56">
        <f t="shared" si="30"/>
        <v>3</v>
      </c>
      <c r="AA109" s="42">
        <f t="shared" si="31"/>
        <v>314913964</v>
      </c>
      <c r="AB109" s="55"/>
      <c r="AC109" s="37" t="s">
        <v>60</v>
      </c>
      <c r="AD109" s="55"/>
      <c r="AE109" s="13"/>
      <c r="AH109" s="27"/>
    </row>
    <row r="110" spans="1:34" s="80" customFormat="1" ht="128.25" customHeight="1" x14ac:dyDescent="0.25">
      <c r="A110" s="18"/>
      <c r="B110" s="19"/>
      <c r="C110" s="20" t="s">
        <v>130</v>
      </c>
      <c r="D110" s="21" t="s">
        <v>179</v>
      </c>
      <c r="E110" s="47">
        <v>2</v>
      </c>
      <c r="F110" s="78" t="s">
        <v>180</v>
      </c>
      <c r="G110" s="44">
        <f>SUM(G111:G112)</f>
        <v>131503500</v>
      </c>
      <c r="H110" s="47">
        <v>2</v>
      </c>
      <c r="I110" s="44">
        <f>SUM(I111:I112)</f>
        <v>116803500</v>
      </c>
      <c r="J110" s="47">
        <v>2</v>
      </c>
      <c r="K110" s="44">
        <f>SUM(K111)</f>
        <v>12600000</v>
      </c>
      <c r="L110" s="47">
        <v>0</v>
      </c>
      <c r="M110" s="44">
        <f>SUM(M111)</f>
        <v>0</v>
      </c>
      <c r="N110" s="47">
        <v>0</v>
      </c>
      <c r="O110" s="44">
        <f>SUM(O111)</f>
        <v>0</v>
      </c>
      <c r="P110" s="47">
        <f>P111</f>
        <v>1</v>
      </c>
      <c r="Q110" s="44">
        <f>SUM(Q111)</f>
        <v>2100000</v>
      </c>
      <c r="R110" s="47">
        <f>R111</f>
        <v>2</v>
      </c>
      <c r="S110" s="44">
        <f>SUM(S111)</f>
        <v>7350000</v>
      </c>
      <c r="T110" s="57">
        <f>SUM(L110,N110,P110,R110)</f>
        <v>3</v>
      </c>
      <c r="U110" s="57">
        <f>T110/J110*100</f>
        <v>150</v>
      </c>
      <c r="V110" s="60" t="s">
        <v>60</v>
      </c>
      <c r="W110" s="61">
        <f>SUM(M110,O110,Q110,S110)</f>
        <v>9450000</v>
      </c>
      <c r="X110" s="59">
        <f>W110/K110*100</f>
        <v>75</v>
      </c>
      <c r="Y110" s="60" t="s">
        <v>60</v>
      </c>
      <c r="Z110" s="57">
        <f t="shared" si="30"/>
        <v>5</v>
      </c>
      <c r="AA110" s="61">
        <f t="shared" si="31"/>
        <v>126253500</v>
      </c>
      <c r="AB110" s="59"/>
      <c r="AC110" s="60" t="s">
        <v>60</v>
      </c>
      <c r="AD110" s="59"/>
      <c r="AE110" s="79"/>
      <c r="AH110" s="81"/>
    </row>
    <row r="111" spans="1:34" ht="105" x14ac:dyDescent="0.2">
      <c r="A111" s="18"/>
      <c r="B111" s="19"/>
      <c r="C111" s="28" t="s">
        <v>191</v>
      </c>
      <c r="D111" s="31" t="s">
        <v>258</v>
      </c>
      <c r="E111" s="22"/>
      <c r="F111" s="23" t="s">
        <v>144</v>
      </c>
      <c r="G111" s="25"/>
      <c r="H111" s="22"/>
      <c r="I111" s="25"/>
      <c r="J111" s="22">
        <v>3</v>
      </c>
      <c r="K111" s="25">
        <v>12600000</v>
      </c>
      <c r="L111" s="22">
        <v>0</v>
      </c>
      <c r="M111" s="25">
        <v>0</v>
      </c>
      <c r="N111" s="22">
        <v>0</v>
      </c>
      <c r="O111" s="25">
        <v>0</v>
      </c>
      <c r="P111" s="22">
        <v>1</v>
      </c>
      <c r="Q111" s="25">
        <v>2100000</v>
      </c>
      <c r="R111" s="22">
        <v>2</v>
      </c>
      <c r="S111" s="25">
        <v>7350000</v>
      </c>
      <c r="T111" s="56">
        <f>SUM(L111,N111,P111,R111)</f>
        <v>3</v>
      </c>
      <c r="U111" s="56">
        <f>T111/J111*100</f>
        <v>100</v>
      </c>
      <c r="V111" s="37" t="s">
        <v>60</v>
      </c>
      <c r="W111" s="42">
        <f>SUM(M111,O111,Q111,S111)</f>
        <v>9450000</v>
      </c>
      <c r="X111" s="55">
        <f>W111/K111*100</f>
        <v>75</v>
      </c>
      <c r="Y111" s="37" t="s">
        <v>60</v>
      </c>
      <c r="Z111" s="56">
        <f t="shared" si="30"/>
        <v>3</v>
      </c>
      <c r="AA111" s="42">
        <f t="shared" si="31"/>
        <v>9450000</v>
      </c>
      <c r="AB111" s="55"/>
      <c r="AC111" s="37" t="s">
        <v>60</v>
      </c>
      <c r="AD111" s="55"/>
      <c r="AE111" s="13"/>
      <c r="AH111" s="27"/>
    </row>
    <row r="112" spans="1:34" ht="107.25" customHeight="1" x14ac:dyDescent="0.2">
      <c r="A112" s="18"/>
      <c r="B112" s="19"/>
      <c r="C112" s="115" t="s">
        <v>131</v>
      </c>
      <c r="D112" s="114" t="s">
        <v>259</v>
      </c>
      <c r="E112" s="22">
        <f>J112*2</f>
        <v>0</v>
      </c>
      <c r="F112" s="23" t="s">
        <v>59</v>
      </c>
      <c r="G112" s="25">
        <v>131503500</v>
      </c>
      <c r="H112" s="22">
        <v>3</v>
      </c>
      <c r="I112" s="25">
        <v>116803500</v>
      </c>
      <c r="J112" s="22"/>
      <c r="K112" s="25"/>
      <c r="L112" s="22"/>
      <c r="M112" s="25"/>
      <c r="N112" s="22"/>
      <c r="O112" s="25"/>
      <c r="P112" s="22"/>
      <c r="Q112" s="25"/>
      <c r="R112" s="22"/>
      <c r="S112" s="25"/>
      <c r="T112" s="56"/>
      <c r="U112" s="56"/>
      <c r="V112" s="37"/>
      <c r="W112" s="42"/>
      <c r="X112" s="55"/>
      <c r="Y112" s="37"/>
      <c r="Z112" s="56">
        <f t="shared" si="30"/>
        <v>3</v>
      </c>
      <c r="AA112" s="42">
        <f t="shared" si="31"/>
        <v>116803500</v>
      </c>
      <c r="AB112" s="55"/>
      <c r="AC112" s="37" t="s">
        <v>60</v>
      </c>
      <c r="AD112" s="55"/>
      <c r="AE112" s="13"/>
      <c r="AH112" s="27"/>
    </row>
    <row r="113" spans="1:34" ht="110.25" x14ac:dyDescent="0.2">
      <c r="A113" s="18"/>
      <c r="B113" s="19"/>
      <c r="C113" s="116" t="s">
        <v>132</v>
      </c>
      <c r="D113" s="113" t="s">
        <v>169</v>
      </c>
      <c r="E113" s="22"/>
      <c r="F113" s="23"/>
      <c r="G113" s="44">
        <f>G114</f>
        <v>262100000</v>
      </c>
      <c r="H113" s="47">
        <v>0</v>
      </c>
      <c r="I113" s="44">
        <f>I114</f>
        <v>127150000</v>
      </c>
      <c r="J113" s="47"/>
      <c r="K113" s="44"/>
      <c r="L113" s="47"/>
      <c r="M113" s="44"/>
      <c r="N113" s="47"/>
      <c r="O113" s="44"/>
      <c r="P113" s="47"/>
      <c r="Q113" s="44"/>
      <c r="R113" s="47"/>
      <c r="S113" s="44"/>
      <c r="T113" s="57"/>
      <c r="U113" s="57"/>
      <c r="V113" s="60"/>
      <c r="W113" s="61"/>
      <c r="X113" s="59"/>
      <c r="Y113" s="60"/>
      <c r="Z113" s="57">
        <f t="shared" si="30"/>
        <v>0</v>
      </c>
      <c r="AA113" s="61">
        <f t="shared" si="31"/>
        <v>127150000</v>
      </c>
      <c r="AB113" s="59"/>
      <c r="AC113" s="60" t="s">
        <v>60</v>
      </c>
      <c r="AD113" s="59"/>
      <c r="AE113" s="13"/>
      <c r="AH113" s="27"/>
    </row>
    <row r="114" spans="1:34" ht="117" customHeight="1" x14ac:dyDescent="0.2">
      <c r="A114" s="18"/>
      <c r="B114" s="19"/>
      <c r="C114" s="116" t="s">
        <v>133</v>
      </c>
      <c r="D114" s="113" t="s">
        <v>170</v>
      </c>
      <c r="E114" s="47">
        <f>1+1</f>
        <v>2</v>
      </c>
      <c r="F114" s="48" t="s">
        <v>58</v>
      </c>
      <c r="G114" s="44">
        <f>SUM(G115)</f>
        <v>262100000</v>
      </c>
      <c r="H114" s="47">
        <v>0</v>
      </c>
      <c r="I114" s="44">
        <f>SUM(I115)</f>
        <v>127150000</v>
      </c>
      <c r="J114" s="47"/>
      <c r="K114" s="44"/>
      <c r="L114" s="47"/>
      <c r="M114" s="44"/>
      <c r="N114" s="47"/>
      <c r="O114" s="44"/>
      <c r="P114" s="47"/>
      <c r="Q114" s="44"/>
      <c r="R114" s="47"/>
      <c r="S114" s="44"/>
      <c r="T114" s="57"/>
      <c r="U114" s="57"/>
      <c r="V114" s="60"/>
      <c r="W114" s="61"/>
      <c r="X114" s="59"/>
      <c r="Y114" s="60"/>
      <c r="Z114" s="57">
        <f t="shared" si="30"/>
        <v>0</v>
      </c>
      <c r="AA114" s="61">
        <f t="shared" si="31"/>
        <v>127150000</v>
      </c>
      <c r="AB114" s="59"/>
      <c r="AC114" s="60" t="s">
        <v>60</v>
      </c>
      <c r="AD114" s="59"/>
      <c r="AE114" s="13"/>
      <c r="AH114" s="27"/>
    </row>
    <row r="115" spans="1:34" ht="117" customHeight="1" x14ac:dyDescent="0.2">
      <c r="A115" s="18"/>
      <c r="B115" s="19"/>
      <c r="C115" s="115" t="s">
        <v>134</v>
      </c>
      <c r="D115" s="114" t="s">
        <v>260</v>
      </c>
      <c r="E115" s="105">
        <f>1000+1000</f>
        <v>2000</v>
      </c>
      <c r="F115" s="23" t="s">
        <v>59</v>
      </c>
      <c r="G115" s="25">
        <v>262100000</v>
      </c>
      <c r="H115" s="105">
        <v>1000</v>
      </c>
      <c r="I115" s="25">
        <v>127150000</v>
      </c>
      <c r="J115" s="105"/>
      <c r="K115" s="25"/>
      <c r="L115" s="22"/>
      <c r="M115" s="25"/>
      <c r="N115" s="22"/>
      <c r="O115" s="25"/>
      <c r="P115" s="22"/>
      <c r="Q115" s="25"/>
      <c r="R115" s="105"/>
      <c r="S115" s="25"/>
      <c r="T115" s="107"/>
      <c r="U115" s="56"/>
      <c r="V115" s="37"/>
      <c r="W115" s="42"/>
      <c r="X115" s="55"/>
      <c r="Y115" s="37"/>
      <c r="Z115" s="107">
        <f t="shared" si="30"/>
        <v>1000</v>
      </c>
      <c r="AA115" s="42">
        <f t="shared" si="31"/>
        <v>127150000</v>
      </c>
      <c r="AB115" s="55"/>
      <c r="AC115" s="37" t="s">
        <v>60</v>
      </c>
      <c r="AD115" s="55"/>
      <c r="AE115" s="13"/>
      <c r="AH115" s="27"/>
    </row>
    <row r="116" spans="1:34" ht="126" x14ac:dyDescent="0.2">
      <c r="A116" s="18"/>
      <c r="B116" s="19"/>
      <c r="C116" s="20" t="s">
        <v>135</v>
      </c>
      <c r="D116" s="21" t="s">
        <v>158</v>
      </c>
      <c r="E116" s="47">
        <v>100</v>
      </c>
      <c r="F116" s="48" t="s">
        <v>60</v>
      </c>
      <c r="G116" s="44">
        <f>G117+G119</f>
        <v>2934250000</v>
      </c>
      <c r="H116" s="47">
        <v>100</v>
      </c>
      <c r="I116" s="44">
        <f>I117+I119</f>
        <v>244982500</v>
      </c>
      <c r="J116" s="47">
        <v>100</v>
      </c>
      <c r="K116" s="44">
        <f>K117+K119</f>
        <v>788000000</v>
      </c>
      <c r="L116" s="47"/>
      <c r="M116" s="44">
        <f>M117+M119</f>
        <v>0</v>
      </c>
      <c r="N116" s="47"/>
      <c r="O116" s="44">
        <f>O117+O119</f>
        <v>144000000</v>
      </c>
      <c r="P116" s="47"/>
      <c r="Q116" s="44">
        <f>Q117+Q119</f>
        <v>72000000</v>
      </c>
      <c r="R116" s="47"/>
      <c r="S116" s="44">
        <f>S117+S119</f>
        <v>572000000</v>
      </c>
      <c r="T116" s="59">
        <f>SUM(L116,N116,P116,R116)</f>
        <v>0</v>
      </c>
      <c r="U116" s="57">
        <f>T116/J116*100</f>
        <v>0</v>
      </c>
      <c r="V116" s="60" t="s">
        <v>60</v>
      </c>
      <c r="W116" s="61">
        <f>SUM(M116,O116,Q116,S116)</f>
        <v>788000000</v>
      </c>
      <c r="X116" s="59">
        <f>W116/K116*100</f>
        <v>100</v>
      </c>
      <c r="Y116" s="60" t="s">
        <v>60</v>
      </c>
      <c r="Z116" s="57">
        <f t="shared" si="30"/>
        <v>100</v>
      </c>
      <c r="AA116" s="61">
        <f t="shared" si="31"/>
        <v>1032982500</v>
      </c>
      <c r="AB116" s="59"/>
      <c r="AC116" s="60" t="s">
        <v>60</v>
      </c>
      <c r="AD116" s="59"/>
      <c r="AE116" s="13"/>
      <c r="AH116" s="27"/>
    </row>
    <row r="117" spans="1:34" s="80" customFormat="1" ht="105" customHeight="1" x14ac:dyDescent="0.25">
      <c r="A117" s="18"/>
      <c r="B117" s="19"/>
      <c r="C117" s="116" t="s">
        <v>171</v>
      </c>
      <c r="D117" s="113" t="s">
        <v>172</v>
      </c>
      <c r="E117" s="47">
        <v>32</v>
      </c>
      <c r="F117" s="78" t="s">
        <v>152</v>
      </c>
      <c r="G117" s="44">
        <f>SUM(G118)</f>
        <v>28000000</v>
      </c>
      <c r="H117" s="47">
        <v>54</v>
      </c>
      <c r="I117" s="44">
        <f>SUM(I118)</f>
        <v>14000000</v>
      </c>
      <c r="J117" s="47"/>
      <c r="K117" s="44"/>
      <c r="L117" s="47"/>
      <c r="M117" s="44"/>
      <c r="N117" s="47"/>
      <c r="O117" s="44"/>
      <c r="P117" s="47"/>
      <c r="Q117" s="44"/>
      <c r="R117" s="47"/>
      <c r="S117" s="44"/>
      <c r="T117" s="57"/>
      <c r="U117" s="57"/>
      <c r="V117" s="60"/>
      <c r="W117" s="61"/>
      <c r="X117" s="59"/>
      <c r="Y117" s="60"/>
      <c r="Z117" s="57">
        <f t="shared" si="30"/>
        <v>54</v>
      </c>
      <c r="AA117" s="61">
        <f t="shared" si="31"/>
        <v>14000000</v>
      </c>
      <c r="AB117" s="59"/>
      <c r="AC117" s="60" t="s">
        <v>60</v>
      </c>
      <c r="AD117" s="59"/>
      <c r="AE117" s="79"/>
      <c r="AH117" s="81"/>
    </row>
    <row r="118" spans="1:34" ht="75" x14ac:dyDescent="0.2">
      <c r="A118" s="18"/>
      <c r="B118" s="19"/>
      <c r="C118" s="115" t="s">
        <v>136</v>
      </c>
      <c r="D118" s="114" t="s">
        <v>261</v>
      </c>
      <c r="E118" s="22">
        <v>32</v>
      </c>
      <c r="F118" s="49" t="s">
        <v>255</v>
      </c>
      <c r="G118" s="25">
        <v>28000000</v>
      </c>
      <c r="H118" s="22">
        <v>54</v>
      </c>
      <c r="I118" s="25">
        <v>14000000</v>
      </c>
      <c r="J118" s="22"/>
      <c r="K118" s="25"/>
      <c r="L118" s="22"/>
      <c r="M118" s="25"/>
      <c r="N118" s="22"/>
      <c r="O118" s="25"/>
      <c r="P118" s="22"/>
      <c r="Q118" s="25"/>
      <c r="R118" s="22"/>
      <c r="S118" s="25"/>
      <c r="T118" s="56"/>
      <c r="U118" s="56"/>
      <c r="V118" s="37"/>
      <c r="W118" s="42"/>
      <c r="X118" s="55"/>
      <c r="Y118" s="37"/>
      <c r="Z118" s="56">
        <f t="shared" si="30"/>
        <v>54</v>
      </c>
      <c r="AA118" s="42">
        <f t="shared" si="31"/>
        <v>14000000</v>
      </c>
      <c r="AB118" s="55"/>
      <c r="AC118" s="37" t="s">
        <v>60</v>
      </c>
      <c r="AD118" s="55"/>
      <c r="AE118" s="13"/>
      <c r="AH118" s="27"/>
    </row>
    <row r="119" spans="1:34" ht="124.5" customHeight="1" x14ac:dyDescent="0.2">
      <c r="A119" s="18"/>
      <c r="B119" s="19"/>
      <c r="C119" s="20" t="s">
        <v>137</v>
      </c>
      <c r="D119" s="21" t="s">
        <v>173</v>
      </c>
      <c r="E119" s="47">
        <v>32</v>
      </c>
      <c r="F119" s="78" t="s">
        <v>152</v>
      </c>
      <c r="G119" s="44">
        <f>SUM(G120:G122)</f>
        <v>2906250000</v>
      </c>
      <c r="H119" s="47">
        <v>54</v>
      </c>
      <c r="I119" s="44">
        <f>SUM(I120:I122)</f>
        <v>230982500</v>
      </c>
      <c r="J119" s="47">
        <f>J120</f>
        <v>28</v>
      </c>
      <c r="K119" s="44">
        <f>SUM(K120:K122)</f>
        <v>788000000</v>
      </c>
      <c r="L119" s="47">
        <v>0</v>
      </c>
      <c r="M119" s="44">
        <f>SUM(M120:M122)</f>
        <v>0</v>
      </c>
      <c r="N119" s="47">
        <v>14</v>
      </c>
      <c r="O119" s="44">
        <f>SUM(O120:O122)</f>
        <v>144000000</v>
      </c>
      <c r="P119" s="47">
        <f>P120</f>
        <v>7</v>
      </c>
      <c r="Q119" s="44">
        <f>SUM(Q120:Q122)</f>
        <v>72000000</v>
      </c>
      <c r="R119" s="47">
        <f>R120</f>
        <v>7</v>
      </c>
      <c r="S119" s="44">
        <f>SUM(S120:S122)</f>
        <v>572000000</v>
      </c>
      <c r="T119" s="57">
        <f>SUM(L119,N119,P119,R119)</f>
        <v>28</v>
      </c>
      <c r="U119" s="57">
        <f>T119/J119*100</f>
        <v>100</v>
      </c>
      <c r="V119" s="60" t="s">
        <v>60</v>
      </c>
      <c r="W119" s="61">
        <f>SUM(M119,O119,Q119,S119)</f>
        <v>788000000</v>
      </c>
      <c r="X119" s="59">
        <f>W119/K119*100</f>
        <v>100</v>
      </c>
      <c r="Y119" s="60" t="s">
        <v>60</v>
      </c>
      <c r="Z119" s="57">
        <f t="shared" ref="Z119:Z128" si="32">SUM(H119,T119)</f>
        <v>82</v>
      </c>
      <c r="AA119" s="61">
        <f t="shared" ref="AA119:AA128" si="33">SUM(I119,W119)</f>
        <v>1018982500</v>
      </c>
      <c r="AB119" s="59"/>
      <c r="AC119" s="60" t="s">
        <v>60</v>
      </c>
      <c r="AD119" s="59"/>
      <c r="AE119" s="13"/>
      <c r="AH119" s="27"/>
    </row>
    <row r="120" spans="1:34" ht="60" x14ac:dyDescent="0.2">
      <c r="A120" s="18"/>
      <c r="B120" s="19"/>
      <c r="C120" s="28" t="s">
        <v>174</v>
      </c>
      <c r="D120" s="31" t="s">
        <v>264</v>
      </c>
      <c r="E120" s="22">
        <v>32</v>
      </c>
      <c r="F120" s="49" t="s">
        <v>255</v>
      </c>
      <c r="G120" s="25">
        <v>132850000</v>
      </c>
      <c r="H120" s="22">
        <v>54</v>
      </c>
      <c r="I120" s="25">
        <v>65382500</v>
      </c>
      <c r="J120" s="22">
        <v>28</v>
      </c>
      <c r="K120" s="25">
        <v>788000000</v>
      </c>
      <c r="L120" s="22">
        <v>0</v>
      </c>
      <c r="M120" s="25">
        <v>0</v>
      </c>
      <c r="N120" s="22">
        <v>14</v>
      </c>
      <c r="O120" s="25">
        <v>144000000</v>
      </c>
      <c r="P120" s="22">
        <v>7</v>
      </c>
      <c r="Q120" s="25">
        <v>72000000</v>
      </c>
      <c r="R120" s="22">
        <v>7</v>
      </c>
      <c r="S120" s="25">
        <v>572000000</v>
      </c>
      <c r="T120" s="56">
        <f>SUM(L120,N120,P120,R120)</f>
        <v>28</v>
      </c>
      <c r="U120" s="56">
        <f>T120/J120*100</f>
        <v>100</v>
      </c>
      <c r="V120" s="37" t="s">
        <v>60</v>
      </c>
      <c r="W120" s="42">
        <f>SUM(M120,O120,Q120,S120)</f>
        <v>788000000</v>
      </c>
      <c r="X120" s="55">
        <f>W120/K120*100</f>
        <v>100</v>
      </c>
      <c r="Y120" s="37" t="s">
        <v>60</v>
      </c>
      <c r="Z120" s="56">
        <f t="shared" si="32"/>
        <v>82</v>
      </c>
      <c r="AA120" s="42">
        <f t="shared" si="33"/>
        <v>853382500</v>
      </c>
      <c r="AB120" s="55"/>
      <c r="AC120" s="37" t="s">
        <v>60</v>
      </c>
      <c r="AD120" s="55"/>
      <c r="AE120" s="13"/>
      <c r="AH120" s="27"/>
    </row>
    <row r="121" spans="1:34" ht="75" x14ac:dyDescent="0.2">
      <c r="A121" s="18"/>
      <c r="B121" s="19"/>
      <c r="C121" s="115" t="s">
        <v>138</v>
      </c>
      <c r="D121" s="114" t="s">
        <v>263</v>
      </c>
      <c r="E121" s="22">
        <v>32</v>
      </c>
      <c r="F121" s="49" t="s">
        <v>255</v>
      </c>
      <c r="G121" s="25">
        <v>2043400000</v>
      </c>
      <c r="H121" s="22">
        <v>54</v>
      </c>
      <c r="I121" s="24">
        <v>21000000</v>
      </c>
      <c r="J121" s="22"/>
      <c r="K121" s="25"/>
      <c r="L121" s="22"/>
      <c r="M121" s="25"/>
      <c r="N121" s="22"/>
      <c r="O121" s="25"/>
      <c r="P121" s="22"/>
      <c r="Q121" s="25"/>
      <c r="R121" s="22"/>
      <c r="S121" s="25"/>
      <c r="T121" s="56"/>
      <c r="U121" s="56"/>
      <c r="V121" s="37"/>
      <c r="W121" s="42"/>
      <c r="X121" s="55"/>
      <c r="Y121" s="37"/>
      <c r="Z121" s="56">
        <f t="shared" si="32"/>
        <v>54</v>
      </c>
      <c r="AA121" s="42">
        <f t="shared" si="33"/>
        <v>21000000</v>
      </c>
      <c r="AB121" s="55"/>
      <c r="AC121" s="37" t="s">
        <v>60</v>
      </c>
      <c r="AD121" s="55"/>
      <c r="AE121" s="13"/>
      <c r="AH121" s="27"/>
    </row>
    <row r="122" spans="1:34" ht="75" x14ac:dyDescent="0.2">
      <c r="A122" s="18"/>
      <c r="B122" s="19"/>
      <c r="C122" s="115" t="s">
        <v>139</v>
      </c>
      <c r="D122" s="114" t="s">
        <v>262</v>
      </c>
      <c r="E122" s="22">
        <v>32</v>
      </c>
      <c r="F122" s="49" t="s">
        <v>255</v>
      </c>
      <c r="G122" s="52">
        <v>730000000</v>
      </c>
      <c r="H122" s="22">
        <v>54</v>
      </c>
      <c r="I122" s="24">
        <v>144600000</v>
      </c>
      <c r="J122" s="22"/>
      <c r="K122" s="25"/>
      <c r="L122" s="22"/>
      <c r="M122" s="25"/>
      <c r="N122" s="22"/>
      <c r="O122" s="25"/>
      <c r="P122" s="22"/>
      <c r="Q122" s="25"/>
      <c r="R122" s="22"/>
      <c r="S122" s="25"/>
      <c r="T122" s="56"/>
      <c r="U122" s="56"/>
      <c r="V122" s="37"/>
      <c r="W122" s="42"/>
      <c r="X122" s="55"/>
      <c r="Y122" s="37"/>
      <c r="Z122" s="56">
        <f t="shared" si="32"/>
        <v>54</v>
      </c>
      <c r="AA122" s="42">
        <f t="shared" si="33"/>
        <v>144600000</v>
      </c>
      <c r="AB122" s="55"/>
      <c r="AC122" s="37" t="s">
        <v>60</v>
      </c>
      <c r="AD122" s="55"/>
      <c r="AE122" s="13"/>
      <c r="AH122" s="27"/>
    </row>
    <row r="123" spans="1:34" ht="78.75" x14ac:dyDescent="0.2">
      <c r="A123" s="18"/>
      <c r="B123" s="19"/>
      <c r="C123" s="20" t="s">
        <v>140</v>
      </c>
      <c r="D123" s="21" t="s">
        <v>150</v>
      </c>
      <c r="E123" s="47">
        <f>E124</f>
        <v>1</v>
      </c>
      <c r="F123" s="78" t="s">
        <v>151</v>
      </c>
      <c r="G123" s="44">
        <f>G124</f>
        <v>1361506000</v>
      </c>
      <c r="H123" s="47">
        <v>2</v>
      </c>
      <c r="I123" s="44">
        <v>650565650</v>
      </c>
      <c r="J123" s="47">
        <f>J124</f>
        <v>1</v>
      </c>
      <c r="K123" s="44">
        <f>K124</f>
        <v>700000000</v>
      </c>
      <c r="L123" s="47">
        <v>1</v>
      </c>
      <c r="M123" s="44">
        <f>M124</f>
        <v>0</v>
      </c>
      <c r="N123" s="47">
        <v>0</v>
      </c>
      <c r="O123" s="44">
        <f>O124</f>
        <v>351652500</v>
      </c>
      <c r="P123" s="47">
        <v>0</v>
      </c>
      <c r="Q123" s="44">
        <f>Q124</f>
        <v>110323750</v>
      </c>
      <c r="R123" s="47">
        <v>0</v>
      </c>
      <c r="S123" s="44">
        <f>S124</f>
        <v>231691250</v>
      </c>
      <c r="T123" s="57">
        <f>SUM(L123,N123,P123,R123)</f>
        <v>1</v>
      </c>
      <c r="U123" s="57">
        <f>T123/J123*100</f>
        <v>100</v>
      </c>
      <c r="V123" s="60" t="s">
        <v>60</v>
      </c>
      <c r="W123" s="61">
        <f>SUM(M123,O123,Q123,S123)</f>
        <v>693667500</v>
      </c>
      <c r="X123" s="59">
        <f>W123/K123*100</f>
        <v>99.095357142857139</v>
      </c>
      <c r="Y123" s="60" t="s">
        <v>60</v>
      </c>
      <c r="Z123" s="57">
        <f t="shared" si="32"/>
        <v>3</v>
      </c>
      <c r="AA123" s="61">
        <f t="shared" si="33"/>
        <v>1344233150</v>
      </c>
      <c r="AB123" s="59"/>
      <c r="AC123" s="60" t="s">
        <v>60</v>
      </c>
      <c r="AD123" s="59"/>
      <c r="AE123" s="13"/>
      <c r="AH123" s="27"/>
    </row>
    <row r="124" spans="1:34" s="80" customFormat="1" ht="66" customHeight="1" x14ac:dyDescent="0.25">
      <c r="A124" s="18"/>
      <c r="B124" s="19"/>
      <c r="C124" s="20" t="s">
        <v>141</v>
      </c>
      <c r="D124" s="21" t="s">
        <v>175</v>
      </c>
      <c r="E124" s="47">
        <v>1</v>
      </c>
      <c r="F124" s="78" t="s">
        <v>153</v>
      </c>
      <c r="G124" s="44">
        <f>SUM(G125:G128)</f>
        <v>1361506000</v>
      </c>
      <c r="H124" s="47">
        <v>2</v>
      </c>
      <c r="I124" s="44">
        <v>650565650</v>
      </c>
      <c r="J124" s="47">
        <v>1</v>
      </c>
      <c r="K124" s="44">
        <f>SUM(K125:K128)</f>
        <v>700000000</v>
      </c>
      <c r="L124" s="47">
        <v>1</v>
      </c>
      <c r="M124" s="44">
        <f>SUM(M125:M128)</f>
        <v>0</v>
      </c>
      <c r="N124" s="47">
        <v>0</v>
      </c>
      <c r="O124" s="44">
        <f>SUM(O125:O128)</f>
        <v>351652500</v>
      </c>
      <c r="P124" s="47">
        <v>0</v>
      </c>
      <c r="Q124" s="44">
        <f>SUM(Q125:Q128)</f>
        <v>110323750</v>
      </c>
      <c r="R124" s="47">
        <v>0</v>
      </c>
      <c r="S124" s="44">
        <f>SUM(S125:S128)</f>
        <v>231691250</v>
      </c>
      <c r="T124" s="57">
        <f>SUM(L124,N124,P124,R124)</f>
        <v>1</v>
      </c>
      <c r="U124" s="57">
        <f>T124/J124*100</f>
        <v>100</v>
      </c>
      <c r="V124" s="60" t="s">
        <v>60</v>
      </c>
      <c r="W124" s="61">
        <f>SUM(M124,O124,Q124,S124)</f>
        <v>693667500</v>
      </c>
      <c r="X124" s="59">
        <f>W124/K124*100</f>
        <v>99.095357142857139</v>
      </c>
      <c r="Y124" s="60" t="s">
        <v>60</v>
      </c>
      <c r="Z124" s="57">
        <f t="shared" si="32"/>
        <v>3</v>
      </c>
      <c r="AA124" s="61">
        <f t="shared" si="33"/>
        <v>1344233150</v>
      </c>
      <c r="AB124" s="59"/>
      <c r="AC124" s="60" t="s">
        <v>60</v>
      </c>
      <c r="AD124" s="59"/>
      <c r="AE124" s="79"/>
      <c r="AH124" s="81"/>
    </row>
    <row r="125" spans="1:34" ht="180" x14ac:dyDescent="0.2">
      <c r="A125" s="18"/>
      <c r="B125" s="19"/>
      <c r="C125" s="31" t="s">
        <v>142</v>
      </c>
      <c r="D125" s="31" t="s">
        <v>265</v>
      </c>
      <c r="E125" s="22">
        <v>8</v>
      </c>
      <c r="F125" s="49" t="s">
        <v>144</v>
      </c>
      <c r="G125" s="25">
        <v>370534000</v>
      </c>
      <c r="H125" s="22">
        <v>8</v>
      </c>
      <c r="I125" s="25">
        <v>182210000</v>
      </c>
      <c r="J125" s="22">
        <v>8</v>
      </c>
      <c r="K125" s="25">
        <v>220515000</v>
      </c>
      <c r="L125" s="22">
        <v>0</v>
      </c>
      <c r="M125" s="25">
        <v>0</v>
      </c>
      <c r="N125" s="22">
        <v>4</v>
      </c>
      <c r="O125" s="25">
        <v>114427500</v>
      </c>
      <c r="P125" s="22">
        <v>2</v>
      </c>
      <c r="Q125" s="25">
        <v>42323750</v>
      </c>
      <c r="R125" s="22">
        <v>2</v>
      </c>
      <c r="S125" s="25">
        <v>63431250</v>
      </c>
      <c r="T125" s="56">
        <f>SUM(L125,N125,P125,R125)</f>
        <v>8</v>
      </c>
      <c r="U125" s="56">
        <f>T125/J125*100</f>
        <v>100</v>
      </c>
      <c r="V125" s="37" t="s">
        <v>60</v>
      </c>
      <c r="W125" s="42">
        <f>SUM(M125,O125,Q125,S125)</f>
        <v>220182500</v>
      </c>
      <c r="X125" s="55">
        <f>W125/K125*100</f>
        <v>99.849216606580043</v>
      </c>
      <c r="Y125" s="37" t="s">
        <v>60</v>
      </c>
      <c r="Z125" s="56">
        <f t="shared" si="32"/>
        <v>16</v>
      </c>
      <c r="AA125" s="42">
        <f t="shared" si="33"/>
        <v>402392500</v>
      </c>
      <c r="AB125" s="55"/>
      <c r="AC125" s="37" t="s">
        <v>60</v>
      </c>
      <c r="AD125" s="55"/>
      <c r="AE125" s="13"/>
      <c r="AH125" s="27"/>
    </row>
    <row r="126" spans="1:34" ht="90" x14ac:dyDescent="0.2">
      <c r="A126" s="18"/>
      <c r="B126" s="19"/>
      <c r="C126" s="28" t="s">
        <v>194</v>
      </c>
      <c r="D126" s="28" t="s">
        <v>266</v>
      </c>
      <c r="E126" s="89">
        <f>J126*3</f>
        <v>3000</v>
      </c>
      <c r="F126" s="49" t="s">
        <v>144</v>
      </c>
      <c r="G126" s="83">
        <v>831572000</v>
      </c>
      <c r="H126" s="45">
        <v>615</v>
      </c>
      <c r="I126" s="84">
        <v>389692400</v>
      </c>
      <c r="J126" s="89">
        <v>1000</v>
      </c>
      <c r="K126" s="30">
        <v>370535000</v>
      </c>
      <c r="L126" s="89">
        <v>87</v>
      </c>
      <c r="M126" s="30">
        <v>0</v>
      </c>
      <c r="N126" s="89">
        <v>300</v>
      </c>
      <c r="O126" s="30">
        <v>144775000</v>
      </c>
      <c r="P126" s="89">
        <v>300</v>
      </c>
      <c r="Q126" s="30">
        <v>68000000</v>
      </c>
      <c r="R126" s="119">
        <v>313</v>
      </c>
      <c r="S126" s="30">
        <v>153760000</v>
      </c>
      <c r="T126" s="85">
        <f>SUM(L126,N126,P126,R126)</f>
        <v>1000</v>
      </c>
      <c r="U126" s="85">
        <f>T126/J126*100</f>
        <v>100</v>
      </c>
      <c r="V126" s="86" t="s">
        <v>60</v>
      </c>
      <c r="W126" s="87">
        <f>SUM(M126,O126,Q126,S126)</f>
        <v>366535000</v>
      </c>
      <c r="X126" s="88">
        <f>W126/K126*100</f>
        <v>98.920479846708147</v>
      </c>
      <c r="Y126" s="86" t="s">
        <v>60</v>
      </c>
      <c r="Z126" s="85">
        <f t="shared" si="32"/>
        <v>1615</v>
      </c>
      <c r="AA126" s="87">
        <f t="shared" si="33"/>
        <v>756227400</v>
      </c>
      <c r="AB126" s="88"/>
      <c r="AC126" s="86" t="s">
        <v>60</v>
      </c>
      <c r="AD126" s="88"/>
      <c r="AE126" s="13"/>
      <c r="AH126" s="27"/>
    </row>
    <row r="127" spans="1:34" ht="105" x14ac:dyDescent="0.2">
      <c r="A127" s="18"/>
      <c r="B127" s="19"/>
      <c r="C127" s="63" t="s">
        <v>143</v>
      </c>
      <c r="D127" s="31" t="s">
        <v>267</v>
      </c>
      <c r="E127" s="22">
        <v>24</v>
      </c>
      <c r="F127" s="49" t="s">
        <v>144</v>
      </c>
      <c r="G127" s="52">
        <v>154400000</v>
      </c>
      <c r="H127" s="46">
        <v>24</v>
      </c>
      <c r="I127" s="24">
        <v>76163250</v>
      </c>
      <c r="J127" s="22">
        <v>12</v>
      </c>
      <c r="K127" s="64">
        <v>108950000</v>
      </c>
      <c r="L127" s="22">
        <v>0</v>
      </c>
      <c r="M127" s="64">
        <v>0</v>
      </c>
      <c r="N127" s="22">
        <v>6</v>
      </c>
      <c r="O127" s="64">
        <v>92450000</v>
      </c>
      <c r="P127" s="22">
        <v>0</v>
      </c>
      <c r="Q127" s="64">
        <v>0</v>
      </c>
      <c r="R127" s="22">
        <v>6</v>
      </c>
      <c r="S127" s="25">
        <v>14500000</v>
      </c>
      <c r="T127" s="56">
        <f>SUM(L127,N127,P127,R127)</f>
        <v>12</v>
      </c>
      <c r="U127" s="56">
        <f>T127/J127*100</f>
        <v>100</v>
      </c>
      <c r="V127" s="37" t="s">
        <v>60</v>
      </c>
      <c r="W127" s="42">
        <f>SUM(M127,O127,Q127,S127)</f>
        <v>106950000</v>
      </c>
      <c r="X127" s="55">
        <f>W127/K127*100</f>
        <v>98.164295548416703</v>
      </c>
      <c r="Y127" s="37" t="s">
        <v>60</v>
      </c>
      <c r="Z127" s="56">
        <f t="shared" si="32"/>
        <v>36</v>
      </c>
      <c r="AA127" s="42">
        <f t="shared" si="33"/>
        <v>183113250</v>
      </c>
      <c r="AB127" s="55"/>
      <c r="AC127" s="37" t="s">
        <v>60</v>
      </c>
      <c r="AD127" s="55"/>
      <c r="AE127" s="13"/>
      <c r="AH127" s="27"/>
    </row>
    <row r="128" spans="1:34" ht="150" x14ac:dyDescent="0.2">
      <c r="A128" s="18"/>
      <c r="B128" s="19"/>
      <c r="C128" s="114" t="s">
        <v>193</v>
      </c>
      <c r="D128" s="114" t="s">
        <v>268</v>
      </c>
      <c r="E128" s="22">
        <f>J128*2</f>
        <v>0</v>
      </c>
      <c r="F128" s="23" t="s">
        <v>59</v>
      </c>
      <c r="G128" s="25">
        <v>5000000</v>
      </c>
      <c r="H128" s="46">
        <v>1</v>
      </c>
      <c r="I128" s="24">
        <v>2500000</v>
      </c>
      <c r="J128" s="22"/>
      <c r="K128" s="25"/>
      <c r="L128" s="22"/>
      <c r="M128" s="25"/>
      <c r="N128" s="22"/>
      <c r="O128" s="25"/>
      <c r="P128" s="22"/>
      <c r="Q128" s="25"/>
      <c r="R128" s="22"/>
      <c r="S128" s="25"/>
      <c r="T128" s="56"/>
      <c r="U128" s="56"/>
      <c r="V128" s="37"/>
      <c r="W128" s="42"/>
      <c r="X128" s="55"/>
      <c r="Y128" s="37"/>
      <c r="Z128" s="56">
        <f t="shared" si="32"/>
        <v>1</v>
      </c>
      <c r="AA128" s="42">
        <f t="shared" si="33"/>
        <v>2500000</v>
      </c>
      <c r="AB128" s="55"/>
      <c r="AC128" s="37" t="s">
        <v>60</v>
      </c>
      <c r="AD128" s="55"/>
      <c r="AE128" s="13"/>
      <c r="AH128" s="27"/>
    </row>
    <row r="129" spans="1:31" ht="15" x14ac:dyDescent="0.2">
      <c r="A129" s="125" t="s">
        <v>33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73">
        <f>AVERAGE(U16:U128)</f>
        <v>92.660661562251121</v>
      </c>
      <c r="V129" s="72"/>
      <c r="W129" s="66"/>
      <c r="X129" s="73">
        <f>AVERAGE(X16,X42,X104,X113,X123)</f>
        <v>94.908616139491343</v>
      </c>
      <c r="Y129" s="72"/>
      <c r="Z129" s="69"/>
      <c r="AA129" s="69"/>
      <c r="AB129" s="69"/>
      <c r="AC129" s="68"/>
      <c r="AD129" s="66"/>
      <c r="AE129" s="13"/>
    </row>
    <row r="130" spans="1:31" ht="15" x14ac:dyDescent="0.2">
      <c r="A130" s="125" t="s">
        <v>34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33" t="str">
        <f>IF(U129&gt;=91,"Sangat Tinggi",IF(U129&gt;=76,"Tinggi",IF(U129&gt;=66,"Sedang",IF(U129&gt;=51,"Rendah",IF(U129&lt;=50,"Sangat Rendah")))))</f>
        <v>Sangat Tinggi</v>
      </c>
      <c r="V130" s="72"/>
      <c r="W130" s="67"/>
      <c r="X130" s="33" t="str">
        <f>IF(X129&gt;=91,"Sangat Tinggi",IF(X129&gt;=76,"Tinggi",IF(X129&gt;=66,"Sedang",IF(X129&gt;=51,"Rendah",IF(X129&lt;=50,"Sangat Rendah")))))</f>
        <v>Sangat Tinggi</v>
      </c>
      <c r="Y130" s="72"/>
      <c r="Z130" s="71"/>
      <c r="AA130" s="70"/>
      <c r="AB130" s="71"/>
      <c r="AC130" s="68"/>
      <c r="AD130" s="67"/>
      <c r="AE130" s="13"/>
    </row>
    <row r="131" spans="1:31" ht="15" x14ac:dyDescent="0.2">
      <c r="A131" s="174" t="s">
        <v>35</v>
      </c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3"/>
    </row>
    <row r="132" spans="1:31" ht="15" x14ac:dyDescent="0.2">
      <c r="A132" s="174" t="s">
        <v>36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3"/>
    </row>
    <row r="133" spans="1:31" ht="15" x14ac:dyDescent="0.2">
      <c r="A133" s="174" t="s">
        <v>37</v>
      </c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3"/>
    </row>
    <row r="134" spans="1:31" ht="15" x14ac:dyDescent="0.2">
      <c r="A134" s="174" t="s">
        <v>38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34"/>
    </row>
    <row r="135" spans="1:31" ht="15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5"/>
      <c r="X135" s="35"/>
      <c r="Y135" s="36"/>
      <c r="Z135" s="35"/>
      <c r="AA135" s="35"/>
      <c r="AB135" s="35"/>
      <c r="AC135" s="36"/>
      <c r="AD135" s="35"/>
    </row>
    <row r="136" spans="1:31" ht="15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184" t="s">
        <v>67</v>
      </c>
      <c r="U136" s="184"/>
      <c r="V136" s="184"/>
      <c r="W136" s="184"/>
      <c r="X136" s="184"/>
      <c r="Y136" s="36"/>
      <c r="Z136" s="35"/>
      <c r="AA136" s="184"/>
      <c r="AB136" s="184"/>
      <c r="AC136" s="184"/>
      <c r="AD136" s="184"/>
      <c r="AE136" s="184"/>
    </row>
    <row r="137" spans="1:31" ht="15.75" x14ac:dyDescent="0.25">
      <c r="A137" s="41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184" t="s">
        <v>273</v>
      </c>
      <c r="U137" s="184"/>
      <c r="V137" s="184"/>
      <c r="W137" s="184"/>
      <c r="X137" s="184"/>
      <c r="Y137" s="36"/>
      <c r="Z137" s="35"/>
      <c r="AA137" s="184"/>
      <c r="AB137" s="184"/>
      <c r="AC137" s="184"/>
      <c r="AD137" s="184"/>
      <c r="AE137" s="184"/>
    </row>
    <row r="138" spans="1:31" ht="15" x14ac:dyDescent="0.2">
      <c r="T138" s="184" t="s">
        <v>72</v>
      </c>
      <c r="U138" s="184"/>
      <c r="V138" s="184"/>
      <c r="W138" s="184"/>
      <c r="X138" s="184"/>
      <c r="AA138" s="184"/>
      <c r="AB138" s="184"/>
      <c r="AC138" s="184"/>
      <c r="AD138" s="184"/>
      <c r="AE138" s="184"/>
    </row>
    <row r="139" spans="1:31" ht="15" x14ac:dyDescent="0.2">
      <c r="T139" s="184" t="s">
        <v>68</v>
      </c>
      <c r="U139" s="184"/>
      <c r="V139" s="184"/>
      <c r="W139" s="184"/>
      <c r="X139" s="184"/>
      <c r="AA139" s="184"/>
      <c r="AB139" s="184"/>
      <c r="AC139" s="184"/>
      <c r="AD139" s="184"/>
      <c r="AE139" s="184"/>
    </row>
    <row r="140" spans="1:31" ht="51" x14ac:dyDescent="0.2">
      <c r="A140" s="38" t="s">
        <v>39</v>
      </c>
      <c r="B140" s="38" t="s">
        <v>40</v>
      </c>
      <c r="C140" s="38" t="s">
        <v>41</v>
      </c>
      <c r="T140" s="35"/>
      <c r="U140" s="35"/>
      <c r="V140" s="36"/>
      <c r="W140" s="35"/>
      <c r="AA140" s="36"/>
      <c r="AB140" s="35"/>
      <c r="AC140" s="36"/>
      <c r="AD140" s="35"/>
    </row>
    <row r="141" spans="1:31" ht="25.5" x14ac:dyDescent="0.25">
      <c r="A141" s="39" t="s">
        <v>42</v>
      </c>
      <c r="B141" s="39" t="s">
        <v>43</v>
      </c>
      <c r="C141" s="39" t="s">
        <v>44</v>
      </c>
      <c r="T141" s="185" t="s">
        <v>69</v>
      </c>
      <c r="U141" s="185"/>
      <c r="V141" s="185"/>
      <c r="W141" s="185"/>
      <c r="X141" s="185"/>
      <c r="AA141" s="185"/>
      <c r="AB141" s="185"/>
      <c r="AC141" s="185"/>
      <c r="AD141" s="185"/>
      <c r="AE141" s="185"/>
    </row>
    <row r="142" spans="1:31" ht="25.5" x14ac:dyDescent="0.2">
      <c r="A142" s="39" t="s">
        <v>45</v>
      </c>
      <c r="B142" s="39" t="s">
        <v>46</v>
      </c>
      <c r="C142" s="39" t="s">
        <v>47</v>
      </c>
      <c r="T142" s="186" t="s">
        <v>70</v>
      </c>
      <c r="U142" s="186"/>
      <c r="V142" s="186"/>
      <c r="W142" s="186"/>
      <c r="X142" s="186"/>
      <c r="AA142" s="186"/>
      <c r="AB142" s="186"/>
      <c r="AC142" s="186"/>
      <c r="AD142" s="186"/>
      <c r="AE142" s="186"/>
    </row>
    <row r="143" spans="1:31" ht="25.5" x14ac:dyDescent="0.2">
      <c r="A143" s="39" t="s">
        <v>48</v>
      </c>
      <c r="B143" s="39" t="s">
        <v>49</v>
      </c>
      <c r="C143" s="39" t="s">
        <v>50</v>
      </c>
    </row>
    <row r="144" spans="1:31" ht="25.5" x14ac:dyDescent="0.2">
      <c r="A144" s="39" t="s">
        <v>51</v>
      </c>
      <c r="B144" s="39" t="s">
        <v>52</v>
      </c>
      <c r="C144" s="39" t="s">
        <v>53</v>
      </c>
    </row>
    <row r="145" spans="1:3" ht="25.5" x14ac:dyDescent="0.2">
      <c r="A145" s="39" t="s">
        <v>54</v>
      </c>
      <c r="B145" s="40" t="s">
        <v>55</v>
      </c>
      <c r="C145" s="39" t="s">
        <v>56</v>
      </c>
    </row>
  </sheetData>
  <mergeCells count="89">
    <mergeCell ref="T139:X139"/>
    <mergeCell ref="AA139:AE139"/>
    <mergeCell ref="T141:X141"/>
    <mergeCell ref="AA141:AE141"/>
    <mergeCell ref="T142:X142"/>
    <mergeCell ref="AA142:AE142"/>
    <mergeCell ref="T136:X136"/>
    <mergeCell ref="AA136:AE136"/>
    <mergeCell ref="T137:X137"/>
    <mergeCell ref="AA137:AE137"/>
    <mergeCell ref="T138:X138"/>
    <mergeCell ref="AA138:AE138"/>
    <mergeCell ref="A10:A12"/>
    <mergeCell ref="B10:B12"/>
    <mergeCell ref="A132:AD132"/>
    <mergeCell ref="A133:AD133"/>
    <mergeCell ref="A134:AD134"/>
    <mergeCell ref="I13:I15"/>
    <mergeCell ref="J13:J15"/>
    <mergeCell ref="K13:K15"/>
    <mergeCell ref="L13:L15"/>
    <mergeCell ref="C10:C12"/>
    <mergeCell ref="D10:D12"/>
    <mergeCell ref="A131:AD131"/>
    <mergeCell ref="A13:A15"/>
    <mergeCell ref="B13:B15"/>
    <mergeCell ref="C13:C15"/>
    <mergeCell ref="D13:D15"/>
    <mergeCell ref="E13:F15"/>
    <mergeCell ref="G13:G15"/>
    <mergeCell ref="H13:H15"/>
    <mergeCell ref="N11:N12"/>
    <mergeCell ref="O11:O12"/>
    <mergeCell ref="AB12:AC12"/>
    <mergeCell ref="E11:F12"/>
    <mergeCell ref="G11:G12"/>
    <mergeCell ref="H11:H12"/>
    <mergeCell ref="I11:I12"/>
    <mergeCell ref="J11:J12"/>
    <mergeCell ref="AB11:AC11"/>
    <mergeCell ref="U11:V11"/>
    <mergeCell ref="U12:V12"/>
    <mergeCell ref="X11:Y11"/>
    <mergeCell ref="X12:Y12"/>
    <mergeCell ref="AB10:AD10"/>
    <mergeCell ref="J10:K10"/>
    <mergeCell ref="L10:M10"/>
    <mergeCell ref="N10:O10"/>
    <mergeCell ref="P10:Q10"/>
    <mergeCell ref="R10:S10"/>
    <mergeCell ref="T10:Y10"/>
    <mergeCell ref="H7:I9"/>
    <mergeCell ref="K11:K12"/>
    <mergeCell ref="L11:L12"/>
    <mergeCell ref="M11:M12"/>
    <mergeCell ref="Z10:AA10"/>
    <mergeCell ref="P11:P12"/>
    <mergeCell ref="Q11:Q12"/>
    <mergeCell ref="R11:R12"/>
    <mergeCell ref="S11:S12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A129:T129"/>
    <mergeCell ref="A130:T130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E10:G10"/>
    <mergeCell ref="H10:I10"/>
  </mergeCells>
  <printOptions horizontalCentered="1"/>
  <pageMargins left="0.23622047244094491" right="0.23622047244094491" top="0" bottom="0" header="0" footer="0"/>
  <pageSetup paperSize="9" scale="34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Pendidikan</vt:lpstr>
      <vt:lpstr>'Dinas Pendidikan'!Print_Area</vt:lpstr>
      <vt:lpstr>'Dinas Pendidikan'!Print_Titles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cp:lastPrinted>2022-10-04T02:36:48Z</cp:lastPrinted>
  <dcterms:created xsi:type="dcterms:W3CDTF">2020-03-18T05:59:44Z</dcterms:created>
  <dcterms:modified xsi:type="dcterms:W3CDTF">2023-02-24T03:39:32Z</dcterms:modified>
</cp:coreProperties>
</file>