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PE\Downloads\Evalusi Renja TW IV 2022 Ori\"/>
    </mc:Choice>
  </mc:AlternateContent>
  <xr:revisionPtr revIDLastSave="0" documentId="13_ncr:1_{BA653A99-6962-464B-BF28-E161501D1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nas Pertanian" sheetId="1" r:id="rId1"/>
    <sheet name="Dinas Pertanian (2)" sheetId="4" state="hidden" r:id="rId2"/>
    <sheet name="Target" sheetId="2" state="hidden" r:id="rId3"/>
  </sheets>
  <externalReferences>
    <externalReference r:id="rId4"/>
    <externalReference r:id="rId5"/>
  </externalReferences>
  <definedNames>
    <definedName name="_xlnm.Print_Area" localSheetId="0">'Dinas Pertanian'!$A$1:$AE$104</definedName>
    <definedName name="_xlnm.Print_Area" localSheetId="1">'Dinas Pertanian (2)'!$A$1:$AM$108</definedName>
    <definedName name="_xlnm.Print_Area" localSheetId="2">Target!$A$48:$L$59</definedName>
    <definedName name="_xlnm.Print_Titles" localSheetId="0">'Dinas Pertanian'!$7:$12</definedName>
    <definedName name="_xlnm.Print_Titles" localSheetId="1">'Dinas Pertanian (2)'!$7:$12</definedName>
    <definedName name="_xlnm.Print_Titles" localSheetId="2">Target!$1:$10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7" i="1"/>
  <c r="T66" i="1"/>
  <c r="T65" i="1"/>
  <c r="T68" i="1"/>
  <c r="W66" i="1"/>
  <c r="X66" i="1" s="1"/>
  <c r="P32" i="1"/>
  <c r="O34" i="1"/>
  <c r="N34" i="1"/>
  <c r="T34" i="1" s="1"/>
  <c r="Z34" i="1" s="1"/>
  <c r="K34" i="1"/>
  <c r="K31" i="1" s="1"/>
  <c r="G34" i="1"/>
  <c r="E34" i="1"/>
  <c r="W33" i="1"/>
  <c r="AA33" i="1" s="1"/>
  <c r="T33" i="1"/>
  <c r="Z33" i="1" s="1"/>
  <c r="Q32" i="1"/>
  <c r="O32" i="1"/>
  <c r="N32" i="1"/>
  <c r="M32" i="1"/>
  <c r="G32" i="1"/>
  <c r="G31" i="1" s="1"/>
  <c r="E32" i="1"/>
  <c r="T31" i="1"/>
  <c r="Z31" i="1" s="1"/>
  <c r="T32" i="1" l="1"/>
  <c r="Z32" i="1" s="1"/>
  <c r="O31" i="1"/>
  <c r="U34" i="1"/>
  <c r="X33" i="1"/>
  <c r="U33" i="1"/>
  <c r="U31" i="1"/>
  <c r="W32" i="1"/>
  <c r="U32" i="1" l="1"/>
  <c r="AA32" i="1"/>
  <c r="X32" i="1"/>
  <c r="AA66" i="1" l="1"/>
  <c r="W56" i="1"/>
  <c r="W51" i="1"/>
  <c r="W48" i="1"/>
  <c r="T63" i="1"/>
  <c r="Z63" i="1" s="1"/>
  <c r="Q63" i="1"/>
  <c r="M63" i="1"/>
  <c r="W61" i="1"/>
  <c r="T61" i="1"/>
  <c r="R60" i="1"/>
  <c r="T60" i="1" s="1"/>
  <c r="U60" i="1" s="1"/>
  <c r="K60" i="1"/>
  <c r="T59" i="1"/>
  <c r="Z59" i="1" s="1"/>
  <c r="T58" i="1"/>
  <c r="T57" i="1"/>
  <c r="U57" i="1" s="1"/>
  <c r="O57" i="1"/>
  <c r="G57" i="1"/>
  <c r="G55" i="1" s="1"/>
  <c r="T56" i="1"/>
  <c r="T55" i="1"/>
  <c r="U55" i="1" s="1"/>
  <c r="T54" i="1"/>
  <c r="U54" i="1" s="1"/>
  <c r="Q54" i="1"/>
  <c r="M54" i="1"/>
  <c r="M53" i="1" s="1"/>
  <c r="M52" i="1" s="1"/>
  <c r="T53" i="1"/>
  <c r="U53" i="1" s="1"/>
  <c r="O53" i="1"/>
  <c r="K53" i="1"/>
  <c r="G53" i="1"/>
  <c r="G52" i="1" s="1"/>
  <c r="T52" i="1"/>
  <c r="Z52" i="1" s="1"/>
  <c r="W40" i="1"/>
  <c r="Q53" i="1" l="1"/>
  <c r="Q52" i="1" s="1"/>
  <c r="O52" i="1"/>
  <c r="Q57" i="1"/>
  <c r="Q55" i="1" s="1"/>
  <c r="O55" i="1"/>
  <c r="AA40" i="1"/>
  <c r="K59" i="1"/>
  <c r="X48" i="1"/>
  <c r="X51" i="1"/>
  <c r="K52" i="1"/>
  <c r="AA56" i="1"/>
  <c r="U58" i="1"/>
  <c r="Z56" i="1"/>
  <c r="M60" i="1"/>
  <c r="W60" i="1" s="1"/>
  <c r="X60" i="1" s="1"/>
  <c r="W63" i="1"/>
  <c r="U56" i="1"/>
  <c r="AA51" i="1"/>
  <c r="AA48" i="1"/>
  <c r="Z55" i="1"/>
  <c r="W52" i="1"/>
  <c r="Z57" i="1"/>
  <c r="U63" i="1"/>
  <c r="W54" i="1"/>
  <c r="Z61" i="1"/>
  <c r="U61" i="1"/>
  <c r="AA61" i="1"/>
  <c r="X61" i="1"/>
  <c r="Z58" i="1"/>
  <c r="Z60" i="1"/>
  <c r="Z53" i="1"/>
  <c r="Z54" i="1"/>
  <c r="U59" i="1"/>
  <c r="U52" i="1"/>
  <c r="W53" i="1" l="1"/>
  <c r="AA53" i="1" s="1"/>
  <c r="K58" i="1"/>
  <c r="M59" i="1"/>
  <c r="W59" i="1" s="1"/>
  <c r="AA59" i="1" s="1"/>
  <c r="AA63" i="1"/>
  <c r="X63" i="1"/>
  <c r="X52" i="1"/>
  <c r="AA52" i="1"/>
  <c r="X54" i="1"/>
  <c r="AA54" i="1"/>
  <c r="AA60" i="1"/>
  <c r="W24" i="1"/>
  <c r="W23" i="1"/>
  <c r="W22" i="1"/>
  <c r="W21" i="1"/>
  <c r="T25" i="1"/>
  <c r="U25" i="1" s="1"/>
  <c r="T24" i="1"/>
  <c r="U24" i="1" s="1"/>
  <c r="T23" i="1"/>
  <c r="Z23" i="1" s="1"/>
  <c r="T22" i="1"/>
  <c r="U22" i="1" s="1"/>
  <c r="T21" i="1"/>
  <c r="U21" i="1" s="1"/>
  <c r="X53" i="1" l="1"/>
  <c r="X22" i="1"/>
  <c r="X23" i="1"/>
  <c r="X24" i="1"/>
  <c r="X21" i="1"/>
  <c r="K57" i="1"/>
  <c r="X59" i="1"/>
  <c r="M58" i="1"/>
  <c r="W58" i="1" s="1"/>
  <c r="AA58" i="1" s="1"/>
  <c r="Z22" i="1"/>
  <c r="AA21" i="1"/>
  <c r="AA22" i="1"/>
  <c r="AA23" i="1"/>
  <c r="AA24" i="1"/>
  <c r="Z21" i="1"/>
  <c r="U23" i="1"/>
  <c r="Z24" i="1"/>
  <c r="Z25" i="1"/>
  <c r="K55" i="1" l="1"/>
  <c r="X58" i="1"/>
  <c r="M57" i="1"/>
  <c r="M55" i="1" s="1"/>
  <c r="W55" i="1" s="1"/>
  <c r="X55" i="1" s="1"/>
  <c r="AA55" i="1" l="1"/>
  <c r="W57" i="1"/>
  <c r="T51" i="1"/>
  <c r="Z51" i="1" s="1"/>
  <c r="T50" i="1"/>
  <c r="U50" i="1" s="1"/>
  <c r="Q50" i="1"/>
  <c r="T49" i="1"/>
  <c r="U49" i="1" s="1"/>
  <c r="M49" i="1"/>
  <c r="W49" i="1" s="1"/>
  <c r="T48" i="1"/>
  <c r="U48" i="1" s="1"/>
  <c r="G48" i="1"/>
  <c r="T47" i="1"/>
  <c r="Z47" i="1" s="1"/>
  <c r="O47" i="1"/>
  <c r="K47" i="1"/>
  <c r="G47" i="1"/>
  <c r="T46" i="1"/>
  <c r="U46" i="1" s="1"/>
  <c r="G46" i="1"/>
  <c r="T30" i="1"/>
  <c r="Z30" i="1" s="1"/>
  <c r="Q29" i="1"/>
  <c r="M30" i="1"/>
  <c r="M29" i="1" s="1"/>
  <c r="T29" i="1"/>
  <c r="Z29" i="1" s="1"/>
  <c r="O29" i="1"/>
  <c r="K29" i="1"/>
  <c r="T28" i="1"/>
  <c r="Z28" i="1" s="1"/>
  <c r="Q28" i="1"/>
  <c r="M28" i="1"/>
  <c r="T27" i="1"/>
  <c r="Z27" i="1" s="1"/>
  <c r="Q27" i="1"/>
  <c r="M27" i="1"/>
  <c r="T26" i="1"/>
  <c r="Z26" i="1" s="1"/>
  <c r="O26" i="1"/>
  <c r="K26" i="1"/>
  <c r="G26" i="1"/>
  <c r="E26" i="1"/>
  <c r="Q25" i="1"/>
  <c r="O25" i="1"/>
  <c r="M25" i="1"/>
  <c r="K25" i="1"/>
  <c r="D25" i="1"/>
  <c r="W20" i="1"/>
  <c r="T20" i="1"/>
  <c r="Z20" i="1" s="1"/>
  <c r="T19" i="1"/>
  <c r="Z19" i="1" s="1"/>
  <c r="M19" i="1"/>
  <c r="M18" i="1" s="1"/>
  <c r="T18" i="1"/>
  <c r="Z18" i="1" s="1"/>
  <c r="Q18" i="1"/>
  <c r="O18" i="1"/>
  <c r="G18" i="1"/>
  <c r="W17" i="1"/>
  <c r="T17" i="1"/>
  <c r="U17" i="1" s="1"/>
  <c r="W16" i="1"/>
  <c r="T16" i="1"/>
  <c r="Z16" i="1" s="1"/>
  <c r="T15" i="1"/>
  <c r="Z15" i="1" s="1"/>
  <c r="AB15" i="1" s="1"/>
  <c r="O46" i="1" l="1"/>
  <c r="AA16" i="1"/>
  <c r="K46" i="1"/>
  <c r="AA17" i="1"/>
  <c r="AA20" i="1"/>
  <c r="AA57" i="1"/>
  <c r="X57" i="1"/>
  <c r="X49" i="1"/>
  <c r="AA49" i="1"/>
  <c r="Q47" i="1"/>
  <c r="Q46" i="1" s="1"/>
  <c r="W50" i="1"/>
  <c r="W25" i="1"/>
  <c r="Z48" i="1"/>
  <c r="G15" i="1"/>
  <c r="Z49" i="1"/>
  <c r="Z46" i="1"/>
  <c r="Z50" i="1"/>
  <c r="M47" i="1"/>
  <c r="U47" i="1"/>
  <c r="U15" i="1"/>
  <c r="U26" i="1"/>
  <c r="U51" i="1"/>
  <c r="Q26" i="1"/>
  <c r="Q15" i="1" s="1"/>
  <c r="W28" i="1"/>
  <c r="W30" i="1"/>
  <c r="W29" i="1"/>
  <c r="AA29" i="1" s="1"/>
  <c r="U28" i="1"/>
  <c r="U30" i="1"/>
  <c r="Z17" i="1"/>
  <c r="U19" i="1"/>
  <c r="U27" i="1"/>
  <c r="O15" i="1"/>
  <c r="U29" i="1"/>
  <c r="U18" i="1"/>
  <c r="M26" i="1"/>
  <c r="K15" i="1"/>
  <c r="W18" i="1"/>
  <c r="U16" i="1"/>
  <c r="U20" i="1"/>
  <c r="W19" i="1"/>
  <c r="X20" i="1"/>
  <c r="W27" i="1"/>
  <c r="AA28" i="1" l="1"/>
  <c r="AA30" i="1"/>
  <c r="X50" i="1"/>
  <c r="AA50" i="1"/>
  <c r="M46" i="1"/>
  <c r="W46" i="1" s="1"/>
  <c r="W47" i="1"/>
  <c r="X25" i="1"/>
  <c r="AA25" i="1"/>
  <c r="X28" i="1"/>
  <c r="W26" i="1"/>
  <c r="X30" i="1"/>
  <c r="X29" i="1"/>
  <c r="M15" i="1"/>
  <c r="W15" i="1" s="1"/>
  <c r="AA15" i="1" s="1"/>
  <c r="AD15" i="1" s="1"/>
  <c r="AA19" i="1"/>
  <c r="X19" i="1"/>
  <c r="AA27" i="1"/>
  <c r="X27" i="1"/>
  <c r="AA18" i="1"/>
  <c r="X18" i="1"/>
  <c r="X26" i="1" l="1"/>
  <c r="X47" i="1"/>
  <c r="AA47" i="1"/>
  <c r="X46" i="1"/>
  <c r="AA46" i="1"/>
  <c r="AA26" i="1"/>
  <c r="X15" i="1"/>
  <c r="W43" i="1"/>
  <c r="X43" i="1" l="1"/>
  <c r="AA43" i="1"/>
  <c r="D84" i="1"/>
  <c r="T40" i="1" l="1"/>
  <c r="T39" i="1"/>
  <c r="Q45" i="1"/>
  <c r="Q42" i="1"/>
  <c r="Q38" i="1"/>
  <c r="Q35" i="1"/>
  <c r="Q85" i="1"/>
  <c r="Q84" i="1" s="1"/>
  <c r="Q83" i="1"/>
  <c r="Q81" i="1"/>
  <c r="Q78" i="1"/>
  <c r="Q68" i="1"/>
  <c r="Q65" i="1"/>
  <c r="O85" i="1"/>
  <c r="O83" i="1"/>
  <c r="M85" i="1"/>
  <c r="M84" i="1" s="1"/>
  <c r="M65" i="1"/>
  <c r="M45" i="1"/>
  <c r="M42" i="1"/>
  <c r="M38" i="1"/>
  <c r="M35" i="1"/>
  <c r="M79" i="1"/>
  <c r="M73" i="1"/>
  <c r="M68" i="1"/>
  <c r="AH90" i="4"/>
  <c r="AD90" i="4"/>
  <c r="AI90" i="4" s="1"/>
  <c r="AA90" i="4"/>
  <c r="Z90" i="4"/>
  <c r="AB90" i="4" s="1"/>
  <c r="AH89" i="4"/>
  <c r="AD89" i="4"/>
  <c r="AI89" i="4" s="1"/>
  <c r="AA89" i="4"/>
  <c r="Z89" i="4"/>
  <c r="AB89" i="4" s="1"/>
  <c r="AH88" i="4"/>
  <c r="AA88" i="4"/>
  <c r="Z88" i="4"/>
  <c r="AB88" i="4" s="1"/>
  <c r="S88" i="4"/>
  <c r="AD88" i="4" s="1"/>
  <c r="M88" i="4"/>
  <c r="G88" i="4"/>
  <c r="D88" i="4"/>
  <c r="AH87" i="4"/>
  <c r="AD87" i="4"/>
  <c r="AI87" i="4" s="1"/>
  <c r="AA87" i="4"/>
  <c r="Z87" i="4"/>
  <c r="AG87" i="4" s="1"/>
  <c r="D87" i="4"/>
  <c r="AH86" i="4"/>
  <c r="AD86" i="4"/>
  <c r="AI86" i="4" s="1"/>
  <c r="AA86" i="4"/>
  <c r="Z86" i="4"/>
  <c r="AB86" i="4" s="1"/>
  <c r="D86" i="4"/>
  <c r="AH85" i="4"/>
  <c r="AD85" i="4"/>
  <c r="AE85" i="4" s="1"/>
  <c r="AA85" i="4"/>
  <c r="Z85" i="4"/>
  <c r="AB85" i="4" s="1"/>
  <c r="D85" i="4"/>
  <c r="AH84" i="4"/>
  <c r="AD84" i="4"/>
  <c r="AE84" i="4" s="1"/>
  <c r="AA84" i="4"/>
  <c r="Z84" i="4"/>
  <c r="AB84" i="4" s="1"/>
  <c r="D84" i="4"/>
  <c r="AH83" i="4"/>
  <c r="AA83" i="4"/>
  <c r="Z83" i="4"/>
  <c r="AB83" i="4" s="1"/>
  <c r="S83" i="4"/>
  <c r="AD83" i="4" s="1"/>
  <c r="M83" i="4"/>
  <c r="G83" i="4"/>
  <c r="D83" i="4"/>
  <c r="AH82" i="4"/>
  <c r="AD82" i="4"/>
  <c r="AI82" i="4" s="1"/>
  <c r="AA82" i="4"/>
  <c r="Z82" i="4"/>
  <c r="AG82" i="4" s="1"/>
  <c r="AH81" i="4"/>
  <c r="AD81" i="4"/>
  <c r="AI81" i="4" s="1"/>
  <c r="AA81" i="4"/>
  <c r="Z81" i="4"/>
  <c r="AG81" i="4" s="1"/>
  <c r="AH80" i="4"/>
  <c r="AD80" i="4"/>
  <c r="AI80" i="4" s="1"/>
  <c r="AA80" i="4"/>
  <c r="Z80" i="4"/>
  <c r="AG80" i="4" s="1"/>
  <c r="AH79" i="4"/>
  <c r="AD79" i="4"/>
  <c r="AI79" i="4" s="1"/>
  <c r="AA79" i="4"/>
  <c r="Z79" i="4"/>
  <c r="AG79" i="4" s="1"/>
  <c r="AH78" i="4"/>
  <c r="AD78" i="4"/>
  <c r="AI78" i="4" s="1"/>
  <c r="AA78" i="4"/>
  <c r="Z78" i="4"/>
  <c r="AG78" i="4" s="1"/>
  <c r="AH77" i="4"/>
  <c r="AA77" i="4"/>
  <c r="Z77" i="4"/>
  <c r="AG77" i="4" s="1"/>
  <c r="S77" i="4"/>
  <c r="AD77" i="4" s="1"/>
  <c r="AI77" i="4" s="1"/>
  <c r="M77" i="4"/>
  <c r="G77" i="4"/>
  <c r="D77" i="4"/>
  <c r="AH76" i="4"/>
  <c r="AD76" i="4"/>
  <c r="AI76" i="4" s="1"/>
  <c r="AA76" i="4"/>
  <c r="Z76" i="4"/>
  <c r="AB76" i="4" s="1"/>
  <c r="AH75" i="4"/>
  <c r="AD75" i="4"/>
  <c r="AE75" i="4" s="1"/>
  <c r="AA75" i="4"/>
  <c r="Z75" i="4"/>
  <c r="AB75" i="4" s="1"/>
  <c r="AH74" i="4"/>
  <c r="AD74" i="4"/>
  <c r="AI74" i="4" s="1"/>
  <c r="AA74" i="4"/>
  <c r="Z74" i="4"/>
  <c r="AB74" i="4" s="1"/>
  <c r="AH73" i="4"/>
  <c r="AD73" i="4"/>
  <c r="AE73" i="4" s="1"/>
  <c r="AA73" i="4"/>
  <c r="Z73" i="4"/>
  <c r="AB73" i="4" s="1"/>
  <c r="AH72" i="4"/>
  <c r="AA72" i="4"/>
  <c r="Z72" i="4"/>
  <c r="AB72" i="4" s="1"/>
  <c r="S72" i="4"/>
  <c r="AD72" i="4" s="1"/>
  <c r="M72" i="4"/>
  <c r="D72" i="4"/>
  <c r="AH71" i="4"/>
  <c r="AD71" i="4"/>
  <c r="AI71" i="4" s="1"/>
  <c r="AA71" i="4"/>
  <c r="Z71" i="4"/>
  <c r="AG71" i="4" s="1"/>
  <c r="AH70" i="4"/>
  <c r="AA70" i="4"/>
  <c r="Z70" i="4"/>
  <c r="AB70" i="4" s="1"/>
  <c r="AH69" i="4"/>
  <c r="AA69" i="4"/>
  <c r="Z69" i="4"/>
  <c r="AG69" i="4" s="1"/>
  <c r="S69" i="4"/>
  <c r="M69" i="4"/>
  <c r="G69" i="4"/>
  <c r="D69" i="4"/>
  <c r="AH68" i="4"/>
  <c r="AA68" i="4"/>
  <c r="Z68" i="4"/>
  <c r="AB68" i="4" s="1"/>
  <c r="AH67" i="4"/>
  <c r="AA67" i="4"/>
  <c r="Z67" i="4"/>
  <c r="AG67" i="4" s="1"/>
  <c r="AH65" i="4"/>
  <c r="AD65" i="4"/>
  <c r="AI65" i="4" s="1"/>
  <c r="AA65" i="4"/>
  <c r="Z65" i="4"/>
  <c r="AB65" i="4" s="1"/>
  <c r="AH64" i="4"/>
  <c r="AD64" i="4"/>
  <c r="AI64" i="4" s="1"/>
  <c r="AA64" i="4"/>
  <c r="Z64" i="4"/>
  <c r="AB64" i="4" s="1"/>
  <c r="AH63" i="4"/>
  <c r="AD63" i="4"/>
  <c r="AI63" i="4" s="1"/>
  <c r="AA63" i="4"/>
  <c r="Z63" i="4"/>
  <c r="AB63" i="4" s="1"/>
  <c r="AH62" i="4"/>
  <c r="AD62" i="4"/>
  <c r="AA62" i="4"/>
  <c r="Z62" i="4"/>
  <c r="AG62" i="4" s="1"/>
  <c r="AH61" i="4"/>
  <c r="AA61" i="4"/>
  <c r="Z61" i="4"/>
  <c r="AG61" i="4" s="1"/>
  <c r="S61" i="4"/>
  <c r="S59" i="4" s="1"/>
  <c r="G61" i="4"/>
  <c r="G59" i="4" s="1"/>
  <c r="D61" i="4"/>
  <c r="AH60" i="4"/>
  <c r="AA60" i="4"/>
  <c r="Z60" i="4"/>
  <c r="AB60" i="4" s="1"/>
  <c r="AH59" i="4"/>
  <c r="AA59" i="4"/>
  <c r="Z59" i="4"/>
  <c r="AG59" i="4" s="1"/>
  <c r="AH58" i="4"/>
  <c r="AA58" i="4"/>
  <c r="Z58" i="4"/>
  <c r="AG58" i="4" s="1"/>
  <c r="AH57" i="4"/>
  <c r="AA57" i="4"/>
  <c r="Z57" i="4"/>
  <c r="AG57" i="4" s="1"/>
  <c r="S57" i="4"/>
  <c r="S56" i="4" s="1"/>
  <c r="M57" i="4"/>
  <c r="M56" i="4" s="1"/>
  <c r="G57" i="4"/>
  <c r="G56" i="4" s="1"/>
  <c r="AH56" i="4"/>
  <c r="AA56" i="4"/>
  <c r="Z56" i="4"/>
  <c r="AG56" i="4" s="1"/>
  <c r="AH55" i="4"/>
  <c r="AA55" i="4"/>
  <c r="Z55" i="4"/>
  <c r="AG55" i="4" s="1"/>
  <c r="AH54" i="4"/>
  <c r="AA54" i="4"/>
  <c r="Z54" i="4"/>
  <c r="AG54" i="4" s="1"/>
  <c r="AH53" i="4"/>
  <c r="AD53" i="4"/>
  <c r="AE53" i="4" s="1"/>
  <c r="AA53" i="4"/>
  <c r="Z53" i="4"/>
  <c r="AG53" i="4" s="1"/>
  <c r="AH52" i="4"/>
  <c r="AA52" i="4"/>
  <c r="Z52" i="4"/>
  <c r="AG52" i="4" s="1"/>
  <c r="G52" i="4"/>
  <c r="AH51" i="4"/>
  <c r="AA51" i="4"/>
  <c r="Z51" i="4"/>
  <c r="AG51" i="4" s="1"/>
  <c r="S51" i="4"/>
  <c r="S50" i="4" s="1"/>
  <c r="M51" i="4"/>
  <c r="M50" i="4" s="1"/>
  <c r="G51" i="4"/>
  <c r="AH50" i="4"/>
  <c r="AA50" i="4"/>
  <c r="Z50" i="4"/>
  <c r="AG50" i="4" s="1"/>
  <c r="G50" i="4"/>
  <c r="AH49" i="4"/>
  <c r="AA49" i="4"/>
  <c r="Z49" i="4"/>
  <c r="AG49" i="4" s="1"/>
  <c r="AH48" i="4"/>
  <c r="AA48" i="4"/>
  <c r="Z48" i="4"/>
  <c r="AG48" i="4" s="1"/>
  <c r="S48" i="4"/>
  <c r="M48" i="4"/>
  <c r="G48" i="4"/>
  <c r="D48" i="4"/>
  <c r="AH47" i="4"/>
  <c r="AA47" i="4"/>
  <c r="Z47" i="4"/>
  <c r="AG47" i="4" s="1"/>
  <c r="AH46" i="4"/>
  <c r="AA46" i="4"/>
  <c r="Z46" i="4"/>
  <c r="AB46" i="4" s="1"/>
  <c r="AH45" i="4"/>
  <c r="AA45" i="4"/>
  <c r="Z45" i="4"/>
  <c r="AB45" i="4" s="1"/>
  <c r="S45" i="4"/>
  <c r="M45" i="4"/>
  <c r="G45" i="4"/>
  <c r="AA44" i="4"/>
  <c r="AA43" i="4"/>
  <c r="AH42" i="4"/>
  <c r="AD42" i="4"/>
  <c r="AE42" i="4" s="1"/>
  <c r="AA42" i="4"/>
  <c r="Z42" i="4"/>
  <c r="AB42" i="4" s="1"/>
  <c r="AH41" i="4"/>
  <c r="AD41" i="4"/>
  <c r="AI41" i="4" s="1"/>
  <c r="AA41" i="4"/>
  <c r="Z41" i="4"/>
  <c r="AB41" i="4" s="1"/>
  <c r="AH40" i="4"/>
  <c r="AD40" i="4"/>
  <c r="AE40" i="4" s="1"/>
  <c r="AA40" i="4"/>
  <c r="Z40" i="4"/>
  <c r="AB40" i="4" s="1"/>
  <c r="AH39" i="4"/>
  <c r="AD39" i="4"/>
  <c r="AI39" i="4" s="1"/>
  <c r="AA39" i="4"/>
  <c r="Z39" i="4"/>
  <c r="AB39" i="4" s="1"/>
  <c r="AH38" i="4"/>
  <c r="AA38" i="4"/>
  <c r="S38" i="4"/>
  <c r="AD38" i="4" s="1"/>
  <c r="Q38" i="4"/>
  <c r="Z38" i="4" s="1"/>
  <c r="AB38" i="4" s="1"/>
  <c r="M38" i="4"/>
  <c r="G38" i="4"/>
  <c r="E38" i="4"/>
  <c r="AH37" i="4"/>
  <c r="AD37" i="4"/>
  <c r="AE37" i="4" s="1"/>
  <c r="AA37" i="4"/>
  <c r="Z37" i="4"/>
  <c r="AG37" i="4" s="1"/>
  <c r="AH36" i="4"/>
  <c r="AA36" i="4"/>
  <c r="S36" i="4"/>
  <c r="AD36" i="4" s="1"/>
  <c r="Q36" i="4"/>
  <c r="Z36" i="4" s="1"/>
  <c r="M36" i="4"/>
  <c r="G36" i="4"/>
  <c r="G35" i="4" s="1"/>
  <c r="E36" i="4"/>
  <c r="AH35" i="4"/>
  <c r="AA35" i="4"/>
  <c r="Z35" i="4"/>
  <c r="AG35" i="4" s="1"/>
  <c r="AH34" i="4"/>
  <c r="AD34" i="4"/>
  <c r="AE34" i="4" s="1"/>
  <c r="AA34" i="4"/>
  <c r="Z34" i="4"/>
  <c r="AG34" i="4" s="1"/>
  <c r="AH33" i="4"/>
  <c r="AA33" i="4"/>
  <c r="Z33" i="4"/>
  <c r="AG33" i="4" s="1"/>
  <c r="S33" i="4"/>
  <c r="AD33" i="4" s="1"/>
  <c r="M33" i="4"/>
  <c r="AH32" i="4"/>
  <c r="AD32" i="4"/>
  <c r="AI32" i="4" s="1"/>
  <c r="AA32" i="4"/>
  <c r="Z32" i="4"/>
  <c r="AB32" i="4" s="1"/>
  <c r="AH31" i="4"/>
  <c r="AD31" i="4"/>
  <c r="AE31" i="4" s="1"/>
  <c r="AA31" i="4"/>
  <c r="Z31" i="4"/>
  <c r="AB31" i="4" s="1"/>
  <c r="AH30" i="4"/>
  <c r="AA30" i="4"/>
  <c r="Z30" i="4"/>
  <c r="AB30" i="4" s="1"/>
  <c r="S30" i="4"/>
  <c r="AD30" i="4" s="1"/>
  <c r="M30" i="4"/>
  <c r="G30" i="4"/>
  <c r="E30" i="4"/>
  <c r="AH29" i="4"/>
  <c r="AD29" i="4"/>
  <c r="AI29" i="4" s="1"/>
  <c r="AA29" i="4"/>
  <c r="Z29" i="4"/>
  <c r="AG29" i="4" s="1"/>
  <c r="D29" i="4"/>
  <c r="AH28" i="4"/>
  <c r="AD28" i="4"/>
  <c r="AE28" i="4" s="1"/>
  <c r="AA28" i="4"/>
  <c r="Z28" i="4"/>
  <c r="AB28" i="4" s="1"/>
  <c r="AH27" i="4"/>
  <c r="AD27" i="4"/>
  <c r="AI27" i="4" s="1"/>
  <c r="AA27" i="4"/>
  <c r="Z27" i="4"/>
  <c r="AB27" i="4" s="1"/>
  <c r="AP26" i="4"/>
  <c r="AH26" i="4"/>
  <c r="AD26" i="4"/>
  <c r="AI26" i="4" s="1"/>
  <c r="AA26" i="4"/>
  <c r="Z26" i="4"/>
  <c r="AB26" i="4" s="1"/>
  <c r="AH25" i="4"/>
  <c r="AA25" i="4"/>
  <c r="Z25" i="4"/>
  <c r="AB25" i="4" s="1"/>
  <c r="S25" i="4"/>
  <c r="AP25" i="4" s="1"/>
  <c r="M25" i="4"/>
  <c r="M24" i="4" s="1"/>
  <c r="AH24" i="4"/>
  <c r="AA24" i="4"/>
  <c r="Z24" i="4"/>
  <c r="AG24" i="4" s="1"/>
  <c r="G24" i="4"/>
  <c r="AH23" i="4"/>
  <c r="AD23" i="4"/>
  <c r="AI23" i="4" s="1"/>
  <c r="AA23" i="4"/>
  <c r="Z23" i="4"/>
  <c r="AG23" i="4" s="1"/>
  <c r="AH22" i="4"/>
  <c r="AD22" i="4"/>
  <c r="AI22" i="4" s="1"/>
  <c r="AA22" i="4"/>
  <c r="Z22" i="4"/>
  <c r="AB22" i="4" s="1"/>
  <c r="AH21" i="4"/>
  <c r="AA21" i="4"/>
  <c r="Z21" i="4"/>
  <c r="AG21" i="4" s="1"/>
  <c r="Z20" i="4"/>
  <c r="AB20" i="4" s="1"/>
  <c r="Z19" i="4"/>
  <c r="AB19" i="4" s="1"/>
  <c r="Z18" i="4"/>
  <c r="AB18" i="4" s="1"/>
  <c r="Z17" i="4"/>
  <c r="AB17" i="4" s="1"/>
  <c r="Z16" i="4"/>
  <c r="AB16" i="4" s="1"/>
  <c r="Z15" i="4"/>
  <c r="AB15" i="4" s="1"/>
  <c r="AP13" i="4"/>
  <c r="Q41" i="1" l="1"/>
  <c r="Q44" i="1"/>
  <c r="Q73" i="1"/>
  <c r="Q34" i="1"/>
  <c r="M34" i="1"/>
  <c r="U39" i="1"/>
  <c r="Z39" i="1"/>
  <c r="U40" i="1"/>
  <c r="Z40" i="1"/>
  <c r="G72" i="4"/>
  <c r="AI42" i="4"/>
  <c r="AI40" i="4"/>
  <c r="AE65" i="4"/>
  <c r="AI73" i="4"/>
  <c r="AI31" i="4"/>
  <c r="AB35" i="4"/>
  <c r="G43" i="4"/>
  <c r="AI85" i="4"/>
  <c r="AE39" i="4"/>
  <c r="Q79" i="1"/>
  <c r="M68" i="4"/>
  <c r="AE68" i="4" s="1"/>
  <c r="AE76" i="4"/>
  <c r="AG84" i="4"/>
  <c r="AE90" i="4"/>
  <c r="S43" i="4"/>
  <c r="AB51" i="4"/>
  <c r="AB53" i="4"/>
  <c r="AE26" i="4"/>
  <c r="AI37" i="4"/>
  <c r="AB47" i="4"/>
  <c r="AB50" i="4"/>
  <c r="AG28" i="4"/>
  <c r="AB34" i="4"/>
  <c r="AI75" i="4"/>
  <c r="AB80" i="4"/>
  <c r="AB57" i="4"/>
  <c r="AB37" i="4"/>
  <c r="AB56" i="4"/>
  <c r="AE74" i="4"/>
  <c r="AB33" i="4"/>
  <c r="M35" i="4"/>
  <c r="AE41" i="4"/>
  <c r="M43" i="4"/>
  <c r="AD61" i="4"/>
  <c r="AI61" i="4" s="1"/>
  <c r="AB69" i="4"/>
  <c r="AB79" i="4"/>
  <c r="AG86" i="4"/>
  <c r="M21" i="4"/>
  <c r="AI34" i="4"/>
  <c r="AG60" i="4"/>
  <c r="AG26" i="4"/>
  <c r="AE32" i="4"/>
  <c r="M44" i="1"/>
  <c r="W45" i="1"/>
  <c r="AG22" i="4"/>
  <c r="G21" i="4"/>
  <c r="AG25" i="4"/>
  <c r="AB29" i="4"/>
  <c r="AB48" i="4"/>
  <c r="AB54" i="4"/>
  <c r="AB77" i="4"/>
  <c r="AG85" i="4"/>
  <c r="AB21" i="4"/>
  <c r="AB71" i="4"/>
  <c r="AB82" i="4"/>
  <c r="AI84" i="4"/>
  <c r="AE89" i="4"/>
  <c r="AB81" i="4"/>
  <c r="AB87" i="4"/>
  <c r="AB23" i="4"/>
  <c r="AB49" i="4"/>
  <c r="AB55" i="4"/>
  <c r="G68" i="4"/>
  <c r="AB78" i="4"/>
  <c r="AG27" i="4"/>
  <c r="AB61" i="4"/>
  <c r="M41" i="1"/>
  <c r="W42" i="1"/>
  <c r="M64" i="1"/>
  <c r="AI88" i="4"/>
  <c r="AE88" i="4"/>
  <c r="AG36" i="4"/>
  <c r="AB36" i="4"/>
  <c r="AE38" i="4"/>
  <c r="AI38" i="4"/>
  <c r="AI36" i="4"/>
  <c r="AE36" i="4"/>
  <c r="AI30" i="4"/>
  <c r="AE30" i="4"/>
  <c r="AE83" i="4"/>
  <c r="AI83" i="4"/>
  <c r="AE72" i="4"/>
  <c r="AI72" i="4"/>
  <c r="AE33" i="4"/>
  <c r="AI33" i="4"/>
  <c r="AE86" i="4"/>
  <c r="AD25" i="4"/>
  <c r="S35" i="4"/>
  <c r="AD35" i="4" s="1"/>
  <c r="AG38" i="4"/>
  <c r="AG39" i="4"/>
  <c r="AG40" i="4"/>
  <c r="AG41" i="4"/>
  <c r="AG42" i="4"/>
  <c r="AG45" i="4"/>
  <c r="AI53" i="4"/>
  <c r="AG63" i="4"/>
  <c r="AG68" i="4"/>
  <c r="S24" i="4"/>
  <c r="AG30" i="4"/>
  <c r="AG31" i="4"/>
  <c r="AG32" i="4"/>
  <c r="AI62" i="4"/>
  <c r="AG64" i="4"/>
  <c r="AG65" i="4"/>
  <c r="AG72" i="4"/>
  <c r="AG73" i="4"/>
  <c r="AG74" i="4"/>
  <c r="AG75" i="4"/>
  <c r="AG76" i="4"/>
  <c r="AG83" i="4"/>
  <c r="AG88" i="4"/>
  <c r="AG89" i="4"/>
  <c r="AG90" i="4"/>
  <c r="AE27" i="4"/>
  <c r="S68" i="4"/>
  <c r="AE71" i="4"/>
  <c r="AE79" i="4"/>
  <c r="AE81" i="4"/>
  <c r="AE87" i="4"/>
  <c r="AB58" i="4"/>
  <c r="AB59" i="4"/>
  <c r="AI28" i="4"/>
  <c r="AD45" i="4"/>
  <c r="AG46" i="4"/>
  <c r="AB52" i="4"/>
  <c r="AB67" i="4"/>
  <c r="AG70" i="4"/>
  <c r="AB24" i="4"/>
  <c r="AE29" i="4"/>
  <c r="AB62" i="4"/>
  <c r="AE77" i="4"/>
  <c r="AE78" i="4"/>
  <c r="AE80" i="4"/>
  <c r="AE82" i="4"/>
  <c r="I30" i="2"/>
  <c r="I28" i="2"/>
  <c r="I22" i="2"/>
  <c r="D80" i="2"/>
  <c r="D79" i="2"/>
  <c r="D78" i="2"/>
  <c r="D77" i="2"/>
  <c r="D76" i="2"/>
  <c r="D75" i="2"/>
  <c r="D69" i="2"/>
  <c r="D64" i="2"/>
  <c r="D61" i="2"/>
  <c r="D53" i="2"/>
  <c r="D40" i="2"/>
  <c r="D21" i="2"/>
  <c r="Q39" i="1" l="1"/>
  <c r="Q31" i="1"/>
  <c r="Q64" i="1"/>
  <c r="W34" i="1"/>
  <c r="M31" i="1"/>
  <c r="X42" i="1"/>
  <c r="AA42" i="1"/>
  <c r="X45" i="1"/>
  <c r="AA45" i="1"/>
  <c r="M39" i="1"/>
  <c r="M64" i="4"/>
  <c r="AE64" i="4" s="1"/>
  <c r="AB91" i="4"/>
  <c r="AB92" i="4" s="1"/>
  <c r="AE35" i="4"/>
  <c r="AI35" i="4"/>
  <c r="AE25" i="4"/>
  <c r="AI25" i="4"/>
  <c r="AE45" i="4"/>
  <c r="AI45" i="4"/>
  <c r="AD24" i="4"/>
  <c r="AP24" i="4"/>
  <c r="S21" i="4"/>
  <c r="AD21" i="4" s="1"/>
  <c r="O84" i="1"/>
  <c r="O79" i="1"/>
  <c r="O73" i="1"/>
  <c r="O68" i="1"/>
  <c r="O65" i="1"/>
  <c r="O44" i="1"/>
  <c r="O41" i="1"/>
  <c r="W31" i="1" l="1"/>
  <c r="W44" i="1"/>
  <c r="AA44" i="1" s="1"/>
  <c r="AA34" i="1"/>
  <c r="X31" i="1"/>
  <c r="W65" i="1"/>
  <c r="AA65" i="1" s="1"/>
  <c r="AA31" i="1"/>
  <c r="X34" i="1"/>
  <c r="M63" i="4"/>
  <c r="M62" i="4" s="1"/>
  <c r="AE21" i="4"/>
  <c r="AE91" i="4" s="1"/>
  <c r="AE92" i="4" s="1"/>
  <c r="AI21" i="4"/>
  <c r="AE24" i="4"/>
  <c r="AI24" i="4"/>
  <c r="O39" i="1"/>
  <c r="O64" i="1"/>
  <c r="W39" i="1" l="1"/>
  <c r="AA39" i="1" s="1"/>
  <c r="W64" i="1"/>
  <c r="AA64" i="1" s="1"/>
  <c r="AE63" i="4"/>
  <c r="M61" i="4"/>
  <c r="AE62" i="4"/>
  <c r="M59" i="4" l="1"/>
  <c r="AE61" i="4"/>
  <c r="K84" i="1"/>
  <c r="K79" i="1"/>
  <c r="K73" i="1"/>
  <c r="K68" i="1"/>
  <c r="K65" i="1"/>
  <c r="K44" i="1"/>
  <c r="K41" i="1"/>
  <c r="G84" i="1"/>
  <c r="G79" i="1"/>
  <c r="G73" i="1"/>
  <c r="G65" i="1"/>
  <c r="G44" i="1"/>
  <c r="G41" i="1"/>
  <c r="D79" i="1"/>
  <c r="D44" i="1"/>
  <c r="X44" i="1" l="1"/>
  <c r="X65" i="1"/>
  <c r="AI65" i="1"/>
  <c r="K39" i="1"/>
  <c r="K64" i="1"/>
  <c r="G39" i="1"/>
  <c r="G68" i="1"/>
  <c r="G64" i="1"/>
  <c r="X64" i="1" l="1"/>
  <c r="X39" i="1"/>
  <c r="T45" i="1"/>
  <c r="Z45" i="1" s="1"/>
  <c r="T44" i="1"/>
  <c r="Z44" i="1" s="1"/>
  <c r="T43" i="1"/>
  <c r="Z43" i="1" s="1"/>
  <c r="T42" i="1"/>
  <c r="U42" i="1" s="1"/>
  <c r="T41" i="1"/>
  <c r="U41" i="1" s="1"/>
  <c r="Z65" i="1"/>
  <c r="W73" i="1"/>
  <c r="U73" i="1"/>
  <c r="AA73" i="1" l="1"/>
  <c r="W41" i="1"/>
  <c r="U43" i="1"/>
  <c r="Z42" i="1"/>
  <c r="U44" i="1"/>
  <c r="Z41" i="1"/>
  <c r="U45" i="1"/>
  <c r="U65" i="1"/>
  <c r="X73" i="1"/>
  <c r="Z73" i="1"/>
  <c r="W80" i="1"/>
  <c r="U80" i="1"/>
  <c r="AA80" i="1" l="1"/>
  <c r="X41" i="1"/>
  <c r="AA41" i="1"/>
  <c r="X80" i="1"/>
  <c r="Z80" i="1"/>
  <c r="W86" i="1" l="1"/>
  <c r="U86" i="1"/>
  <c r="W85" i="1"/>
  <c r="U85" i="1"/>
  <c r="W84" i="1"/>
  <c r="U84" i="1"/>
  <c r="U83" i="1"/>
  <c r="U82" i="1"/>
  <c r="W81" i="1"/>
  <c r="U81" i="1"/>
  <c r="W79" i="1"/>
  <c r="U79" i="1"/>
  <c r="W78" i="1"/>
  <c r="U78" i="1"/>
  <c r="U77" i="1"/>
  <c r="U76" i="1"/>
  <c r="W75" i="1"/>
  <c r="U75" i="1"/>
  <c r="W74" i="1"/>
  <c r="U74" i="1"/>
  <c r="W72" i="1"/>
  <c r="U72" i="1"/>
  <c r="U71" i="1"/>
  <c r="W70" i="1"/>
  <c r="U70" i="1"/>
  <c r="U69" i="1"/>
  <c r="U68" i="1"/>
  <c r="W67" i="1"/>
  <c r="U67" i="1"/>
  <c r="U66" i="1"/>
  <c r="T64" i="1"/>
  <c r="U64" i="1" s="1"/>
  <c r="T38" i="1"/>
  <c r="U38" i="1" s="1"/>
  <c r="W37" i="1"/>
  <c r="T37" i="1"/>
  <c r="U37" i="1" s="1"/>
  <c r="W36" i="1"/>
  <c r="T36" i="1"/>
  <c r="U36" i="1" s="1"/>
  <c r="W35" i="1"/>
  <c r="T35" i="1"/>
  <c r="U35" i="1" s="1"/>
  <c r="AA37" i="1" l="1"/>
  <c r="AA35" i="1"/>
  <c r="AA36" i="1"/>
  <c r="AA84" i="1"/>
  <c r="AA74" i="1"/>
  <c r="AA79" i="1"/>
  <c r="AA85" i="1"/>
  <c r="AA78" i="1"/>
  <c r="AA75" i="1"/>
  <c r="AA81" i="1"/>
  <c r="AA86" i="1"/>
  <c r="X67" i="1"/>
  <c r="AA67" i="1"/>
  <c r="X72" i="1"/>
  <c r="AA72" i="1"/>
  <c r="X70" i="1"/>
  <c r="AA70" i="1"/>
  <c r="Z85" i="1"/>
  <c r="Z69" i="1"/>
  <c r="Z71" i="1"/>
  <c r="X35" i="1"/>
  <c r="Z67" i="1"/>
  <c r="X36" i="1"/>
  <c r="Z77" i="1"/>
  <c r="Z64" i="1"/>
  <c r="Z74" i="1"/>
  <c r="Z78" i="1"/>
  <c r="Z81" i="1"/>
  <c r="Z82" i="1"/>
  <c r="Z84" i="1"/>
  <c r="X37" i="1"/>
  <c r="Z75" i="1"/>
  <c r="Z79" i="1"/>
  <c r="Z83" i="1"/>
  <c r="Z86" i="1"/>
  <c r="Z66" i="1"/>
  <c r="Z68" i="1"/>
  <c r="Z70" i="1"/>
  <c r="Z72" i="1"/>
  <c r="Z76" i="1"/>
  <c r="U87" i="1"/>
  <c r="Z35" i="1"/>
  <c r="Z36" i="1"/>
  <c r="Z37" i="1"/>
  <c r="Z38" i="1"/>
  <c r="X74" i="1"/>
  <c r="X75" i="1"/>
  <c r="X78" i="1"/>
  <c r="X79" i="1"/>
  <c r="X81" i="1"/>
  <c r="X84" i="1"/>
  <c r="X85" i="1"/>
  <c r="X86" i="1"/>
  <c r="W77" i="1"/>
  <c r="AA77" i="1" l="1"/>
  <c r="X87" i="1"/>
  <c r="X77" i="1"/>
  <c r="W76" i="1"/>
  <c r="W71" i="1"/>
  <c r="W69" i="1"/>
  <c r="AA71" i="1" l="1"/>
  <c r="AA69" i="1"/>
  <c r="AA76" i="1"/>
  <c r="X71" i="1"/>
  <c r="X76" i="1"/>
  <c r="W82" i="1"/>
  <c r="W83" i="1"/>
  <c r="W38" i="1"/>
  <c r="X69" i="1"/>
  <c r="W68" i="1"/>
  <c r="AA82" i="1" l="1"/>
  <c r="AA68" i="1"/>
  <c r="AA83" i="1"/>
  <c r="X68" i="1"/>
  <c r="X83" i="1"/>
  <c r="AA38" i="1"/>
  <c r="X38" i="1"/>
  <c r="X82" i="1"/>
  <c r="X88" i="1" l="1"/>
  <c r="U8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WIN11</author>
    <author>USER</author>
  </authors>
  <commentList>
    <comment ref="E38" authorId="0" shapeId="0" xr:uid="{912BF640-6ECB-4D5C-8616-88CA6B2857F4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H38" authorId="0" shapeId="0" xr:uid="{2C44413E-3720-4D5C-BC40-AB0A247DB7D0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J38" authorId="0" shapeId="0" xr:uid="{D20210DD-DA69-4EC1-82E1-E95513092561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L38" authorId="0" shapeId="0" xr:uid="{9C3CDBCE-9D5E-43EC-9A33-38E20DF0646D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N38" authorId="0" shapeId="0" xr:uid="{33DF5AC3-EF8D-487C-8301-475E6597D940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K49" authorId="1" shapeId="0" xr:uid="{54730277-A1A0-4781-B9B3-5A09C4F4F3C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Menyesuaikan DPA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WIN11</author>
  </authors>
  <commentList>
    <comment ref="E42" authorId="0" shapeId="0" xr:uid="{22D0C9BC-836E-4C4D-A375-B3BB21C1DEE7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H42" authorId="0" shapeId="0" xr:uid="{2F784739-4EBF-48E8-A1AE-789C93C6E124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K42" authorId="0" shapeId="0" xr:uid="{1308333A-A555-4FF6-A310-A07044C0DE3A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N42" authorId="0" shapeId="0" xr:uid="{C3667566-6243-4243-A262-41E0227CD54B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Q42" authorId="0" shapeId="0" xr:uid="{13217290-306C-4DAC-8CB0-ED4686B662E6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WIN11</author>
  </authors>
  <commentList>
    <comment ref="E34" authorId="0" shapeId="0" xr:uid="{494C046F-4CC4-4C20-A65F-2672B8D3F457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G34" authorId="0" shapeId="0" xr:uid="{20AF879E-9C26-4BC4-ABB7-DE1D1884F09E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I34" authorId="0" shapeId="0" xr:uid="{46FD5E92-2BDD-4254-9899-61AC2EBFAB24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  <comment ref="K34" authorId="0" shapeId="0" xr:uid="{516177E2-BF49-4E86-80DB-9A418D61893E}">
      <text>
        <r>
          <rPr>
            <b/>
            <sz val="9"/>
            <color indexed="81"/>
            <rFont val="Tahoma"/>
            <family val="2"/>
          </rPr>
          <t>WIN11:</t>
        </r>
        <r>
          <rPr>
            <sz val="9"/>
            <color indexed="81"/>
            <rFont val="Tahoma"/>
            <family val="2"/>
          </rPr>
          <t xml:space="preserve">
Pondok Pertemuan + RMU
</t>
        </r>
      </text>
    </comment>
  </commentList>
</comments>
</file>

<file path=xl/sharedStrings.xml><?xml version="1.0" encoding="utf-8"?>
<sst xmlns="http://schemas.openxmlformats.org/spreadsheetml/2006/main" count="1654" uniqueCount="277">
  <si>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</si>
  <si>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</si>
  <si>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</si>
  <si>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</si>
  <si>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</si>
  <si>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</si>
  <si>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</si>
  <si>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</si>
  <si>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</si>
  <si>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</si>
  <si>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</si>
  <si>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</si>
  <si>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</si>
  <si>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</si>
  <si>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</si>
  <si>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</si>
  <si>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</si>
  <si>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</si>
  <si>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</si>
  <si>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</si>
  <si>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</si>
  <si>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</si>
  <si>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</si>
  <si>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</si>
  <si>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</si>
  <si>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</si>
  <si>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</si>
  <si>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</si>
  <si>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</si>
  <si>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</si>
  <si>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</si>
  <si>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t>Sangat tinggi</t>
  </si>
  <si>
    <t>Tinggi</t>
  </si>
  <si>
    <t>Sedang</t>
  </si>
  <si>
    <t>Rendah</t>
  </si>
  <si>
    <t>Sangat Rendah</t>
  </si>
  <si>
    <t>DINAS PERTANIAN</t>
  </si>
  <si>
    <t>Dinas Pertanian</t>
  </si>
  <si>
    <t>Tercukupinya Ketersediaan Pangan Yang Beragam dan Aman</t>
  </si>
  <si>
    <t>[kolom (12)(K) : kolom (7)(K)] x 100%</t>
  </si>
  <si>
    <t>[kolom (12)(Rp) : kolom (7)(Rp)] x 100%</t>
  </si>
  <si>
    <t>Realisasi dan Tingkat Capaian Kinerja dan Anggaran Renja Perangkat Daerah yang Dievaluasi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</si>
  <si>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</si>
  <si>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</si>
  <si>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</si>
  <si>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</si>
  <si>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</si>
  <si>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Pertanian</t>
  </si>
  <si>
    <t>NIP. 19670417 198803 1 010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</si>
  <si>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</si>
  <si>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</si>
  <si>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</si>
  <si>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</si>
  <si>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</si>
  <si>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</si>
  <si>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</si>
  <si>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Administrasi Umum Perangkat Daerah</t>
  </si>
  <si>
    <t>Penyediaan Bahan Bacaan dan Peraturan Perundang-undangan</t>
  </si>
  <si>
    <t>Penyelenggaraan Rapat Koordinasi dan Konsultasi SKPD</t>
  </si>
  <si>
    <t>Penyediaan Jasa Penunjang Urusan Pemerintahan Daerah</t>
  </si>
  <si>
    <t>Penyediaan Jasa Komunikasi, Sumber Daya Air dan Listrik</t>
  </si>
  <si>
    <t>Pemeliharaan Barang Milik Daerah Penunjang Urusan Pemerintahan Daerah</t>
  </si>
  <si>
    <t>Pengawasan Penggunaan Sarana Pertanian</t>
  </si>
  <si>
    <t>Pendampingan Penggunaan Sarana Pendukung Pertanian</t>
  </si>
  <si>
    <t>Pengelolaan Sumber Daya Genetik (SDG) Hewan, Tumbuhan, dan Mikro Organisme Kewenangan Kabupaten/Kota</t>
  </si>
  <si>
    <t>Pemanfaatan SDG Hewan/Tanaman</t>
  </si>
  <si>
    <t>Pengendalian dan Pengawasan Penyediaan dan Peredaran Benih/Bibit Ternak, dan Hijauan Pakan Ternak dalam Daerah Kabupaten/Kota</t>
  </si>
  <si>
    <t>Pengembangan Prasarana Pertanian</t>
  </si>
  <si>
    <t>Penyusunan Peta Lahan Pertanian Pangan Berkelanjutan/LP2B</t>
  </si>
  <si>
    <t>Pembangunan Prasarana Pertanian</t>
  </si>
  <si>
    <t>Penjaminan Kesehatan Hewan, Penutupan dan Pembukaan Daerah Wabah Penyakit Hewan Menular Dalam Daerah Kabupaten/Kota</t>
  </si>
  <si>
    <t>Pengendalian dan Penanggulangan Penyakit Hewan dan Zoonosis</t>
  </si>
  <si>
    <t>Pengawasan Pemasukan dan Pengeluaran Hewan dan Produk Hewan Daerah Kabupaten/Kota</t>
  </si>
  <si>
    <t>Penilaian Risiko Penyakit Hewan dan Keamanan Produk Hewan</t>
  </si>
  <si>
    <t>Pengendalian dan Penanggulangan Bencana Pertanian Kabupaten/Kota</t>
  </si>
  <si>
    <t>Penerbitan Izin Usaha Pertanian yang Kegiatan Usahanya dalam Daerah Kabupaten/Kota</t>
  </si>
  <si>
    <t>Pembinaan dan Pengawasan Penerapan Izin Usaha Pertanian</t>
  </si>
  <si>
    <t>Pelaksanaan Penyuluhan Pertanian</t>
  </si>
  <si>
    <t>Peningkatan Kapasitas Kelembagaan Penyuluhan Pertanian di Kecamatan dan Desa</t>
  </si>
  <si>
    <t>Pengembangan Kapasitas Kelembagaan Petani di Kecamatan dan Desa</t>
  </si>
  <si>
    <t>%</t>
  </si>
  <si>
    <t>Ha</t>
  </si>
  <si>
    <t>Unit</t>
  </si>
  <si>
    <t>Pembangunan, Rehabilitasi dan Pemeliharaan Jalan Usaha Tani</t>
  </si>
  <si>
    <t>Desa</t>
  </si>
  <si>
    <t>Kali</t>
  </si>
  <si>
    <t>Jenis</t>
  </si>
  <si>
    <t>URUSAN PEMERINTAHAN PILIHAN</t>
  </si>
  <si>
    <t>URUSAN PEMERINTAHAN BIDANG PERTANIAN</t>
  </si>
  <si>
    <t>PROGRAM PENYEDIAAN DAN PENGEMBANGAN SARANA PERTANIAN</t>
  </si>
  <si>
    <t>Pengawasan Penggunaan Sarana Pendukung Pertanian sesuai dengan Komoditas, Teknologi dan Spesifik Lokasi</t>
  </si>
  <si>
    <t xml:space="preserve">Penjaminan Kemurnian dan Kelestarian SDG Hewan/Tanaman
</t>
  </si>
  <si>
    <t xml:space="preserve">Penjaminan Peredaran HPT, Bahan Pakan/Pakan
</t>
  </si>
  <si>
    <t>PROGRAM PENYEDIAAN DAN PENGEMBANGAN PRASARANA PERTANIAN</t>
  </si>
  <si>
    <t xml:space="preserve">Pembangunan, Rehabilitasi dan Pemeliharaan Jaringan Irigasi Usaha Tani
</t>
  </si>
  <si>
    <t xml:space="preserve">Pembangunan, Rehabilitasi dan Pemeliharaan Balai Penyuluh di Kecamatan serta sarana pendukungnya
</t>
  </si>
  <si>
    <t xml:space="preserve">Pembangunan, Rehabilitasi dan Pemeliharaan Prasarana Pertanian Lainnya
</t>
  </si>
  <si>
    <t>PROGRAM PENGENDALIAN KESEHATAN HEWAN DAN KESEHATAN MASYARAKAT VETERINER</t>
  </si>
  <si>
    <t>Pembebasan Penyakit Hewan Menular dalam 1 (satu) Daerah Kabupaten/Kota (Dinas Pertanian)</t>
  </si>
  <si>
    <t>PROGRAM PENGENDALIAN DAN PENANGGULANGAN BENCANA PERTANIAN</t>
  </si>
  <si>
    <t xml:space="preserve">Pengendalian Organisme Pengganggu Tumbuhan (OPT) Tanaman Pangan, Hortikultura, dan Perkebunan
</t>
  </si>
  <si>
    <t xml:space="preserve">Penanganan Dampak Perubahan Iklim (DPI) Tanaman Pangan, Hortikultura, dan Perkebunan
</t>
  </si>
  <si>
    <t xml:space="preserve">Pencegahan, Penanganan Kebakaran Lahan, dan Gangguan Usaha Tanaman Pangan, Hortikultura, dan Perkebunan
</t>
  </si>
  <si>
    <t>PROGRAM PERIZINAN USAHA PERTANIAN</t>
  </si>
  <si>
    <t>PROGRAM PENYULUHAN PERTANIAN</t>
  </si>
  <si>
    <t xml:space="preserve">Penyediaan dan Pemanfaatan Sarana dan Prasarana Penyuluhan Pertanian
</t>
  </si>
  <si>
    <t>PROGRAM PENUNJANG URUSAN PEMERINTAHAN DAERAH KABUPATEN/KOTA</t>
  </si>
  <si>
    <t xml:space="preserve">Penyusunan Pelaporan dan Analisis Prognosis Realisasi Anggaran
</t>
  </si>
  <si>
    <t xml:space="preserve">Penyediaan Komponen Instalasi Listrik/Penerangan Bangunan Kantor
</t>
  </si>
  <si>
    <t xml:space="preserve">Penyediaan Bahan Logistik Kantor
</t>
  </si>
  <si>
    <t xml:space="preserve">Penyediaan Barang Cetakan dan Penggandaan
</t>
  </si>
  <si>
    <t xml:space="preserve">Penyediaan Jasa Surat Menyurat
</t>
  </si>
  <si>
    <t xml:space="preserve">Penyediaan Jasa Peralatan dan Perlengkapan Kantor
</t>
  </si>
  <si>
    <t xml:space="preserve">Penyediaan Jasa Pelayanan Umum Kantor
</t>
  </si>
  <si>
    <t>Penyediaan Jasa Pemeliharaan, Biaya Pemeliharaan, Pajak, dan Perizinan Kendaraan Dinas Operasional atau Lapangan</t>
  </si>
  <si>
    <t>Pemeliharaan/Rehabilitasi Sarana dan Prasarana Gedung Kantor atau Bangunan Lainnya</t>
  </si>
  <si>
    <t xml:space="preserve">Persentase penyediaan saprodi tanaman pangan yang berkualitas
</t>
  </si>
  <si>
    <t xml:space="preserve">Persentase penyediaan saprodi hortikultura yang berkualitas
</t>
  </si>
  <si>
    <t xml:space="preserve">Persentase penyediaan saprodi perkebunan yang berkualitas
</t>
  </si>
  <si>
    <t>Persentase Luasan yang memakai bibit unggul</t>
  </si>
  <si>
    <t>Memastikan pengelolaan luas tanam secara intensif</t>
  </si>
  <si>
    <t>tersedianya benih/bibit tanaman pangan dan hortikultura</t>
  </si>
  <si>
    <t>Hortikultura</t>
  </si>
  <si>
    <t>Perkebunan</t>
  </si>
  <si>
    <t>Persentase Saprodi Tanaman Pangan, Hortikultura dan Perkebunan</t>
  </si>
  <si>
    <t>Tersedianya bibit tanaman kultur jaringan</t>
  </si>
  <si>
    <t>Tersedianya saprodi biofarmaka sayuran dan perkebunan</t>
  </si>
  <si>
    <t>Persentase rasio pakan ternak dengan kebutuhan</t>
  </si>
  <si>
    <t>Persentase ketersediaan
pakan yang bermutu dan
memenuhi syarat</t>
  </si>
  <si>
    <t xml:space="preserve">Persentase luas lahan sawah yang terairi dengan sistem irigasi teknis
</t>
  </si>
  <si>
    <t xml:space="preserve">Jumlah Lahan Yang di lindungi
</t>
  </si>
  <si>
    <t>Tersusunnya peta lahan pertanian pangan berkelanjutan LP2B</t>
  </si>
  <si>
    <t>Jumlah Prasarana Pertanian yang di Bangun</t>
  </si>
  <si>
    <t>Jumlah Jaringan irigasi yang dibangun pada tahun n</t>
  </si>
  <si>
    <t>Jumlah JUT yang dibanguna pada tahun n</t>
  </si>
  <si>
    <t>Jumlah BPP yang direhab pada tahun n</t>
  </si>
  <si>
    <t>Jumlah Prasarana Pertanian lainnya yang dibangun pada tahun n</t>
  </si>
  <si>
    <t>Persentase ternak dengan kecukupan pakan sesuai dengan standar keswan</t>
  </si>
  <si>
    <t>Persentase produksi ternak yang memenuhi standar ekspor</t>
  </si>
  <si>
    <t>Pemeriksaan  kesehatan hewan/ ternak secara rutin</t>
  </si>
  <si>
    <t>-Terlaksananya Pengobatan dan Penyuluhan Kesehatan Hewan</t>
  </si>
  <si>
    <t>-Tersedianya Vaksin, Desinfektan dan Peralatan Kesehatan</t>
  </si>
  <si>
    <t>-Jumlah pengambilan sampel dan pemeriksaan produk pangan asal hewan</t>
  </si>
  <si>
    <t xml:space="preserve">Persentase kawasan pertanian yang dapat dilindungi 
</t>
  </si>
  <si>
    <t>Jumlah Bahan, Sarana dan Prasarana Pengendalian OPT Tanaman Pangan, Hortikultura dan Perkebunan</t>
  </si>
  <si>
    <t>Jumlah Luas Lahan Petani yang Terdaftar di AUTP  (kumulatif)</t>
  </si>
  <si>
    <t>Jumlah Ketersediaan Bahan Obat-obatan Pengendaian OPT dan DPI Sesuai Dengan Kebutuhan</t>
  </si>
  <si>
    <t>Jumlah Bantuan Premi Asuransi Padi</t>
  </si>
  <si>
    <t>Jumlah Patroli dan Pemadaman, Penanggulangan Bencana, Kebakaran Lahan dan Kebun</t>
  </si>
  <si>
    <t>Persentase Kelompok Tani menjadi Kelembagaan Ekonomi Petani (KEP)</t>
  </si>
  <si>
    <t xml:space="preserve">Persentase Jumlah Pembinaan Usaha Ekonomi Pertanian </t>
  </si>
  <si>
    <t>Pembinaan Usaha Ekonomi Pertanian</t>
  </si>
  <si>
    <t xml:space="preserve">Persentase sumber daya  pertanian yang berkualitas 
</t>
  </si>
  <si>
    <t>Jumlah Petani Mileneal</t>
  </si>
  <si>
    <t>Penyusunan RDK/RDKK</t>
  </si>
  <si>
    <t>Persentase Sumber Daya Pertanian Yang Berkualitas</t>
  </si>
  <si>
    <t>Peningkatan Kapasitas Sumber Daya Penyuluh</t>
  </si>
  <si>
    <t>Terpenuhinya kualitas kinerja instansi pemerintah</t>
  </si>
  <si>
    <t>Jumlah dokumen Rencana Kerja (Renja) Murni dan perubahan yang diinput</t>
  </si>
  <si>
    <t>Jumlah bahan yang disiapkan untuk penyusunan Laporan Akuntabilitas Kinerja Instansi Pemerintah (LAKIP)</t>
  </si>
  <si>
    <t xml:space="preserve">Pelayanan Administrasi Sesuai Standar </t>
  </si>
  <si>
    <t xml:space="preserve">Penyusunan Laporan Keuangan yang Memenuhi Aspek Kualitas </t>
  </si>
  <si>
    <t>Laporan Keuangan yang Memenuhi Aspek  Kualitas</t>
  </si>
  <si>
    <t>Terpenuhinya Penyelenggaraan Urusan Pemerintahan Umum yang di Leksanakan Dengan Baik</t>
  </si>
  <si>
    <t xml:space="preserve">Terpenuhinya Penyelenggaraan Urusan Pemerintahan Umum yang di Leksanakan Dengan Baik </t>
  </si>
  <si>
    <t>2,7</t>
  </si>
  <si>
    <t>Orang</t>
  </si>
  <si>
    <t>Bulan</t>
  </si>
  <si>
    <t>Kg/Lt</t>
  </si>
  <si>
    <t>5%</t>
  </si>
  <si>
    <t>10%</t>
  </si>
  <si>
    <t>30 unit</t>
  </si>
  <si>
    <t>unit</t>
  </si>
  <si>
    <t>100</t>
  </si>
  <si>
    <t>103 orang</t>
  </si>
  <si>
    <t>orang</t>
  </si>
  <si>
    <t>7%</t>
  </si>
  <si>
    <t>148 desa</t>
  </si>
  <si>
    <t>11 kec</t>
  </si>
  <si>
    <t>Kec</t>
  </si>
  <si>
    <t>1 kab</t>
  </si>
  <si>
    <t>Kab</t>
  </si>
  <si>
    <t>11 BPP</t>
  </si>
  <si>
    <t>-</t>
  </si>
  <si>
    <t>11 Kec</t>
  </si>
  <si>
    <t>89,06 (A)</t>
  </si>
  <si>
    <t>100%</t>
  </si>
  <si>
    <t>2</t>
  </si>
  <si>
    <t>Buah</t>
  </si>
  <si>
    <t>4</t>
  </si>
  <si>
    <t>12 bulan</t>
  </si>
  <si>
    <t>bulan</t>
  </si>
  <si>
    <t>2 kali</t>
  </si>
  <si>
    <t>195.000.000</t>
  </si>
  <si>
    <t>160.000.000</t>
  </si>
  <si>
    <t>Realisasi Capaian Kinerja Renstra Perangkat Daerah sampai dengan Renja Perangkat Daerah Tahun Lalu (2021)</t>
  </si>
  <si>
    <t>Target Kinerja dan Anggaran Renja Perangkat Daerah Tahun Berjalan (Tahun 2022) yang Dievaluasi</t>
  </si>
  <si>
    <t>0,80</t>
  </si>
  <si>
    <t>0,60</t>
  </si>
  <si>
    <t>5</t>
  </si>
  <si>
    <t>10</t>
  </si>
  <si>
    <t>7</t>
  </si>
  <si>
    <t>0</t>
  </si>
  <si>
    <t>PERIODE PELAKSANAAN TRIWULAN II TAHUN 2022</t>
  </si>
  <si>
    <t>12</t>
  </si>
  <si>
    <t>0,7</t>
  </si>
  <si>
    <t>2,2</t>
  </si>
  <si>
    <t>50</t>
  </si>
  <si>
    <t>2,5</t>
  </si>
  <si>
    <t>(A)</t>
  </si>
  <si>
    <r>
      <t>Indikator Kinerja Program (</t>
    </r>
    <r>
      <rPr>
        <b/>
        <i/>
        <sz val="12"/>
        <color theme="1"/>
        <rFont val="Cambria"/>
        <family val="1"/>
      </rPr>
      <t>Outcome</t>
    </r>
    <r>
      <rPr>
        <b/>
        <sz val="12"/>
        <color theme="1"/>
        <rFont val="Cambria"/>
        <family val="1"/>
      </rPr>
      <t>)/Kegiatan (</t>
    </r>
    <r>
      <rPr>
        <b/>
        <i/>
        <sz val="12"/>
        <color theme="1"/>
        <rFont val="Cambria"/>
        <family val="1"/>
      </rPr>
      <t>Output</t>
    </r>
    <r>
      <rPr>
        <b/>
        <sz val="12"/>
        <color theme="1"/>
        <rFont val="Cambria"/>
        <family val="1"/>
      </rPr>
      <t>)</t>
    </r>
  </si>
  <si>
    <t>(1)              </t>
  </si>
  <si>
    <t>91% ≤ 100%</t>
  </si>
  <si>
    <t>(2)              </t>
  </si>
  <si>
    <t xml:space="preserve">76% ≤ 90% </t>
  </si>
  <si>
    <t>(3)              </t>
  </si>
  <si>
    <t>66% ≤ 75%</t>
  </si>
  <si>
    <t>(4)              </t>
  </si>
  <si>
    <t>51% ≤ 65%</t>
  </si>
  <si>
    <t>(5)              </t>
  </si>
  <si>
    <t>≤ 50%</t>
  </si>
  <si>
    <t>Kandangan,      Juli 2022</t>
  </si>
  <si>
    <t>H. MUHAMMAD NOOR, S.P</t>
  </si>
  <si>
    <t>Target Kinerja Program</t>
  </si>
  <si>
    <t>Capaian</t>
  </si>
  <si>
    <t>TARGET TAHUN 2021 S.D 2023 DAN CAPAIAN 2021</t>
  </si>
  <si>
    <t>UNTUK CASCADING DAN BAHAN UNTUK PENYEMPURNAAN LKJ TAHUN 2021</t>
  </si>
  <si>
    <t>Realisasi Kinerja dan Anggaran Renstra Perangkat Daerah s/d Tahun 2022</t>
  </si>
  <si>
    <t>Tingkat Capaian Kinerja dan Realisasi Anggaran Renstra Perangkat Daerah s/d Tahun 2022 (%)</t>
  </si>
  <si>
    <t>Memastikan Ketersediaan luas lahan sawah yang terairi dengan sistem irigasi teknis</t>
  </si>
  <si>
    <t>Memastikan kecukupan pakan ternak sesuai standar keswan</t>
  </si>
  <si>
    <t>Memastikan  kawasan pertanian terlindungi dari OPT dan Perubahan Iklim</t>
  </si>
  <si>
    <t>Meningkatnya Kelembagaan Usaha Formal</t>
  </si>
  <si>
    <t>Meningkatnya Sumber Daya Pertanian yang berkualitas</t>
  </si>
  <si>
    <t xml:space="preserve">Meningkatnya persentase produksi pertanian </t>
  </si>
  <si>
    <t xml:space="preserve">Persentase peningkatan produksi padi </t>
  </si>
  <si>
    <t xml:space="preserve">Persentase peningkatan produksi Aneka Cabai </t>
  </si>
  <si>
    <t xml:space="preserve"> 	Persentase peningkatan produksi Kelapa Dalam</t>
  </si>
  <si>
    <t xml:space="preserve">Persentase peningkatan produksi Daging </t>
  </si>
  <si>
    <t xml:space="preserve">Menurunnya persentase luasan panen akibat puso dan banjir </t>
  </si>
  <si>
    <t xml:space="preserve">Persentase penurunan luasan panen akibat serangan organisme pengganggu tanaman </t>
  </si>
  <si>
    <t xml:space="preserve">Persentase penurunan luasan panen akibat banjir </t>
  </si>
  <si>
    <t>Jumlah Bibit Tanaman Hortikultura dan Perkebunan Yang Berkualitas</t>
  </si>
  <si>
    <t>Luas Tanam Padi</t>
  </si>
  <si>
    <t>Jumlah pelayanan Kesehatan Hewan Secara Rutin</t>
  </si>
  <si>
    <t>Persentase Kelompok Tani menjadi kelembagaan Ekonomi Petani (KEP)</t>
  </si>
  <si>
    <t>Memastikan Perencanaan Penganggaran, dan Evaluasi Kinerja yang Berkualitas tersusun dengan baik</t>
  </si>
  <si>
    <t xml:space="preserve">Jumlah laporan data obyek kerja
</t>
  </si>
  <si>
    <t xml:space="preserve">Jumlah laporan keuangan
</t>
  </si>
  <si>
    <t>Jumlah Laporan Barang Persediaan dan Barang Milik Daearh</t>
  </si>
  <si>
    <t>Jumlah Dokumen Perencanaan Perangkat Daerah Yang Berkualitas</t>
  </si>
  <si>
    <t>Jumlah Dokumen Laporan AKIP yang berkualitas</t>
  </si>
  <si>
    <t>6</t>
  </si>
  <si>
    <t>Jumlah laporan gaji dan tunjangan ASN</t>
  </si>
  <si>
    <t xml:space="preserve">Jumlah laporan keuangan akhir tahun
</t>
  </si>
  <si>
    <t xml:space="preserve">Jumlah laporan keuangan bulanan/semesetran/triwulanan
</t>
  </si>
  <si>
    <t>Jumlah laporan prognosisi realisasi anggaran</t>
  </si>
  <si>
    <t>Persentase komponen instalasi listrik berfungsi baik</t>
  </si>
  <si>
    <t>Persentase Pemanfaatan bahan logistik kantor sesuai kebutuhan kerja</t>
  </si>
  <si>
    <t>Persentase bahan bacaan dan peraturan perundang-undangan sesuai kebutuhan kerja</t>
  </si>
  <si>
    <t>Persentase pelayanan koordinasi dan konsultasi yang sesuai anggaran</t>
  </si>
  <si>
    <t>Persentase fasilitas komunikasi, sumberdaya air dan listrik tersedia dengan baik</t>
  </si>
  <si>
    <t>Persentase tenaga jasa umum kantor berkeja dengan baik</t>
  </si>
  <si>
    <t>Persentase kesesuaian penyediaan jasa</t>
  </si>
  <si>
    <t>Persentase tenaga jasa perlengkapan kantor bekerja dengan baik</t>
  </si>
  <si>
    <t>Persentase kendaraan operasional yang layak jalan dan berfungsi baik</t>
  </si>
  <si>
    <t>Persentase  gedung kantor dalam kondisi baik</t>
  </si>
  <si>
    <t>Kandangan,     Oktober 2022</t>
  </si>
  <si>
    <t>PERIODE PELAKSANAAN TRIWULAN IV TAHUN 2022</t>
  </si>
  <si>
    <t>Jumlah bibit tanaman pangan (padi)</t>
  </si>
  <si>
    <t>Jumlah bibit tanaman hortikultura (cabe)</t>
  </si>
  <si>
    <t>Jumlah bibit tanaman hortikultura (tomat)</t>
  </si>
  <si>
    <t>Jumlah bibit tanaman hortikultura (duku)</t>
  </si>
  <si>
    <t>Jumlah bibit tanaman perkebunan (kayu manis)</t>
  </si>
  <si>
    <t>99,95</t>
  </si>
  <si>
    <t>1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</si>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</sst>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  <numFmt numFmtId="168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b/>
      <sz val="12"/>
      <name val="Cambria"/>
      <family val="1"/>
    </font>
    <font>
      <sz val="12"/>
      <name val="Cambria"/>
      <family val="1"/>
    </font>
    <font>
      <sz val="11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i/>
      <sz val="12"/>
      <color theme="1"/>
      <name val="Cambria"/>
      <family val="1"/>
    </font>
    <font>
      <sz val="12"/>
      <color theme="1"/>
      <name val="Cambria"/>
      <family val="1"/>
    </font>
    <font>
      <sz val="12"/>
      <color rgb="FF000000"/>
      <name val="Cambria"/>
      <family val="1"/>
    </font>
    <font>
      <b/>
      <u/>
      <sz val="12"/>
      <color theme="1"/>
      <name val="Cambria"/>
      <family val="1"/>
    </font>
    <font>
      <sz val="12"/>
      <color theme="0"/>
      <name val="Cambria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6" fillId="0" borderId="0"/>
  </cellStyleXfs>
  <cellXfs count="332">
    <xf numFmtId="0" fontId="0" fillId="0" borderId="0" xfId="0"/>
    <xf numFmtId="0" fontId="4" fillId="6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left" vertical="top" wrapText="1"/>
    </xf>
    <xf numFmtId="3" fontId="4" fillId="6" borderId="2" xfId="4" applyNumberFormat="1" applyFont="1" applyFill="1" applyBorder="1" applyAlignment="1">
      <alignment horizontal="left" vertical="top" wrapText="1"/>
    </xf>
    <xf numFmtId="3" fontId="4" fillId="0" borderId="2" xfId="4" applyNumberFormat="1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left" vertical="top" wrapText="1"/>
    </xf>
    <xf numFmtId="3" fontId="5" fillId="0" borderId="2" xfId="4" applyNumberFormat="1" applyFont="1" applyBorder="1" applyAlignment="1">
      <alignment horizontal="left" vertical="top" wrapText="1"/>
    </xf>
    <xf numFmtId="3" fontId="4" fillId="6" borderId="2" xfId="4" applyNumberFormat="1" applyFont="1" applyFill="1" applyBorder="1" applyAlignment="1">
      <alignment vertical="top" wrapText="1"/>
    </xf>
    <xf numFmtId="3" fontId="5" fillId="0" borderId="2" xfId="0" applyNumberFormat="1" applyFont="1" applyBorder="1" applyAlignment="1">
      <alignment vertical="top" wrapText="1"/>
    </xf>
    <xf numFmtId="3" fontId="4" fillId="6" borderId="2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right" vertical="top" wrapText="1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1" fillId="2" borderId="15" xfId="0" applyFont="1" applyFill="1" applyBorder="1" applyAlignment="1">
      <alignment vertical="top" wrapText="1"/>
    </xf>
    <xf numFmtId="166" fontId="11" fillId="0" borderId="2" xfId="1" quotePrefix="1" applyNumberFormat="1" applyFont="1" applyFill="1" applyBorder="1" applyAlignment="1">
      <alignment vertical="top"/>
    </xf>
    <xf numFmtId="0" fontId="11" fillId="0" borderId="2" xfId="0" applyFont="1" applyBorder="1" applyAlignment="1">
      <alignment horizontal="center" vertical="top" wrapText="1"/>
    </xf>
    <xf numFmtId="9" fontId="11" fillId="0" borderId="2" xfId="0" applyNumberFormat="1" applyFont="1" applyBorder="1" applyAlignment="1">
      <alignment horizontal="center" vertical="top"/>
    </xf>
    <xf numFmtId="2" fontId="11" fillId="0" borderId="2" xfId="0" applyNumberFormat="1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164" fontId="11" fillId="0" borderId="2" xfId="0" applyNumberFormat="1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 wrapText="1"/>
    </xf>
    <xf numFmtId="166" fontId="13" fillId="0" borderId="0" xfId="1" quotePrefix="1" applyNumberFormat="1" applyFont="1" applyFill="1" applyBorder="1" applyAlignment="1">
      <alignment vertical="top"/>
    </xf>
    <xf numFmtId="166" fontId="13" fillId="6" borderId="2" xfId="1" quotePrefix="1" applyNumberFormat="1" applyFont="1" applyFill="1" applyBorder="1" applyAlignment="1">
      <alignment vertical="top"/>
    </xf>
    <xf numFmtId="0" fontId="13" fillId="6" borderId="2" xfId="0" applyFont="1" applyFill="1" applyBorder="1" applyAlignment="1">
      <alignment horizontal="center" vertical="top" wrapText="1"/>
    </xf>
    <xf numFmtId="9" fontId="13" fillId="6" borderId="2" xfId="0" applyNumberFormat="1" applyFont="1" applyFill="1" applyBorder="1" applyAlignment="1">
      <alignment horizontal="center" vertical="top"/>
    </xf>
    <xf numFmtId="0" fontId="13" fillId="6" borderId="2" xfId="0" applyFont="1" applyFill="1" applyBorder="1" applyAlignment="1">
      <alignment horizontal="center" vertical="top"/>
    </xf>
    <xf numFmtId="164" fontId="13" fillId="6" borderId="2" xfId="0" applyNumberFormat="1" applyFont="1" applyFill="1" applyBorder="1" applyAlignment="1">
      <alignment vertical="top"/>
    </xf>
    <xf numFmtId="2" fontId="13" fillId="6" borderId="2" xfId="0" applyNumberFormat="1" applyFont="1" applyFill="1" applyBorder="1" applyAlignment="1">
      <alignment horizontal="center" vertical="top"/>
    </xf>
    <xf numFmtId="166" fontId="13" fillId="0" borderId="2" xfId="1" quotePrefix="1" applyNumberFormat="1" applyFont="1" applyFill="1" applyBorder="1" applyAlignment="1">
      <alignment vertical="top"/>
    </xf>
    <xf numFmtId="0" fontId="13" fillId="0" borderId="2" xfId="0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1" fontId="13" fillId="0" borderId="2" xfId="0" applyNumberFormat="1" applyFont="1" applyBorder="1" applyAlignment="1">
      <alignment vertical="top"/>
    </xf>
    <xf numFmtId="2" fontId="13" fillId="0" borderId="2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vertical="top"/>
    </xf>
    <xf numFmtId="164" fontId="11" fillId="0" borderId="2" xfId="0" applyNumberFormat="1" applyFont="1" applyBorder="1" applyAlignment="1">
      <alignment vertical="top"/>
    </xf>
    <xf numFmtId="1" fontId="13" fillId="0" borderId="2" xfId="0" applyNumberFormat="1" applyFont="1" applyBorder="1" applyAlignment="1">
      <alignment horizontal="center" vertical="top" wrapText="1"/>
    </xf>
    <xf numFmtId="1" fontId="13" fillId="6" borderId="2" xfId="0" applyNumberFormat="1" applyFont="1" applyFill="1" applyBorder="1" applyAlignment="1">
      <alignment horizontal="center" vertical="top" wrapText="1"/>
    </xf>
    <xf numFmtId="164" fontId="11" fillId="0" borderId="2" xfId="2" quotePrefix="1" applyFont="1" applyFill="1" applyBorder="1" applyAlignment="1">
      <alignment horizontal="center" vertical="top"/>
    </xf>
    <xf numFmtId="0" fontId="11" fillId="0" borderId="2" xfId="0" quotePrefix="1" applyFont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/>
    </xf>
    <xf numFmtId="2" fontId="11" fillId="6" borderId="2" xfId="0" applyNumberFormat="1" applyFont="1" applyFill="1" applyBorder="1" applyAlignment="1">
      <alignment horizontal="center" vertical="top"/>
    </xf>
    <xf numFmtId="3" fontId="11" fillId="0" borderId="2" xfId="0" applyNumberFormat="1" applyFont="1" applyBorder="1" applyAlignment="1">
      <alignment horizontal="center" vertical="top" wrapText="1"/>
    </xf>
    <xf numFmtId="3" fontId="11" fillId="6" borderId="2" xfId="0" applyNumberFormat="1" applyFont="1" applyFill="1" applyBorder="1" applyAlignment="1">
      <alignment horizontal="center" vertical="top" wrapText="1"/>
    </xf>
    <xf numFmtId="9" fontId="11" fillId="6" borderId="2" xfId="0" applyNumberFormat="1" applyFont="1" applyFill="1" applyBorder="1" applyAlignment="1">
      <alignment horizontal="center" vertical="top"/>
    </xf>
    <xf numFmtId="166" fontId="11" fillId="6" borderId="2" xfId="1" quotePrefix="1" applyNumberFormat="1" applyFont="1" applyFill="1" applyBorder="1" applyAlignment="1">
      <alignment vertical="top"/>
    </xf>
    <xf numFmtId="3" fontId="13" fillId="0" borderId="2" xfId="0" applyNumberFormat="1" applyFont="1" applyBorder="1" applyAlignment="1">
      <alignment horizontal="center" vertical="top" wrapText="1"/>
    </xf>
    <xf numFmtId="3" fontId="13" fillId="6" borderId="2" xfId="0" applyNumberFormat="1" applyFont="1" applyFill="1" applyBorder="1" applyAlignment="1">
      <alignment horizontal="center" vertical="top" wrapText="1"/>
    </xf>
    <xf numFmtId="9" fontId="11" fillId="0" borderId="2" xfId="0" applyNumberFormat="1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 wrapText="1"/>
    </xf>
    <xf numFmtId="167" fontId="11" fillId="0" borderId="2" xfId="2" quotePrefix="1" applyNumberFormat="1" applyFont="1" applyFill="1" applyBorder="1" applyAlignment="1">
      <alignment horizontal="center" vertical="top"/>
    </xf>
    <xf numFmtId="164" fontId="13" fillId="0" borderId="2" xfId="2" applyFont="1" applyFill="1" applyBorder="1" applyAlignment="1">
      <alignment horizontal="center" vertical="top" wrapText="1"/>
    </xf>
    <xf numFmtId="2" fontId="11" fillId="0" borderId="2" xfId="2" applyNumberFormat="1" applyFont="1" applyFill="1" applyBorder="1" applyAlignment="1">
      <alignment horizontal="center" vertical="top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/>
    <xf numFmtId="0" fontId="14" fillId="0" borderId="16" xfId="3" applyFont="1" applyBorder="1" applyAlignment="1">
      <alignment horizontal="center" vertical="center" wrapText="1"/>
    </xf>
    <xf numFmtId="0" fontId="13" fillId="3" borderId="0" xfId="0" applyFont="1" applyFill="1"/>
    <xf numFmtId="0" fontId="5" fillId="0" borderId="2" xfId="0" applyFont="1" applyBorder="1" applyAlignment="1">
      <alignment horizontal="right" vertical="top" wrapText="1"/>
    </xf>
    <xf numFmtId="0" fontId="4" fillId="6" borderId="2" xfId="0" applyFont="1" applyFill="1" applyBorder="1" applyAlignment="1">
      <alignment horizontal="right" vertical="top" wrapText="1"/>
    </xf>
    <xf numFmtId="3" fontId="4" fillId="6" borderId="2" xfId="0" applyNumberFormat="1" applyFont="1" applyFill="1" applyBorder="1" applyAlignment="1">
      <alignment horizontal="right" vertical="top" wrapText="1"/>
    </xf>
    <xf numFmtId="0" fontId="13" fillId="0" borderId="11" xfId="0" applyFont="1" applyBorder="1"/>
    <xf numFmtId="3" fontId="5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168" fontId="4" fillId="0" borderId="2" xfId="0" applyNumberFormat="1" applyFont="1" applyBorder="1" applyAlignment="1">
      <alignment horizontal="right" vertical="top" wrapText="1"/>
    </xf>
    <xf numFmtId="168" fontId="5" fillId="0" borderId="2" xfId="0" applyNumberFormat="1" applyFont="1" applyBorder="1" applyAlignment="1">
      <alignment horizontal="right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4" fillId="6" borderId="2" xfId="0" applyFont="1" applyFill="1" applyBorder="1" applyAlignment="1">
      <alignment vertical="top" wrapText="1"/>
    </xf>
    <xf numFmtId="4" fontId="4" fillId="6" borderId="2" xfId="0" applyNumberFormat="1" applyFont="1" applyFill="1" applyBorder="1" applyAlignment="1">
      <alignment horizontal="right" vertical="top" wrapText="1"/>
    </xf>
    <xf numFmtId="3" fontId="5" fillId="0" borderId="2" xfId="0" quotePrefix="1" applyNumberFormat="1" applyFont="1" applyBorder="1" applyAlignment="1">
      <alignment horizontal="left" vertical="top" wrapText="1"/>
    </xf>
    <xf numFmtId="49" fontId="4" fillId="6" borderId="2" xfId="0" applyNumberFormat="1" applyFont="1" applyFill="1" applyBorder="1" applyAlignment="1">
      <alignment horizontal="right" vertical="top" wrapText="1"/>
    </xf>
    <xf numFmtId="49" fontId="4" fillId="0" borderId="2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horizontal="right" vertical="top" wrapText="1"/>
    </xf>
    <xf numFmtId="49" fontId="5" fillId="0" borderId="2" xfId="0" quotePrefix="1" applyNumberFormat="1" applyFont="1" applyBorder="1" applyAlignment="1">
      <alignment horizontal="right" vertical="top" wrapText="1"/>
    </xf>
    <xf numFmtId="3" fontId="4" fillId="6" borderId="2" xfId="0" applyNumberFormat="1" applyFont="1" applyFill="1" applyBorder="1" applyAlignment="1">
      <alignment horizontal="left" vertical="top" wrapText="1"/>
    </xf>
    <xf numFmtId="0" fontId="4" fillId="6" borderId="2" xfId="0" quotePrefix="1" applyFont="1" applyFill="1" applyBorder="1" applyAlignment="1">
      <alignment horizontal="right" vertical="top" wrapText="1"/>
    </xf>
    <xf numFmtId="9" fontId="5" fillId="0" borderId="2" xfId="0" applyNumberFormat="1" applyFont="1" applyBorder="1" applyAlignment="1">
      <alignment horizontal="left" vertical="top" wrapText="1"/>
    </xf>
    <xf numFmtId="0" fontId="13" fillId="0" borderId="15" xfId="0" applyFont="1" applyBorder="1"/>
    <xf numFmtId="0" fontId="14" fillId="5" borderId="16" xfId="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49" fontId="4" fillId="6" borderId="2" xfId="0" quotePrefix="1" applyNumberFormat="1" applyFont="1" applyFill="1" applyBorder="1" applyAlignment="1">
      <alignment horizontal="right" vertical="top" wrapText="1"/>
    </xf>
    <xf numFmtId="3" fontId="4" fillId="6" borderId="2" xfId="0" quotePrefix="1" applyNumberFormat="1" applyFont="1" applyFill="1" applyBorder="1" applyAlignment="1">
      <alignment horizontal="right" vertical="top" wrapText="1"/>
    </xf>
    <xf numFmtId="1" fontId="11" fillId="0" borderId="2" xfId="0" applyNumberFormat="1" applyFont="1" applyBorder="1" applyAlignment="1">
      <alignment horizontal="center" vertical="top" wrapText="1"/>
    </xf>
    <xf numFmtId="164" fontId="11" fillId="6" borderId="2" xfId="0" applyNumberFormat="1" applyFont="1" applyFill="1" applyBorder="1" applyAlignment="1">
      <alignment vertical="top"/>
    </xf>
    <xf numFmtId="0" fontId="13" fillId="4" borderId="2" xfId="0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right"/>
    </xf>
    <xf numFmtId="0" fontId="13" fillId="4" borderId="2" xfId="0" applyFont="1" applyFill="1" applyBorder="1"/>
    <xf numFmtId="0" fontId="13" fillId="4" borderId="2" xfId="0" applyFont="1" applyFill="1" applyBorder="1" applyAlignment="1">
      <alignment horizontal="left"/>
    </xf>
    <xf numFmtId="2" fontId="11" fillId="0" borderId="12" xfId="0" applyNumberFormat="1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2" fontId="13" fillId="6" borderId="12" xfId="0" applyNumberFormat="1" applyFont="1" applyFill="1" applyBorder="1" applyAlignment="1">
      <alignment horizontal="center" vertical="top"/>
    </xf>
    <xf numFmtId="0" fontId="13" fillId="6" borderId="14" xfId="0" applyFont="1" applyFill="1" applyBorder="1" applyAlignment="1">
      <alignment horizontal="center" vertical="top"/>
    </xf>
    <xf numFmtId="2" fontId="13" fillId="0" borderId="12" xfId="0" applyNumberFormat="1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2" fontId="16" fillId="0" borderId="12" xfId="0" applyNumberFormat="1" applyFont="1" applyBorder="1" applyAlignment="1">
      <alignment horizontal="center" vertical="top"/>
    </xf>
    <xf numFmtId="2" fontId="11" fillId="6" borderId="12" xfId="0" applyNumberFormat="1" applyFont="1" applyFill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2" fontId="13" fillId="4" borderId="12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left" vertical="center"/>
    </xf>
    <xf numFmtId="1" fontId="11" fillId="0" borderId="12" xfId="0" applyNumberFormat="1" applyFont="1" applyBorder="1" applyAlignment="1">
      <alignment horizontal="center" vertical="top"/>
    </xf>
    <xf numFmtId="1" fontId="13" fillId="6" borderId="12" xfId="0" applyNumberFormat="1" applyFont="1" applyFill="1" applyBorder="1" applyAlignment="1">
      <alignment horizontal="center" vertical="top"/>
    </xf>
    <xf numFmtId="1" fontId="13" fillId="0" borderId="12" xfId="0" applyNumberFormat="1" applyFont="1" applyBorder="1" applyAlignment="1">
      <alignment horizontal="center" vertical="top"/>
    </xf>
    <xf numFmtId="0" fontId="13" fillId="0" borderId="12" xfId="2" applyNumberFormat="1" applyFont="1" applyFill="1" applyBorder="1" applyAlignment="1">
      <alignment horizontal="center" vertical="top"/>
    </xf>
    <xf numFmtId="0" fontId="11" fillId="0" borderId="12" xfId="2" applyNumberFormat="1" applyFont="1" applyFill="1" applyBorder="1" applyAlignment="1">
      <alignment horizontal="center" vertical="top"/>
    </xf>
    <xf numFmtId="1" fontId="11" fillId="6" borderId="12" xfId="0" applyNumberFormat="1" applyFont="1" applyFill="1" applyBorder="1" applyAlignment="1">
      <alignment horizontal="center" vertical="top"/>
    </xf>
    <xf numFmtId="164" fontId="11" fillId="0" borderId="12" xfId="2" applyFont="1" applyFill="1" applyBorder="1" applyAlignment="1">
      <alignment horizontal="center" vertical="top"/>
    </xf>
    <xf numFmtId="164" fontId="11" fillId="6" borderId="12" xfId="2" applyFont="1" applyFill="1" applyBorder="1" applyAlignment="1">
      <alignment horizontal="center" vertical="top"/>
    </xf>
    <xf numFmtId="164" fontId="13" fillId="0" borderId="12" xfId="2" applyFont="1" applyFill="1" applyBorder="1" applyAlignment="1">
      <alignment horizontal="center" vertical="top"/>
    </xf>
    <xf numFmtId="164" fontId="13" fillId="6" borderId="12" xfId="2" applyFont="1" applyFill="1" applyBorder="1" applyAlignment="1">
      <alignment horizontal="center" vertical="top"/>
    </xf>
    <xf numFmtId="0" fontId="11" fillId="0" borderId="14" xfId="0" applyFont="1" applyBorder="1" applyAlignment="1">
      <alignment horizontal="center" vertical="top" wrapText="1"/>
    </xf>
    <xf numFmtId="0" fontId="11" fillId="6" borderId="14" xfId="0" applyFont="1" applyFill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2" fontId="13" fillId="4" borderId="12" xfId="0" applyNumberFormat="1" applyFont="1" applyFill="1" applyBorder="1" applyAlignment="1">
      <alignment horizontal="right"/>
    </xf>
    <xf numFmtId="0" fontId="13" fillId="4" borderId="12" xfId="0" applyFont="1" applyFill="1" applyBorder="1" applyAlignment="1">
      <alignment horizontal="left"/>
    </xf>
    <xf numFmtId="1" fontId="11" fillId="0" borderId="12" xfId="2" applyNumberFormat="1" applyFont="1" applyFill="1" applyBorder="1" applyAlignment="1">
      <alignment horizontal="center" vertical="top"/>
    </xf>
    <xf numFmtId="3" fontId="11" fillId="0" borderId="12" xfId="0" applyNumberFormat="1" applyFont="1" applyBorder="1" applyAlignment="1">
      <alignment horizontal="center" vertical="top"/>
    </xf>
    <xf numFmtId="3" fontId="11" fillId="6" borderId="12" xfId="0" applyNumberFormat="1" applyFont="1" applyFill="1" applyBorder="1" applyAlignment="1">
      <alignment horizontal="center" vertical="top"/>
    </xf>
    <xf numFmtId="3" fontId="13" fillId="0" borderId="12" xfId="0" applyNumberFormat="1" applyFont="1" applyBorder="1" applyAlignment="1">
      <alignment horizontal="center" vertical="top"/>
    </xf>
    <xf numFmtId="1" fontId="13" fillId="0" borderId="14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7" borderId="2" xfId="0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right" vertical="top" wrapText="1"/>
    </xf>
    <xf numFmtId="3" fontId="5" fillId="6" borderId="2" xfId="0" applyNumberFormat="1" applyFont="1" applyFill="1" applyBorder="1" applyAlignment="1">
      <alignment horizontal="right" vertical="top" wrapText="1"/>
    </xf>
    <xf numFmtId="1" fontId="13" fillId="6" borderId="2" xfId="0" applyNumberFormat="1" applyFont="1" applyFill="1" applyBorder="1" applyAlignment="1">
      <alignment vertical="top"/>
    </xf>
    <xf numFmtId="1" fontId="11" fillId="6" borderId="2" xfId="0" applyNumberFormat="1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vertical="top" wrapText="1"/>
    </xf>
    <xf numFmtId="2" fontId="13" fillId="0" borderId="2" xfId="0" applyNumberFormat="1" applyFont="1" applyBorder="1" applyAlignment="1">
      <alignment horizontal="center" vertical="top" wrapText="1"/>
    </xf>
    <xf numFmtId="0" fontId="4" fillId="8" borderId="2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vertical="top" wrapText="1"/>
    </xf>
    <xf numFmtId="4" fontId="4" fillId="8" borderId="2" xfId="0" applyNumberFormat="1" applyFont="1" applyFill="1" applyBorder="1" applyAlignment="1">
      <alignment horizontal="right" vertical="top" wrapText="1"/>
    </xf>
    <xf numFmtId="0" fontId="4" fillId="8" borderId="2" xfId="0" applyFont="1" applyFill="1" applyBorder="1" applyAlignment="1">
      <alignment horizontal="right" vertical="top" wrapText="1"/>
    </xf>
    <xf numFmtId="3" fontId="4" fillId="8" borderId="2" xfId="0" applyNumberFormat="1" applyFont="1" applyFill="1" applyBorder="1" applyAlignment="1">
      <alignment horizontal="right" vertical="top" wrapText="1"/>
    </xf>
    <xf numFmtId="168" fontId="4" fillId="8" borderId="2" xfId="0" applyNumberFormat="1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/>
    </xf>
    <xf numFmtId="166" fontId="5" fillId="0" borderId="2" xfId="1" quotePrefix="1" applyNumberFormat="1" applyFont="1" applyFill="1" applyBorder="1" applyAlignment="1">
      <alignment vertical="top"/>
    </xf>
    <xf numFmtId="2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1" xfId="0" applyFont="1" applyBorder="1"/>
    <xf numFmtId="0" fontId="5" fillId="0" borderId="0" xfId="0" applyFont="1"/>
    <xf numFmtId="166" fontId="5" fillId="0" borderId="0" xfId="1" quotePrefix="1" applyNumberFormat="1" applyFont="1" applyFill="1" applyBorder="1" applyAlignment="1">
      <alignment vertical="top"/>
    </xf>
    <xf numFmtId="166" fontId="4" fillId="0" borderId="2" xfId="1" quotePrefix="1" applyNumberFormat="1" applyFont="1" applyFill="1" applyBorder="1" applyAlignment="1">
      <alignment vertical="top"/>
    </xf>
    <xf numFmtId="2" fontId="4" fillId="0" borderId="2" xfId="0" applyNumberFormat="1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 wrapText="1"/>
    </xf>
    <xf numFmtId="9" fontId="5" fillId="0" borderId="16" xfId="0" applyNumberFormat="1" applyFont="1" applyBorder="1" applyAlignment="1">
      <alignment horizontal="left" vertical="top" wrapText="1"/>
    </xf>
    <xf numFmtId="166" fontId="5" fillId="6" borderId="2" xfId="1" quotePrefix="1" applyNumberFormat="1" applyFont="1" applyFill="1" applyBorder="1" applyAlignment="1">
      <alignment vertical="top"/>
    </xf>
    <xf numFmtId="3" fontId="5" fillId="6" borderId="2" xfId="4" applyNumberFormat="1" applyFont="1" applyFill="1" applyBorder="1" applyAlignment="1">
      <alignment horizontal="left" vertical="top" wrapText="1"/>
    </xf>
    <xf numFmtId="166" fontId="4" fillId="6" borderId="2" xfId="1" quotePrefix="1" applyNumberFormat="1" applyFont="1" applyFill="1" applyBorder="1" applyAlignment="1">
      <alignment vertical="top"/>
    </xf>
    <xf numFmtId="0" fontId="5" fillId="0" borderId="12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3" fontId="4" fillId="6" borderId="12" xfId="0" quotePrefix="1" applyNumberFormat="1" applyFont="1" applyFill="1" applyBorder="1" applyAlignment="1">
      <alignment horizontal="right" vertical="top" wrapText="1"/>
    </xf>
    <xf numFmtId="0" fontId="5" fillId="6" borderId="12" xfId="0" applyFont="1" applyFill="1" applyBorder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3" fontId="5" fillId="0" borderId="12" xfId="0" applyNumberFormat="1" applyFont="1" applyBorder="1" applyAlignment="1">
      <alignment horizontal="right" vertical="top" wrapText="1"/>
    </xf>
    <xf numFmtId="4" fontId="5" fillId="0" borderId="12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4" fontId="4" fillId="6" borderId="12" xfId="0" applyNumberFormat="1" applyFont="1" applyFill="1" applyBorder="1" applyAlignment="1">
      <alignment horizontal="right" vertical="top" wrapText="1"/>
    </xf>
    <xf numFmtId="3" fontId="4" fillId="6" borderId="12" xfId="0" applyNumberFormat="1" applyFont="1" applyFill="1" applyBorder="1" applyAlignment="1">
      <alignment horizontal="right" vertical="top" wrapText="1"/>
    </xf>
    <xf numFmtId="3" fontId="5" fillId="6" borderId="12" xfId="0" applyNumberFormat="1" applyFont="1" applyFill="1" applyBorder="1" applyAlignment="1">
      <alignment horizontal="right" vertical="top" wrapText="1"/>
    </xf>
    <xf numFmtId="49" fontId="4" fillId="6" borderId="12" xfId="0" applyNumberFormat="1" applyFont="1" applyFill="1" applyBorder="1" applyAlignment="1">
      <alignment horizontal="right" vertical="top" wrapText="1"/>
    </xf>
    <xf numFmtId="49" fontId="4" fillId="0" borderId="12" xfId="0" applyNumberFormat="1" applyFont="1" applyBorder="1" applyAlignment="1">
      <alignment horizontal="right" vertical="top" wrapText="1"/>
    </xf>
    <xf numFmtId="49" fontId="5" fillId="0" borderId="12" xfId="0" applyNumberFormat="1" applyFont="1" applyBorder="1" applyAlignment="1">
      <alignment horizontal="right" vertical="top" wrapText="1"/>
    </xf>
    <xf numFmtId="0" fontId="4" fillId="6" borderId="12" xfId="0" applyFont="1" applyFill="1" applyBorder="1" applyAlignment="1">
      <alignment horizontal="right" vertical="top" wrapText="1"/>
    </xf>
    <xf numFmtId="0" fontId="13" fillId="6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1" fontId="5" fillId="0" borderId="12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1" fontId="5" fillId="6" borderId="12" xfId="0" applyNumberFormat="1" applyFont="1" applyFill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 wrapText="1"/>
    </xf>
    <xf numFmtId="0" fontId="5" fillId="6" borderId="12" xfId="0" applyFont="1" applyFill="1" applyBorder="1" applyAlignment="1">
      <alignment horizontal="center" vertical="top" wrapText="1"/>
    </xf>
    <xf numFmtId="3" fontId="4" fillId="0" borderId="12" xfId="0" applyNumberFormat="1" applyFont="1" applyBorder="1" applyAlignment="1">
      <alignment horizontal="center" vertical="top" wrapText="1"/>
    </xf>
    <xf numFmtId="3" fontId="4" fillId="6" borderId="12" xfId="0" applyNumberFormat="1" applyFont="1" applyFill="1" applyBorder="1" applyAlignment="1">
      <alignment horizontal="center" vertical="top" wrapText="1"/>
    </xf>
    <xf numFmtId="3" fontId="5" fillId="0" borderId="12" xfId="0" applyNumberFormat="1" applyFont="1" applyBorder="1" applyAlignment="1">
      <alignment horizontal="center" vertical="top" wrapText="1"/>
    </xf>
    <xf numFmtId="3" fontId="5" fillId="6" borderId="12" xfId="0" applyNumberFormat="1" applyFont="1" applyFill="1" applyBorder="1" applyAlignment="1">
      <alignment horizontal="center" vertical="top" wrapText="1"/>
    </xf>
    <xf numFmtId="164" fontId="4" fillId="0" borderId="12" xfId="2" quotePrefix="1" applyFont="1" applyFill="1" applyBorder="1" applyAlignment="1">
      <alignment horizontal="center" vertical="top"/>
    </xf>
    <xf numFmtId="164" fontId="5" fillId="0" borderId="12" xfId="2" quotePrefix="1" applyFont="1" applyFill="1" applyBorder="1" applyAlignment="1">
      <alignment horizontal="center" vertical="top"/>
    </xf>
    <xf numFmtId="2" fontId="11" fillId="0" borderId="12" xfId="0" applyNumberFormat="1" applyFont="1" applyBorder="1" applyAlignment="1">
      <alignment horizontal="center" vertical="top" wrapText="1"/>
    </xf>
    <xf numFmtId="0" fontId="11" fillId="6" borderId="1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quotePrefix="1" applyFont="1" applyBorder="1" applyAlignment="1">
      <alignment horizontal="center" vertical="top" wrapText="1"/>
    </xf>
    <xf numFmtId="167" fontId="4" fillId="0" borderId="12" xfId="2" quotePrefix="1" applyNumberFormat="1" applyFont="1" applyFill="1" applyBorder="1" applyAlignment="1">
      <alignment horizontal="center" vertical="top"/>
    </xf>
    <xf numFmtId="164" fontId="5" fillId="0" borderId="12" xfId="2" applyFont="1" applyFill="1" applyBorder="1" applyAlignment="1">
      <alignment horizontal="center" vertical="top" wrapText="1"/>
    </xf>
    <xf numFmtId="2" fontId="13" fillId="6" borderId="12" xfId="0" applyNumberFormat="1" applyFont="1" applyFill="1" applyBorder="1" applyAlignment="1">
      <alignment horizontal="center" vertical="top" wrapText="1"/>
    </xf>
    <xf numFmtId="0" fontId="11" fillId="7" borderId="12" xfId="0" applyFont="1" applyFill="1" applyBorder="1" applyAlignment="1">
      <alignment horizontal="center" vertical="top" wrapText="1"/>
    </xf>
    <xf numFmtId="0" fontId="11" fillId="7" borderId="9" xfId="0" applyFont="1" applyFill="1" applyBorder="1" applyAlignment="1">
      <alignment horizontal="center" vertical="center"/>
    </xf>
    <xf numFmtId="168" fontId="4" fillId="0" borderId="12" xfId="0" applyNumberFormat="1" applyFont="1" applyBorder="1" applyAlignment="1">
      <alignment horizontal="right" vertical="top" wrapText="1"/>
    </xf>
    <xf numFmtId="168" fontId="5" fillId="0" borderId="12" xfId="0" applyNumberFormat="1" applyFont="1" applyBorder="1" applyAlignment="1">
      <alignment horizontal="right" vertical="top" wrapText="1"/>
    </xf>
    <xf numFmtId="3" fontId="5" fillId="0" borderId="0" xfId="1" quotePrefix="1" applyNumberFormat="1" applyFont="1" applyFill="1" applyBorder="1" applyAlignment="1" applyProtection="1">
      <alignment vertical="top"/>
    </xf>
    <xf numFmtId="3" fontId="5" fillId="0" borderId="0" xfId="0" applyNumberFormat="1" applyFont="1"/>
    <xf numFmtId="166" fontId="4" fillId="0" borderId="2" xfId="1" quotePrefix="1" applyNumberFormat="1" applyFont="1" applyFill="1" applyBorder="1" applyAlignment="1" applyProtection="1">
      <alignment vertical="top"/>
    </xf>
    <xf numFmtId="4" fontId="5" fillId="0" borderId="12" xfId="0" applyNumberFormat="1" applyFont="1" applyBorder="1" applyAlignment="1">
      <alignment horizontal="center" vertical="top" wrapText="1"/>
    </xf>
    <xf numFmtId="166" fontId="5" fillId="0" borderId="2" xfId="1" quotePrefix="1" applyNumberFormat="1" applyFont="1" applyFill="1" applyBorder="1" applyAlignment="1" applyProtection="1">
      <alignment vertical="top"/>
    </xf>
    <xf numFmtId="3" fontId="5" fillId="0" borderId="0" xfId="0" applyNumberFormat="1" applyFont="1" applyAlignment="1">
      <alignment wrapText="1"/>
    </xf>
    <xf numFmtId="49" fontId="5" fillId="0" borderId="0" xfId="0" applyNumberFormat="1" applyFont="1"/>
    <xf numFmtId="166" fontId="5" fillId="0" borderId="0" xfId="0" applyNumberFormat="1" applyFont="1" applyAlignment="1">
      <alignment vertical="center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12" xfId="0" quotePrefix="1" applyNumberFormat="1" applyFont="1" applyBorder="1" applyAlignment="1">
      <alignment horizontal="right" vertical="top" wrapText="1"/>
    </xf>
    <xf numFmtId="166" fontId="5" fillId="0" borderId="0" xfId="0" applyNumberFormat="1" applyFont="1"/>
    <xf numFmtId="164" fontId="5" fillId="0" borderId="0" xfId="0" applyNumberFormat="1" applyFont="1"/>
    <xf numFmtId="0" fontId="5" fillId="0" borderId="12" xfId="2" applyNumberFormat="1" applyFont="1" applyFill="1" applyBorder="1" applyAlignment="1">
      <alignment horizontal="center" vertical="top"/>
    </xf>
    <xf numFmtId="0" fontId="4" fillId="0" borderId="12" xfId="2" applyNumberFormat="1" applyFont="1" applyFill="1" applyBorder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vertical="top"/>
    </xf>
    <xf numFmtId="2" fontId="5" fillId="0" borderId="12" xfId="0" applyNumberFormat="1" applyFont="1" applyBorder="1" applyAlignment="1">
      <alignment horizontal="center" vertical="top"/>
    </xf>
    <xf numFmtId="1" fontId="5" fillId="0" borderId="12" xfId="0" applyNumberFormat="1" applyFont="1" applyBorder="1" applyAlignment="1">
      <alignment horizontal="right" vertical="top"/>
    </xf>
    <xf numFmtId="164" fontId="5" fillId="0" borderId="2" xfId="0" applyNumberFormat="1" applyFont="1" applyBorder="1" applyAlignment="1">
      <alignment vertical="top"/>
    </xf>
    <xf numFmtId="1" fontId="4" fillId="0" borderId="1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vertical="top"/>
    </xf>
    <xf numFmtId="2" fontId="4" fillId="0" borderId="12" xfId="0" applyNumberFormat="1" applyFont="1" applyBorder="1" applyAlignment="1">
      <alignment horizontal="center" vertical="top"/>
    </xf>
    <xf numFmtId="1" fontId="4" fillId="0" borderId="12" xfId="0" applyNumberFormat="1" applyFont="1" applyBorder="1" applyAlignment="1">
      <alignment horizontal="right" vertical="top"/>
    </xf>
    <xf numFmtId="0" fontId="5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164" fontId="4" fillId="0" borderId="12" xfId="2" applyFont="1" applyFill="1" applyBorder="1" applyAlignment="1">
      <alignment horizontal="center" vertical="top"/>
    </xf>
    <xf numFmtId="164" fontId="4" fillId="0" borderId="12" xfId="2" applyFont="1" applyFill="1" applyBorder="1" applyAlignment="1">
      <alignment horizontal="right" vertical="top"/>
    </xf>
    <xf numFmtId="164" fontId="5" fillId="0" borderId="12" xfId="2" applyFont="1" applyFill="1" applyBorder="1" applyAlignment="1" applyProtection="1">
      <alignment horizontal="center" vertical="top"/>
    </xf>
    <xf numFmtId="164" fontId="5" fillId="0" borderId="12" xfId="2" applyFont="1" applyFill="1" applyBorder="1" applyAlignment="1" applyProtection="1">
      <alignment horizontal="right" vertical="top"/>
    </xf>
    <xf numFmtId="164" fontId="5" fillId="0" borderId="12" xfId="2" applyFont="1" applyFill="1" applyBorder="1" applyAlignment="1">
      <alignment horizontal="center" vertical="top"/>
    </xf>
    <xf numFmtId="1" fontId="4" fillId="0" borderId="12" xfId="2" applyNumberFormat="1" applyFont="1" applyFill="1" applyBorder="1" applyAlignment="1">
      <alignment horizontal="center" vertical="top"/>
    </xf>
    <xf numFmtId="3" fontId="4" fillId="0" borderId="12" xfId="0" applyNumberFormat="1" applyFont="1" applyBorder="1" applyAlignment="1">
      <alignment horizontal="center" vertical="top"/>
    </xf>
    <xf numFmtId="164" fontId="5" fillId="0" borderId="12" xfId="2" applyFont="1" applyFill="1" applyBorder="1" applyAlignment="1">
      <alignment horizontal="right" vertical="top"/>
    </xf>
    <xf numFmtId="0" fontId="11" fillId="6" borderId="2" xfId="0" applyFont="1" applyFill="1" applyBorder="1" applyAlignment="1">
      <alignment horizontal="left" vertical="top" wrapText="1"/>
    </xf>
    <xf numFmtId="164" fontId="17" fillId="6" borderId="12" xfId="2" applyFont="1" applyFill="1" applyBorder="1" applyAlignment="1">
      <alignment horizontal="right" vertical="top"/>
    </xf>
    <xf numFmtId="164" fontId="17" fillId="6" borderId="2" xfId="0" applyNumberFormat="1" applyFont="1" applyFill="1" applyBorder="1" applyAlignment="1">
      <alignment vertical="top"/>
    </xf>
    <xf numFmtId="1" fontId="13" fillId="6" borderId="12" xfId="0" applyNumberFormat="1" applyFont="1" applyFill="1" applyBorder="1" applyAlignment="1">
      <alignment horizontal="right" vertical="top"/>
    </xf>
    <xf numFmtId="1" fontId="5" fillId="6" borderId="12" xfId="0" applyNumberFormat="1" applyFont="1" applyFill="1" applyBorder="1" applyAlignment="1">
      <alignment horizontal="center" vertical="top"/>
    </xf>
    <xf numFmtId="0" fontId="5" fillId="6" borderId="14" xfId="0" applyFont="1" applyFill="1" applyBorder="1" applyAlignment="1">
      <alignment horizontal="center" vertical="top"/>
    </xf>
    <xf numFmtId="164" fontId="5" fillId="6" borderId="2" xfId="0" applyNumberFormat="1" applyFont="1" applyFill="1" applyBorder="1" applyAlignment="1">
      <alignment vertical="top"/>
    </xf>
    <xf numFmtId="2" fontId="5" fillId="6" borderId="12" xfId="0" applyNumberFormat="1" applyFont="1" applyFill="1" applyBorder="1" applyAlignment="1">
      <alignment horizontal="center" vertical="top"/>
    </xf>
    <xf numFmtId="49" fontId="4" fillId="0" borderId="12" xfId="2" applyNumberFormat="1" applyFont="1" applyFill="1" applyBorder="1" applyAlignment="1">
      <alignment horizontal="center" vertical="top"/>
    </xf>
    <xf numFmtId="2" fontId="4" fillId="6" borderId="12" xfId="0" applyNumberFormat="1" applyFont="1" applyFill="1" applyBorder="1" applyAlignment="1">
      <alignment horizontal="center" vertical="top"/>
    </xf>
    <xf numFmtId="0" fontId="4" fillId="6" borderId="14" xfId="0" applyFont="1" applyFill="1" applyBorder="1" applyAlignment="1">
      <alignment horizontal="center" vertical="top"/>
    </xf>
    <xf numFmtId="1" fontId="4" fillId="6" borderId="12" xfId="0" applyNumberFormat="1" applyFont="1" applyFill="1" applyBorder="1" applyAlignment="1">
      <alignment horizontal="center" vertical="top"/>
    </xf>
    <xf numFmtId="164" fontId="4" fillId="6" borderId="2" xfId="0" applyNumberFormat="1" applyFont="1" applyFill="1" applyBorder="1" applyAlignment="1">
      <alignment vertical="top"/>
    </xf>
    <xf numFmtId="1" fontId="4" fillId="6" borderId="12" xfId="0" applyNumberFormat="1" applyFont="1" applyFill="1" applyBorder="1" applyAlignment="1">
      <alignment horizontal="right" vertical="top"/>
    </xf>
    <xf numFmtId="164" fontId="5" fillId="6" borderId="12" xfId="2" applyFont="1" applyFill="1" applyBorder="1" applyAlignment="1">
      <alignment horizontal="center" vertical="top"/>
    </xf>
    <xf numFmtId="3" fontId="4" fillId="6" borderId="12" xfId="0" applyNumberFormat="1" applyFont="1" applyFill="1" applyBorder="1" applyAlignment="1">
      <alignment horizontal="center" vertical="top"/>
    </xf>
    <xf numFmtId="2" fontId="18" fillId="6" borderId="2" xfId="0" applyNumberFormat="1" applyFont="1" applyFill="1" applyBorder="1" applyAlignment="1">
      <alignment horizontal="center" vertical="top"/>
    </xf>
    <xf numFmtId="2" fontId="5" fillId="6" borderId="2" xfId="0" applyNumberFormat="1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center" vertical="top"/>
    </xf>
    <xf numFmtId="2" fontId="4" fillId="6" borderId="2" xfId="0" applyNumberFormat="1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166" fontId="4" fillId="6" borderId="2" xfId="1" quotePrefix="1" applyNumberFormat="1" applyFont="1" applyFill="1" applyBorder="1" applyAlignment="1" applyProtection="1">
      <alignment vertical="top"/>
    </xf>
    <xf numFmtId="164" fontId="4" fillId="6" borderId="12" xfId="2" applyFont="1" applyFill="1" applyBorder="1" applyAlignment="1" applyProtection="1">
      <alignment horizontal="center" vertical="top"/>
    </xf>
    <xf numFmtId="164" fontId="4" fillId="6" borderId="12" xfId="2" applyFont="1" applyFill="1" applyBorder="1" applyAlignment="1" applyProtection="1">
      <alignment horizontal="right" vertical="top"/>
    </xf>
    <xf numFmtId="0" fontId="11" fillId="7" borderId="2" xfId="0" applyFont="1" applyFill="1" applyBorder="1" applyAlignment="1">
      <alignment horizontal="center"/>
    </xf>
    <xf numFmtId="0" fontId="13" fillId="7" borderId="11" xfId="0" applyFont="1" applyFill="1" applyBorder="1"/>
    <xf numFmtId="0" fontId="13" fillId="7" borderId="15" xfId="0" applyFont="1" applyFill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right"/>
    </xf>
    <xf numFmtId="0" fontId="11" fillId="7" borderId="6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top" wrapText="1"/>
    </xf>
    <xf numFmtId="0" fontId="11" fillId="7" borderId="14" xfId="0" applyFont="1" applyFill="1" applyBorder="1" applyAlignment="1">
      <alignment horizontal="center" vertical="top" wrapText="1"/>
    </xf>
    <xf numFmtId="0" fontId="11" fillId="7" borderId="12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 vertical="top"/>
    </xf>
    <xf numFmtId="0" fontId="11" fillId="7" borderId="13" xfId="0" applyFont="1" applyFill="1" applyBorder="1" applyAlignment="1">
      <alignment horizontal="center" vertical="top"/>
    </xf>
    <xf numFmtId="0" fontId="11" fillId="7" borderId="14" xfId="0" applyFont="1" applyFill="1" applyBorder="1" applyAlignment="1">
      <alignment horizontal="center" vertical="top"/>
    </xf>
    <xf numFmtId="0" fontId="11" fillId="7" borderId="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5">
    <cellStyle name="Comma" xfId="1" builtinId="3"/>
    <cellStyle name="Comma [0]" xfId="2" builtinId="6"/>
    <cellStyle name="Normal" xfId="0" builtinId="0"/>
    <cellStyle name="Normal 2" xfId="3" xr:uid="{00000000-0005-0000-0000-000003000000}"/>
    <cellStyle name="Normal 4" xfId="4" xr:uid="{8467F94D-9F09-4832-995B-6E8EC95FB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\Orpad\SAKIP%202022\Pohon%20Kinerja%20dan%20Cascading\Cascading%202022%20Dinas%20Pertanian%2022-6-2022%20copy%20utk%20emon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Orpad/SAKIP%202022/Pohon%20Kinerja%20dan%20Cascading/Cascading%202022%20Dinas%20Pertanian%2022-6-2022%20copy%20utk%20emon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ading"/>
      <sheetName val="Cascading (2)"/>
      <sheetName val="Cascading Tahun 2021"/>
    </sheetNames>
    <sheetDataSet>
      <sheetData sheetId="0" refreshError="1">
        <row r="14">
          <cell r="AF14" t="str">
            <v>Terlaksananya bimbingan teknis kegiatan tanaman pangan</v>
          </cell>
        </row>
        <row r="48">
          <cell r="Y48" t="str">
            <v xml:space="preserve">Terpenuhinya dokumen perencanaan dan evaluasi perangkat daerah </v>
          </cell>
        </row>
        <row r="54">
          <cell r="Y54" t="str">
            <v>Tingkat pemenuhan aspek kualitas dokumen Keuangan daerah</v>
          </cell>
        </row>
        <row r="58">
          <cell r="Y58" t="str">
            <v>Indeks Kepuasan Layanan</v>
          </cell>
        </row>
        <row r="63">
          <cell r="Y63" t="str">
            <v>Persentase kesesuaian penyediaan jasa</v>
          </cell>
        </row>
        <row r="67">
          <cell r="Y67" t="str">
            <v>Persentase Pemeliharaan Barang sesuai kebutuhan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ading"/>
      <sheetName val="Cascading (2)"/>
      <sheetName val="Cascading Tahun 2021"/>
    </sheetNames>
    <sheetDataSet>
      <sheetData sheetId="0" refreshError="1">
        <row r="6">
          <cell r="AF6" t="str">
            <v>Tersedianya benih/bibit tanaman pertanian</v>
          </cell>
        </row>
        <row r="31">
          <cell r="Y31" t="str">
            <v xml:space="preserve">Persentase daging sapi dan unggas yang ASUH (Aman, Sehat, Utuh, dan Halal) </v>
          </cell>
        </row>
        <row r="42">
          <cell r="Y42" t="str">
            <v>Jumlah Kenaikan Kelas Kelompok Tani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P108"/>
  <sheetViews>
    <sheetView showGridLines="0" tabSelected="1" showRuler="0" topLeftCell="A76" zoomScale="48" zoomScaleNormal="48" zoomScaleSheetLayoutView="71" zoomScalePageLayoutView="55" workbookViewId="0">
      <selection activeCell="D77" sqref="D77"/>
    </sheetView>
  </sheetViews>
  <sheetFormatPr defaultColWidth="9.140625" defaultRowHeight="14.25" x14ac:dyDescent="0.2"/>
  <cols>
    <col min="1" max="1" width="6.42578125" style="16" customWidth="1"/>
    <col min="2" max="2" width="18" style="16" customWidth="1"/>
    <col min="3" max="3" width="22.7109375" style="16" customWidth="1"/>
    <col min="4" max="4" width="15" style="16" customWidth="1"/>
    <col min="5" max="5" width="10.28515625" style="16" customWidth="1"/>
    <col min="6" max="6" width="7.7109375" style="16" customWidth="1"/>
    <col min="7" max="7" width="18.28515625" style="16" customWidth="1"/>
    <col min="8" max="8" width="14.85546875" style="16" customWidth="1"/>
    <col min="9" max="9" width="21.42578125" style="16" customWidth="1"/>
    <col min="10" max="10" width="11.5703125" style="16" bestFit="1" customWidth="1"/>
    <col min="11" max="11" width="19.85546875" style="16" customWidth="1"/>
    <col min="12" max="12" width="8.85546875" style="16" customWidth="1"/>
    <col min="13" max="13" width="18.7109375" style="16" customWidth="1"/>
    <col min="14" max="14" width="11.42578125" style="16" customWidth="1"/>
    <col min="15" max="15" width="18.140625" style="16" customWidth="1"/>
    <col min="16" max="16" width="8.28515625" style="16" customWidth="1"/>
    <col min="17" max="17" width="18.28515625" style="16" customWidth="1"/>
    <col min="18" max="18" width="10.28515625" style="16" customWidth="1"/>
    <col min="19" max="19" width="17.85546875" style="16" customWidth="1"/>
    <col min="20" max="21" width="9.7109375" style="16" customWidth="1"/>
    <col min="22" max="22" width="5.5703125" style="18" customWidth="1"/>
    <col min="23" max="23" width="19.42578125" style="16" customWidth="1"/>
    <col min="24" max="24" width="10.7109375" style="16" customWidth="1"/>
    <col min="25" max="25" width="5.5703125" style="18" customWidth="1"/>
    <col min="26" max="26" width="9.85546875" style="16" customWidth="1"/>
    <col min="27" max="27" width="20.140625" style="16" customWidth="1"/>
    <col min="28" max="28" width="9.85546875" style="16" customWidth="1"/>
    <col min="29" max="29" width="5.5703125" style="18" customWidth="1"/>
    <col min="30" max="30" width="13.140625" style="16" customWidth="1"/>
    <col min="31" max="31" width="15" style="16" customWidth="1"/>
    <col min="32" max="32" width="9.140625" style="16"/>
    <col min="33" max="33" width="19.5703125" style="16" customWidth="1"/>
    <col min="34" max="34" width="25.5703125" style="16" customWidth="1"/>
    <col min="35" max="37" width="19.5703125" style="16" customWidth="1"/>
    <col min="38" max="16384" width="9.140625" style="16"/>
  </cols>
  <sheetData>
    <row r="1" spans="1:37" ht="22.5" x14ac:dyDescent="0.3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15"/>
    </row>
    <row r="2" spans="1:37" ht="22.5" x14ac:dyDescent="0.3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17"/>
    </row>
    <row r="3" spans="1:37" ht="22.5" x14ac:dyDescent="0.3">
      <c r="A3" s="299" t="s">
        <v>36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17"/>
    </row>
    <row r="4" spans="1:37" ht="22.5" x14ac:dyDescent="0.3">
      <c r="A4" s="300" t="s">
        <v>268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15"/>
    </row>
    <row r="5" spans="1:37" s="60" customFormat="1" ht="15.75" x14ac:dyDescent="0.25">
      <c r="A5" s="301" t="s">
        <v>2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</row>
    <row r="6" spans="1:37" s="60" customFormat="1" ht="15.75" x14ac:dyDescent="0.25">
      <c r="A6" s="302" t="s">
        <v>36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</row>
    <row r="7" spans="1:37" s="60" customFormat="1" ht="81" customHeight="1" x14ac:dyDescent="0.25">
      <c r="A7" s="303" t="s">
        <v>3</v>
      </c>
      <c r="B7" s="303" t="s">
        <v>4</v>
      </c>
      <c r="C7" s="304" t="s">
        <v>5</v>
      </c>
      <c r="D7" s="304" t="s">
        <v>210</v>
      </c>
      <c r="E7" s="290" t="s">
        <v>6</v>
      </c>
      <c r="F7" s="291"/>
      <c r="G7" s="294"/>
      <c r="H7" s="290" t="s">
        <v>195</v>
      </c>
      <c r="I7" s="294"/>
      <c r="J7" s="290" t="s">
        <v>196</v>
      </c>
      <c r="K7" s="291"/>
      <c r="L7" s="290" t="s">
        <v>7</v>
      </c>
      <c r="M7" s="291"/>
      <c r="N7" s="291"/>
      <c r="O7" s="291"/>
      <c r="P7" s="291"/>
      <c r="Q7" s="291"/>
      <c r="R7" s="291"/>
      <c r="S7" s="294"/>
      <c r="T7" s="290" t="s">
        <v>41</v>
      </c>
      <c r="U7" s="291"/>
      <c r="V7" s="291"/>
      <c r="W7" s="291"/>
      <c r="X7" s="291"/>
      <c r="Y7" s="294"/>
      <c r="Z7" s="290" t="s">
        <v>227</v>
      </c>
      <c r="AA7" s="294"/>
      <c r="AB7" s="290" t="s">
        <v>228</v>
      </c>
      <c r="AC7" s="291"/>
      <c r="AD7" s="291"/>
      <c r="AE7" s="282" t="s">
        <v>8</v>
      </c>
      <c r="AG7" s="61"/>
      <c r="AH7" s="61"/>
      <c r="AI7" s="61"/>
      <c r="AJ7" s="61"/>
      <c r="AK7" s="61"/>
    </row>
    <row r="8" spans="1:37" s="60" customFormat="1" ht="18" customHeight="1" x14ac:dyDescent="0.25">
      <c r="A8" s="303"/>
      <c r="B8" s="303"/>
      <c r="C8" s="304"/>
      <c r="D8" s="304"/>
      <c r="E8" s="296"/>
      <c r="F8" s="297"/>
      <c r="G8" s="298"/>
      <c r="H8" s="296"/>
      <c r="I8" s="298"/>
      <c r="J8" s="292"/>
      <c r="K8" s="293"/>
      <c r="L8" s="292"/>
      <c r="M8" s="293"/>
      <c r="N8" s="293"/>
      <c r="O8" s="293"/>
      <c r="P8" s="293"/>
      <c r="Q8" s="293"/>
      <c r="R8" s="293"/>
      <c r="S8" s="295"/>
      <c r="T8" s="292"/>
      <c r="U8" s="293"/>
      <c r="V8" s="293"/>
      <c r="W8" s="293"/>
      <c r="X8" s="293"/>
      <c r="Y8" s="295"/>
      <c r="Z8" s="292"/>
      <c r="AA8" s="295"/>
      <c r="AB8" s="292"/>
      <c r="AC8" s="293"/>
      <c r="AD8" s="293"/>
      <c r="AE8" s="283"/>
    </row>
    <row r="9" spans="1:37" s="60" customFormat="1" ht="15.75" customHeight="1" x14ac:dyDescent="0.25">
      <c r="A9" s="303"/>
      <c r="B9" s="303"/>
      <c r="C9" s="304"/>
      <c r="D9" s="304"/>
      <c r="E9" s="292"/>
      <c r="F9" s="293"/>
      <c r="G9" s="295"/>
      <c r="H9" s="292"/>
      <c r="I9" s="295"/>
      <c r="J9" s="284">
        <v>2022</v>
      </c>
      <c r="K9" s="286"/>
      <c r="L9" s="287" t="s">
        <v>9</v>
      </c>
      <c r="M9" s="289"/>
      <c r="N9" s="287" t="s">
        <v>10</v>
      </c>
      <c r="O9" s="289"/>
      <c r="P9" s="287" t="s">
        <v>11</v>
      </c>
      <c r="Q9" s="289"/>
      <c r="R9" s="287" t="s">
        <v>12</v>
      </c>
      <c r="S9" s="289"/>
      <c r="T9" s="287">
        <v>2022</v>
      </c>
      <c r="U9" s="288"/>
      <c r="V9" s="288"/>
      <c r="W9" s="288"/>
      <c r="X9" s="288"/>
      <c r="Y9" s="289"/>
      <c r="Z9" s="287">
        <v>2022</v>
      </c>
      <c r="AA9" s="289"/>
      <c r="AB9" s="287">
        <v>2022</v>
      </c>
      <c r="AC9" s="288"/>
      <c r="AD9" s="289"/>
      <c r="AE9" s="19"/>
    </row>
    <row r="10" spans="1:37" s="60" customFormat="1" ht="15.75" x14ac:dyDescent="0.25">
      <c r="A10" s="265">
        <v>1</v>
      </c>
      <c r="B10" s="265">
        <v>2</v>
      </c>
      <c r="C10" s="265">
        <v>3</v>
      </c>
      <c r="D10" s="265">
        <v>4</v>
      </c>
      <c r="E10" s="272">
        <v>5</v>
      </c>
      <c r="F10" s="281"/>
      <c r="G10" s="273"/>
      <c r="H10" s="272">
        <v>6</v>
      </c>
      <c r="I10" s="273"/>
      <c r="J10" s="277">
        <v>7</v>
      </c>
      <c r="K10" s="279"/>
      <c r="L10" s="277">
        <v>8</v>
      </c>
      <c r="M10" s="279"/>
      <c r="N10" s="277">
        <v>9</v>
      </c>
      <c r="O10" s="279"/>
      <c r="P10" s="277">
        <v>10</v>
      </c>
      <c r="Q10" s="279"/>
      <c r="R10" s="277">
        <v>11</v>
      </c>
      <c r="S10" s="279"/>
      <c r="T10" s="274">
        <v>12</v>
      </c>
      <c r="U10" s="275"/>
      <c r="V10" s="275"/>
      <c r="W10" s="275"/>
      <c r="X10" s="275"/>
      <c r="Y10" s="276"/>
      <c r="Z10" s="274">
        <v>13</v>
      </c>
      <c r="AA10" s="276"/>
      <c r="AB10" s="274">
        <v>14</v>
      </c>
      <c r="AC10" s="275"/>
      <c r="AD10" s="276"/>
      <c r="AE10" s="257">
        <v>15</v>
      </c>
    </row>
    <row r="11" spans="1:37" s="60" customFormat="1" ht="87" customHeight="1" x14ac:dyDescent="0.25">
      <c r="A11" s="266"/>
      <c r="B11" s="266"/>
      <c r="C11" s="266"/>
      <c r="D11" s="266"/>
      <c r="E11" s="268" t="s">
        <v>13</v>
      </c>
      <c r="F11" s="269"/>
      <c r="G11" s="267" t="s">
        <v>14</v>
      </c>
      <c r="H11" s="268" t="s">
        <v>13</v>
      </c>
      <c r="I11" s="267" t="s">
        <v>14</v>
      </c>
      <c r="J11" s="268" t="s">
        <v>13</v>
      </c>
      <c r="K11" s="265" t="s">
        <v>14</v>
      </c>
      <c r="L11" s="268" t="s">
        <v>13</v>
      </c>
      <c r="M11" s="265" t="s">
        <v>14</v>
      </c>
      <c r="N11" s="268" t="s">
        <v>13</v>
      </c>
      <c r="O11" s="265" t="s">
        <v>14</v>
      </c>
      <c r="P11" s="268" t="s">
        <v>13</v>
      </c>
      <c r="Q11" s="265" t="s">
        <v>14</v>
      </c>
      <c r="R11" s="268" t="s">
        <v>13</v>
      </c>
      <c r="S11" s="265" t="s">
        <v>14</v>
      </c>
      <c r="T11" s="196" t="s">
        <v>15</v>
      </c>
      <c r="U11" s="272" t="s">
        <v>39</v>
      </c>
      <c r="V11" s="273"/>
      <c r="W11" s="131" t="s">
        <v>16</v>
      </c>
      <c r="X11" s="272" t="s">
        <v>40</v>
      </c>
      <c r="Y11" s="273"/>
      <c r="Z11" s="196" t="s">
        <v>17</v>
      </c>
      <c r="AA11" s="131" t="s">
        <v>18</v>
      </c>
      <c r="AB11" s="272" t="s">
        <v>19</v>
      </c>
      <c r="AC11" s="273"/>
      <c r="AD11" s="131" t="s">
        <v>20</v>
      </c>
      <c r="AE11" s="258"/>
    </row>
    <row r="12" spans="1:37" s="60" customFormat="1" ht="15.75" x14ac:dyDescent="0.25">
      <c r="A12" s="267"/>
      <c r="B12" s="267"/>
      <c r="C12" s="267"/>
      <c r="D12" s="267"/>
      <c r="E12" s="270"/>
      <c r="F12" s="271"/>
      <c r="G12" s="280"/>
      <c r="H12" s="270"/>
      <c r="I12" s="280"/>
      <c r="J12" s="270"/>
      <c r="K12" s="267"/>
      <c r="L12" s="270"/>
      <c r="M12" s="267"/>
      <c r="N12" s="270"/>
      <c r="O12" s="267"/>
      <c r="P12" s="270"/>
      <c r="Q12" s="267"/>
      <c r="R12" s="270"/>
      <c r="S12" s="267"/>
      <c r="T12" s="197" t="s">
        <v>13</v>
      </c>
      <c r="U12" s="270" t="s">
        <v>13</v>
      </c>
      <c r="V12" s="271"/>
      <c r="W12" s="132" t="s">
        <v>14</v>
      </c>
      <c r="X12" s="270" t="s">
        <v>14</v>
      </c>
      <c r="Y12" s="271"/>
      <c r="Z12" s="197" t="s">
        <v>13</v>
      </c>
      <c r="AA12" s="132" t="s">
        <v>14</v>
      </c>
      <c r="AB12" s="270" t="s">
        <v>13</v>
      </c>
      <c r="AC12" s="271"/>
      <c r="AD12" s="132" t="s">
        <v>14</v>
      </c>
      <c r="AE12" s="259"/>
    </row>
    <row r="13" spans="1:37" s="60" customFormat="1" ht="50.45" customHeight="1" x14ac:dyDescent="0.25">
      <c r="A13" s="25"/>
      <c r="B13" s="88"/>
      <c r="C13" s="3" t="s">
        <v>87</v>
      </c>
      <c r="D13" s="4"/>
      <c r="E13" s="4"/>
      <c r="F13" s="4"/>
      <c r="G13" s="65"/>
      <c r="H13" s="65"/>
      <c r="I13" s="65"/>
      <c r="J13" s="161"/>
      <c r="K13" s="65"/>
      <c r="L13" s="161"/>
      <c r="M13" s="20"/>
      <c r="N13" s="156"/>
      <c r="O13" s="20"/>
      <c r="P13" s="156"/>
      <c r="Q13" s="20"/>
      <c r="R13" s="189"/>
      <c r="S13" s="20"/>
      <c r="T13" s="109"/>
      <c r="U13" s="97"/>
      <c r="V13" s="98"/>
      <c r="W13" s="26"/>
      <c r="X13" s="97"/>
      <c r="Y13" s="98"/>
      <c r="Z13" s="109"/>
      <c r="AA13" s="26"/>
      <c r="AB13" s="24"/>
      <c r="AC13" s="25"/>
      <c r="AD13" s="24"/>
      <c r="AE13" s="27" t="s">
        <v>37</v>
      </c>
      <c r="AH13" s="28"/>
    </row>
    <row r="14" spans="1:37" s="60" customFormat="1" ht="64.150000000000006" customHeight="1" x14ac:dyDescent="0.25">
      <c r="A14" s="25"/>
      <c r="B14" s="88"/>
      <c r="C14" s="3" t="s">
        <v>88</v>
      </c>
      <c r="D14" s="4"/>
      <c r="E14" s="4"/>
      <c r="F14" s="4"/>
      <c r="G14" s="65"/>
      <c r="H14" s="65"/>
      <c r="I14" s="65"/>
      <c r="J14" s="161"/>
      <c r="K14" s="65"/>
      <c r="L14" s="161"/>
      <c r="M14" s="20"/>
      <c r="N14" s="156"/>
      <c r="O14" s="20"/>
      <c r="P14" s="156"/>
      <c r="Q14" s="20"/>
      <c r="R14" s="189"/>
      <c r="S14" s="20"/>
      <c r="T14" s="109"/>
      <c r="U14" s="109"/>
      <c r="V14" s="98"/>
      <c r="W14" s="26"/>
      <c r="X14" s="97"/>
      <c r="Y14" s="98"/>
      <c r="Z14" s="109"/>
      <c r="AA14" s="26"/>
      <c r="AB14" s="24"/>
      <c r="AC14" s="25"/>
      <c r="AD14" s="24"/>
      <c r="AE14" s="27"/>
      <c r="AH14" s="28"/>
    </row>
    <row r="15" spans="1:37" s="60" customFormat="1" ht="126" x14ac:dyDescent="0.25">
      <c r="A15" s="25">
        <v>1</v>
      </c>
      <c r="B15" s="233" t="s">
        <v>38</v>
      </c>
      <c r="C15" s="76" t="s">
        <v>89</v>
      </c>
      <c r="D15" s="1" t="s">
        <v>116</v>
      </c>
      <c r="E15" s="89" t="s">
        <v>165</v>
      </c>
      <c r="F15" s="66" t="s">
        <v>80</v>
      </c>
      <c r="G15" s="67">
        <f>G18+G26</f>
        <v>1038915800</v>
      </c>
      <c r="H15" s="89"/>
      <c r="I15" s="67"/>
      <c r="J15" s="163">
        <v>23</v>
      </c>
      <c r="K15" s="67">
        <f>K18+K26+K29</f>
        <v>1761306850</v>
      </c>
      <c r="L15" s="163">
        <v>0</v>
      </c>
      <c r="M15" s="67">
        <f>M18+M26+M29</f>
        <v>150344400</v>
      </c>
      <c r="N15" s="163" t="s">
        <v>205</v>
      </c>
      <c r="O15" s="67">
        <f>O18+O26+O29</f>
        <v>420662400</v>
      </c>
      <c r="P15" s="176">
        <v>17.5</v>
      </c>
      <c r="Q15" s="67">
        <f>Q18+Q26+Q29</f>
        <v>575767200</v>
      </c>
      <c r="R15" s="176"/>
      <c r="S15" s="29">
        <v>996429600</v>
      </c>
      <c r="T15" s="110">
        <f>SUM(L15,N15,P15,R15)</f>
        <v>17.5</v>
      </c>
      <c r="U15" s="110">
        <f>T15/J15*100</f>
        <v>76.08695652173914</v>
      </c>
      <c r="V15" s="100" t="s">
        <v>80</v>
      </c>
      <c r="W15" s="33">
        <f>SUM(M15,O15,Q15,S15)</f>
        <v>2143203600</v>
      </c>
      <c r="X15" s="99">
        <f>W15/K15*100</f>
        <v>121.68257904634845</v>
      </c>
      <c r="Y15" s="100" t="s">
        <v>80</v>
      </c>
      <c r="Z15" s="234">
        <f>H15+T15</f>
        <v>17.5</v>
      </c>
      <c r="AA15" s="235">
        <f>I15+W15</f>
        <v>2143203600</v>
      </c>
      <c r="AB15" s="249">
        <f>Z15/E15*100</f>
        <v>648.14814814814804</v>
      </c>
      <c r="AC15" s="32" t="s">
        <v>80</v>
      </c>
      <c r="AD15" s="249">
        <f>AA15/G15*100</f>
        <v>206.29232898373479</v>
      </c>
      <c r="AE15" s="68"/>
      <c r="AG15" s="211"/>
      <c r="AH15" s="153"/>
    </row>
    <row r="16" spans="1:37" s="60" customFormat="1" ht="110.25" x14ac:dyDescent="0.25">
      <c r="A16" s="25"/>
      <c r="B16" s="233"/>
      <c r="C16" s="76"/>
      <c r="D16" s="133" t="s">
        <v>117</v>
      </c>
      <c r="E16" s="134">
        <v>0.95</v>
      </c>
      <c r="F16" s="66" t="s">
        <v>80</v>
      </c>
      <c r="G16" s="135"/>
      <c r="H16" s="134"/>
      <c r="I16" s="135"/>
      <c r="J16" s="164">
        <v>22</v>
      </c>
      <c r="K16" s="135"/>
      <c r="L16" s="164">
        <v>0</v>
      </c>
      <c r="M16" s="135"/>
      <c r="N16" s="164">
        <v>0.42</v>
      </c>
      <c r="O16" s="135"/>
      <c r="P16" s="176">
        <v>15.4</v>
      </c>
      <c r="Q16" s="135"/>
      <c r="R16" s="176"/>
      <c r="S16" s="29">
        <v>0</v>
      </c>
      <c r="T16" s="110">
        <f>SUM(L16,N16,P16,R16)</f>
        <v>15.82</v>
      </c>
      <c r="U16" s="110">
        <f>T16/J16*100</f>
        <v>71.909090909090907</v>
      </c>
      <c r="V16" s="100" t="s">
        <v>80</v>
      </c>
      <c r="W16" s="136">
        <f>SUM(M16,O16,Q16,S16)</f>
        <v>0</v>
      </c>
      <c r="X16" s="99"/>
      <c r="Y16" s="100" t="s">
        <v>80</v>
      </c>
      <c r="Z16" s="236">
        <f>SUM(H16,T16)</f>
        <v>15.82</v>
      </c>
      <c r="AA16" s="33">
        <f>SUM(I16,W16)</f>
        <v>0</v>
      </c>
      <c r="AB16" s="34"/>
      <c r="AC16" s="32" t="s">
        <v>80</v>
      </c>
      <c r="AD16" s="34"/>
      <c r="AE16" s="68"/>
      <c r="AG16" s="211"/>
      <c r="AH16" s="153"/>
    </row>
    <row r="17" spans="1:34" s="60" customFormat="1" ht="110.25" x14ac:dyDescent="0.25">
      <c r="A17" s="25"/>
      <c r="B17" s="233"/>
      <c r="C17" s="76"/>
      <c r="D17" s="133" t="s">
        <v>118</v>
      </c>
      <c r="E17" s="134">
        <v>0.75</v>
      </c>
      <c r="F17" s="66" t="s">
        <v>80</v>
      </c>
      <c r="G17" s="135"/>
      <c r="H17" s="134"/>
      <c r="I17" s="135"/>
      <c r="J17" s="164">
        <v>0.4</v>
      </c>
      <c r="K17" s="135"/>
      <c r="L17" s="164">
        <v>0</v>
      </c>
      <c r="M17" s="135"/>
      <c r="N17" s="164">
        <v>0.23</v>
      </c>
      <c r="O17" s="135"/>
      <c r="P17" s="195">
        <v>0.12</v>
      </c>
      <c r="Q17" s="135"/>
      <c r="R17" s="190"/>
      <c r="S17" s="52">
        <v>0</v>
      </c>
      <c r="T17" s="99">
        <f>SUM(L17,N17,P17,R17)</f>
        <v>0.35</v>
      </c>
      <c r="U17" s="99">
        <f>T17/J17*100</f>
        <v>87.499999999999986</v>
      </c>
      <c r="V17" s="100" t="s">
        <v>80</v>
      </c>
      <c r="W17" s="136">
        <f>SUM(M17,O17,Q17,S17)</f>
        <v>0</v>
      </c>
      <c r="X17" s="99"/>
      <c r="Y17" s="100" t="s">
        <v>80</v>
      </c>
      <c r="Z17" s="236">
        <f>SUM(H17,T17)</f>
        <v>0.35</v>
      </c>
      <c r="AA17" s="92">
        <f>SUM(I17,W17)</f>
        <v>0</v>
      </c>
      <c r="AB17" s="48"/>
      <c r="AC17" s="47" t="s">
        <v>80</v>
      </c>
      <c r="AD17" s="48"/>
      <c r="AE17" s="68"/>
      <c r="AG17" s="211"/>
      <c r="AH17" s="153"/>
    </row>
    <row r="18" spans="1:34" s="152" customFormat="1" ht="78.75" x14ac:dyDescent="0.25">
      <c r="A18" s="147"/>
      <c r="B18" s="70"/>
      <c r="C18" s="70" t="s">
        <v>62</v>
      </c>
      <c r="D18" s="3" t="s">
        <v>119</v>
      </c>
      <c r="E18" s="71">
        <v>0.16</v>
      </c>
      <c r="F18" s="14" t="s">
        <v>80</v>
      </c>
      <c r="G18" s="72">
        <f>SUM(G19:G20)</f>
        <v>614796000</v>
      </c>
      <c r="H18" s="73"/>
      <c r="I18" s="72"/>
      <c r="J18" s="198">
        <v>2.6</v>
      </c>
      <c r="K18" s="72">
        <v>1000337000</v>
      </c>
      <c r="L18" s="198">
        <v>0</v>
      </c>
      <c r="M18" s="72">
        <f>M19</f>
        <v>0</v>
      </c>
      <c r="N18" s="198">
        <v>0.44</v>
      </c>
      <c r="O18" s="72">
        <f>O19</f>
        <v>265650000</v>
      </c>
      <c r="P18" s="177"/>
      <c r="Q18" s="72">
        <f>Q19</f>
        <v>90469000</v>
      </c>
      <c r="R18" s="178"/>
      <c r="S18" s="148">
        <v>356119000</v>
      </c>
      <c r="T18" s="214">
        <f>SUM(L18,N18,P18,R18)</f>
        <v>0.44</v>
      </c>
      <c r="U18" s="214">
        <f>T18/J18*100</f>
        <v>16.92307692307692</v>
      </c>
      <c r="V18" s="165" t="s">
        <v>80</v>
      </c>
      <c r="W18" s="215">
        <f>SUM(M18,O18,Q18,S18)</f>
        <v>712238000</v>
      </c>
      <c r="X18" s="216">
        <f>W18/K18*100</f>
        <v>71.199805665490729</v>
      </c>
      <c r="Y18" s="165" t="s">
        <v>80</v>
      </c>
      <c r="Z18" s="217">
        <f>SUM(H18,T18)</f>
        <v>0.44</v>
      </c>
      <c r="AA18" s="218">
        <f>SUM(I18,W18)</f>
        <v>712238000</v>
      </c>
      <c r="AB18" s="149"/>
      <c r="AC18" s="150" t="s">
        <v>80</v>
      </c>
      <c r="AD18" s="149"/>
      <c r="AE18" s="151"/>
      <c r="AG18" s="211"/>
      <c r="AH18" s="153"/>
    </row>
    <row r="19" spans="1:34" s="152" customFormat="1" ht="107.45" customHeight="1" x14ac:dyDescent="0.25">
      <c r="A19" s="147"/>
      <c r="B19" s="70"/>
      <c r="C19" s="2" t="s">
        <v>90</v>
      </c>
      <c r="D19" s="4" t="s">
        <v>243</v>
      </c>
      <c r="E19" s="74">
        <v>844</v>
      </c>
      <c r="F19" s="65" t="s">
        <v>81</v>
      </c>
      <c r="G19" s="69">
        <v>141108000</v>
      </c>
      <c r="H19" s="74"/>
      <c r="I19" s="69"/>
      <c r="J19" s="199">
        <v>280</v>
      </c>
      <c r="K19" s="69">
        <v>356119000</v>
      </c>
      <c r="L19" s="199">
        <v>0</v>
      </c>
      <c r="M19" s="69">
        <f>M20</f>
        <v>0</v>
      </c>
      <c r="N19" s="199">
        <v>230</v>
      </c>
      <c r="O19" s="69">
        <v>265650000</v>
      </c>
      <c r="P19" s="177">
        <v>0</v>
      </c>
      <c r="Q19" s="69">
        <v>90469000</v>
      </c>
      <c r="R19" s="178">
        <v>50</v>
      </c>
      <c r="S19" s="148">
        <v>356119000</v>
      </c>
      <c r="T19" s="214">
        <f>SUM(L19,N19,P19,R19)</f>
        <v>280</v>
      </c>
      <c r="U19" s="214">
        <f>T19/J19*100</f>
        <v>100</v>
      </c>
      <c r="V19" s="162" t="s">
        <v>80</v>
      </c>
      <c r="W19" s="215">
        <f>SUM(M19,O19,Q19,S19)</f>
        <v>712238000</v>
      </c>
      <c r="X19" s="216">
        <f>W19/K19*100</f>
        <v>200</v>
      </c>
      <c r="Y19" s="162" t="s">
        <v>80</v>
      </c>
      <c r="Z19" s="217">
        <f>SUM(H19,T19)</f>
        <v>280</v>
      </c>
      <c r="AA19" s="218">
        <f>SUM(I19,W19)</f>
        <v>712238000</v>
      </c>
      <c r="AB19" s="149"/>
      <c r="AC19" s="150" t="s">
        <v>80</v>
      </c>
      <c r="AD19" s="149"/>
      <c r="AE19" s="151"/>
      <c r="AG19" s="211"/>
      <c r="AH19" s="153"/>
    </row>
    <row r="20" spans="1:34" s="152" customFormat="1" ht="63" x14ac:dyDescent="0.25">
      <c r="A20" s="147"/>
      <c r="B20" s="70"/>
      <c r="C20" s="4" t="s">
        <v>63</v>
      </c>
      <c r="D20" s="9" t="s">
        <v>269</v>
      </c>
      <c r="E20" s="75">
        <v>0.16</v>
      </c>
      <c r="F20" s="65" t="s">
        <v>80</v>
      </c>
      <c r="G20" s="69">
        <v>473688000</v>
      </c>
      <c r="H20" s="74"/>
      <c r="I20" s="69"/>
      <c r="J20" s="199">
        <v>7000</v>
      </c>
      <c r="K20" s="69">
        <v>356119000</v>
      </c>
      <c r="L20" s="199">
        <v>0</v>
      </c>
      <c r="M20" s="69">
        <v>0</v>
      </c>
      <c r="N20" s="199">
        <v>5750</v>
      </c>
      <c r="O20" s="69">
        <v>265650000</v>
      </c>
      <c r="P20" s="177">
        <v>0</v>
      </c>
      <c r="Q20" s="69">
        <v>90469000</v>
      </c>
      <c r="R20" s="177">
        <v>1250</v>
      </c>
      <c r="S20" s="148">
        <v>356119000</v>
      </c>
      <c r="T20" s="214">
        <f>SUM(L20,N20,P20,R20)</f>
        <v>7000</v>
      </c>
      <c r="U20" s="214">
        <f>T20/J20*100</f>
        <v>100</v>
      </c>
      <c r="V20" s="162" t="s">
        <v>80</v>
      </c>
      <c r="W20" s="218">
        <f>SUM(M20,O20,Q20,S20)</f>
        <v>712238000</v>
      </c>
      <c r="X20" s="216">
        <f>W20/K20*100</f>
        <v>200</v>
      </c>
      <c r="Y20" s="162" t="s">
        <v>80</v>
      </c>
      <c r="Z20" s="217">
        <f>SUM(H20,T20)</f>
        <v>7000</v>
      </c>
      <c r="AA20" s="218">
        <f>SUM(I20,W20)</f>
        <v>712238000</v>
      </c>
      <c r="AB20" s="149"/>
      <c r="AC20" s="150" t="s">
        <v>80</v>
      </c>
      <c r="AD20" s="149"/>
      <c r="AE20" s="151"/>
      <c r="AG20" s="211"/>
      <c r="AH20" s="153"/>
    </row>
    <row r="21" spans="1:34" s="152" customFormat="1" ht="63" x14ac:dyDescent="0.25">
      <c r="A21" s="147"/>
      <c r="B21" s="70"/>
      <c r="C21" s="4"/>
      <c r="D21" s="9" t="s">
        <v>270</v>
      </c>
      <c r="E21" s="75"/>
      <c r="F21" s="65"/>
      <c r="G21" s="69"/>
      <c r="H21" s="74"/>
      <c r="I21" s="69"/>
      <c r="J21" s="199">
        <v>75</v>
      </c>
      <c r="K21" s="69">
        <v>42485200</v>
      </c>
      <c r="L21" s="199">
        <v>0</v>
      </c>
      <c r="M21" s="69">
        <v>0</v>
      </c>
      <c r="N21" s="199">
        <v>75</v>
      </c>
      <c r="O21" s="69">
        <v>42485200</v>
      </c>
      <c r="P21" s="177">
        <v>0</v>
      </c>
      <c r="Q21" s="69">
        <v>0</v>
      </c>
      <c r="R21" s="177">
        <v>0</v>
      </c>
      <c r="S21" s="148">
        <v>42485200</v>
      </c>
      <c r="T21" s="214">
        <f>SUM(L21,N21,P21,R21)</f>
        <v>75</v>
      </c>
      <c r="U21" s="214">
        <f>T21/J21*100</f>
        <v>100</v>
      </c>
      <c r="V21" s="162" t="s">
        <v>80</v>
      </c>
      <c r="W21" s="218">
        <f>SUM(M21,O21,Q21,S21)</f>
        <v>84970400</v>
      </c>
      <c r="X21" s="216">
        <f>W21/K21*100</f>
        <v>200</v>
      </c>
      <c r="Y21" s="162" t="s">
        <v>80</v>
      </c>
      <c r="Z21" s="217">
        <f>SUM(H21,T21)</f>
        <v>75</v>
      </c>
      <c r="AA21" s="218">
        <f>SUM(I21,W21)</f>
        <v>84970400</v>
      </c>
      <c r="AB21" s="149"/>
      <c r="AC21" s="150"/>
      <c r="AD21" s="149"/>
      <c r="AE21" s="151"/>
      <c r="AG21" s="211"/>
      <c r="AH21" s="153"/>
    </row>
    <row r="22" spans="1:34" s="152" customFormat="1" ht="63" x14ac:dyDescent="0.25">
      <c r="A22" s="147"/>
      <c r="B22" s="70"/>
      <c r="C22" s="4"/>
      <c r="D22" s="9" t="s">
        <v>271</v>
      </c>
      <c r="E22" s="75"/>
      <c r="F22" s="65"/>
      <c r="G22" s="69"/>
      <c r="H22" s="74"/>
      <c r="I22" s="69"/>
      <c r="J22" s="199">
        <v>60</v>
      </c>
      <c r="K22" s="69">
        <v>88048200</v>
      </c>
      <c r="L22" s="199">
        <v>0</v>
      </c>
      <c r="M22" s="69">
        <v>0</v>
      </c>
      <c r="N22" s="199">
        <v>0</v>
      </c>
      <c r="O22" s="69">
        <v>0</v>
      </c>
      <c r="P22" s="177">
        <v>0</v>
      </c>
      <c r="Q22" s="69">
        <v>88048200</v>
      </c>
      <c r="R22" s="177">
        <v>60</v>
      </c>
      <c r="S22" s="148">
        <v>88048200</v>
      </c>
      <c r="T22" s="214">
        <f>SUM(L22,N22,P22,R22)</f>
        <v>60</v>
      </c>
      <c r="U22" s="214">
        <f>T22/J22*100</f>
        <v>100</v>
      </c>
      <c r="V22" s="162" t="s">
        <v>80</v>
      </c>
      <c r="W22" s="218">
        <f>SUM(M22,O22,Q22,S22)</f>
        <v>176096400</v>
      </c>
      <c r="X22" s="216">
        <f>W22/K22*100</f>
        <v>200</v>
      </c>
      <c r="Y22" s="162" t="s">
        <v>80</v>
      </c>
      <c r="Z22" s="217">
        <f>SUM(H22,T22)</f>
        <v>60</v>
      </c>
      <c r="AA22" s="218">
        <f>SUM(I22,W22)</f>
        <v>176096400</v>
      </c>
      <c r="AB22" s="149"/>
      <c r="AC22" s="150"/>
      <c r="AD22" s="149"/>
      <c r="AE22" s="151"/>
      <c r="AG22" s="211"/>
      <c r="AH22" s="153"/>
    </row>
    <row r="23" spans="1:34" s="152" customFormat="1" ht="63" x14ac:dyDescent="0.25">
      <c r="A23" s="147"/>
      <c r="B23" s="70"/>
      <c r="C23" s="4"/>
      <c r="D23" s="9" t="s">
        <v>272</v>
      </c>
      <c r="E23" s="75"/>
      <c r="F23" s="65"/>
      <c r="G23" s="69"/>
      <c r="H23" s="74"/>
      <c r="I23" s="69"/>
      <c r="J23" s="199">
        <v>500</v>
      </c>
      <c r="K23" s="69">
        <v>32900000</v>
      </c>
      <c r="L23" s="199">
        <v>0</v>
      </c>
      <c r="M23" s="69">
        <v>0</v>
      </c>
      <c r="N23" s="199">
        <v>0</v>
      </c>
      <c r="O23" s="69">
        <v>0</v>
      </c>
      <c r="P23" s="177">
        <v>0</v>
      </c>
      <c r="Q23" s="69">
        <v>32900000</v>
      </c>
      <c r="R23" s="177">
        <v>500</v>
      </c>
      <c r="S23" s="148">
        <v>32900000</v>
      </c>
      <c r="T23" s="214">
        <f>SUM(L23,N23,P23,R23)</f>
        <v>500</v>
      </c>
      <c r="U23" s="214">
        <f>T23/J23*100</f>
        <v>100</v>
      </c>
      <c r="V23" s="162" t="s">
        <v>80</v>
      </c>
      <c r="W23" s="218">
        <f>SUM(M23,O23,Q23,S23)</f>
        <v>65800000</v>
      </c>
      <c r="X23" s="216">
        <f>W23/K23*100</f>
        <v>200</v>
      </c>
      <c r="Y23" s="162" t="s">
        <v>80</v>
      </c>
      <c r="Z23" s="217">
        <f>SUM(H23,T23)</f>
        <v>500</v>
      </c>
      <c r="AA23" s="218">
        <f>SUM(I23,W23)</f>
        <v>65800000</v>
      </c>
      <c r="AB23" s="149"/>
      <c r="AC23" s="150"/>
      <c r="AD23" s="149"/>
      <c r="AE23" s="151"/>
      <c r="AG23" s="211"/>
      <c r="AH23" s="153"/>
    </row>
    <row r="24" spans="1:34" s="152" customFormat="1" ht="73.5" customHeight="1" x14ac:dyDescent="0.25">
      <c r="A24" s="147"/>
      <c r="B24" s="70"/>
      <c r="C24" s="4"/>
      <c r="D24" s="9" t="s">
        <v>273</v>
      </c>
      <c r="E24" s="75"/>
      <c r="F24" s="65"/>
      <c r="G24" s="69"/>
      <c r="H24" s="74"/>
      <c r="I24" s="69"/>
      <c r="J24" s="199">
        <v>1700</v>
      </c>
      <c r="K24" s="69">
        <v>13830000</v>
      </c>
      <c r="L24" s="199">
        <v>0</v>
      </c>
      <c r="M24" s="69">
        <v>0</v>
      </c>
      <c r="N24" s="199">
        <v>0</v>
      </c>
      <c r="O24" s="69">
        <v>0</v>
      </c>
      <c r="P24" s="177">
        <v>0</v>
      </c>
      <c r="Q24" s="69">
        <v>13830000</v>
      </c>
      <c r="R24" s="177">
        <v>1700</v>
      </c>
      <c r="S24" s="148">
        <v>13830000</v>
      </c>
      <c r="T24" s="214">
        <f>SUM(L24,N24,P24,R24)</f>
        <v>1700</v>
      </c>
      <c r="U24" s="214">
        <f>T24/J24*100</f>
        <v>100</v>
      </c>
      <c r="V24" s="162" t="s">
        <v>80</v>
      </c>
      <c r="W24" s="218">
        <f>SUM(M24,O24,Q24,S24)</f>
        <v>27660000</v>
      </c>
      <c r="X24" s="216">
        <f>W24/K24*100</f>
        <v>200</v>
      </c>
      <c r="Y24" s="162" t="s">
        <v>80</v>
      </c>
      <c r="Z24" s="217">
        <f>SUM(H24,T24)</f>
        <v>1700</v>
      </c>
      <c r="AA24" s="218">
        <f>SUM(I24,W24)</f>
        <v>27660000</v>
      </c>
      <c r="AB24" s="149"/>
      <c r="AC24" s="150"/>
      <c r="AD24" s="149"/>
      <c r="AE24" s="151"/>
      <c r="AG24" s="211"/>
      <c r="AH24" s="153"/>
    </row>
    <row r="25" spans="1:34" s="152" customFormat="1" ht="94.5" x14ac:dyDescent="0.25">
      <c r="A25" s="147"/>
      <c r="B25" s="70"/>
      <c r="C25" s="4"/>
      <c r="D25" s="9" t="str">
        <f>[1]Cascading!$AF$14</f>
        <v>Terlaksananya bimbingan teknis kegiatan tanaman pangan</v>
      </c>
      <c r="E25" s="69">
        <v>880</v>
      </c>
      <c r="F25" s="65" t="s">
        <v>166</v>
      </c>
      <c r="G25" s="69">
        <v>33000000</v>
      </c>
      <c r="H25" s="69"/>
      <c r="I25" s="69"/>
      <c r="J25" s="166">
        <v>2510</v>
      </c>
      <c r="K25" s="69">
        <f>J25*37500</f>
        <v>94125000</v>
      </c>
      <c r="L25" s="166">
        <v>195</v>
      </c>
      <c r="M25" s="69">
        <f>L25*37500</f>
        <v>7312500</v>
      </c>
      <c r="N25" s="166">
        <v>440</v>
      </c>
      <c r="O25" s="69">
        <f>N25*37500</f>
        <v>16500000</v>
      </c>
      <c r="P25" s="178">
        <v>870</v>
      </c>
      <c r="Q25" s="69">
        <f>P25*37500</f>
        <v>32625000</v>
      </c>
      <c r="R25" s="178">
        <v>905</v>
      </c>
      <c r="S25" s="148">
        <v>49125000</v>
      </c>
      <c r="T25" s="214">
        <f>SUM(L25,N25,P25,R25)</f>
        <v>2410</v>
      </c>
      <c r="U25" s="214">
        <f>T25/J25*100</f>
        <v>96.01593625498009</v>
      </c>
      <c r="V25" s="162" t="s">
        <v>80</v>
      </c>
      <c r="W25" s="218">
        <f>SUM(M25,O25,Q25,S25)</f>
        <v>105562500</v>
      </c>
      <c r="X25" s="216">
        <f>W25/K25*100</f>
        <v>112.15139442231074</v>
      </c>
      <c r="Y25" s="162" t="s">
        <v>80</v>
      </c>
      <c r="Z25" s="217">
        <f>SUM(H25,T25)</f>
        <v>2410</v>
      </c>
      <c r="AA25" s="218">
        <f>SUM(I25,W25)</f>
        <v>105562500</v>
      </c>
      <c r="AB25" s="149"/>
      <c r="AC25" s="150" t="s">
        <v>80</v>
      </c>
      <c r="AD25" s="149"/>
      <c r="AE25" s="151"/>
      <c r="AG25" s="211"/>
      <c r="AH25" s="153"/>
    </row>
    <row r="26" spans="1:34" s="152" customFormat="1" ht="129" customHeight="1" x14ac:dyDescent="0.25">
      <c r="A26" s="147"/>
      <c r="B26" s="70"/>
      <c r="C26" s="3" t="s">
        <v>64</v>
      </c>
      <c r="D26" s="5" t="s">
        <v>242</v>
      </c>
      <c r="E26" s="75">
        <f>SUM(E27:E28)</f>
        <v>3.25</v>
      </c>
      <c r="F26" s="14" t="s">
        <v>80</v>
      </c>
      <c r="G26" s="72">
        <f>SUM(G27:G28)</f>
        <v>424119800</v>
      </c>
      <c r="H26" s="75"/>
      <c r="I26" s="72"/>
      <c r="J26" s="167">
        <v>3.16</v>
      </c>
      <c r="K26" s="72">
        <f>SUM(K27:K28)</f>
        <v>288460000</v>
      </c>
      <c r="L26" s="167">
        <v>0</v>
      </c>
      <c r="M26" s="72">
        <f>SUM(M27:M28)</f>
        <v>60182000</v>
      </c>
      <c r="N26" s="167">
        <v>1.8</v>
      </c>
      <c r="O26" s="72">
        <f>SUM(O27:O28)</f>
        <v>67100000</v>
      </c>
      <c r="P26" s="178"/>
      <c r="Q26" s="72">
        <f>SUM(Q27:Q28)</f>
        <v>104761000</v>
      </c>
      <c r="R26" s="178"/>
      <c r="S26" s="148">
        <v>171861000</v>
      </c>
      <c r="T26" s="214">
        <f>SUM(L26,N26,P26,R26)</f>
        <v>1.8</v>
      </c>
      <c r="U26" s="214">
        <f>T26/J26*100</f>
        <v>56.962025316455701</v>
      </c>
      <c r="V26" s="165" t="s">
        <v>80</v>
      </c>
      <c r="W26" s="218">
        <f>SUM(M26,O26,Q26,S26)</f>
        <v>403904000</v>
      </c>
      <c r="X26" s="216">
        <f>W26/K26*100</f>
        <v>140.02080011093392</v>
      </c>
      <c r="Y26" s="165" t="s">
        <v>80</v>
      </c>
      <c r="Z26" s="217">
        <f>SUM(H26,T26)</f>
        <v>1.8</v>
      </c>
      <c r="AA26" s="218">
        <f>SUM(I26,W26)</f>
        <v>403904000</v>
      </c>
      <c r="AB26" s="149"/>
      <c r="AC26" s="150" t="s">
        <v>80</v>
      </c>
      <c r="AD26" s="149"/>
      <c r="AE26" s="151"/>
      <c r="AG26" s="211"/>
      <c r="AH26" s="153"/>
    </row>
    <row r="27" spans="1:34" s="152" customFormat="1" ht="78.75" x14ac:dyDescent="0.25">
      <c r="A27" s="147"/>
      <c r="B27" s="70"/>
      <c r="C27" s="4" t="s">
        <v>91</v>
      </c>
      <c r="D27" s="9" t="s">
        <v>125</v>
      </c>
      <c r="E27" s="75">
        <v>2.65</v>
      </c>
      <c r="F27" s="14" t="s">
        <v>80</v>
      </c>
      <c r="G27" s="69">
        <v>51779800</v>
      </c>
      <c r="H27" s="75"/>
      <c r="I27" s="69"/>
      <c r="J27" s="167">
        <v>2.63</v>
      </c>
      <c r="K27" s="69">
        <v>288460000</v>
      </c>
      <c r="L27" s="167">
        <v>0</v>
      </c>
      <c r="M27" s="69">
        <f>5000000+2289000</f>
        <v>7289000</v>
      </c>
      <c r="N27" s="167">
        <v>1.4</v>
      </c>
      <c r="O27" s="69">
        <v>5000000</v>
      </c>
      <c r="P27" s="203">
        <v>0.61</v>
      </c>
      <c r="Q27" s="69">
        <f>13854000+2289000</f>
        <v>16143000</v>
      </c>
      <c r="R27" s="191">
        <v>0.63</v>
      </c>
      <c r="S27" s="154">
        <v>21143000</v>
      </c>
      <c r="T27" s="214">
        <f>SUM(L27,N27,P27,R27)</f>
        <v>2.6399999999999997</v>
      </c>
      <c r="U27" s="214">
        <f>T27/J27*100</f>
        <v>100.38022813688212</v>
      </c>
      <c r="V27" s="165" t="s">
        <v>80</v>
      </c>
      <c r="W27" s="218">
        <f>SUM(M27,O27,Q27,S27)</f>
        <v>49575000</v>
      </c>
      <c r="X27" s="216">
        <f>W27/K27*100</f>
        <v>17.186091659155515</v>
      </c>
      <c r="Y27" s="165" t="s">
        <v>80</v>
      </c>
      <c r="Z27" s="217">
        <f>SUM(H27,T27)</f>
        <v>2.6399999999999997</v>
      </c>
      <c r="AA27" s="218">
        <f>SUM(I27,W27)</f>
        <v>49575000</v>
      </c>
      <c r="AB27" s="149"/>
      <c r="AC27" s="150" t="s">
        <v>80</v>
      </c>
      <c r="AD27" s="155"/>
      <c r="AE27" s="151"/>
      <c r="AG27" s="211"/>
      <c r="AH27" s="153"/>
    </row>
    <row r="28" spans="1:34" s="152" customFormat="1" ht="78.75" x14ac:dyDescent="0.25">
      <c r="A28" s="147"/>
      <c r="B28" s="70"/>
      <c r="C28" s="4" t="s">
        <v>65</v>
      </c>
      <c r="D28" s="9" t="s">
        <v>126</v>
      </c>
      <c r="E28" s="75">
        <v>0.6</v>
      </c>
      <c r="F28" s="14" t="s">
        <v>80</v>
      </c>
      <c r="G28" s="69">
        <v>372340000</v>
      </c>
      <c r="H28" s="75"/>
      <c r="I28" s="69"/>
      <c r="J28" s="167">
        <v>0.53</v>
      </c>
      <c r="K28" s="69">
        <v>0</v>
      </c>
      <c r="L28" s="167">
        <v>0</v>
      </c>
      <c r="M28" s="69">
        <f>38500000+14393000</f>
        <v>52893000</v>
      </c>
      <c r="N28" s="167">
        <v>0.2</v>
      </c>
      <c r="O28" s="69">
        <v>62100000</v>
      </c>
      <c r="P28" s="167">
        <v>0.2</v>
      </c>
      <c r="Q28" s="69">
        <f>67000000+21618000</f>
        <v>88618000</v>
      </c>
      <c r="R28" s="167">
        <v>0.13</v>
      </c>
      <c r="S28" s="148">
        <v>150718000</v>
      </c>
      <c r="T28" s="214">
        <f>SUM(L28,N28,P28,R28)</f>
        <v>0.53</v>
      </c>
      <c r="U28" s="214">
        <f>T28/J28*100</f>
        <v>100</v>
      </c>
      <c r="V28" s="165" t="s">
        <v>80</v>
      </c>
      <c r="W28" s="218">
        <f>SUM(M28,O28,Q28,S28)</f>
        <v>354329000</v>
      </c>
      <c r="X28" s="216" t="e">
        <f>W28/K28*100</f>
        <v>#DIV/0!</v>
      </c>
      <c r="Y28" s="165" t="s">
        <v>80</v>
      </c>
      <c r="Z28" s="217">
        <f>SUM(H28,T28)</f>
        <v>0.53</v>
      </c>
      <c r="AA28" s="218">
        <f>SUM(I28,W28)</f>
        <v>354329000</v>
      </c>
      <c r="AB28" s="149"/>
      <c r="AC28" s="150" t="s">
        <v>80</v>
      </c>
      <c r="AD28" s="149"/>
      <c r="AE28" s="151"/>
      <c r="AG28" s="211"/>
      <c r="AH28" s="153"/>
    </row>
    <row r="29" spans="1:34" s="152" customFormat="1" ht="136.9" customHeight="1" x14ac:dyDescent="0.25">
      <c r="A29" s="147"/>
      <c r="B29" s="70"/>
      <c r="C29" s="3" t="s">
        <v>66</v>
      </c>
      <c r="D29" s="6" t="s">
        <v>127</v>
      </c>
      <c r="E29" s="72">
        <v>100</v>
      </c>
      <c r="F29" s="14" t="s">
        <v>80</v>
      </c>
      <c r="G29" s="72" t="s">
        <v>193</v>
      </c>
      <c r="H29" s="72"/>
      <c r="I29" s="72"/>
      <c r="J29" s="168">
        <v>100</v>
      </c>
      <c r="K29" s="72">
        <f>SUM(K30)</f>
        <v>472509850</v>
      </c>
      <c r="L29" s="168">
        <v>0</v>
      </c>
      <c r="M29" s="72">
        <f>SUM(M30)</f>
        <v>90162400</v>
      </c>
      <c r="N29" s="168">
        <v>100</v>
      </c>
      <c r="O29" s="72">
        <f>SUM(O30)</f>
        <v>87912400</v>
      </c>
      <c r="P29" s="179"/>
      <c r="Q29" s="72">
        <f>SUM(Q30)</f>
        <v>380537200</v>
      </c>
      <c r="R29" s="177"/>
      <c r="S29" s="148">
        <v>468449600</v>
      </c>
      <c r="T29" s="219">
        <f>SUM(L29,N29,P29,R29)</f>
        <v>100</v>
      </c>
      <c r="U29" s="219">
        <f>T29/J29*100</f>
        <v>100</v>
      </c>
      <c r="V29" s="165" t="s">
        <v>80</v>
      </c>
      <c r="W29" s="220">
        <f>SUM(M29,O29,Q29,S29)</f>
        <v>1027061600</v>
      </c>
      <c r="X29" s="221">
        <f>W29/K29*100</f>
        <v>217.36300312046404</v>
      </c>
      <c r="Y29" s="165" t="s">
        <v>80</v>
      </c>
      <c r="Z29" s="222">
        <f>SUM(H29,T29)</f>
        <v>100</v>
      </c>
      <c r="AA29" s="220">
        <f>SUM(I29,W29)</f>
        <v>1027061600</v>
      </c>
      <c r="AB29" s="155"/>
      <c r="AC29" s="147" t="s">
        <v>80</v>
      </c>
      <c r="AD29" s="155"/>
      <c r="AE29" s="151"/>
      <c r="AG29" s="211"/>
      <c r="AH29" s="153"/>
    </row>
    <row r="30" spans="1:34" s="152" customFormat="1" ht="94.5" x14ac:dyDescent="0.25">
      <c r="A30" s="147"/>
      <c r="B30" s="70"/>
      <c r="C30" s="4" t="s">
        <v>92</v>
      </c>
      <c r="D30" s="9" t="s">
        <v>128</v>
      </c>
      <c r="E30" s="69">
        <v>100</v>
      </c>
      <c r="F30" s="65" t="s">
        <v>80</v>
      </c>
      <c r="G30" s="69" t="s">
        <v>194</v>
      </c>
      <c r="H30" s="69"/>
      <c r="I30" s="69"/>
      <c r="J30" s="166">
        <v>100</v>
      </c>
      <c r="K30" s="69">
        <v>472509850</v>
      </c>
      <c r="L30" s="166">
        <v>0</v>
      </c>
      <c r="M30" s="69">
        <f>75000000+15162400</f>
        <v>90162400</v>
      </c>
      <c r="N30" s="166">
        <v>100</v>
      </c>
      <c r="O30" s="69">
        <v>87912400</v>
      </c>
      <c r="P30" s="178"/>
      <c r="Q30" s="69">
        <f>365374800+15162400</f>
        <v>380537200</v>
      </c>
      <c r="R30" s="178"/>
      <c r="S30" s="148">
        <v>468449600</v>
      </c>
      <c r="T30" s="214">
        <f>SUM(L30,N30,P30,R30)</f>
        <v>100</v>
      </c>
      <c r="U30" s="214">
        <f>T30/J30*100</f>
        <v>100</v>
      </c>
      <c r="V30" s="162" t="s">
        <v>80</v>
      </c>
      <c r="W30" s="218">
        <f>SUM(M30,O30,Q30,S30)</f>
        <v>1027061600</v>
      </c>
      <c r="X30" s="216">
        <f>W30/K30*100</f>
        <v>217.36300312046404</v>
      </c>
      <c r="Y30" s="162" t="s">
        <v>80</v>
      </c>
      <c r="Z30" s="217">
        <f>SUM(H30,T30)</f>
        <v>100</v>
      </c>
      <c r="AA30" s="218">
        <f>SUM(I30,W30)</f>
        <v>1027061600</v>
      </c>
      <c r="AB30" s="149"/>
      <c r="AC30" s="150" t="s">
        <v>80</v>
      </c>
      <c r="AD30" s="149"/>
      <c r="AE30" s="151"/>
      <c r="AG30" s="211"/>
      <c r="AH30" s="153"/>
    </row>
    <row r="31" spans="1:34" s="152" customFormat="1" ht="126" x14ac:dyDescent="0.25">
      <c r="A31" s="147"/>
      <c r="B31" s="1" t="s">
        <v>229</v>
      </c>
      <c r="C31" s="76" t="s">
        <v>93</v>
      </c>
      <c r="D31" s="7" t="s">
        <v>129</v>
      </c>
      <c r="E31" s="77">
        <v>65</v>
      </c>
      <c r="F31" s="66" t="s">
        <v>80</v>
      </c>
      <c r="G31" s="67">
        <f>SUM(G32)</f>
        <v>82500000</v>
      </c>
      <c r="H31" s="77"/>
      <c r="I31" s="67"/>
      <c r="J31" s="169">
        <v>63.41</v>
      </c>
      <c r="K31" s="67">
        <f>K32+K34</f>
        <v>9854734250</v>
      </c>
      <c r="L31" s="169">
        <v>0</v>
      </c>
      <c r="M31" s="67">
        <f>M32+M34</f>
        <v>1334387050</v>
      </c>
      <c r="N31" s="169">
        <v>28</v>
      </c>
      <c r="O31" s="67">
        <f>O32+O34</f>
        <v>1864050000</v>
      </c>
      <c r="P31" s="180">
        <v>22</v>
      </c>
      <c r="Q31" s="67">
        <f>Q32+Q34</f>
        <v>5720913143</v>
      </c>
      <c r="R31" s="180">
        <v>50</v>
      </c>
      <c r="S31" s="158">
        <v>7584963143</v>
      </c>
      <c r="T31" s="237">
        <f>SUM(L31,N31,P31,R31)</f>
        <v>100</v>
      </c>
      <c r="U31" s="237">
        <f>T31/J31*100</f>
        <v>157.70383220312254</v>
      </c>
      <c r="V31" s="238" t="s">
        <v>80</v>
      </c>
      <c r="W31" s="239">
        <f>SUM(M31,O31,Q31,S31)</f>
        <v>16504313336</v>
      </c>
      <c r="X31" s="240">
        <f>W31/K31*100</f>
        <v>167.4759858288416</v>
      </c>
      <c r="Y31" s="238" t="s">
        <v>80</v>
      </c>
      <c r="Z31" s="237">
        <f>SUM(H31,T31)</f>
        <v>100</v>
      </c>
      <c r="AA31" s="239">
        <f>SUM(I31,W31)</f>
        <v>16504313336</v>
      </c>
      <c r="AB31" s="250"/>
      <c r="AC31" s="251" t="s">
        <v>80</v>
      </c>
      <c r="AD31" s="250"/>
      <c r="AE31" s="151"/>
      <c r="AG31" s="211"/>
      <c r="AH31" s="153"/>
    </row>
    <row r="32" spans="1:34" s="152" customFormat="1" ht="63" x14ac:dyDescent="0.25">
      <c r="A32" s="147"/>
      <c r="B32" s="70"/>
      <c r="C32" s="3" t="s">
        <v>67</v>
      </c>
      <c r="D32" s="8" t="s">
        <v>130</v>
      </c>
      <c r="E32" s="72">
        <f>E33</f>
        <v>22294.84</v>
      </c>
      <c r="F32" s="14" t="s">
        <v>81</v>
      </c>
      <c r="G32" s="72">
        <f>SUM(G33)</f>
        <v>82500000</v>
      </c>
      <c r="H32" s="72"/>
      <c r="I32" s="72"/>
      <c r="J32" s="168">
        <v>22294.84</v>
      </c>
      <c r="K32" s="72">
        <v>28510000</v>
      </c>
      <c r="L32" s="168">
        <v>0</v>
      </c>
      <c r="M32" s="72">
        <f>SUM(M33)</f>
        <v>4225000</v>
      </c>
      <c r="N32" s="168">
        <f>N33</f>
        <v>12800</v>
      </c>
      <c r="O32" s="72">
        <f>SUM(O33)</f>
        <v>4225000</v>
      </c>
      <c r="P32" s="178">
        <f>8505+990</f>
        <v>9495</v>
      </c>
      <c r="Q32" s="72">
        <f>SUM(Q33)</f>
        <v>4225000</v>
      </c>
      <c r="R32" s="187"/>
      <c r="S32" s="154">
        <v>8450000</v>
      </c>
      <c r="T32" s="212">
        <f>SUM(L32,N32,P32,R32)</f>
        <v>22295</v>
      </c>
      <c r="U32" s="214">
        <f>T32/J32*100</f>
        <v>100.00071765484748</v>
      </c>
      <c r="V32" s="223" t="s">
        <v>80</v>
      </c>
      <c r="W32" s="218">
        <f>SUM(M32,O32,Q32,S32)</f>
        <v>21125000</v>
      </c>
      <c r="X32" s="216">
        <f>W32/K32*100</f>
        <v>74.096808137495614</v>
      </c>
      <c r="Y32" s="223" t="s">
        <v>80</v>
      </c>
      <c r="Z32" s="212">
        <f>SUM(H32,T32)</f>
        <v>22295</v>
      </c>
      <c r="AA32" s="218">
        <f>SUM(I32,W32)</f>
        <v>21125000</v>
      </c>
      <c r="AB32" s="149"/>
      <c r="AC32" s="150" t="s">
        <v>80</v>
      </c>
      <c r="AD32" s="149"/>
      <c r="AE32" s="151"/>
      <c r="AG32" s="211"/>
      <c r="AH32" s="153"/>
    </row>
    <row r="33" spans="1:37" s="152" customFormat="1" ht="94.5" x14ac:dyDescent="0.25">
      <c r="A33" s="147"/>
      <c r="B33" s="70"/>
      <c r="C33" s="4" t="s">
        <v>68</v>
      </c>
      <c r="D33" s="9" t="s">
        <v>131</v>
      </c>
      <c r="E33" s="75">
        <v>22294.84</v>
      </c>
      <c r="F33" s="65" t="s">
        <v>81</v>
      </c>
      <c r="G33" s="69">
        <v>82500000</v>
      </c>
      <c r="H33" s="75"/>
      <c r="I33" s="69"/>
      <c r="J33" s="167">
        <v>22294.84</v>
      </c>
      <c r="K33" s="69">
        <v>1705000</v>
      </c>
      <c r="L33" s="167">
        <v>0</v>
      </c>
      <c r="M33" s="69">
        <v>4225000</v>
      </c>
      <c r="N33" s="167">
        <v>12800</v>
      </c>
      <c r="O33" s="69">
        <v>4225000</v>
      </c>
      <c r="P33" s="178"/>
      <c r="Q33" s="69">
        <v>4225000</v>
      </c>
      <c r="R33" s="192"/>
      <c r="S33" s="154">
        <v>8450000</v>
      </c>
      <c r="T33" s="212">
        <f>SUM(L33,N33,P33,R33)</f>
        <v>12800</v>
      </c>
      <c r="U33" s="214">
        <f>T33/J33*100</f>
        <v>57.412387799149933</v>
      </c>
      <c r="V33" s="223" t="s">
        <v>80</v>
      </c>
      <c r="W33" s="218">
        <f>SUM(M33,O33,Q33,S33)</f>
        <v>21125000</v>
      </c>
      <c r="X33" s="216">
        <f>W33/K33*100</f>
        <v>1239.0029325513196</v>
      </c>
      <c r="Y33" s="223" t="s">
        <v>80</v>
      </c>
      <c r="Z33" s="212">
        <f>SUM(H33,T33)</f>
        <v>12800</v>
      </c>
      <c r="AA33" s="218">
        <f>SUM(I33,W33)</f>
        <v>21125000</v>
      </c>
      <c r="AB33" s="149"/>
      <c r="AC33" s="150" t="s">
        <v>80</v>
      </c>
      <c r="AD33" s="149"/>
      <c r="AE33" s="151"/>
      <c r="AG33" s="211"/>
      <c r="AH33" s="153"/>
    </row>
    <row r="34" spans="1:37" s="152" customFormat="1" ht="84" customHeight="1" x14ac:dyDescent="0.25">
      <c r="A34" s="147"/>
      <c r="B34" s="70"/>
      <c r="C34" s="3" t="s">
        <v>69</v>
      </c>
      <c r="D34" s="6" t="s">
        <v>132</v>
      </c>
      <c r="E34" s="72">
        <f>SUM(E35:E38)</f>
        <v>26</v>
      </c>
      <c r="F34" s="14" t="s">
        <v>82</v>
      </c>
      <c r="G34" s="72">
        <f>SUM(G35:G38)</f>
        <v>102576000</v>
      </c>
      <c r="H34" s="72"/>
      <c r="I34" s="72"/>
      <c r="J34" s="168">
        <v>26</v>
      </c>
      <c r="K34" s="72">
        <f>SUM(K35:K38)</f>
        <v>9826224250</v>
      </c>
      <c r="L34" s="168">
        <v>0</v>
      </c>
      <c r="M34" s="72">
        <f>SUM(M35:M38)</f>
        <v>1330162050</v>
      </c>
      <c r="N34" s="168">
        <f>SUM(N35:N38)</f>
        <v>11</v>
      </c>
      <c r="O34" s="72">
        <f>SUM(O35:O38)</f>
        <v>1859825000</v>
      </c>
      <c r="P34" s="179"/>
      <c r="Q34" s="72">
        <f>SUM(Q35:Q38)</f>
        <v>5716688143</v>
      </c>
      <c r="R34" s="191"/>
      <c r="S34" s="154">
        <v>7576513143</v>
      </c>
      <c r="T34" s="213">
        <f>SUM(L34,N34,P34,R34)</f>
        <v>11</v>
      </c>
      <c r="U34" s="219">
        <f>T34/J34*100</f>
        <v>42.307692307692307</v>
      </c>
      <c r="V34" s="224" t="s">
        <v>80</v>
      </c>
      <c r="W34" s="220">
        <f>SUM(M34,O34,Q34,S34)</f>
        <v>16483188336</v>
      </c>
      <c r="X34" s="221">
        <f>W34/K34*100</f>
        <v>167.74691800871531</v>
      </c>
      <c r="Y34" s="224" t="s">
        <v>80</v>
      </c>
      <c r="Z34" s="213">
        <f>SUM(H34,T34)</f>
        <v>11</v>
      </c>
      <c r="AA34" s="220">
        <f>SUM(I34,W34)</f>
        <v>16483188336</v>
      </c>
      <c r="AB34" s="155"/>
      <c r="AC34" s="147" t="s">
        <v>80</v>
      </c>
      <c r="AD34" s="155"/>
      <c r="AE34" s="151"/>
      <c r="AG34" s="211"/>
      <c r="AH34" s="153"/>
    </row>
    <row r="35" spans="1:37" s="152" customFormat="1" ht="85.9" customHeight="1" x14ac:dyDescent="0.25">
      <c r="A35" s="147"/>
      <c r="B35" s="70"/>
      <c r="C35" s="4" t="s">
        <v>94</v>
      </c>
      <c r="D35" s="2" t="s">
        <v>133</v>
      </c>
      <c r="E35" s="69">
        <v>2</v>
      </c>
      <c r="F35" s="65" t="s">
        <v>82</v>
      </c>
      <c r="G35" s="69">
        <v>102576000</v>
      </c>
      <c r="H35" s="69"/>
      <c r="I35" s="69"/>
      <c r="J35" s="166">
        <v>2</v>
      </c>
      <c r="K35" s="69">
        <v>634630000</v>
      </c>
      <c r="L35" s="166">
        <v>0</v>
      </c>
      <c r="M35" s="69">
        <f>156733500+9750000</f>
        <v>166483500</v>
      </c>
      <c r="N35" s="166">
        <v>1</v>
      </c>
      <c r="O35" s="69">
        <v>176670000</v>
      </c>
      <c r="P35" s="178">
        <v>1</v>
      </c>
      <c r="Q35" s="69">
        <f>366025805+9750000</f>
        <v>375775805</v>
      </c>
      <c r="R35" s="177"/>
      <c r="S35" s="148">
        <v>552445805</v>
      </c>
      <c r="T35" s="214">
        <f>SUM(L35,N35,P35,R35)</f>
        <v>2</v>
      </c>
      <c r="U35" s="214">
        <f>T35/J35*100</f>
        <v>100</v>
      </c>
      <c r="V35" s="223" t="s">
        <v>80</v>
      </c>
      <c r="W35" s="218">
        <f>SUM(M35,O35,Q35,S35)</f>
        <v>1271375110</v>
      </c>
      <c r="X35" s="216">
        <f>W35/K35*100</f>
        <v>200.33328238501173</v>
      </c>
      <c r="Y35" s="223" t="s">
        <v>80</v>
      </c>
      <c r="Z35" s="217">
        <f>SUM(H35,T35)</f>
        <v>2</v>
      </c>
      <c r="AA35" s="218">
        <f>SUM(I35,W35)</f>
        <v>1271375110</v>
      </c>
      <c r="AB35" s="149"/>
      <c r="AC35" s="150" t="s">
        <v>80</v>
      </c>
      <c r="AD35" s="149"/>
      <c r="AE35" s="151"/>
      <c r="AG35" s="211"/>
      <c r="AH35" s="153"/>
    </row>
    <row r="36" spans="1:37" s="152" customFormat="1" ht="69" customHeight="1" x14ac:dyDescent="0.25">
      <c r="A36" s="147"/>
      <c r="B36" s="70"/>
      <c r="C36" s="4" t="s">
        <v>83</v>
      </c>
      <c r="D36" s="2" t="s">
        <v>134</v>
      </c>
      <c r="E36" s="69">
        <v>10</v>
      </c>
      <c r="F36" s="65" t="s">
        <v>82</v>
      </c>
      <c r="G36" s="69">
        <v>0</v>
      </c>
      <c r="H36" s="69"/>
      <c r="I36" s="69"/>
      <c r="J36" s="166">
        <v>10</v>
      </c>
      <c r="K36" s="69">
        <v>2055805000</v>
      </c>
      <c r="L36" s="166">
        <v>0</v>
      </c>
      <c r="M36" s="69">
        <v>375746000</v>
      </c>
      <c r="N36" s="166">
        <v>4</v>
      </c>
      <c r="O36" s="69">
        <v>554800000</v>
      </c>
      <c r="P36" s="178">
        <v>6</v>
      </c>
      <c r="Q36" s="69">
        <v>1031783650</v>
      </c>
      <c r="R36" s="177"/>
      <c r="S36" s="148">
        <v>1586583650</v>
      </c>
      <c r="T36" s="214">
        <f>SUM(L36,N36,P36,R36)</f>
        <v>10</v>
      </c>
      <c r="U36" s="214">
        <f>T36/J36*100</f>
        <v>100</v>
      </c>
      <c r="V36" s="223" t="s">
        <v>80</v>
      </c>
      <c r="W36" s="218">
        <f>SUM(M36,O36,Q36,S36)</f>
        <v>3548913300</v>
      </c>
      <c r="X36" s="216">
        <f>W36/K36*100</f>
        <v>172.62888746743977</v>
      </c>
      <c r="Y36" s="223" t="s">
        <v>80</v>
      </c>
      <c r="Z36" s="217">
        <f>SUM(H36,T36)</f>
        <v>10</v>
      </c>
      <c r="AA36" s="218">
        <f>SUM(I36,W36)</f>
        <v>3548913300</v>
      </c>
      <c r="AB36" s="149"/>
      <c r="AC36" s="150" t="s">
        <v>80</v>
      </c>
      <c r="AD36" s="149"/>
      <c r="AE36" s="151"/>
      <c r="AG36" s="211"/>
      <c r="AH36" s="153"/>
    </row>
    <row r="37" spans="1:37" s="152" customFormat="1" ht="112.15" customHeight="1" x14ac:dyDescent="0.25">
      <c r="A37" s="147"/>
      <c r="B37" s="70"/>
      <c r="C37" s="4" t="s">
        <v>95</v>
      </c>
      <c r="D37" s="2" t="s">
        <v>135</v>
      </c>
      <c r="E37" s="69">
        <v>7</v>
      </c>
      <c r="F37" s="65" t="s">
        <v>82</v>
      </c>
      <c r="G37" s="69">
        <v>0</v>
      </c>
      <c r="H37" s="69"/>
      <c r="I37" s="69"/>
      <c r="J37" s="166">
        <v>7</v>
      </c>
      <c r="K37" s="69">
        <v>3367319250</v>
      </c>
      <c r="L37" s="166">
        <v>0</v>
      </c>
      <c r="M37" s="69">
        <v>189255000</v>
      </c>
      <c r="N37" s="166">
        <v>3</v>
      </c>
      <c r="O37" s="69">
        <v>189355000</v>
      </c>
      <c r="P37" s="178">
        <v>4</v>
      </c>
      <c r="Q37" s="69">
        <v>1716732788</v>
      </c>
      <c r="R37" s="177"/>
      <c r="S37" s="148">
        <v>1906087788</v>
      </c>
      <c r="T37" s="214">
        <f>SUM(L37,N37,P37,R37)</f>
        <v>7</v>
      </c>
      <c r="U37" s="214">
        <f>T37/J37*100</f>
        <v>100</v>
      </c>
      <c r="V37" s="223" t="s">
        <v>80</v>
      </c>
      <c r="W37" s="218">
        <f>SUM(M37,O37,Q37,S37)</f>
        <v>4001430576</v>
      </c>
      <c r="X37" s="216">
        <f>W37/K37*100</f>
        <v>118.83133967769761</v>
      </c>
      <c r="Y37" s="223" t="s">
        <v>80</v>
      </c>
      <c r="Z37" s="217">
        <f>SUM(H37,T37)</f>
        <v>7</v>
      </c>
      <c r="AA37" s="218">
        <f>SUM(I37,W37)</f>
        <v>4001430576</v>
      </c>
      <c r="AB37" s="149"/>
      <c r="AC37" s="150" t="s">
        <v>80</v>
      </c>
      <c r="AD37" s="149"/>
      <c r="AE37" s="151"/>
      <c r="AG37" s="211"/>
      <c r="AH37" s="153"/>
    </row>
    <row r="38" spans="1:37" s="152" customFormat="1" ht="94.5" x14ac:dyDescent="0.25">
      <c r="A38" s="147"/>
      <c r="B38" s="70"/>
      <c r="C38" s="4" t="s">
        <v>96</v>
      </c>
      <c r="D38" s="2" t="s">
        <v>136</v>
      </c>
      <c r="E38" s="69">
        <v>7</v>
      </c>
      <c r="F38" s="65" t="s">
        <v>82</v>
      </c>
      <c r="G38" s="69">
        <v>0</v>
      </c>
      <c r="H38" s="69"/>
      <c r="I38" s="69"/>
      <c r="J38" s="166">
        <v>7</v>
      </c>
      <c r="K38" s="69">
        <v>3768470000</v>
      </c>
      <c r="L38" s="166">
        <v>0</v>
      </c>
      <c r="M38" s="69">
        <f>595580350+3097200</f>
        <v>598677550</v>
      </c>
      <c r="N38" s="166">
        <v>3</v>
      </c>
      <c r="O38" s="69">
        <v>939000000</v>
      </c>
      <c r="P38" s="181">
        <v>4</v>
      </c>
      <c r="Q38" s="69">
        <f>2589298700+3097200</f>
        <v>2592395900</v>
      </c>
      <c r="R38" s="177"/>
      <c r="S38" s="148">
        <v>3531395900</v>
      </c>
      <c r="T38" s="221">
        <f>SUM(L38,N38,P38,R38)</f>
        <v>7</v>
      </c>
      <c r="U38" s="219">
        <f>T38/J38*100</f>
        <v>100</v>
      </c>
      <c r="V38" s="224" t="s">
        <v>80</v>
      </c>
      <c r="W38" s="220">
        <f>SUM(M38,O38,Q38,S38)</f>
        <v>7661469350</v>
      </c>
      <c r="X38" s="221">
        <f>W38/K38*100</f>
        <v>203.30450686883538</v>
      </c>
      <c r="Y38" s="224" t="s">
        <v>80</v>
      </c>
      <c r="Z38" s="222">
        <f>SUM(H38,T38)</f>
        <v>7</v>
      </c>
      <c r="AA38" s="220">
        <f>SUM(I38,W38)</f>
        <v>7661469350</v>
      </c>
      <c r="AB38" s="155"/>
      <c r="AC38" s="147" t="s">
        <v>80</v>
      </c>
      <c r="AD38" s="155"/>
      <c r="AE38" s="151"/>
      <c r="AG38" s="211"/>
      <c r="AH38" s="153"/>
    </row>
    <row r="39" spans="1:37" s="152" customFormat="1" ht="110.25" x14ac:dyDescent="0.25">
      <c r="A39" s="147"/>
      <c r="B39" s="70" t="s">
        <v>230</v>
      </c>
      <c r="C39" s="76" t="s">
        <v>97</v>
      </c>
      <c r="D39" s="7" t="s">
        <v>127</v>
      </c>
      <c r="E39" s="67">
        <v>100</v>
      </c>
      <c r="F39" s="66" t="s">
        <v>80</v>
      </c>
      <c r="G39" s="67">
        <f>G41+G44</f>
        <v>158039300</v>
      </c>
      <c r="H39" s="67"/>
      <c r="I39" s="67"/>
      <c r="J39" s="170">
        <v>100</v>
      </c>
      <c r="K39" s="67">
        <f>K41+K44</f>
        <v>303223050</v>
      </c>
      <c r="L39" s="170">
        <v>0</v>
      </c>
      <c r="M39" s="67">
        <f>M41+M44</f>
        <v>36194400</v>
      </c>
      <c r="N39" s="170">
        <v>25</v>
      </c>
      <c r="O39" s="67">
        <f>O41+O44</f>
        <v>54000000</v>
      </c>
      <c r="P39" s="182">
        <v>50</v>
      </c>
      <c r="Q39" s="67">
        <f>Q41+Q44</f>
        <v>54194400</v>
      </c>
      <c r="R39" s="182">
        <v>25</v>
      </c>
      <c r="S39" s="160">
        <v>108194400</v>
      </c>
      <c r="T39" s="242">
        <f>SUM(L39,N39,P39,R39)</f>
        <v>100</v>
      </c>
      <c r="U39" s="244">
        <f>T39/J39*100</f>
        <v>100</v>
      </c>
      <c r="V39" s="243" t="s">
        <v>80</v>
      </c>
      <c r="W39" s="245">
        <f>SUM(M39,O39,Q39,S39)</f>
        <v>252583200</v>
      </c>
      <c r="X39" s="242">
        <f>W39/K39*100</f>
        <v>83.299472121265183</v>
      </c>
      <c r="Y39" s="243" t="s">
        <v>80</v>
      </c>
      <c r="Z39" s="246">
        <f>SUM(H39,T39)</f>
        <v>100</v>
      </c>
      <c r="AA39" s="245">
        <f>SUM(I39,W39)</f>
        <v>252583200</v>
      </c>
      <c r="AB39" s="252"/>
      <c r="AC39" s="253"/>
      <c r="AD39" s="252"/>
      <c r="AE39" s="151"/>
      <c r="AG39" s="211"/>
      <c r="AH39" s="153"/>
    </row>
    <row r="40" spans="1:37" s="152" customFormat="1" ht="94.5" x14ac:dyDescent="0.25">
      <c r="A40" s="147"/>
      <c r="B40" s="70"/>
      <c r="C40" s="76"/>
      <c r="D40" s="159" t="s">
        <v>138</v>
      </c>
      <c r="E40" s="135">
        <v>100</v>
      </c>
      <c r="F40" s="134" t="s">
        <v>80</v>
      </c>
      <c r="G40" s="135"/>
      <c r="H40" s="135"/>
      <c r="I40" s="135"/>
      <c r="J40" s="171">
        <v>100</v>
      </c>
      <c r="K40" s="135"/>
      <c r="L40" s="171">
        <v>0</v>
      </c>
      <c r="M40" s="135"/>
      <c r="N40" s="171">
        <v>25</v>
      </c>
      <c r="O40" s="135"/>
      <c r="P40" s="182">
        <v>50</v>
      </c>
      <c r="Q40" s="135"/>
      <c r="R40" s="182">
        <v>25</v>
      </c>
      <c r="S40" s="158">
        <v>0</v>
      </c>
      <c r="T40" s="242">
        <f>SUM(L40,N40,P40,R40)</f>
        <v>100</v>
      </c>
      <c r="U40" s="244">
        <f>T40/J40*100</f>
        <v>100</v>
      </c>
      <c r="V40" s="243" t="s">
        <v>80</v>
      </c>
      <c r="W40" s="245">
        <f>SUM(M40,O40,Q40,S40)</f>
        <v>0</v>
      </c>
      <c r="X40" s="242"/>
      <c r="Y40" s="243" t="s">
        <v>80</v>
      </c>
      <c r="Z40" s="246">
        <f>SUM(H40,T40)</f>
        <v>100</v>
      </c>
      <c r="AA40" s="245">
        <f>SUM(I40,W40)</f>
        <v>0</v>
      </c>
      <c r="AB40" s="252"/>
      <c r="AC40" s="253"/>
      <c r="AD40" s="252"/>
      <c r="AE40" s="151"/>
      <c r="AG40" s="211"/>
      <c r="AH40" s="153"/>
    </row>
    <row r="41" spans="1:37" s="152" customFormat="1" ht="129" customHeight="1" x14ac:dyDescent="0.25">
      <c r="A41" s="147"/>
      <c r="B41" s="70"/>
      <c r="C41" s="3" t="s">
        <v>70</v>
      </c>
      <c r="D41" s="9" t="s">
        <v>244</v>
      </c>
      <c r="E41" s="72">
        <v>12</v>
      </c>
      <c r="F41" s="14" t="s">
        <v>167</v>
      </c>
      <c r="G41" s="72">
        <f>G42+G43</f>
        <v>117761300</v>
      </c>
      <c r="H41" s="72"/>
      <c r="I41" s="72"/>
      <c r="J41" s="168">
        <v>12</v>
      </c>
      <c r="K41" s="72">
        <f>K42+K43</f>
        <v>208145850</v>
      </c>
      <c r="L41" s="168">
        <v>3</v>
      </c>
      <c r="M41" s="72">
        <f>M42+M43</f>
        <v>18097200</v>
      </c>
      <c r="N41" s="168">
        <v>3</v>
      </c>
      <c r="O41" s="72">
        <f>O42+O43</f>
        <v>27000000</v>
      </c>
      <c r="P41" s="168">
        <v>3</v>
      </c>
      <c r="Q41" s="72">
        <f>Q42+Q43</f>
        <v>27097200</v>
      </c>
      <c r="R41" s="183">
        <v>3</v>
      </c>
      <c r="S41" s="154">
        <v>54097200</v>
      </c>
      <c r="T41" s="225">
        <f>SUM(L41,N41,P41,R41)</f>
        <v>12</v>
      </c>
      <c r="U41" s="219">
        <f>T41/J41*100</f>
        <v>100</v>
      </c>
      <c r="V41" s="224" t="s">
        <v>80</v>
      </c>
      <c r="W41" s="220">
        <f>SUM(M41,O41,Q41,S41)</f>
        <v>126291600</v>
      </c>
      <c r="X41" s="221">
        <f>W41/K41*100</f>
        <v>60.674570259267725</v>
      </c>
      <c r="Y41" s="224" t="s">
        <v>80</v>
      </c>
      <c r="Z41" s="226">
        <f>SUM(H41,T41)</f>
        <v>12</v>
      </c>
      <c r="AA41" s="220">
        <f>SUM(I41,W41)</f>
        <v>126291600</v>
      </c>
      <c r="AB41" s="155"/>
      <c r="AC41" s="147" t="s">
        <v>80</v>
      </c>
      <c r="AD41" s="155"/>
      <c r="AE41" s="151"/>
      <c r="AG41" s="211"/>
      <c r="AH41" s="153"/>
    </row>
    <row r="42" spans="1:37" s="152" customFormat="1" ht="112.15" customHeight="1" x14ac:dyDescent="0.25">
      <c r="A42" s="147"/>
      <c r="B42" s="70"/>
      <c r="C42" s="4" t="s">
        <v>71</v>
      </c>
      <c r="D42" s="78" t="s">
        <v>140</v>
      </c>
      <c r="E42" s="69">
        <v>24</v>
      </c>
      <c r="F42" s="14" t="s">
        <v>85</v>
      </c>
      <c r="G42" s="69">
        <v>94364300</v>
      </c>
      <c r="H42" s="72"/>
      <c r="I42" s="69"/>
      <c r="J42" s="168">
        <v>48</v>
      </c>
      <c r="K42" s="69">
        <v>143006050</v>
      </c>
      <c r="L42" s="168">
        <v>0</v>
      </c>
      <c r="M42" s="69">
        <f>15000000+3097200</f>
        <v>18097200</v>
      </c>
      <c r="N42" s="168">
        <v>24</v>
      </c>
      <c r="O42" s="69">
        <v>27000000</v>
      </c>
      <c r="P42" s="168">
        <v>12</v>
      </c>
      <c r="Q42" s="69">
        <f>24000000+3097200</f>
        <v>27097200</v>
      </c>
      <c r="R42" s="183">
        <v>12</v>
      </c>
      <c r="S42" s="154">
        <v>54097200</v>
      </c>
      <c r="T42" s="225">
        <f>SUM(L42,N42,P42,R42)</f>
        <v>48</v>
      </c>
      <c r="U42" s="219">
        <f>T42/J42*100</f>
        <v>100</v>
      </c>
      <c r="V42" s="224" t="s">
        <v>80</v>
      </c>
      <c r="W42" s="220">
        <f>SUM(M42,O42,Q42,S42)</f>
        <v>126291600</v>
      </c>
      <c r="X42" s="221">
        <f>W42/K42*100</f>
        <v>88.312067916007749</v>
      </c>
      <c r="Y42" s="224" t="s">
        <v>80</v>
      </c>
      <c r="Z42" s="226">
        <f>SUM(H42,T42)</f>
        <v>48</v>
      </c>
      <c r="AA42" s="220">
        <f>SUM(I42,W42)</f>
        <v>126291600</v>
      </c>
      <c r="AB42" s="155"/>
      <c r="AC42" s="147" t="s">
        <v>80</v>
      </c>
      <c r="AD42" s="155"/>
      <c r="AE42" s="151"/>
      <c r="AG42" s="211"/>
      <c r="AH42" s="153"/>
    </row>
    <row r="43" spans="1:37" s="152" customFormat="1" ht="105.6" customHeight="1" x14ac:dyDescent="0.25">
      <c r="A43" s="147"/>
      <c r="B43" s="70"/>
      <c r="C43" s="4" t="s">
        <v>98</v>
      </c>
      <c r="D43" s="78" t="s">
        <v>141</v>
      </c>
      <c r="E43" s="69">
        <v>12</v>
      </c>
      <c r="F43" s="14" t="s">
        <v>86</v>
      </c>
      <c r="G43" s="69">
        <v>23397000</v>
      </c>
      <c r="H43" s="72"/>
      <c r="I43" s="69"/>
      <c r="J43" s="168">
        <v>6</v>
      </c>
      <c r="K43" s="69">
        <v>65139800</v>
      </c>
      <c r="L43" s="168">
        <v>0</v>
      </c>
      <c r="M43" s="69">
        <v>0</v>
      </c>
      <c r="N43" s="168">
        <v>3</v>
      </c>
      <c r="O43" s="69">
        <v>0</v>
      </c>
      <c r="P43" s="168">
        <v>0</v>
      </c>
      <c r="Q43" s="69"/>
      <c r="R43" s="183">
        <v>3</v>
      </c>
      <c r="S43" s="154">
        <v>0</v>
      </c>
      <c r="T43" s="225">
        <f>SUM(L43,N43,P43,R43)</f>
        <v>6</v>
      </c>
      <c r="U43" s="219">
        <f>T43/J43*100</f>
        <v>100</v>
      </c>
      <c r="V43" s="224" t="s">
        <v>80</v>
      </c>
      <c r="W43" s="220">
        <f>SUM(M43,O43,Q43,S43)</f>
        <v>0</v>
      </c>
      <c r="X43" s="221">
        <f>W43/K43*100</f>
        <v>0</v>
      </c>
      <c r="Y43" s="224" t="s">
        <v>80</v>
      </c>
      <c r="Z43" s="226">
        <f>SUM(H43,T43)</f>
        <v>6</v>
      </c>
      <c r="AA43" s="220">
        <f>SUM(I43,W43)</f>
        <v>0</v>
      </c>
      <c r="AB43" s="155"/>
      <c r="AC43" s="147" t="s">
        <v>80</v>
      </c>
      <c r="AD43" s="155"/>
      <c r="AE43" s="151"/>
      <c r="AG43" s="211"/>
      <c r="AH43" s="153"/>
    </row>
    <row r="44" spans="1:37" s="152" customFormat="1" ht="123.6" customHeight="1" x14ac:dyDescent="0.25">
      <c r="A44" s="147"/>
      <c r="B44" s="70"/>
      <c r="C44" s="3" t="s">
        <v>72</v>
      </c>
      <c r="D44" s="9" t="str">
        <f>[2]Cascading!$Y$31</f>
        <v xml:space="preserve">Persentase daging sapi dan unggas yang ASUH (Aman, Sehat, Utuh, dan Halal) </v>
      </c>
      <c r="E44" s="72">
        <v>100</v>
      </c>
      <c r="F44" s="14" t="s">
        <v>80</v>
      </c>
      <c r="G44" s="72">
        <f>G45</f>
        <v>40278000</v>
      </c>
      <c r="H44" s="72"/>
      <c r="I44" s="72"/>
      <c r="J44" s="168">
        <v>100</v>
      </c>
      <c r="K44" s="72">
        <f>K45</f>
        <v>95077200</v>
      </c>
      <c r="L44" s="168">
        <v>0</v>
      </c>
      <c r="M44" s="72">
        <f>M45</f>
        <v>18097200</v>
      </c>
      <c r="N44" s="168">
        <v>100</v>
      </c>
      <c r="O44" s="72">
        <f>O45</f>
        <v>27000000</v>
      </c>
      <c r="P44" s="168">
        <v>0</v>
      </c>
      <c r="Q44" s="72">
        <f>Q45</f>
        <v>27097200</v>
      </c>
      <c r="R44" s="183"/>
      <c r="S44" s="154">
        <v>54097200</v>
      </c>
      <c r="T44" s="225">
        <f>SUM(L44,N44,P44,R44)</f>
        <v>100</v>
      </c>
      <c r="U44" s="219">
        <f>T44/J44*100</f>
        <v>100</v>
      </c>
      <c r="V44" s="224" t="s">
        <v>80</v>
      </c>
      <c r="W44" s="220">
        <f>SUM(M44,O44,Q44,S44)</f>
        <v>126291600</v>
      </c>
      <c r="X44" s="221">
        <f>W44/K44*100</f>
        <v>132.83058398859032</v>
      </c>
      <c r="Y44" s="224" t="s">
        <v>80</v>
      </c>
      <c r="Z44" s="226">
        <f>SUM(H44,T44)</f>
        <v>100</v>
      </c>
      <c r="AA44" s="220">
        <f>SUM(I44,W44)</f>
        <v>126291600</v>
      </c>
      <c r="AB44" s="155"/>
      <c r="AC44" s="147" t="s">
        <v>80</v>
      </c>
      <c r="AD44" s="155"/>
      <c r="AE44" s="151"/>
      <c r="AG44" s="211"/>
      <c r="AH44" s="153"/>
    </row>
    <row r="45" spans="1:37" s="152" customFormat="1" ht="108.6" customHeight="1" x14ac:dyDescent="0.25">
      <c r="A45" s="147"/>
      <c r="B45" s="70"/>
      <c r="C45" s="4" t="s">
        <v>73</v>
      </c>
      <c r="D45" s="78" t="s">
        <v>142</v>
      </c>
      <c r="E45" s="69">
        <v>1</v>
      </c>
      <c r="F45" s="14" t="s">
        <v>85</v>
      </c>
      <c r="G45" s="69">
        <v>40278000</v>
      </c>
      <c r="H45" s="72"/>
      <c r="I45" s="69"/>
      <c r="J45" s="168">
        <v>2</v>
      </c>
      <c r="K45" s="69">
        <v>95077200</v>
      </c>
      <c r="L45" s="168">
        <v>0</v>
      </c>
      <c r="M45" s="69">
        <f>15000000+3097200</f>
        <v>18097200</v>
      </c>
      <c r="N45" s="168">
        <v>2</v>
      </c>
      <c r="O45" s="69">
        <v>27000000</v>
      </c>
      <c r="P45" s="183">
        <v>0</v>
      </c>
      <c r="Q45" s="69">
        <f>24000000+3097200</f>
        <v>27097200</v>
      </c>
      <c r="R45" s="183"/>
      <c r="S45" s="154">
        <v>54097200</v>
      </c>
      <c r="T45" s="225">
        <f>SUM(L45,N45,P45,R45)</f>
        <v>2</v>
      </c>
      <c r="U45" s="219">
        <f>T45/J45*100</f>
        <v>100</v>
      </c>
      <c r="V45" s="224" t="s">
        <v>80</v>
      </c>
      <c r="W45" s="220">
        <f>SUM(M45,O45,Q45,S45)</f>
        <v>126291600</v>
      </c>
      <c r="X45" s="221">
        <f>W45/K45*100</f>
        <v>132.83058398859032</v>
      </c>
      <c r="Y45" s="224" t="s">
        <v>80</v>
      </c>
      <c r="Z45" s="226">
        <f>SUM(H45,T45)</f>
        <v>2</v>
      </c>
      <c r="AA45" s="220">
        <f>SUM(I45,W45)</f>
        <v>126291600</v>
      </c>
      <c r="AB45" s="155"/>
      <c r="AC45" s="147" t="s">
        <v>80</v>
      </c>
      <c r="AD45" s="155"/>
      <c r="AE45" s="151"/>
      <c r="AG45" s="211"/>
      <c r="AH45" s="153"/>
    </row>
    <row r="46" spans="1:37" s="152" customFormat="1" ht="97.15" customHeight="1" x14ac:dyDescent="0.25">
      <c r="A46" s="147"/>
      <c r="B46" s="70" t="s">
        <v>231</v>
      </c>
      <c r="C46" s="76" t="s">
        <v>99</v>
      </c>
      <c r="D46" s="11" t="s">
        <v>143</v>
      </c>
      <c r="E46" s="77">
        <v>63.41</v>
      </c>
      <c r="F46" s="66" t="s">
        <v>80</v>
      </c>
      <c r="G46" s="67">
        <f>G49</f>
        <v>382266000</v>
      </c>
      <c r="H46" s="67"/>
      <c r="I46" s="67"/>
      <c r="J46" s="170">
        <v>90</v>
      </c>
      <c r="K46" s="67">
        <f>K47</f>
        <v>415050966</v>
      </c>
      <c r="L46" s="170">
        <v>97.68</v>
      </c>
      <c r="M46" s="67">
        <f>M47</f>
        <v>173653900</v>
      </c>
      <c r="N46" s="169">
        <v>87.52</v>
      </c>
      <c r="O46" s="67">
        <f>O47</f>
        <v>45605500</v>
      </c>
      <c r="P46" s="184">
        <v>99.88</v>
      </c>
      <c r="Q46" s="67">
        <f>Q47</f>
        <v>67873820</v>
      </c>
      <c r="R46" s="184" t="s">
        <v>274</v>
      </c>
      <c r="S46" s="254">
        <v>113479320</v>
      </c>
      <c r="T46" s="255">
        <f>SUM(L46,N46,P46,R46)</f>
        <v>285.08</v>
      </c>
      <c r="U46" s="244">
        <f>T46/J46*100</f>
        <v>316.75555555555553</v>
      </c>
      <c r="V46" s="243" t="s">
        <v>80</v>
      </c>
      <c r="W46" s="245">
        <f>SUM(M46,O46,Q46,S46)</f>
        <v>400612540</v>
      </c>
      <c r="X46" s="242">
        <f>W46/K46*100</f>
        <v>96.521288424130546</v>
      </c>
      <c r="Y46" s="243" t="s">
        <v>80</v>
      </c>
      <c r="Z46" s="256">
        <f>SUM(H46,T46)</f>
        <v>285.08</v>
      </c>
      <c r="AA46" s="245">
        <f>SUM(I46,W46)</f>
        <v>400612540</v>
      </c>
      <c r="AB46" s="252"/>
      <c r="AC46" s="253" t="s">
        <v>80</v>
      </c>
      <c r="AD46" s="252"/>
      <c r="AE46" s="151"/>
      <c r="AG46" s="211"/>
      <c r="AH46" s="153"/>
      <c r="AI46" s="200"/>
      <c r="AJ46" s="201"/>
      <c r="AK46" s="201"/>
    </row>
    <row r="47" spans="1:37" s="152" customFormat="1" ht="140.44999999999999" customHeight="1" x14ac:dyDescent="0.25">
      <c r="A47" s="147"/>
      <c r="B47" s="70"/>
      <c r="C47" s="3" t="s">
        <v>74</v>
      </c>
      <c r="D47" s="12" t="s">
        <v>144</v>
      </c>
      <c r="E47" s="69">
        <v>510</v>
      </c>
      <c r="F47" s="65" t="s">
        <v>168</v>
      </c>
      <c r="G47" s="69">
        <f>G49</f>
        <v>382266000</v>
      </c>
      <c r="H47" s="69"/>
      <c r="I47" s="69"/>
      <c r="J47" s="166">
        <v>475</v>
      </c>
      <c r="K47" s="69">
        <f>K49+K50+K51</f>
        <v>415050966</v>
      </c>
      <c r="L47" s="166">
        <v>0</v>
      </c>
      <c r="M47" s="69">
        <f>M49+M50+M51</f>
        <v>173653900</v>
      </c>
      <c r="N47" s="166">
        <v>350</v>
      </c>
      <c r="O47" s="69">
        <f>O49+O50+O51</f>
        <v>45605500</v>
      </c>
      <c r="P47" s="183"/>
      <c r="Q47" s="69">
        <f>Q49+Q50+Q51</f>
        <v>67873820</v>
      </c>
      <c r="R47" s="183">
        <v>125</v>
      </c>
      <c r="S47" s="202">
        <v>113479320</v>
      </c>
      <c r="T47" s="227">
        <f>SUM(L47,N47,P47,R47)</f>
        <v>475</v>
      </c>
      <c r="U47" s="214">
        <f>T47/J47*100</f>
        <v>100</v>
      </c>
      <c r="V47" s="223" t="s">
        <v>80</v>
      </c>
      <c r="W47" s="220">
        <f>SUM(M47,O47,Q47,S47)</f>
        <v>400612540</v>
      </c>
      <c r="X47" s="221">
        <f>W47/K47*100</f>
        <v>96.521288424130546</v>
      </c>
      <c r="Y47" s="223" t="s">
        <v>80</v>
      </c>
      <c r="Z47" s="228">
        <f>SUM(H47,T47)</f>
        <v>475</v>
      </c>
      <c r="AA47" s="220">
        <f>SUM(I47,W47)</f>
        <v>400612540</v>
      </c>
      <c r="AB47" s="155"/>
      <c r="AC47" s="147" t="s">
        <v>80</v>
      </c>
      <c r="AD47" s="155"/>
      <c r="AE47" s="151"/>
      <c r="AG47" s="211"/>
      <c r="AH47" s="153"/>
      <c r="AI47" s="200"/>
    </row>
    <row r="48" spans="1:37" s="152" customFormat="1" ht="99" customHeight="1" x14ac:dyDescent="0.25">
      <c r="A48" s="147"/>
      <c r="B48" s="70"/>
      <c r="C48" s="3"/>
      <c r="D48" s="9" t="s">
        <v>145</v>
      </c>
      <c r="E48" s="69">
        <v>1000</v>
      </c>
      <c r="F48" s="65" t="s">
        <v>81</v>
      </c>
      <c r="G48" s="69">
        <f>G50</f>
        <v>59100000</v>
      </c>
      <c r="H48" s="69"/>
      <c r="I48" s="69"/>
      <c r="J48" s="166">
        <v>1000</v>
      </c>
      <c r="K48" s="69"/>
      <c r="L48" s="166">
        <v>0</v>
      </c>
      <c r="M48" s="69"/>
      <c r="N48" s="166">
        <v>798.9</v>
      </c>
      <c r="O48" s="69"/>
      <c r="P48" s="203">
        <v>129.97</v>
      </c>
      <c r="Q48" s="69"/>
      <c r="R48" s="183"/>
      <c r="S48" s="202">
        <v>0</v>
      </c>
      <c r="T48" s="227">
        <f>SUM(L48,N48,P48,R48)</f>
        <v>928.87</v>
      </c>
      <c r="U48" s="214">
        <f>T48/J48*100</f>
        <v>92.887</v>
      </c>
      <c r="V48" s="223" t="s">
        <v>80</v>
      </c>
      <c r="W48" s="220">
        <f>SUM(M48,O48,Q48,S48)</f>
        <v>0</v>
      </c>
      <c r="X48" s="221" t="e">
        <f>W48/K48*100</f>
        <v>#DIV/0!</v>
      </c>
      <c r="Y48" s="223" t="s">
        <v>80</v>
      </c>
      <c r="Z48" s="228">
        <f>SUM(H48,T48)</f>
        <v>928.87</v>
      </c>
      <c r="AA48" s="220">
        <f>SUM(I48,W48)</f>
        <v>0</v>
      </c>
      <c r="AB48" s="155"/>
      <c r="AC48" s="147" t="s">
        <v>80</v>
      </c>
      <c r="AD48" s="155"/>
      <c r="AE48" s="151"/>
      <c r="AG48" s="211"/>
      <c r="AH48" s="153"/>
      <c r="AI48" s="200"/>
    </row>
    <row r="49" spans="1:42" s="152" customFormat="1" ht="149.25" customHeight="1" x14ac:dyDescent="0.25">
      <c r="A49" s="147"/>
      <c r="B49" s="70"/>
      <c r="C49" s="4" t="s">
        <v>100</v>
      </c>
      <c r="D49" s="9" t="s">
        <v>146</v>
      </c>
      <c r="E49" s="69">
        <v>735</v>
      </c>
      <c r="F49" s="65" t="s">
        <v>168</v>
      </c>
      <c r="G49" s="69">
        <v>382266000</v>
      </c>
      <c r="H49" s="69"/>
      <c r="I49" s="69"/>
      <c r="J49" s="166">
        <v>475</v>
      </c>
      <c r="K49" s="69">
        <v>290199800</v>
      </c>
      <c r="L49" s="166">
        <v>0</v>
      </c>
      <c r="M49" s="69">
        <f>99645000+44617900</f>
        <v>144262900</v>
      </c>
      <c r="N49" s="166">
        <v>350</v>
      </c>
      <c r="O49" s="69">
        <v>38324500</v>
      </c>
      <c r="P49" s="185"/>
      <c r="Q49" s="69">
        <v>14050500</v>
      </c>
      <c r="R49" s="185">
        <v>125</v>
      </c>
      <c r="S49" s="204">
        <v>52375000</v>
      </c>
      <c r="T49" s="227">
        <f>SUM(L49,N49,P49,R49)</f>
        <v>475</v>
      </c>
      <c r="U49" s="214">
        <f>T49/J49*100</f>
        <v>100</v>
      </c>
      <c r="V49" s="223" t="s">
        <v>80</v>
      </c>
      <c r="W49" s="220">
        <f>SUM(M49,O49,Q49,S49)</f>
        <v>249012900</v>
      </c>
      <c r="X49" s="221">
        <f>W49/K49*100</f>
        <v>85.807398902411364</v>
      </c>
      <c r="Y49" s="223" t="s">
        <v>80</v>
      </c>
      <c r="Z49" s="228">
        <f>SUM(H49,T49)</f>
        <v>475</v>
      </c>
      <c r="AA49" s="220">
        <f>SUM(I49,W49)</f>
        <v>249012900</v>
      </c>
      <c r="AB49" s="149"/>
      <c r="AC49" s="150" t="s">
        <v>80</v>
      </c>
      <c r="AD49" s="149"/>
      <c r="AE49" s="151"/>
      <c r="AG49" s="211"/>
      <c r="AH49" s="153"/>
      <c r="AI49" s="201"/>
      <c r="AJ49" s="201"/>
      <c r="AK49" s="205"/>
      <c r="AN49" s="201"/>
      <c r="AO49" s="201"/>
      <c r="AP49" s="201"/>
    </row>
    <row r="50" spans="1:42" s="152" customFormat="1" ht="115.9" customHeight="1" x14ac:dyDescent="0.25">
      <c r="A50" s="147"/>
      <c r="B50" s="70"/>
      <c r="C50" s="4" t="s">
        <v>101</v>
      </c>
      <c r="D50" s="9" t="s">
        <v>147</v>
      </c>
      <c r="E50" s="69">
        <v>1000</v>
      </c>
      <c r="F50" s="65" t="s">
        <v>81</v>
      </c>
      <c r="G50" s="69">
        <v>59100000</v>
      </c>
      <c r="H50" s="69"/>
      <c r="I50" s="69"/>
      <c r="J50" s="166">
        <v>1000</v>
      </c>
      <c r="K50" s="69">
        <v>82548000</v>
      </c>
      <c r="L50" s="166">
        <v>0</v>
      </c>
      <c r="M50" s="69">
        <v>17100000</v>
      </c>
      <c r="N50" s="167">
        <v>789.9</v>
      </c>
      <c r="O50" s="69">
        <v>2855000</v>
      </c>
      <c r="P50" s="203">
        <v>129.87</v>
      </c>
      <c r="Q50" s="69">
        <f>47232320-13200000</f>
        <v>34032320</v>
      </c>
      <c r="R50" s="185"/>
      <c r="S50" s="204">
        <v>36887320</v>
      </c>
      <c r="T50" s="227">
        <f>SUM(L50,N50,P50,R50)</f>
        <v>919.77</v>
      </c>
      <c r="U50" s="214">
        <f>T50/J50*100</f>
        <v>91.977000000000004</v>
      </c>
      <c r="V50" s="223" t="s">
        <v>80</v>
      </c>
      <c r="W50" s="220">
        <f>SUM(M50,O50,Q50,S50)</f>
        <v>90874640</v>
      </c>
      <c r="X50" s="221">
        <f>W50/K50*100</f>
        <v>110.08702815331685</v>
      </c>
      <c r="Y50" s="223" t="s">
        <v>80</v>
      </c>
      <c r="Z50" s="228">
        <f>SUM(H50,T50)</f>
        <v>919.77</v>
      </c>
      <c r="AA50" s="220">
        <f>SUM(I50,W50)</f>
        <v>90874640</v>
      </c>
      <c r="AB50" s="149"/>
      <c r="AC50" s="150" t="s">
        <v>80</v>
      </c>
      <c r="AD50" s="149"/>
      <c r="AE50" s="151"/>
      <c r="AG50" s="211"/>
      <c r="AH50" s="153"/>
      <c r="AI50" s="201"/>
      <c r="AJ50" s="201"/>
      <c r="AN50" s="201"/>
      <c r="AP50" s="201"/>
    </row>
    <row r="51" spans="1:42" s="152" customFormat="1" ht="127.9" customHeight="1" x14ac:dyDescent="0.25">
      <c r="A51" s="147"/>
      <c r="B51" s="70"/>
      <c r="C51" s="4" t="s">
        <v>102</v>
      </c>
      <c r="D51" s="9" t="s">
        <v>148</v>
      </c>
      <c r="E51" s="69">
        <v>0</v>
      </c>
      <c r="F51" s="65" t="s">
        <v>85</v>
      </c>
      <c r="G51" s="69">
        <v>0</v>
      </c>
      <c r="H51" s="69"/>
      <c r="I51" s="69"/>
      <c r="J51" s="166">
        <v>20</v>
      </c>
      <c r="K51" s="69">
        <v>42303166</v>
      </c>
      <c r="L51" s="166">
        <v>0</v>
      </c>
      <c r="M51" s="69">
        <v>12291000</v>
      </c>
      <c r="N51" s="166">
        <v>10</v>
      </c>
      <c r="O51" s="69">
        <v>4426000</v>
      </c>
      <c r="P51" s="185">
        <v>10</v>
      </c>
      <c r="Q51" s="69">
        <v>19791000</v>
      </c>
      <c r="R51" s="185"/>
      <c r="S51" s="204">
        <v>24217000</v>
      </c>
      <c r="T51" s="227">
        <f>SUM(L51,N51,P51,R51)</f>
        <v>20</v>
      </c>
      <c r="U51" s="214">
        <f>T51/J51*100</f>
        <v>100</v>
      </c>
      <c r="V51" s="223" t="s">
        <v>80</v>
      </c>
      <c r="W51" s="220">
        <f>SUM(M51,O51,Q51,S51)</f>
        <v>60725000</v>
      </c>
      <c r="X51" s="221">
        <f>W51/K51*100</f>
        <v>143.54717564165293</v>
      </c>
      <c r="Y51" s="223" t="s">
        <v>80</v>
      </c>
      <c r="Z51" s="228">
        <f>SUM(H51,T51)</f>
        <v>20</v>
      </c>
      <c r="AA51" s="220">
        <f>SUM(I51,W51)</f>
        <v>60725000</v>
      </c>
      <c r="AB51" s="149"/>
      <c r="AC51" s="150" t="s">
        <v>80</v>
      </c>
      <c r="AD51" s="149"/>
      <c r="AE51" s="151"/>
      <c r="AG51" s="211"/>
      <c r="AH51" s="153"/>
      <c r="AI51" s="201"/>
    </row>
    <row r="52" spans="1:42" s="152" customFormat="1" ht="124.9" customHeight="1" x14ac:dyDescent="0.25">
      <c r="A52" s="147"/>
      <c r="B52" s="70" t="s">
        <v>232</v>
      </c>
      <c r="C52" s="1" t="s">
        <v>103</v>
      </c>
      <c r="D52" s="13" t="s">
        <v>245</v>
      </c>
      <c r="E52" s="79" t="s">
        <v>169</v>
      </c>
      <c r="F52" s="66" t="s">
        <v>80</v>
      </c>
      <c r="G52" s="67">
        <f>G53</f>
        <v>316936000</v>
      </c>
      <c r="H52" s="79"/>
      <c r="I52" s="67"/>
      <c r="J52" s="172" t="s">
        <v>199</v>
      </c>
      <c r="K52" s="67">
        <f>K53</f>
        <v>241707400</v>
      </c>
      <c r="L52" s="172" t="s">
        <v>202</v>
      </c>
      <c r="M52" s="67">
        <f>M53</f>
        <v>33212000</v>
      </c>
      <c r="N52" s="172" t="s">
        <v>206</v>
      </c>
      <c r="O52" s="67">
        <f>O53</f>
        <v>31739800</v>
      </c>
      <c r="P52" s="186">
        <v>4</v>
      </c>
      <c r="Q52" s="67">
        <f>Q53</f>
        <v>45836000</v>
      </c>
      <c r="R52" s="186">
        <v>5</v>
      </c>
      <c r="S52" s="158">
        <v>77575800</v>
      </c>
      <c r="T52" s="247">
        <f>SUM(L52,N52,P52,R52)</f>
        <v>9</v>
      </c>
      <c r="U52" s="237">
        <f>T52/J52*100</f>
        <v>180</v>
      </c>
      <c r="V52" s="238" t="s">
        <v>80</v>
      </c>
      <c r="W52" s="245">
        <f>SUM(M52,O52,Q52,S52)</f>
        <v>188363600</v>
      </c>
      <c r="X52" s="242">
        <f>W52/K52*100</f>
        <v>77.930423313477377</v>
      </c>
      <c r="Y52" s="238" t="s">
        <v>80</v>
      </c>
      <c r="Z52" s="247">
        <f>SUM(H52,T52)</f>
        <v>9</v>
      </c>
      <c r="AA52" s="245">
        <f>SUM(I52,W52)</f>
        <v>188363600</v>
      </c>
      <c r="AB52" s="250"/>
      <c r="AC52" s="251" t="s">
        <v>80</v>
      </c>
      <c r="AD52" s="250"/>
      <c r="AE52" s="151"/>
      <c r="AF52" s="206"/>
      <c r="AG52" s="211"/>
      <c r="AH52" s="153"/>
    </row>
    <row r="53" spans="1:42" s="152" customFormat="1" ht="97.9" customHeight="1" x14ac:dyDescent="0.25">
      <c r="A53" s="147"/>
      <c r="B53" s="70"/>
      <c r="C53" s="70" t="s">
        <v>75</v>
      </c>
      <c r="D53" s="5" t="s">
        <v>150</v>
      </c>
      <c r="E53" s="80" t="s">
        <v>170</v>
      </c>
      <c r="F53" s="14" t="s">
        <v>80</v>
      </c>
      <c r="G53" s="72">
        <f>G54</f>
        <v>316936000</v>
      </c>
      <c r="H53" s="80"/>
      <c r="I53" s="72"/>
      <c r="J53" s="173" t="s">
        <v>200</v>
      </c>
      <c r="K53" s="72">
        <f>K54</f>
        <v>241707400</v>
      </c>
      <c r="L53" s="173" t="s">
        <v>202</v>
      </c>
      <c r="M53" s="72">
        <f>M54</f>
        <v>33212000</v>
      </c>
      <c r="N53" s="173" t="s">
        <v>199</v>
      </c>
      <c r="O53" s="72">
        <f>O54</f>
        <v>31739800</v>
      </c>
      <c r="P53" s="185">
        <v>8</v>
      </c>
      <c r="Q53" s="72">
        <f>Q54</f>
        <v>45836000</v>
      </c>
      <c r="R53" s="185">
        <v>10</v>
      </c>
      <c r="S53" s="148">
        <v>77575800</v>
      </c>
      <c r="T53" s="229">
        <f>SUM(L53,N53,P53,R53)</f>
        <v>18</v>
      </c>
      <c r="U53" s="214">
        <f>T53/J53*100</f>
        <v>180</v>
      </c>
      <c r="V53" s="223" t="s">
        <v>80</v>
      </c>
      <c r="W53" s="220">
        <f>SUM(M53,O53,Q53,S53)</f>
        <v>188363600</v>
      </c>
      <c r="X53" s="221">
        <f>W53/K53*100</f>
        <v>77.930423313477377</v>
      </c>
      <c r="Y53" s="223" t="s">
        <v>80</v>
      </c>
      <c r="Z53" s="229">
        <f>SUM(H53,T53)</f>
        <v>18</v>
      </c>
      <c r="AA53" s="220">
        <f>SUM(I53,W53)</f>
        <v>188363600</v>
      </c>
      <c r="AB53" s="149"/>
      <c r="AC53" s="150" t="s">
        <v>80</v>
      </c>
      <c r="AD53" s="149"/>
      <c r="AE53" s="151"/>
      <c r="AG53" s="211"/>
      <c r="AH53" s="153"/>
    </row>
    <row r="54" spans="1:42" s="152" customFormat="1" ht="83.25" customHeight="1" x14ac:dyDescent="0.25">
      <c r="A54" s="147"/>
      <c r="B54" s="70"/>
      <c r="C54" s="2" t="s">
        <v>76</v>
      </c>
      <c r="D54" s="9" t="s">
        <v>151</v>
      </c>
      <c r="E54" s="69" t="s">
        <v>171</v>
      </c>
      <c r="F54" s="65" t="s">
        <v>172</v>
      </c>
      <c r="G54" s="69">
        <v>316936000</v>
      </c>
      <c r="H54" s="69"/>
      <c r="I54" s="69"/>
      <c r="J54" s="166">
        <v>30</v>
      </c>
      <c r="K54" s="69">
        <v>241707400</v>
      </c>
      <c r="L54" s="166">
        <v>0</v>
      </c>
      <c r="M54" s="69">
        <f>15000000+18212000</f>
        <v>33212000</v>
      </c>
      <c r="N54" s="166">
        <v>15</v>
      </c>
      <c r="O54" s="69">
        <v>31739800</v>
      </c>
      <c r="P54" s="185">
        <v>17</v>
      </c>
      <c r="Q54" s="69">
        <f>24000000+21836000</f>
        <v>45836000</v>
      </c>
      <c r="R54" s="185">
        <v>30</v>
      </c>
      <c r="S54" s="148">
        <v>77575800</v>
      </c>
      <c r="T54" s="229">
        <f>SUM(L54,N54,P54,R54)</f>
        <v>62</v>
      </c>
      <c r="U54" s="214">
        <f>T54/J54*100</f>
        <v>206.66666666666669</v>
      </c>
      <c r="V54" s="223" t="s">
        <v>80</v>
      </c>
      <c r="W54" s="220">
        <f>SUM(M54,O54,Q54,S54)</f>
        <v>188363600</v>
      </c>
      <c r="X54" s="221">
        <f>W54/K54*100</f>
        <v>77.930423313477377</v>
      </c>
      <c r="Y54" s="223" t="s">
        <v>80</v>
      </c>
      <c r="Z54" s="229">
        <f>SUM(H54,T54)</f>
        <v>62</v>
      </c>
      <c r="AA54" s="220">
        <f>SUM(I54,W54)</f>
        <v>188363600</v>
      </c>
      <c r="AB54" s="149"/>
      <c r="AC54" s="150" t="s">
        <v>80</v>
      </c>
      <c r="AD54" s="149"/>
      <c r="AE54" s="151"/>
      <c r="AF54" s="207"/>
      <c r="AG54" s="211"/>
      <c r="AH54" s="153"/>
    </row>
    <row r="55" spans="1:42" s="152" customFormat="1" ht="83.25" customHeight="1" x14ac:dyDescent="0.25">
      <c r="A55" s="147"/>
      <c r="B55" s="70" t="s">
        <v>233</v>
      </c>
      <c r="C55" s="1" t="s">
        <v>104</v>
      </c>
      <c r="D55" s="13" t="s">
        <v>152</v>
      </c>
      <c r="E55" s="79" t="s">
        <v>173</v>
      </c>
      <c r="F55" s="66" t="s">
        <v>80</v>
      </c>
      <c r="G55" s="67">
        <f>G57</f>
        <v>2039773900</v>
      </c>
      <c r="H55" s="79"/>
      <c r="I55" s="67"/>
      <c r="J55" s="172" t="s">
        <v>201</v>
      </c>
      <c r="K55" s="67">
        <f>K57</f>
        <v>5147036800</v>
      </c>
      <c r="L55" s="172" t="s">
        <v>202</v>
      </c>
      <c r="M55" s="67">
        <f>M57</f>
        <v>699587200</v>
      </c>
      <c r="N55" s="172" t="s">
        <v>189</v>
      </c>
      <c r="O55" s="67">
        <f>O57</f>
        <v>71075000</v>
      </c>
      <c r="P55" s="186">
        <v>6</v>
      </c>
      <c r="Q55" s="67">
        <f>Q57</f>
        <v>114448400</v>
      </c>
      <c r="R55" s="186">
        <v>7</v>
      </c>
      <c r="S55" s="158">
        <v>185523400</v>
      </c>
      <c r="T55" s="247">
        <f>SUM(L55,N55,P55,R55)</f>
        <v>13</v>
      </c>
      <c r="U55" s="237">
        <f>T55/J55*100</f>
        <v>185.71428571428572</v>
      </c>
      <c r="V55" s="238" t="s">
        <v>80</v>
      </c>
      <c r="W55" s="245">
        <f>SUM(M55,O55,Q55,S55)</f>
        <v>1070634000</v>
      </c>
      <c r="X55" s="242">
        <f>W55/K55*100</f>
        <v>20.800978147271067</v>
      </c>
      <c r="Y55" s="238" t="s">
        <v>80</v>
      </c>
      <c r="Z55" s="247">
        <f>SUM(H55,T55)</f>
        <v>13</v>
      </c>
      <c r="AA55" s="245">
        <f>SUM(I55,W55)</f>
        <v>1070634000</v>
      </c>
      <c r="AB55" s="250"/>
      <c r="AC55" s="251" t="s">
        <v>80</v>
      </c>
      <c r="AD55" s="250"/>
      <c r="AE55" s="151"/>
      <c r="AG55" s="211"/>
      <c r="AH55" s="153"/>
    </row>
    <row r="56" spans="1:42" s="152" customFormat="1" ht="48.6" customHeight="1" x14ac:dyDescent="0.25">
      <c r="A56" s="147"/>
      <c r="B56" s="70"/>
      <c r="C56" s="1"/>
      <c r="D56" s="139" t="s">
        <v>153</v>
      </c>
      <c r="E56" s="135" t="s">
        <v>174</v>
      </c>
      <c r="F56" s="134" t="s">
        <v>175</v>
      </c>
      <c r="G56" s="135"/>
      <c r="H56" s="135"/>
      <c r="I56" s="135"/>
      <c r="J56" s="171">
        <v>103</v>
      </c>
      <c r="K56" s="135"/>
      <c r="L56" s="171">
        <v>0</v>
      </c>
      <c r="M56" s="135"/>
      <c r="N56" s="171">
        <v>25</v>
      </c>
      <c r="O56" s="135"/>
      <c r="P56" s="186">
        <v>33</v>
      </c>
      <c r="Q56" s="135"/>
      <c r="R56" s="186">
        <v>45</v>
      </c>
      <c r="S56" s="158">
        <v>0</v>
      </c>
      <c r="T56" s="247">
        <f>SUM(L56,N56,P56,R56)</f>
        <v>103</v>
      </c>
      <c r="U56" s="237">
        <f>T56/J56*100</f>
        <v>100</v>
      </c>
      <c r="V56" s="238" t="s">
        <v>80</v>
      </c>
      <c r="W56" s="245">
        <f>SUM(M56,O56,Q56,S56)</f>
        <v>0</v>
      </c>
      <c r="X56" s="242"/>
      <c r="Y56" s="238" t="s">
        <v>80</v>
      </c>
      <c r="Z56" s="247">
        <f>SUM(H56,T56)</f>
        <v>103</v>
      </c>
      <c r="AA56" s="245">
        <f>SUM(I56,W56)</f>
        <v>0</v>
      </c>
      <c r="AB56" s="250"/>
      <c r="AC56" s="251" t="s">
        <v>80</v>
      </c>
      <c r="AD56" s="250"/>
      <c r="AE56" s="151"/>
      <c r="AG56" s="211"/>
      <c r="AH56" s="153"/>
    </row>
    <row r="57" spans="1:42" s="152" customFormat="1" ht="101.45" customHeight="1" x14ac:dyDescent="0.25">
      <c r="A57" s="147"/>
      <c r="B57" s="70"/>
      <c r="C57" s="70" t="s">
        <v>77</v>
      </c>
      <c r="D57" s="70" t="s">
        <v>245</v>
      </c>
      <c r="E57" s="80" t="s">
        <v>176</v>
      </c>
      <c r="F57" s="14" t="s">
        <v>80</v>
      </c>
      <c r="G57" s="72">
        <f>SUM(G61:G63)</f>
        <v>2039773900</v>
      </c>
      <c r="H57" s="80"/>
      <c r="I57" s="72"/>
      <c r="J57" s="173" t="s">
        <v>201</v>
      </c>
      <c r="K57" s="72">
        <f>SUM(K58:K63)</f>
        <v>5147036800</v>
      </c>
      <c r="L57" s="173" t="s">
        <v>202</v>
      </c>
      <c r="M57" s="72">
        <f>SUM(M58:M63)</f>
        <v>699587200</v>
      </c>
      <c r="N57" s="173" t="s">
        <v>187</v>
      </c>
      <c r="O57" s="72">
        <f>SUM(O58:O63)</f>
        <v>71075000</v>
      </c>
      <c r="P57" s="183">
        <v>4</v>
      </c>
      <c r="Q57" s="72">
        <f>SUM(Q58:Q63)</f>
        <v>114448400</v>
      </c>
      <c r="R57" s="183">
        <v>3</v>
      </c>
      <c r="S57" s="148">
        <v>185523400</v>
      </c>
      <c r="T57" s="230">
        <f>SUM(L57,N57,P57,R57)</f>
        <v>7</v>
      </c>
      <c r="U57" s="219">
        <f>T57/J57*100</f>
        <v>100</v>
      </c>
      <c r="V57" s="224" t="s">
        <v>80</v>
      </c>
      <c r="W57" s="220">
        <f>SUM(M57,O57,Q57,S57)</f>
        <v>1070634000</v>
      </c>
      <c r="X57" s="221">
        <f>W57/K57*100</f>
        <v>20.800978147271067</v>
      </c>
      <c r="Y57" s="224" t="s">
        <v>80</v>
      </c>
      <c r="Z57" s="213">
        <f>SUM(H57,T57)</f>
        <v>7</v>
      </c>
      <c r="AA57" s="220">
        <f>SUM(I57,W57)</f>
        <v>1070634000</v>
      </c>
      <c r="AB57" s="155"/>
      <c r="AC57" s="147" t="s">
        <v>80</v>
      </c>
      <c r="AD57" s="155"/>
      <c r="AE57" s="151"/>
      <c r="AG57" s="211"/>
      <c r="AH57" s="153"/>
    </row>
    <row r="58" spans="1:42" s="152" customFormat="1" ht="45" customHeight="1" x14ac:dyDescent="0.25">
      <c r="A58" s="150"/>
      <c r="B58" s="2"/>
      <c r="C58" s="2"/>
      <c r="D58" s="9" t="s">
        <v>154</v>
      </c>
      <c r="E58" s="65" t="s">
        <v>177</v>
      </c>
      <c r="F58" s="65" t="s">
        <v>84</v>
      </c>
      <c r="G58" s="69"/>
      <c r="H58" s="65"/>
      <c r="I58" s="69"/>
      <c r="J58" s="161">
        <v>148</v>
      </c>
      <c r="K58" s="69">
        <f>SUM(K59:K63)</f>
        <v>2573518400</v>
      </c>
      <c r="L58" s="161">
        <v>0</v>
      </c>
      <c r="M58" s="69">
        <f>SUM(M59:M63)</f>
        <v>349793600</v>
      </c>
      <c r="N58" s="161">
        <v>46</v>
      </c>
      <c r="O58" s="69"/>
      <c r="P58" s="177">
        <v>56</v>
      </c>
      <c r="Q58" s="69"/>
      <c r="R58" s="177">
        <v>46</v>
      </c>
      <c r="S58" s="148">
        <v>0</v>
      </c>
      <c r="T58" s="214">
        <f>SUM(L58,N58,P58,R58)</f>
        <v>148</v>
      </c>
      <c r="U58" s="214">
        <f>T58/J58*100</f>
        <v>100</v>
      </c>
      <c r="V58" s="223" t="s">
        <v>80</v>
      </c>
      <c r="W58" s="218">
        <f>SUM(M58,O58,Q58,S58)</f>
        <v>349793600</v>
      </c>
      <c r="X58" s="216">
        <f>W58/K58*100</f>
        <v>13.592038044103358</v>
      </c>
      <c r="Y58" s="223" t="s">
        <v>80</v>
      </c>
      <c r="Z58" s="214">
        <f>SUM(H58,T58)</f>
        <v>148</v>
      </c>
      <c r="AA58" s="218">
        <f>SUM(I58,W58)</f>
        <v>349793600</v>
      </c>
      <c r="AB58" s="149"/>
      <c r="AC58" s="150" t="s">
        <v>80</v>
      </c>
      <c r="AD58" s="149"/>
      <c r="AE58" s="151"/>
      <c r="AG58" s="211"/>
      <c r="AH58" s="153"/>
    </row>
    <row r="59" spans="1:42" s="152" customFormat="1" ht="28.9" customHeight="1" x14ac:dyDescent="0.25">
      <c r="A59" s="150"/>
      <c r="B59" s="2"/>
      <c r="C59" s="2"/>
      <c r="D59" s="9"/>
      <c r="E59" s="65" t="s">
        <v>178</v>
      </c>
      <c r="F59" s="65" t="s">
        <v>179</v>
      </c>
      <c r="G59" s="69"/>
      <c r="H59" s="65"/>
      <c r="I59" s="69"/>
      <c r="J59" s="161">
        <v>11</v>
      </c>
      <c r="K59" s="69">
        <f>SUM(K60:K63)</f>
        <v>1286759200</v>
      </c>
      <c r="L59" s="161">
        <v>2</v>
      </c>
      <c r="M59" s="69">
        <f>SUM(M60:M63)</f>
        <v>174896800</v>
      </c>
      <c r="N59" s="161">
        <v>3</v>
      </c>
      <c r="O59" s="69"/>
      <c r="P59" s="177">
        <v>3</v>
      </c>
      <c r="Q59" s="69"/>
      <c r="R59" s="177">
        <v>3</v>
      </c>
      <c r="S59" s="148">
        <v>0</v>
      </c>
      <c r="T59" s="214">
        <f>SUM(L59,N59,P59,R59)</f>
        <v>11</v>
      </c>
      <c r="U59" s="214">
        <f>T59/J59*100</f>
        <v>100</v>
      </c>
      <c r="V59" s="223" t="s">
        <v>80</v>
      </c>
      <c r="W59" s="218">
        <f>SUM(M59,O59,Q59,S59)</f>
        <v>174896800</v>
      </c>
      <c r="X59" s="216">
        <f>W59/K59*100</f>
        <v>13.592038044103358</v>
      </c>
      <c r="Y59" s="223" t="s">
        <v>80</v>
      </c>
      <c r="Z59" s="214">
        <f>SUM(H59,T59)</f>
        <v>11</v>
      </c>
      <c r="AA59" s="218">
        <f>SUM(I59,W59)</f>
        <v>174896800</v>
      </c>
      <c r="AB59" s="149"/>
      <c r="AC59" s="150" t="s">
        <v>80</v>
      </c>
      <c r="AD59" s="149"/>
      <c r="AE59" s="151"/>
      <c r="AG59" s="211"/>
      <c r="AH59" s="153"/>
    </row>
    <row r="60" spans="1:42" s="152" customFormat="1" ht="27" customHeight="1" x14ac:dyDescent="0.25">
      <c r="A60" s="150"/>
      <c r="B60" s="2"/>
      <c r="C60" s="2"/>
      <c r="D60" s="9"/>
      <c r="E60" s="65" t="s">
        <v>180</v>
      </c>
      <c r="F60" s="65" t="s">
        <v>181</v>
      </c>
      <c r="G60" s="69"/>
      <c r="H60" s="65"/>
      <c r="I60" s="69"/>
      <c r="J60" s="161">
        <v>1</v>
      </c>
      <c r="K60" s="69">
        <f>SUM(K61:K63)</f>
        <v>643379600</v>
      </c>
      <c r="L60" s="161">
        <v>0</v>
      </c>
      <c r="M60" s="69">
        <f>SUM(M61:M63)</f>
        <v>87448400</v>
      </c>
      <c r="N60" s="161">
        <v>0</v>
      </c>
      <c r="O60" s="69"/>
      <c r="P60" s="177">
        <v>0</v>
      </c>
      <c r="Q60" s="69"/>
      <c r="R60" s="177">
        <f>J60</f>
        <v>1</v>
      </c>
      <c r="S60" s="148">
        <v>0</v>
      </c>
      <c r="T60" s="214">
        <f>SUM(L60,N60,P60,R60)</f>
        <v>1</v>
      </c>
      <c r="U60" s="214">
        <f>T60/J60*100</f>
        <v>100</v>
      </c>
      <c r="V60" s="223" t="s">
        <v>80</v>
      </c>
      <c r="W60" s="218">
        <f>SUM(M60,O60,Q60,S60)</f>
        <v>87448400</v>
      </c>
      <c r="X60" s="216">
        <f>W60/K60*100</f>
        <v>13.592038044103358</v>
      </c>
      <c r="Y60" s="223" t="s">
        <v>80</v>
      </c>
      <c r="Z60" s="214">
        <f>SUM(H60,T60)</f>
        <v>1</v>
      </c>
      <c r="AA60" s="218">
        <f>SUM(I60,W60)</f>
        <v>87448400</v>
      </c>
      <c r="AB60" s="149"/>
      <c r="AC60" s="150" t="s">
        <v>80</v>
      </c>
      <c r="AD60" s="149"/>
      <c r="AE60" s="151"/>
      <c r="AG60" s="211"/>
      <c r="AH60" s="153"/>
    </row>
    <row r="61" spans="1:42" s="152" customFormat="1" ht="104.45" customHeight="1" x14ac:dyDescent="0.25">
      <c r="A61" s="147"/>
      <c r="B61" s="70"/>
      <c r="C61" s="2" t="s">
        <v>79</v>
      </c>
      <c r="D61" s="9" t="s">
        <v>155</v>
      </c>
      <c r="E61" s="81" t="s">
        <v>169</v>
      </c>
      <c r="F61" s="65" t="s">
        <v>80</v>
      </c>
      <c r="G61" s="69">
        <v>1691970000</v>
      </c>
      <c r="H61" s="81"/>
      <c r="I61" s="69"/>
      <c r="J61" s="174" t="s">
        <v>199</v>
      </c>
      <c r="K61" s="69">
        <v>194653500</v>
      </c>
      <c r="L61" s="174" t="s">
        <v>202</v>
      </c>
      <c r="M61" s="69">
        <v>47375000</v>
      </c>
      <c r="N61" s="174" t="s">
        <v>208</v>
      </c>
      <c r="O61" s="69">
        <v>35537500</v>
      </c>
      <c r="P61" s="185">
        <v>5</v>
      </c>
      <c r="Q61" s="69">
        <v>58125000</v>
      </c>
      <c r="R61" s="208"/>
      <c r="S61" s="148">
        <v>93662500</v>
      </c>
      <c r="T61" s="231">
        <f>SUM(L61,N61,P61,R61)</f>
        <v>5</v>
      </c>
      <c r="U61" s="219">
        <f>T61/J61*100</f>
        <v>100</v>
      </c>
      <c r="V61" s="224" t="s">
        <v>80</v>
      </c>
      <c r="W61" s="220">
        <f>SUM(M61,O61,Q61,S61)</f>
        <v>234700000</v>
      </c>
      <c r="X61" s="221">
        <f>W61/K61*100</f>
        <v>120.57322370263057</v>
      </c>
      <c r="Y61" s="224" t="s">
        <v>80</v>
      </c>
      <c r="Z61" s="219">
        <f>SUM(H61,T61)</f>
        <v>5</v>
      </c>
      <c r="AA61" s="220">
        <f>SUM(I61,W61)</f>
        <v>234700000</v>
      </c>
      <c r="AB61" s="155"/>
      <c r="AC61" s="147" t="s">
        <v>80</v>
      </c>
      <c r="AD61" s="155"/>
      <c r="AE61" s="151"/>
      <c r="AF61" s="207"/>
      <c r="AG61" s="211"/>
      <c r="AH61" s="153"/>
    </row>
    <row r="62" spans="1:42" s="152" customFormat="1" ht="117.6" customHeight="1" x14ac:dyDescent="0.25">
      <c r="A62" s="147"/>
      <c r="B62" s="70"/>
      <c r="C62" s="2"/>
      <c r="D62" s="9" t="s">
        <v>78</v>
      </c>
      <c r="E62" s="82" t="s">
        <v>182</v>
      </c>
      <c r="F62" s="65" t="s">
        <v>183</v>
      </c>
      <c r="G62" s="69">
        <v>136315000</v>
      </c>
      <c r="H62" s="82"/>
      <c r="I62" s="69"/>
      <c r="J62" s="209"/>
      <c r="K62" s="69"/>
      <c r="L62" s="209"/>
      <c r="M62" s="69"/>
      <c r="N62" s="209"/>
      <c r="O62" s="69"/>
      <c r="P62" s="183"/>
      <c r="Q62" s="69"/>
      <c r="R62" s="177"/>
      <c r="S62" s="148">
        <v>0</v>
      </c>
      <c r="T62" s="231"/>
      <c r="U62" s="219"/>
      <c r="V62" s="224" t="s">
        <v>80</v>
      </c>
      <c r="W62" s="220"/>
      <c r="X62" s="221"/>
      <c r="Y62" s="224" t="s">
        <v>80</v>
      </c>
      <c r="Z62" s="219"/>
      <c r="AA62" s="220"/>
      <c r="AB62" s="155"/>
      <c r="AC62" s="147"/>
      <c r="AD62" s="155"/>
      <c r="AE62" s="151"/>
      <c r="AF62" s="210"/>
      <c r="AG62" s="211"/>
      <c r="AH62" s="153"/>
    </row>
    <row r="63" spans="1:42" s="152" customFormat="1" ht="94.5" x14ac:dyDescent="0.25">
      <c r="A63" s="147"/>
      <c r="B63" s="70"/>
      <c r="C63" s="2" t="s">
        <v>105</v>
      </c>
      <c r="D63" s="9" t="s">
        <v>156</v>
      </c>
      <c r="E63" s="69" t="s">
        <v>184</v>
      </c>
      <c r="F63" s="65" t="s">
        <v>179</v>
      </c>
      <c r="G63" s="69">
        <v>211488900</v>
      </c>
      <c r="H63" s="69"/>
      <c r="I63" s="69"/>
      <c r="J63" s="166">
        <v>11</v>
      </c>
      <c r="K63" s="69">
        <v>448726100</v>
      </c>
      <c r="L63" s="166">
        <v>3</v>
      </c>
      <c r="M63" s="69">
        <f>3000000+37073400</f>
        <v>40073400</v>
      </c>
      <c r="N63" s="166">
        <v>3</v>
      </c>
      <c r="O63" s="69">
        <v>35537500</v>
      </c>
      <c r="P63" s="185">
        <v>3</v>
      </c>
      <c r="Q63" s="69">
        <f>12750000+43573400</f>
        <v>56323400</v>
      </c>
      <c r="R63" s="177">
        <v>2</v>
      </c>
      <c r="S63" s="148">
        <v>91860900</v>
      </c>
      <c r="T63" s="231">
        <f>SUM(L63,N63,P63,R63)</f>
        <v>11</v>
      </c>
      <c r="U63" s="219">
        <f>T63/J63*100</f>
        <v>100</v>
      </c>
      <c r="V63" s="224" t="s">
        <v>80</v>
      </c>
      <c r="W63" s="220">
        <f>SUM(M63,O63,Q63,S63)</f>
        <v>223795200</v>
      </c>
      <c r="X63" s="216">
        <f>W63/K63*100</f>
        <v>49.873452870247576</v>
      </c>
      <c r="Y63" s="224" t="s">
        <v>80</v>
      </c>
      <c r="Z63" s="219">
        <f>SUM(H63,T63)</f>
        <v>11</v>
      </c>
      <c r="AA63" s="220">
        <f>SUM(I63,W63)</f>
        <v>223795200</v>
      </c>
      <c r="AB63" s="155"/>
      <c r="AC63" s="147" t="s">
        <v>80</v>
      </c>
      <c r="AD63" s="155"/>
      <c r="AE63" s="151"/>
      <c r="AF63" s="207"/>
      <c r="AG63" s="211"/>
      <c r="AH63" s="153"/>
    </row>
    <row r="64" spans="1:42" s="152" customFormat="1" ht="131.44999999999999" customHeight="1" x14ac:dyDescent="0.25">
      <c r="A64" s="147">
        <v>2</v>
      </c>
      <c r="B64" s="70" t="s">
        <v>246</v>
      </c>
      <c r="C64" s="76" t="s">
        <v>106</v>
      </c>
      <c r="D64" s="83" t="s">
        <v>157</v>
      </c>
      <c r="E64" s="67" t="s">
        <v>185</v>
      </c>
      <c r="F64" s="66"/>
      <c r="G64" s="67">
        <f>G65+G69+G73+G79+G84</f>
        <v>40382711564</v>
      </c>
      <c r="H64" s="66"/>
      <c r="I64" s="67"/>
      <c r="J64" s="175">
        <v>86.42</v>
      </c>
      <c r="K64" s="67">
        <f>K65+K68+K73+K79+K84</f>
        <v>17438567197</v>
      </c>
      <c r="L64" s="175">
        <v>0</v>
      </c>
      <c r="M64" s="67">
        <f>M65+M68+M73+M79+M84</f>
        <v>2955109210</v>
      </c>
      <c r="N64" s="175">
        <v>0</v>
      </c>
      <c r="O64" s="67">
        <f>O65+O68+O73+O79+O84</f>
        <v>7619137848</v>
      </c>
      <c r="P64" s="184"/>
      <c r="Q64" s="67">
        <f>Q65+Q68+Q73+Q79+Q84</f>
        <v>12075184821</v>
      </c>
      <c r="R64" s="182"/>
      <c r="S64" s="158">
        <v>19694322669</v>
      </c>
      <c r="T64" s="248">
        <f>SUM(L64,N64,P64,R64)</f>
        <v>0</v>
      </c>
      <c r="U64" s="244">
        <f>T64/J64*100</f>
        <v>0</v>
      </c>
      <c r="V64" s="243" t="s">
        <v>80</v>
      </c>
      <c r="W64" s="245">
        <f>SUM(M64,O64,Q64,S64)</f>
        <v>42343754548</v>
      </c>
      <c r="X64" s="240">
        <f>W64/K64*100</f>
        <v>242.81670661156437</v>
      </c>
      <c r="Y64" s="243" t="s">
        <v>80</v>
      </c>
      <c r="Z64" s="246">
        <f>SUM(H64,T64)</f>
        <v>0</v>
      </c>
      <c r="AA64" s="245">
        <f>SUM(I64,W64)</f>
        <v>42343754548</v>
      </c>
      <c r="AB64" s="252"/>
      <c r="AC64" s="253" t="s">
        <v>80</v>
      </c>
      <c r="AD64" s="252"/>
      <c r="AE64" s="151"/>
      <c r="AG64" s="211"/>
      <c r="AH64" s="153"/>
    </row>
    <row r="65" spans="1:35" s="152" customFormat="1" ht="78" customHeight="1" x14ac:dyDescent="0.25">
      <c r="A65" s="147"/>
      <c r="B65" s="70"/>
      <c r="C65" s="3" t="s">
        <v>49</v>
      </c>
      <c r="D65" s="157" t="s">
        <v>247</v>
      </c>
      <c r="E65" s="81" t="s">
        <v>186</v>
      </c>
      <c r="F65" s="65" t="s">
        <v>80</v>
      </c>
      <c r="G65" s="72">
        <f>SUM(G66:G67)</f>
        <v>18996200</v>
      </c>
      <c r="H65" s="81"/>
      <c r="I65" s="72"/>
      <c r="J65" s="174" t="s">
        <v>204</v>
      </c>
      <c r="K65" s="72">
        <f>SUM(K66:K67)</f>
        <v>9499050</v>
      </c>
      <c r="L65" s="174" t="s">
        <v>276</v>
      </c>
      <c r="M65" s="72">
        <f>M66+M67</f>
        <v>0</v>
      </c>
      <c r="N65" s="174" t="s">
        <v>276</v>
      </c>
      <c r="O65" s="72">
        <f>SUM(O66:O67)</f>
        <v>1306850</v>
      </c>
      <c r="P65" s="183">
        <v>3</v>
      </c>
      <c r="Q65" s="72">
        <f>SUM(Q66:Q67)</f>
        <v>2613700</v>
      </c>
      <c r="R65" s="177">
        <v>3</v>
      </c>
      <c r="S65" s="148">
        <v>1657950</v>
      </c>
      <c r="T65" s="241">
        <f>L65+N65+P65+R65</f>
        <v>12</v>
      </c>
      <c r="U65" s="219">
        <f>T65/J65*100</f>
        <v>100</v>
      </c>
      <c r="V65" s="224" t="s">
        <v>80</v>
      </c>
      <c r="W65" s="220">
        <f>SUM(M65,O65,Q65,S65)</f>
        <v>5578500</v>
      </c>
      <c r="X65" s="216">
        <f>W65/K65*100</f>
        <v>58.726925324111356</v>
      </c>
      <c r="Y65" s="224" t="s">
        <v>80</v>
      </c>
      <c r="Z65" s="222">
        <f>SUM(H65,T65)</f>
        <v>12</v>
      </c>
      <c r="AA65" s="220">
        <f>SUM(I65,W65)</f>
        <v>5578500</v>
      </c>
      <c r="AB65" s="155"/>
      <c r="AC65" s="147" t="s">
        <v>80</v>
      </c>
      <c r="AD65" s="155"/>
      <c r="AE65" s="151"/>
      <c r="AG65" s="211"/>
      <c r="AH65" s="153"/>
      <c r="AI65" s="211">
        <f>AG65-AH65</f>
        <v>0</v>
      </c>
    </row>
    <row r="66" spans="1:35" s="152" customFormat="1" ht="94.5" x14ac:dyDescent="0.25">
      <c r="A66" s="147"/>
      <c r="B66" s="70"/>
      <c r="C66" s="2" t="s">
        <v>50</v>
      </c>
      <c r="D66" s="4" t="s">
        <v>250</v>
      </c>
      <c r="E66" s="81" t="s">
        <v>187</v>
      </c>
      <c r="F66" s="65" t="s">
        <v>188</v>
      </c>
      <c r="G66" s="69">
        <v>15996200</v>
      </c>
      <c r="H66" s="81"/>
      <c r="I66" s="69"/>
      <c r="J66" s="174" t="s">
        <v>252</v>
      </c>
      <c r="K66" s="69">
        <v>7999200</v>
      </c>
      <c r="L66" s="174" t="s">
        <v>202</v>
      </c>
      <c r="M66" s="69">
        <v>0</v>
      </c>
      <c r="N66" s="174" t="s">
        <v>187</v>
      </c>
      <c r="O66" s="69">
        <v>861850</v>
      </c>
      <c r="P66" s="183">
        <v>2</v>
      </c>
      <c r="Q66" s="69">
        <v>2168700</v>
      </c>
      <c r="R66" s="177">
        <v>2</v>
      </c>
      <c r="S66" s="148">
        <v>3030550</v>
      </c>
      <c r="T66" s="241">
        <f>L66+N66+P66+R66</f>
        <v>6</v>
      </c>
      <c r="U66" s="219">
        <f>T66/J66*100</f>
        <v>100</v>
      </c>
      <c r="V66" s="224" t="s">
        <v>80</v>
      </c>
      <c r="W66" s="220">
        <f>SUM(M66,O66,Q66,S66)</f>
        <v>6061100</v>
      </c>
      <c r="X66" s="216">
        <f>W66/K66*100</f>
        <v>75.771327132713267</v>
      </c>
      <c r="Y66" s="224" t="s">
        <v>80</v>
      </c>
      <c r="Z66" s="222">
        <f>SUM(H66,T66)</f>
        <v>6</v>
      </c>
      <c r="AA66" s="220">
        <f>SUM(I66,W66)</f>
        <v>6061100</v>
      </c>
      <c r="AB66" s="155"/>
      <c r="AC66" s="147" t="s">
        <v>80</v>
      </c>
      <c r="AD66" s="155"/>
      <c r="AE66" s="151"/>
      <c r="AG66" s="211"/>
      <c r="AH66" s="153"/>
    </row>
    <row r="67" spans="1:35" s="152" customFormat="1" ht="176.45" customHeight="1" x14ac:dyDescent="0.25">
      <c r="A67" s="147"/>
      <c r="B67" s="70"/>
      <c r="C67" s="2" t="s">
        <v>51</v>
      </c>
      <c r="D67" s="4" t="s">
        <v>251</v>
      </c>
      <c r="E67" s="81" t="s">
        <v>189</v>
      </c>
      <c r="F67" s="65" t="s">
        <v>188</v>
      </c>
      <c r="G67" s="69">
        <v>3000000</v>
      </c>
      <c r="H67" s="81"/>
      <c r="I67" s="69"/>
      <c r="J67" s="174" t="s">
        <v>189</v>
      </c>
      <c r="K67" s="69">
        <v>1499850</v>
      </c>
      <c r="L67" s="174" t="s">
        <v>275</v>
      </c>
      <c r="M67" s="69">
        <v>0</v>
      </c>
      <c r="N67" s="174" t="s">
        <v>275</v>
      </c>
      <c r="O67" s="69">
        <v>445000</v>
      </c>
      <c r="P67" s="177">
        <v>1</v>
      </c>
      <c r="Q67" s="69">
        <v>445000</v>
      </c>
      <c r="R67" s="177">
        <v>1</v>
      </c>
      <c r="S67" s="148">
        <v>890000</v>
      </c>
      <c r="T67" s="241">
        <f>L67+N67+P67+R67</f>
        <v>4</v>
      </c>
      <c r="U67" s="214">
        <f>T67/J67*100</f>
        <v>100</v>
      </c>
      <c r="V67" s="223" t="s">
        <v>80</v>
      </c>
      <c r="W67" s="218">
        <f>SUM(M67,O67,Q67,S67)</f>
        <v>1780000</v>
      </c>
      <c r="X67" s="216">
        <f>W67/K67*100</f>
        <v>118.67853452011867</v>
      </c>
      <c r="Y67" s="223" t="s">
        <v>80</v>
      </c>
      <c r="Z67" s="217">
        <f>SUM(H67,T67)</f>
        <v>4</v>
      </c>
      <c r="AA67" s="220">
        <f>SUM(I67,W67)</f>
        <v>1780000</v>
      </c>
      <c r="AB67" s="149"/>
      <c r="AC67" s="150" t="s">
        <v>80</v>
      </c>
      <c r="AD67" s="149"/>
      <c r="AE67" s="151"/>
      <c r="AG67" s="211"/>
      <c r="AH67" s="153"/>
    </row>
    <row r="68" spans="1:35" s="152" customFormat="1" ht="84.75" customHeight="1" x14ac:dyDescent="0.25">
      <c r="A68" s="147"/>
      <c r="B68" s="70"/>
      <c r="C68" s="3" t="s">
        <v>52</v>
      </c>
      <c r="D68" s="6" t="s">
        <v>248</v>
      </c>
      <c r="E68" s="80" t="s">
        <v>186</v>
      </c>
      <c r="F68" s="14" t="s">
        <v>80</v>
      </c>
      <c r="G68" s="72">
        <f>G69+G73+G79+G84</f>
        <v>40363715364</v>
      </c>
      <c r="H68" s="80"/>
      <c r="I68" s="72"/>
      <c r="J68" s="173" t="s">
        <v>204</v>
      </c>
      <c r="K68" s="72">
        <f>SUM(K69:K72)</f>
        <v>16253261197</v>
      </c>
      <c r="L68" s="173" t="s">
        <v>276</v>
      </c>
      <c r="M68" s="72">
        <f>SUM(M69:M72)</f>
        <v>2761568088</v>
      </c>
      <c r="N68" s="173" t="s">
        <v>276</v>
      </c>
      <c r="O68" s="72">
        <f>SUM(O69:O72)</f>
        <v>7258818340</v>
      </c>
      <c r="P68" s="187">
        <v>3</v>
      </c>
      <c r="Q68" s="72">
        <f>SUM(Q69:Q72)</f>
        <v>11547960791</v>
      </c>
      <c r="R68" s="193">
        <v>3</v>
      </c>
      <c r="S68" s="154">
        <v>18806779131</v>
      </c>
      <c r="T68" s="241">
        <f>L68+N68+P68+R68</f>
        <v>12</v>
      </c>
      <c r="U68" s="219">
        <f>T68/J68*100</f>
        <v>100</v>
      </c>
      <c r="V68" s="224" t="s">
        <v>80</v>
      </c>
      <c r="W68" s="220">
        <f>SUM(M68,O68,Q68,S68)</f>
        <v>40375126350</v>
      </c>
      <c r="X68" s="221">
        <f>W68/K68*100</f>
        <v>248.41246233988028</v>
      </c>
      <c r="Y68" s="224" t="s">
        <v>80</v>
      </c>
      <c r="Z68" s="226">
        <f>SUM(H68,T68)</f>
        <v>12</v>
      </c>
      <c r="AA68" s="220">
        <f>SUM(I68,W68)</f>
        <v>40375126350</v>
      </c>
      <c r="AB68" s="155"/>
      <c r="AC68" s="147" t="s">
        <v>80</v>
      </c>
      <c r="AD68" s="155"/>
      <c r="AE68" s="151"/>
      <c r="AG68" s="211"/>
      <c r="AH68" s="153"/>
    </row>
    <row r="69" spans="1:35" s="152" customFormat="1" ht="78.75" x14ac:dyDescent="0.25">
      <c r="A69" s="147"/>
      <c r="B69" s="70"/>
      <c r="C69" s="2" t="s">
        <v>53</v>
      </c>
      <c r="D69" s="12" t="s">
        <v>253</v>
      </c>
      <c r="E69" s="69" t="s">
        <v>190</v>
      </c>
      <c r="F69" s="65" t="s">
        <v>191</v>
      </c>
      <c r="G69" s="69">
        <v>38006374264</v>
      </c>
      <c r="H69" s="69"/>
      <c r="I69" s="69"/>
      <c r="J69" s="166">
        <v>12</v>
      </c>
      <c r="K69" s="69">
        <v>16248261897</v>
      </c>
      <c r="L69" s="166">
        <v>3</v>
      </c>
      <c r="M69" s="69">
        <v>2761568088</v>
      </c>
      <c r="N69" s="166">
        <v>3</v>
      </c>
      <c r="O69" s="69">
        <v>7258468340</v>
      </c>
      <c r="P69" s="188">
        <v>3</v>
      </c>
      <c r="Q69" s="69">
        <v>11546650791</v>
      </c>
      <c r="R69" s="187">
        <v>3</v>
      </c>
      <c r="S69" s="148">
        <v>18805119131</v>
      </c>
      <c r="T69" s="241">
        <f>L69+N69+P69+R69</f>
        <v>12</v>
      </c>
      <c r="U69" s="219">
        <f>T69/J69*100</f>
        <v>100</v>
      </c>
      <c r="V69" s="224" t="s">
        <v>80</v>
      </c>
      <c r="W69" s="220">
        <f>SUM(M69,O69,Q69,S69)</f>
        <v>40371806350</v>
      </c>
      <c r="X69" s="221">
        <f>W69/K69*100</f>
        <v>248.46846146327843</v>
      </c>
      <c r="Y69" s="224" t="s">
        <v>80</v>
      </c>
      <c r="Z69" s="226">
        <f>SUM(H69,T69)</f>
        <v>12</v>
      </c>
      <c r="AA69" s="220">
        <f>SUM(I69,W69)</f>
        <v>40371806350</v>
      </c>
      <c r="AB69" s="155"/>
      <c r="AC69" s="147" t="s">
        <v>80</v>
      </c>
      <c r="AD69" s="155"/>
      <c r="AE69" s="151"/>
      <c r="AG69" s="211"/>
      <c r="AH69" s="153"/>
    </row>
    <row r="70" spans="1:35" s="152" customFormat="1" ht="95.25" customHeight="1" x14ac:dyDescent="0.25">
      <c r="A70" s="147"/>
      <c r="B70" s="70"/>
      <c r="C70" s="2" t="s">
        <v>54</v>
      </c>
      <c r="D70" s="12" t="s">
        <v>254</v>
      </c>
      <c r="E70" s="69" t="s">
        <v>190</v>
      </c>
      <c r="F70" s="65" t="s">
        <v>191</v>
      </c>
      <c r="G70" s="69">
        <v>4600000</v>
      </c>
      <c r="H70" s="69"/>
      <c r="I70" s="69"/>
      <c r="J70" s="166">
        <v>1</v>
      </c>
      <c r="K70" s="69">
        <v>1999700</v>
      </c>
      <c r="L70" s="166">
        <v>0</v>
      </c>
      <c r="M70" s="69">
        <v>0</v>
      </c>
      <c r="N70" s="166">
        <v>0</v>
      </c>
      <c r="O70" s="69">
        <v>0</v>
      </c>
      <c r="P70" s="188">
        <v>0</v>
      </c>
      <c r="Q70" s="69">
        <v>960000</v>
      </c>
      <c r="R70" s="187">
        <v>1</v>
      </c>
      <c r="S70" s="148">
        <v>960000</v>
      </c>
      <c r="T70" s="241">
        <f>L70+N70+P70+R70</f>
        <v>1</v>
      </c>
      <c r="U70" s="214">
        <f>T70/J70*100</f>
        <v>100</v>
      </c>
      <c r="V70" s="223" t="s">
        <v>80</v>
      </c>
      <c r="W70" s="218">
        <f>SUM(M70,O70,Q70,S70)</f>
        <v>1920000</v>
      </c>
      <c r="X70" s="216">
        <f>W70/K70*100</f>
        <v>96.014402160324053</v>
      </c>
      <c r="Y70" s="223" t="s">
        <v>80</v>
      </c>
      <c r="Z70" s="232">
        <f>SUM(H70,T70)</f>
        <v>1</v>
      </c>
      <c r="AA70" s="220">
        <f>SUM(I70,W70)</f>
        <v>1920000</v>
      </c>
      <c r="AB70" s="149"/>
      <c r="AC70" s="150" t="s">
        <v>80</v>
      </c>
      <c r="AD70" s="149"/>
      <c r="AE70" s="151"/>
      <c r="AG70" s="211"/>
      <c r="AH70" s="153"/>
    </row>
    <row r="71" spans="1:35" s="152" customFormat="1" ht="93.6" customHeight="1" x14ac:dyDescent="0.25">
      <c r="A71" s="147"/>
      <c r="B71" s="70"/>
      <c r="C71" s="2" t="s">
        <v>55</v>
      </c>
      <c r="D71" s="12" t="s">
        <v>255</v>
      </c>
      <c r="E71" s="69" t="s">
        <v>190</v>
      </c>
      <c r="F71" s="65" t="s">
        <v>191</v>
      </c>
      <c r="G71" s="69">
        <v>3400000</v>
      </c>
      <c r="H71" s="69"/>
      <c r="I71" s="69"/>
      <c r="J71" s="166">
        <v>16</v>
      </c>
      <c r="K71" s="69">
        <v>1499800</v>
      </c>
      <c r="L71" s="166">
        <v>3</v>
      </c>
      <c r="M71" s="69">
        <v>0</v>
      </c>
      <c r="N71" s="166">
        <v>6</v>
      </c>
      <c r="O71" s="69">
        <v>350000</v>
      </c>
      <c r="P71" s="188">
        <v>4</v>
      </c>
      <c r="Q71" s="69">
        <v>350000</v>
      </c>
      <c r="R71" s="187">
        <v>4</v>
      </c>
      <c r="S71" s="148">
        <v>700000</v>
      </c>
      <c r="T71" s="241">
        <f>L71+N71+P71+R71</f>
        <v>17</v>
      </c>
      <c r="U71" s="219">
        <f>T71/J71*100</f>
        <v>106.25</v>
      </c>
      <c r="V71" s="224" t="s">
        <v>80</v>
      </c>
      <c r="W71" s="220">
        <f>SUM(M71,O71,Q71,S71)</f>
        <v>1400000</v>
      </c>
      <c r="X71" s="221">
        <f>W71/K71*100</f>
        <v>93.345779437258301</v>
      </c>
      <c r="Y71" s="224" t="s">
        <v>80</v>
      </c>
      <c r="Z71" s="226">
        <f>SUM(H71,T71)</f>
        <v>17</v>
      </c>
      <c r="AA71" s="220">
        <f>SUM(I71,W71)</f>
        <v>1400000</v>
      </c>
      <c r="AB71" s="155"/>
      <c r="AC71" s="147" t="s">
        <v>80</v>
      </c>
      <c r="AD71" s="155"/>
      <c r="AE71" s="151"/>
      <c r="AG71" s="211"/>
      <c r="AH71" s="153"/>
    </row>
    <row r="72" spans="1:35" s="152" customFormat="1" ht="78.75" customHeight="1" x14ac:dyDescent="0.25">
      <c r="A72" s="147"/>
      <c r="B72" s="70"/>
      <c r="C72" s="2" t="s">
        <v>107</v>
      </c>
      <c r="D72" s="12" t="s">
        <v>256</v>
      </c>
      <c r="E72" s="69" t="s">
        <v>192</v>
      </c>
      <c r="F72" s="65" t="s">
        <v>191</v>
      </c>
      <c r="G72" s="69">
        <v>3400000</v>
      </c>
      <c r="H72" s="69"/>
      <c r="I72" s="69"/>
      <c r="J72" s="166">
        <v>1</v>
      </c>
      <c r="K72" s="69">
        <v>1499800</v>
      </c>
      <c r="L72" s="166"/>
      <c r="M72" s="69">
        <v>0</v>
      </c>
      <c r="N72" s="166"/>
      <c r="O72" s="69">
        <v>0</v>
      </c>
      <c r="P72" s="177"/>
      <c r="Q72" s="69"/>
      <c r="R72" s="177">
        <v>1</v>
      </c>
      <c r="S72" s="148">
        <v>0</v>
      </c>
      <c r="T72" s="241">
        <f>L72+N72+P72+R72</f>
        <v>1</v>
      </c>
      <c r="U72" s="214">
        <f>T72/J72*100</f>
        <v>100</v>
      </c>
      <c r="V72" s="223" t="s">
        <v>80</v>
      </c>
      <c r="W72" s="218">
        <f>SUM(M72,O72,Q72,S72)</f>
        <v>0</v>
      </c>
      <c r="X72" s="216">
        <f>W72/K72*100</f>
        <v>0</v>
      </c>
      <c r="Y72" s="223" t="s">
        <v>80</v>
      </c>
      <c r="Z72" s="217">
        <f>SUM(H72,T72)</f>
        <v>1</v>
      </c>
      <c r="AA72" s="220">
        <f>SUM(I72,W72)</f>
        <v>0</v>
      </c>
      <c r="AB72" s="149"/>
      <c r="AC72" s="150" t="s">
        <v>80</v>
      </c>
      <c r="AD72" s="149"/>
      <c r="AE72" s="151"/>
      <c r="AG72" s="211"/>
      <c r="AH72" s="153"/>
    </row>
    <row r="73" spans="1:35" s="152" customFormat="1" ht="78.75" customHeight="1" x14ac:dyDescent="0.25">
      <c r="A73" s="147"/>
      <c r="B73" s="70"/>
      <c r="C73" s="3" t="s">
        <v>56</v>
      </c>
      <c r="D73" s="70" t="s">
        <v>249</v>
      </c>
      <c r="E73" s="80" t="s">
        <v>186</v>
      </c>
      <c r="F73" s="14" t="s">
        <v>80</v>
      </c>
      <c r="G73" s="72">
        <f>SUM(G74:G78)</f>
        <v>709914100</v>
      </c>
      <c r="H73" s="80"/>
      <c r="I73" s="72"/>
      <c r="J73" s="173" t="s">
        <v>204</v>
      </c>
      <c r="K73" s="72">
        <f>SUM(K74:K78)</f>
        <v>371405350</v>
      </c>
      <c r="L73" s="173" t="s">
        <v>276</v>
      </c>
      <c r="M73" s="72">
        <f>SUM(M74:M78)</f>
        <v>80400200</v>
      </c>
      <c r="N73" s="173" t="s">
        <v>276</v>
      </c>
      <c r="O73" s="72">
        <f>SUM(O74:O78)</f>
        <v>123198700</v>
      </c>
      <c r="P73" s="177">
        <v>3</v>
      </c>
      <c r="Q73" s="72">
        <f>SUM(Q74:Q78)</f>
        <v>171672752</v>
      </c>
      <c r="R73" s="177">
        <v>3</v>
      </c>
      <c r="S73" s="148">
        <v>294871452</v>
      </c>
      <c r="T73" s="241">
        <f>L73+N73+P73+R73</f>
        <v>12</v>
      </c>
      <c r="U73" s="214">
        <f>T73/J73*100</f>
        <v>100</v>
      </c>
      <c r="V73" s="223" t="s">
        <v>80</v>
      </c>
      <c r="W73" s="218">
        <f>SUM(M73,O73,Q73,S73)</f>
        <v>670143104</v>
      </c>
      <c r="X73" s="216">
        <f>W73/K73*100</f>
        <v>180.43442400600853</v>
      </c>
      <c r="Y73" s="223" t="s">
        <v>80</v>
      </c>
      <c r="Z73" s="217">
        <f>SUM(H73,T73)</f>
        <v>12</v>
      </c>
      <c r="AA73" s="220">
        <f>SUM(I73,W73)</f>
        <v>670143104</v>
      </c>
      <c r="AB73" s="149"/>
      <c r="AC73" s="150" t="s">
        <v>80</v>
      </c>
      <c r="AD73" s="149"/>
      <c r="AE73" s="151"/>
      <c r="AG73" s="211"/>
      <c r="AH73" s="153"/>
    </row>
    <row r="74" spans="1:35" s="152" customFormat="1" ht="112.5" customHeight="1" x14ac:dyDescent="0.25">
      <c r="A74" s="147"/>
      <c r="B74" s="70"/>
      <c r="C74" s="2" t="s">
        <v>108</v>
      </c>
      <c r="D74" s="2" t="s">
        <v>257</v>
      </c>
      <c r="E74" s="69" t="s">
        <v>190</v>
      </c>
      <c r="F74" s="65" t="s">
        <v>191</v>
      </c>
      <c r="G74" s="69">
        <v>21923200</v>
      </c>
      <c r="H74" s="69"/>
      <c r="I74" s="69"/>
      <c r="J74" s="166">
        <v>100</v>
      </c>
      <c r="K74" s="69">
        <v>11168100</v>
      </c>
      <c r="L74" s="166"/>
      <c r="M74" s="69">
        <v>0</v>
      </c>
      <c r="N74" s="166"/>
      <c r="O74" s="69">
        <v>0</v>
      </c>
      <c r="P74" s="177"/>
      <c r="Q74" s="69">
        <v>0</v>
      </c>
      <c r="R74" s="177">
        <v>100</v>
      </c>
      <c r="S74" s="148">
        <v>0</v>
      </c>
      <c r="T74" s="241">
        <f>L74+N74+P74+R74</f>
        <v>100</v>
      </c>
      <c r="U74" s="214">
        <f>T74/J74*100</f>
        <v>100</v>
      </c>
      <c r="V74" s="223" t="s">
        <v>80</v>
      </c>
      <c r="W74" s="218">
        <f>SUM(M74,O74,Q74,S74)</f>
        <v>0</v>
      </c>
      <c r="X74" s="216">
        <f>W74/K74*100</f>
        <v>0</v>
      </c>
      <c r="Y74" s="223" t="s">
        <v>80</v>
      </c>
      <c r="Z74" s="217">
        <f>SUM(H74,T74)</f>
        <v>100</v>
      </c>
      <c r="AA74" s="220">
        <f>SUM(I74,W74)</f>
        <v>0</v>
      </c>
      <c r="AB74" s="149"/>
      <c r="AC74" s="150" t="s">
        <v>80</v>
      </c>
      <c r="AD74" s="149"/>
      <c r="AE74" s="151"/>
      <c r="AG74" s="211"/>
      <c r="AH74" s="153"/>
    </row>
    <row r="75" spans="1:35" s="152" customFormat="1" ht="126" x14ac:dyDescent="0.25">
      <c r="A75" s="147"/>
      <c r="B75" s="70"/>
      <c r="C75" s="2" t="s">
        <v>109</v>
      </c>
      <c r="D75" s="2" t="s">
        <v>258</v>
      </c>
      <c r="E75" s="69" t="s">
        <v>190</v>
      </c>
      <c r="F75" s="65" t="s">
        <v>191</v>
      </c>
      <c r="G75" s="69">
        <v>132465900</v>
      </c>
      <c r="H75" s="69"/>
      <c r="I75" s="69"/>
      <c r="J75" s="166">
        <v>100</v>
      </c>
      <c r="K75" s="69">
        <v>100795750</v>
      </c>
      <c r="L75" s="166"/>
      <c r="M75" s="69">
        <v>0</v>
      </c>
      <c r="N75" s="166"/>
      <c r="O75" s="69">
        <v>0</v>
      </c>
      <c r="P75" s="177"/>
      <c r="Q75" s="69">
        <v>0</v>
      </c>
      <c r="R75" s="177">
        <v>100</v>
      </c>
      <c r="S75" s="148">
        <v>0</v>
      </c>
      <c r="T75" s="241">
        <f>L75+N75+P75+R75</f>
        <v>100</v>
      </c>
      <c r="U75" s="214">
        <f>T75/J75*100</f>
        <v>100</v>
      </c>
      <c r="V75" s="223" t="s">
        <v>80</v>
      </c>
      <c r="W75" s="218">
        <f>SUM(M75,O75,Q75,S75)</f>
        <v>0</v>
      </c>
      <c r="X75" s="216">
        <f>W75/K75*100</f>
        <v>0</v>
      </c>
      <c r="Y75" s="223" t="s">
        <v>80</v>
      </c>
      <c r="Z75" s="217">
        <f>SUM(H75,T75)</f>
        <v>100</v>
      </c>
      <c r="AA75" s="220">
        <f>SUM(I75,W75)</f>
        <v>0</v>
      </c>
      <c r="AB75" s="149"/>
      <c r="AC75" s="150" t="s">
        <v>80</v>
      </c>
      <c r="AD75" s="149"/>
      <c r="AE75" s="151"/>
      <c r="AG75" s="211"/>
      <c r="AH75" s="153"/>
    </row>
    <row r="76" spans="1:35" s="152" customFormat="1" ht="107.45" customHeight="1" x14ac:dyDescent="0.25">
      <c r="A76" s="147"/>
      <c r="B76" s="70"/>
      <c r="C76" s="2" t="s">
        <v>110</v>
      </c>
      <c r="D76" s="2" t="s">
        <v>258</v>
      </c>
      <c r="E76" s="69" t="s">
        <v>190</v>
      </c>
      <c r="F76" s="65" t="s">
        <v>191</v>
      </c>
      <c r="G76" s="69">
        <v>153425000</v>
      </c>
      <c r="H76" s="69"/>
      <c r="I76" s="69"/>
      <c r="J76" s="166">
        <v>100</v>
      </c>
      <c r="K76" s="69">
        <v>71617500</v>
      </c>
      <c r="L76" s="166"/>
      <c r="M76" s="69">
        <v>0</v>
      </c>
      <c r="N76" s="166"/>
      <c r="O76" s="69">
        <v>4748500</v>
      </c>
      <c r="P76" s="177"/>
      <c r="Q76" s="69">
        <v>4748500</v>
      </c>
      <c r="R76" s="177">
        <v>100</v>
      </c>
      <c r="S76" s="148">
        <v>9497000</v>
      </c>
      <c r="T76" s="241">
        <f>L76+N76+P76+R76</f>
        <v>100</v>
      </c>
      <c r="U76" s="219">
        <f>T76/J76*100</f>
        <v>100</v>
      </c>
      <c r="V76" s="224" t="s">
        <v>80</v>
      </c>
      <c r="W76" s="220">
        <f>SUM(M76,O76,Q76,S76)</f>
        <v>18994000</v>
      </c>
      <c r="X76" s="221">
        <f>W76/K76*100</f>
        <v>26.521450762732574</v>
      </c>
      <c r="Y76" s="224" t="s">
        <v>80</v>
      </c>
      <c r="Z76" s="222">
        <f>SUM(H76,T76)</f>
        <v>100</v>
      </c>
      <c r="AA76" s="220">
        <f>SUM(I76,W76)</f>
        <v>18994000</v>
      </c>
      <c r="AB76" s="155"/>
      <c r="AC76" s="147" t="s">
        <v>80</v>
      </c>
      <c r="AD76" s="155"/>
      <c r="AE76" s="151"/>
      <c r="AG76" s="211"/>
      <c r="AH76" s="153"/>
    </row>
    <row r="77" spans="1:35" s="152" customFormat="1" ht="131.44999999999999" customHeight="1" x14ac:dyDescent="0.25">
      <c r="A77" s="147"/>
      <c r="B77" s="70"/>
      <c r="C77" s="2" t="s">
        <v>57</v>
      </c>
      <c r="D77" s="2" t="s">
        <v>259</v>
      </c>
      <c r="E77" s="69" t="s">
        <v>190</v>
      </c>
      <c r="F77" s="65" t="s">
        <v>191</v>
      </c>
      <c r="G77" s="69">
        <v>12100000</v>
      </c>
      <c r="H77" s="69"/>
      <c r="I77" s="69"/>
      <c r="J77" s="166">
        <v>100</v>
      </c>
      <c r="K77" s="69">
        <v>7824000</v>
      </c>
      <c r="L77" s="166"/>
      <c r="M77" s="69">
        <v>2190000</v>
      </c>
      <c r="N77" s="166"/>
      <c r="O77" s="69">
        <v>3690000</v>
      </c>
      <c r="P77" s="177"/>
      <c r="Q77" s="69">
        <v>4870000</v>
      </c>
      <c r="R77" s="177">
        <v>100</v>
      </c>
      <c r="S77" s="148">
        <v>8560000</v>
      </c>
      <c r="T77" s="241">
        <f>L77+N77+P77+R77</f>
        <v>100</v>
      </c>
      <c r="U77" s="219">
        <f>T77/J77*100</f>
        <v>100</v>
      </c>
      <c r="V77" s="224" t="s">
        <v>80</v>
      </c>
      <c r="W77" s="220">
        <f>SUM(M77,O77,Q77,S77)</f>
        <v>19310000</v>
      </c>
      <c r="X77" s="221">
        <f>W77/K77*100</f>
        <v>246.80470347648259</v>
      </c>
      <c r="Y77" s="224" t="s">
        <v>80</v>
      </c>
      <c r="Z77" s="222">
        <f>SUM(H77,T77)</f>
        <v>100</v>
      </c>
      <c r="AA77" s="220">
        <f>SUM(I77,W77)</f>
        <v>19310000</v>
      </c>
      <c r="AB77" s="155"/>
      <c r="AC77" s="147" t="s">
        <v>80</v>
      </c>
      <c r="AD77" s="155"/>
      <c r="AE77" s="151"/>
      <c r="AG77" s="211"/>
      <c r="AH77" s="153"/>
    </row>
    <row r="78" spans="1:35" s="152" customFormat="1" ht="94.5" customHeight="1" x14ac:dyDescent="0.25">
      <c r="A78" s="147"/>
      <c r="B78" s="70"/>
      <c r="C78" s="2" t="s">
        <v>58</v>
      </c>
      <c r="D78" s="2" t="s">
        <v>260</v>
      </c>
      <c r="E78" s="69" t="s">
        <v>190</v>
      </c>
      <c r="F78" s="65" t="s">
        <v>191</v>
      </c>
      <c r="G78" s="69">
        <v>390000000</v>
      </c>
      <c r="H78" s="69"/>
      <c r="I78" s="69"/>
      <c r="J78" s="166">
        <v>100</v>
      </c>
      <c r="K78" s="69">
        <v>180000000</v>
      </c>
      <c r="L78" s="166"/>
      <c r="M78" s="69">
        <v>78210200</v>
      </c>
      <c r="N78" s="166"/>
      <c r="O78" s="69">
        <v>114760200</v>
      </c>
      <c r="P78" s="177"/>
      <c r="Q78" s="69">
        <f>21688800+140365452</f>
        <v>162054252</v>
      </c>
      <c r="R78" s="194">
        <v>100</v>
      </c>
      <c r="S78" s="148">
        <v>276814452</v>
      </c>
      <c r="T78" s="241">
        <f>L78+N78+P78+R78</f>
        <v>100</v>
      </c>
      <c r="U78" s="214">
        <f>T78/J78*100</f>
        <v>100</v>
      </c>
      <c r="V78" s="223" t="s">
        <v>80</v>
      </c>
      <c r="W78" s="218">
        <f>SUM(M78,O78,Q78,S78)</f>
        <v>631839104</v>
      </c>
      <c r="X78" s="216">
        <f>W78/K78*100</f>
        <v>351.02172444444449</v>
      </c>
      <c r="Y78" s="223" t="s">
        <v>80</v>
      </c>
      <c r="Z78" s="217">
        <f>SUM(H78,T78)</f>
        <v>100</v>
      </c>
      <c r="AA78" s="220">
        <f>SUM(I78,W78)</f>
        <v>631839104</v>
      </c>
      <c r="AB78" s="149"/>
      <c r="AC78" s="150" t="s">
        <v>80</v>
      </c>
      <c r="AD78" s="149"/>
      <c r="AE78" s="151"/>
      <c r="AG78" s="211"/>
      <c r="AH78" s="153"/>
    </row>
    <row r="79" spans="1:35" s="152" customFormat="1" ht="66" customHeight="1" x14ac:dyDescent="0.25">
      <c r="A79" s="147"/>
      <c r="B79" s="70"/>
      <c r="C79" s="3" t="s">
        <v>59</v>
      </c>
      <c r="D79" s="70" t="str">
        <f>[1]Cascading!$Y$63</f>
        <v>Persentase kesesuaian penyediaan jasa</v>
      </c>
      <c r="E79" s="72" t="s">
        <v>190</v>
      </c>
      <c r="F79" s="65" t="s">
        <v>191</v>
      </c>
      <c r="G79" s="72">
        <f>SUM(G80:G83)</f>
        <v>1208339000</v>
      </c>
      <c r="H79" s="72"/>
      <c r="I79" s="72"/>
      <c r="J79" s="168">
        <v>100</v>
      </c>
      <c r="K79" s="72">
        <f>SUM(K80:K83)</f>
        <v>580831700</v>
      </c>
      <c r="L79" s="168"/>
      <c r="M79" s="72">
        <f>SUM(M80:M83)</f>
        <v>100608662</v>
      </c>
      <c r="N79" s="168"/>
      <c r="O79" s="72">
        <f>SUM(O80:O83)</f>
        <v>211411698</v>
      </c>
      <c r="P79" s="177"/>
      <c r="Q79" s="72">
        <f>SUM(Q80:Q83)</f>
        <v>314035318</v>
      </c>
      <c r="R79" s="177">
        <v>100</v>
      </c>
      <c r="S79" s="148">
        <v>525447016</v>
      </c>
      <c r="T79" s="241">
        <f>L79+N79+P79+R79</f>
        <v>100</v>
      </c>
      <c r="U79" s="214">
        <f>T79/J79*100</f>
        <v>100</v>
      </c>
      <c r="V79" s="223" t="s">
        <v>80</v>
      </c>
      <c r="W79" s="218">
        <f>SUM(M79,O79,Q79,S79)</f>
        <v>1151502694</v>
      </c>
      <c r="X79" s="216">
        <f>W79/K79*100</f>
        <v>198.25066262740137</v>
      </c>
      <c r="Y79" s="223" t="s">
        <v>80</v>
      </c>
      <c r="Z79" s="217">
        <f>SUM(H79,T79)</f>
        <v>100</v>
      </c>
      <c r="AA79" s="220">
        <f>SUM(I79,W79)</f>
        <v>1151502694</v>
      </c>
      <c r="AB79" s="149"/>
      <c r="AC79" s="150" t="s">
        <v>80</v>
      </c>
      <c r="AD79" s="149"/>
      <c r="AE79" s="151"/>
      <c r="AG79" s="211"/>
      <c r="AH79" s="153"/>
    </row>
    <row r="80" spans="1:35" s="152" customFormat="1" ht="50.45" customHeight="1" x14ac:dyDescent="0.25">
      <c r="A80" s="147"/>
      <c r="B80" s="70"/>
      <c r="C80" s="2" t="s">
        <v>111</v>
      </c>
      <c r="D80" s="2" t="s">
        <v>263</v>
      </c>
      <c r="E80" s="69" t="s">
        <v>190</v>
      </c>
      <c r="F80" s="65" t="s">
        <v>191</v>
      </c>
      <c r="G80" s="69">
        <v>1400000</v>
      </c>
      <c r="H80" s="69"/>
      <c r="I80" s="69"/>
      <c r="J80" s="166">
        <v>100</v>
      </c>
      <c r="K80" s="69">
        <v>750000</v>
      </c>
      <c r="L80" s="166"/>
      <c r="M80" s="69">
        <v>0</v>
      </c>
      <c r="N80" s="166"/>
      <c r="O80" s="69">
        <v>0</v>
      </c>
      <c r="P80" s="177"/>
      <c r="Q80" s="69">
        <v>0</v>
      </c>
      <c r="R80" s="177">
        <v>100</v>
      </c>
      <c r="S80" s="148">
        <v>0</v>
      </c>
      <c r="T80" s="241">
        <f>L80+N80+P80+R80</f>
        <v>100</v>
      </c>
      <c r="U80" s="219">
        <f>T80/J80*100</f>
        <v>100</v>
      </c>
      <c r="V80" s="224" t="s">
        <v>80</v>
      </c>
      <c r="W80" s="220">
        <f>SUM(M80,O80,Q80,S80)</f>
        <v>0</v>
      </c>
      <c r="X80" s="221">
        <f>W80/K80*100</f>
        <v>0</v>
      </c>
      <c r="Y80" s="224" t="s">
        <v>80</v>
      </c>
      <c r="Z80" s="222">
        <f>SUM(H80,T80)</f>
        <v>100</v>
      </c>
      <c r="AA80" s="220">
        <f>SUM(I80,W80)</f>
        <v>0</v>
      </c>
      <c r="AB80" s="155"/>
      <c r="AC80" s="147" t="s">
        <v>80</v>
      </c>
      <c r="AD80" s="155"/>
      <c r="AE80" s="151"/>
      <c r="AG80" s="211"/>
      <c r="AH80" s="153"/>
    </row>
    <row r="81" spans="1:34" s="152" customFormat="1" ht="96" customHeight="1" x14ac:dyDescent="0.25">
      <c r="A81" s="147"/>
      <c r="B81" s="70"/>
      <c r="C81" s="2" t="s">
        <v>60</v>
      </c>
      <c r="D81" s="2" t="s">
        <v>261</v>
      </c>
      <c r="E81" s="69" t="s">
        <v>190</v>
      </c>
      <c r="F81" s="65" t="s">
        <v>191</v>
      </c>
      <c r="G81" s="69">
        <v>306000000</v>
      </c>
      <c r="H81" s="69"/>
      <c r="I81" s="69"/>
      <c r="J81" s="166">
        <v>100</v>
      </c>
      <c r="K81" s="69">
        <v>181500000</v>
      </c>
      <c r="L81" s="166"/>
      <c r="M81" s="69">
        <v>19608662</v>
      </c>
      <c r="N81" s="166"/>
      <c r="O81" s="69">
        <v>38350798</v>
      </c>
      <c r="P81" s="177"/>
      <c r="Q81" s="69">
        <f>7346552+54127866</f>
        <v>61474418</v>
      </c>
      <c r="R81" s="177">
        <v>100</v>
      </c>
      <c r="S81" s="148">
        <v>99825216</v>
      </c>
      <c r="T81" s="241">
        <f>L81+N81+P81+R81</f>
        <v>100</v>
      </c>
      <c r="U81" s="214">
        <f>T81/J81*100</f>
        <v>100</v>
      </c>
      <c r="V81" s="223" t="s">
        <v>80</v>
      </c>
      <c r="W81" s="218">
        <f>SUM(M81,O81,Q81,S81)</f>
        <v>219259094</v>
      </c>
      <c r="X81" s="216">
        <f>W81/K81*100</f>
        <v>120.8039085399449</v>
      </c>
      <c r="Y81" s="223" t="s">
        <v>80</v>
      </c>
      <c r="Z81" s="217">
        <f>SUM(H81,T81)</f>
        <v>100</v>
      </c>
      <c r="AA81" s="220">
        <f>SUM(I81,W81)</f>
        <v>219259094</v>
      </c>
      <c r="AB81" s="149"/>
      <c r="AC81" s="150" t="s">
        <v>80</v>
      </c>
      <c r="AD81" s="149"/>
      <c r="AE81" s="151"/>
      <c r="AG81" s="211"/>
      <c r="AH81" s="153"/>
    </row>
    <row r="82" spans="1:34" s="152" customFormat="1" ht="94.5" x14ac:dyDescent="0.25">
      <c r="A82" s="147"/>
      <c r="B82" s="70"/>
      <c r="C82" s="2" t="s">
        <v>112</v>
      </c>
      <c r="D82" s="2" t="s">
        <v>264</v>
      </c>
      <c r="E82" s="69" t="s">
        <v>190</v>
      </c>
      <c r="F82" s="65" t="s">
        <v>191</v>
      </c>
      <c r="G82" s="69">
        <v>19355000</v>
      </c>
      <c r="H82" s="69"/>
      <c r="I82" s="69"/>
      <c r="J82" s="166">
        <v>100</v>
      </c>
      <c r="K82" s="69">
        <v>18459700</v>
      </c>
      <c r="L82" s="166"/>
      <c r="M82" s="69">
        <v>0</v>
      </c>
      <c r="N82" s="166"/>
      <c r="O82" s="69">
        <v>0</v>
      </c>
      <c r="P82" s="177"/>
      <c r="Q82" s="69">
        <v>0</v>
      </c>
      <c r="R82" s="177">
        <v>100</v>
      </c>
      <c r="S82" s="148">
        <v>0</v>
      </c>
      <c r="T82" s="241">
        <f>L82+N82+P82+R82</f>
        <v>100</v>
      </c>
      <c r="U82" s="219">
        <f>T82/J82*100</f>
        <v>100</v>
      </c>
      <c r="V82" s="224" t="s">
        <v>80</v>
      </c>
      <c r="W82" s="220">
        <f>SUM(M82,O82,Q82,S82)</f>
        <v>0</v>
      </c>
      <c r="X82" s="221">
        <f>W82/K82*100</f>
        <v>0</v>
      </c>
      <c r="Y82" s="224" t="s">
        <v>80</v>
      </c>
      <c r="Z82" s="222">
        <f>SUM(H82,T82)</f>
        <v>100</v>
      </c>
      <c r="AA82" s="220">
        <f>SUM(I82,W82)</f>
        <v>0</v>
      </c>
      <c r="AB82" s="155"/>
      <c r="AC82" s="147" t="s">
        <v>80</v>
      </c>
      <c r="AD82" s="155"/>
      <c r="AE82" s="151"/>
      <c r="AG82" s="211"/>
      <c r="AH82" s="153"/>
    </row>
    <row r="83" spans="1:34" s="152" customFormat="1" ht="94.5" x14ac:dyDescent="0.25">
      <c r="A83" s="147"/>
      <c r="B83" s="70"/>
      <c r="C83" s="2" t="s">
        <v>113</v>
      </c>
      <c r="D83" s="2" t="s">
        <v>262</v>
      </c>
      <c r="E83" s="69" t="s">
        <v>190</v>
      </c>
      <c r="F83" s="65" t="s">
        <v>191</v>
      </c>
      <c r="G83" s="69">
        <v>881584000</v>
      </c>
      <c r="H83" s="69"/>
      <c r="I83" s="69"/>
      <c r="J83" s="166">
        <v>100</v>
      </c>
      <c r="K83" s="69">
        <v>380122000</v>
      </c>
      <c r="L83" s="166"/>
      <c r="M83" s="69">
        <v>81000000</v>
      </c>
      <c r="N83" s="166"/>
      <c r="O83" s="69">
        <f>135000000+38060900</f>
        <v>173060900</v>
      </c>
      <c r="P83" s="177"/>
      <c r="Q83" s="69">
        <f>214500000+38060900</f>
        <v>252560900</v>
      </c>
      <c r="R83" s="177">
        <v>100</v>
      </c>
      <c r="S83" s="148">
        <v>425621800</v>
      </c>
      <c r="T83" s="241">
        <f>L83+N83+P83+R83</f>
        <v>100</v>
      </c>
      <c r="U83" s="219">
        <f>T83/J83*100</f>
        <v>100</v>
      </c>
      <c r="V83" s="224" t="s">
        <v>80</v>
      </c>
      <c r="W83" s="220">
        <f>SUM(M83,O83,Q83,S83)</f>
        <v>932243600</v>
      </c>
      <c r="X83" s="221">
        <f>W83/K83*100</f>
        <v>245.24852547340066</v>
      </c>
      <c r="Y83" s="224" t="s">
        <v>80</v>
      </c>
      <c r="Z83" s="222">
        <f>SUM(H83,T83)</f>
        <v>100</v>
      </c>
      <c r="AA83" s="220">
        <f>SUM(I83,W83)</f>
        <v>932243600</v>
      </c>
      <c r="AB83" s="155"/>
      <c r="AC83" s="147" t="s">
        <v>80</v>
      </c>
      <c r="AD83" s="155"/>
      <c r="AE83" s="151"/>
      <c r="AG83" s="211"/>
      <c r="AH83" s="153"/>
    </row>
    <row r="84" spans="1:34" s="152" customFormat="1" ht="94.5" x14ac:dyDescent="0.25">
      <c r="A84" s="147"/>
      <c r="B84" s="70"/>
      <c r="C84" s="3" t="s">
        <v>61</v>
      </c>
      <c r="D84" s="70" t="str">
        <f>[1]Cascading!$Y$67</f>
        <v>Persentase Pemeliharaan Barang sesuai kebutuhan</v>
      </c>
      <c r="E84" s="80" t="s">
        <v>186</v>
      </c>
      <c r="F84" s="14"/>
      <c r="G84" s="72">
        <f>SUM(G85:G86)</f>
        <v>439088000</v>
      </c>
      <c r="H84" s="80"/>
      <c r="I84" s="72"/>
      <c r="J84" s="173" t="s">
        <v>173</v>
      </c>
      <c r="K84" s="72">
        <f>SUM(K85:K86)</f>
        <v>223569900</v>
      </c>
      <c r="L84" s="173"/>
      <c r="M84" s="72">
        <f>SUM(M85:M86)</f>
        <v>12532260</v>
      </c>
      <c r="N84" s="173"/>
      <c r="O84" s="72">
        <f>SUM(O85:O86)</f>
        <v>24402260</v>
      </c>
      <c r="P84" s="185"/>
      <c r="Q84" s="72">
        <f>SUM(Q85:Q86)</f>
        <v>38902260</v>
      </c>
      <c r="R84" s="177">
        <v>100</v>
      </c>
      <c r="S84" s="148">
        <v>63304520</v>
      </c>
      <c r="T84" s="241">
        <f>L84+N84+P84+R84</f>
        <v>100</v>
      </c>
      <c r="U84" s="214">
        <f>T84/J84*100</f>
        <v>100</v>
      </c>
      <c r="V84" s="223" t="s">
        <v>80</v>
      </c>
      <c r="W84" s="218">
        <f>SUM(M84,O84,Q84,S84)</f>
        <v>139141300</v>
      </c>
      <c r="X84" s="216">
        <f>W84/K84*100</f>
        <v>62.236150751957219</v>
      </c>
      <c r="Y84" s="223" t="s">
        <v>80</v>
      </c>
      <c r="Z84" s="217">
        <f>SUM(H84,T84)</f>
        <v>100</v>
      </c>
      <c r="AA84" s="220">
        <f>SUM(I84,W84)</f>
        <v>139141300</v>
      </c>
      <c r="AB84" s="149"/>
      <c r="AC84" s="150" t="s">
        <v>80</v>
      </c>
      <c r="AD84" s="149"/>
      <c r="AE84" s="151"/>
      <c r="AG84" s="211"/>
      <c r="AH84" s="153"/>
    </row>
    <row r="85" spans="1:34" s="152" customFormat="1" ht="110.25" customHeight="1" x14ac:dyDescent="0.25">
      <c r="A85" s="147"/>
      <c r="B85" s="70"/>
      <c r="C85" s="2" t="s">
        <v>114</v>
      </c>
      <c r="D85" s="12" t="s">
        <v>265</v>
      </c>
      <c r="E85" s="69" t="s">
        <v>190</v>
      </c>
      <c r="F85" s="65" t="s">
        <v>191</v>
      </c>
      <c r="G85" s="69">
        <v>390488000</v>
      </c>
      <c r="H85" s="69"/>
      <c r="I85" s="69"/>
      <c r="J85" s="166">
        <v>100</v>
      </c>
      <c r="K85" s="69">
        <v>199369900</v>
      </c>
      <c r="L85" s="166"/>
      <c r="M85" s="69">
        <f>4500000+8032260</f>
        <v>12532260</v>
      </c>
      <c r="N85" s="166"/>
      <c r="O85" s="69">
        <f>7500000+16902260</f>
        <v>24402260</v>
      </c>
      <c r="P85" s="166"/>
      <c r="Q85" s="69">
        <f>18070000+20832260</f>
        <v>38902260</v>
      </c>
      <c r="R85" s="177">
        <v>100</v>
      </c>
      <c r="S85" s="148">
        <v>63304520</v>
      </c>
      <c r="T85" s="241">
        <f>L85+N85+P85+R85</f>
        <v>100</v>
      </c>
      <c r="U85" s="214">
        <f>T85/J85*100</f>
        <v>100</v>
      </c>
      <c r="V85" s="223" t="s">
        <v>80</v>
      </c>
      <c r="W85" s="218">
        <f>SUM(M85,O85,Q85,S85)</f>
        <v>139141300</v>
      </c>
      <c r="X85" s="216">
        <f>W85/K85*100</f>
        <v>69.7905250491674</v>
      </c>
      <c r="Y85" s="223" t="s">
        <v>80</v>
      </c>
      <c r="Z85" s="217">
        <f>SUM(H85,T85)</f>
        <v>100</v>
      </c>
      <c r="AA85" s="220">
        <f>SUM(I85,W85)</f>
        <v>139141300</v>
      </c>
      <c r="AB85" s="149"/>
      <c r="AC85" s="150" t="s">
        <v>80</v>
      </c>
      <c r="AD85" s="149"/>
      <c r="AE85" s="151"/>
      <c r="AG85" s="211"/>
      <c r="AH85" s="153"/>
    </row>
    <row r="86" spans="1:34" s="152" customFormat="1" ht="125.45" customHeight="1" x14ac:dyDescent="0.25">
      <c r="A86" s="147"/>
      <c r="B86" s="70"/>
      <c r="C86" s="2" t="s">
        <v>115</v>
      </c>
      <c r="D86" s="12" t="s">
        <v>266</v>
      </c>
      <c r="E86" s="69" t="s">
        <v>190</v>
      </c>
      <c r="F86" s="65" t="s">
        <v>191</v>
      </c>
      <c r="G86" s="69">
        <v>48600000</v>
      </c>
      <c r="H86" s="69"/>
      <c r="I86" s="69"/>
      <c r="J86" s="166">
        <v>100</v>
      </c>
      <c r="K86" s="69">
        <v>24200000</v>
      </c>
      <c r="L86" s="166"/>
      <c r="M86" s="69">
        <v>0</v>
      </c>
      <c r="N86" s="166"/>
      <c r="O86" s="69">
        <v>0</v>
      </c>
      <c r="P86" s="166"/>
      <c r="Q86" s="69">
        <v>0</v>
      </c>
      <c r="R86" s="177">
        <v>100</v>
      </c>
      <c r="S86" s="148">
        <v>0</v>
      </c>
      <c r="T86" s="241">
        <f>L86+N86+P86+R86</f>
        <v>100</v>
      </c>
      <c r="U86" s="214">
        <f>T86/J86*100</f>
        <v>100</v>
      </c>
      <c r="V86" s="223" t="s">
        <v>80</v>
      </c>
      <c r="W86" s="218">
        <f>SUM(M86,O86,Q86,S86)</f>
        <v>0</v>
      </c>
      <c r="X86" s="216">
        <f>W86/K86*100</f>
        <v>0</v>
      </c>
      <c r="Y86" s="223" t="s">
        <v>80</v>
      </c>
      <c r="Z86" s="217">
        <f>SUM(H86,T86)</f>
        <v>100</v>
      </c>
      <c r="AA86" s="218">
        <f>SUM(I86,W86)</f>
        <v>0</v>
      </c>
      <c r="AB86" s="149"/>
      <c r="AC86" s="150" t="s">
        <v>80</v>
      </c>
      <c r="AD86" s="149"/>
      <c r="AE86" s="151"/>
      <c r="AG86" s="211"/>
      <c r="AH86" s="153"/>
    </row>
    <row r="87" spans="1:34" s="60" customFormat="1" ht="15.75" x14ac:dyDescent="0.25">
      <c r="A87" s="264" t="s">
        <v>22</v>
      </c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106">
        <f>AVERAGE(U15,U27,U39,U52,U55,U46,U64)</f>
        <v>136.99100370406606</v>
      </c>
      <c r="V87" s="107"/>
      <c r="W87" s="94"/>
      <c r="X87" s="106">
        <f>AVERAGE(X15,X27,X39,X52,X55,X46,X64)</f>
        <v>94.319648474744653</v>
      </c>
      <c r="Y87" s="107"/>
      <c r="Z87" s="122"/>
      <c r="AA87" s="94"/>
      <c r="AB87" s="94"/>
      <c r="AC87" s="93"/>
      <c r="AD87" s="94"/>
      <c r="AE87" s="68"/>
    </row>
    <row r="88" spans="1:34" s="60" customFormat="1" ht="15.75" x14ac:dyDescent="0.25">
      <c r="A88" s="264" t="s">
        <v>23</v>
      </c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108" t="str">
        <f>IF(U87&gt;=91,"Sangat Tinggi",IF(U87&gt;=76,"Tinggi",IF(U87&gt;=66,"Sedang",IF(U87&gt;=51,"Rendah",IF(U87&lt;=50,"Sangat Rendah")))))</f>
        <v>Sangat Tinggi</v>
      </c>
      <c r="V88" s="107"/>
      <c r="W88" s="95"/>
      <c r="X88" s="108" t="str">
        <f>IF(X87&gt;=91,"Sangat Tinggi",IF(X87&gt;=76,"Tinggi",IF(X87&gt;=66,"Sedang",IF(X87&gt;=51,"Rendah",IF(X87&lt;=50,"Sangat Rendah")))))</f>
        <v>Sangat Tinggi</v>
      </c>
      <c r="Y88" s="107"/>
      <c r="Z88" s="123"/>
      <c r="AA88" s="95"/>
      <c r="AB88" s="96"/>
      <c r="AC88" s="93"/>
      <c r="AD88" s="95"/>
      <c r="AE88" s="68"/>
    </row>
    <row r="89" spans="1:34" s="60" customFormat="1" ht="15.75" x14ac:dyDescent="0.25">
      <c r="A89" s="263" t="s">
        <v>24</v>
      </c>
      <c r="B89" s="263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68"/>
    </row>
    <row r="90" spans="1:34" s="60" customFormat="1" ht="15.75" x14ac:dyDescent="0.25">
      <c r="A90" s="263" t="s">
        <v>25</v>
      </c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68"/>
    </row>
    <row r="91" spans="1:34" s="60" customFormat="1" ht="15.75" x14ac:dyDescent="0.25">
      <c r="A91" s="263" t="s">
        <v>26</v>
      </c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3"/>
      <c r="AE91" s="68"/>
    </row>
    <row r="92" spans="1:34" s="60" customFormat="1" ht="15.75" x14ac:dyDescent="0.25">
      <c r="A92" s="263" t="s">
        <v>27</v>
      </c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86"/>
    </row>
    <row r="93" spans="1:34" s="60" customFormat="1" ht="15.75" x14ac:dyDescent="0.25">
      <c r="V93" s="61"/>
      <c r="Y93" s="61"/>
      <c r="AC93" s="61"/>
    </row>
    <row r="94" spans="1:34" s="60" customFormat="1" ht="15.75" x14ac:dyDescent="0.25">
      <c r="T94" s="260"/>
      <c r="U94" s="260"/>
      <c r="V94" s="260"/>
      <c r="W94" s="260"/>
      <c r="X94" s="260"/>
      <c r="Y94" s="61"/>
      <c r="AA94" s="260"/>
      <c r="AB94" s="260"/>
      <c r="AC94" s="260"/>
      <c r="AD94" s="260"/>
      <c r="AE94" s="260"/>
    </row>
    <row r="95" spans="1:34" s="60" customFormat="1" ht="15.75" x14ac:dyDescent="0.25">
      <c r="A95" s="62"/>
      <c r="T95" s="260" t="s">
        <v>267</v>
      </c>
      <c r="U95" s="260"/>
      <c r="V95" s="260"/>
      <c r="W95" s="260"/>
      <c r="X95" s="260"/>
      <c r="Y95" s="61"/>
      <c r="AA95" s="260"/>
      <c r="AB95" s="260"/>
      <c r="AC95" s="260"/>
      <c r="AD95" s="260"/>
      <c r="AE95" s="260"/>
    </row>
    <row r="96" spans="1:34" s="60" customFormat="1" ht="15.75" x14ac:dyDescent="0.25">
      <c r="A96" s="62"/>
      <c r="T96" s="61"/>
      <c r="U96" s="61"/>
      <c r="V96" s="61"/>
      <c r="W96" s="61"/>
      <c r="X96" s="61"/>
      <c r="Y96" s="61"/>
      <c r="AA96" s="61"/>
      <c r="AB96" s="61"/>
      <c r="AC96" s="61"/>
      <c r="AD96" s="61"/>
      <c r="AE96" s="61"/>
    </row>
    <row r="97" spans="1:31" s="60" customFormat="1" ht="15.75" x14ac:dyDescent="0.25">
      <c r="T97" s="260" t="s">
        <v>47</v>
      </c>
      <c r="U97" s="260"/>
      <c r="V97" s="260"/>
      <c r="W97" s="260"/>
      <c r="X97" s="260"/>
      <c r="Y97" s="61"/>
      <c r="AA97" s="260"/>
      <c r="AB97" s="260"/>
      <c r="AC97" s="260"/>
      <c r="AD97" s="260"/>
      <c r="AE97" s="260"/>
    </row>
    <row r="98" spans="1:31" s="60" customFormat="1" ht="15.75" x14ac:dyDescent="0.25">
      <c r="T98" s="260" t="s">
        <v>44</v>
      </c>
      <c r="U98" s="260"/>
      <c r="V98" s="260"/>
      <c r="W98" s="260"/>
      <c r="X98" s="260"/>
      <c r="Y98" s="61"/>
      <c r="AA98" s="260"/>
      <c r="AB98" s="260"/>
      <c r="AC98" s="260"/>
      <c r="AD98" s="260"/>
      <c r="AE98" s="260"/>
    </row>
    <row r="99" spans="1:31" s="60" customFormat="1" ht="63" x14ac:dyDescent="0.25">
      <c r="A99" s="87" t="s">
        <v>28</v>
      </c>
      <c r="B99" s="87" t="s">
        <v>29</v>
      </c>
      <c r="C99" s="87" t="s">
        <v>30</v>
      </c>
      <c r="V99" s="61"/>
      <c r="Y99" s="61"/>
      <c r="AA99" s="61"/>
      <c r="AC99" s="61"/>
    </row>
    <row r="100" spans="1:31" s="60" customFormat="1" ht="47.25" x14ac:dyDescent="0.25">
      <c r="A100" s="63" t="s">
        <v>211</v>
      </c>
      <c r="B100" s="63" t="s">
        <v>212</v>
      </c>
      <c r="C100" s="63" t="s">
        <v>31</v>
      </c>
      <c r="T100" s="261" t="s">
        <v>222</v>
      </c>
      <c r="U100" s="261"/>
      <c r="V100" s="261"/>
      <c r="W100" s="261"/>
      <c r="X100" s="261"/>
      <c r="Y100" s="61"/>
      <c r="AA100" s="261"/>
      <c r="AB100" s="261"/>
      <c r="AC100" s="261"/>
      <c r="AD100" s="261"/>
      <c r="AE100" s="261"/>
    </row>
    <row r="101" spans="1:31" s="60" customFormat="1" ht="47.25" x14ac:dyDescent="0.25">
      <c r="A101" s="63" t="s">
        <v>213</v>
      </c>
      <c r="B101" s="63" t="s">
        <v>214</v>
      </c>
      <c r="C101" s="63" t="s">
        <v>32</v>
      </c>
      <c r="T101" s="262" t="s">
        <v>48</v>
      </c>
      <c r="U101" s="262"/>
      <c r="V101" s="262"/>
      <c r="W101" s="262"/>
      <c r="X101" s="262"/>
      <c r="Y101" s="61"/>
      <c r="AA101" s="262"/>
      <c r="AB101" s="262"/>
      <c r="AC101" s="262"/>
      <c r="AD101" s="262"/>
      <c r="AE101" s="262"/>
    </row>
    <row r="102" spans="1:31" s="60" customFormat="1" ht="47.25" x14ac:dyDescent="0.25">
      <c r="A102" s="63" t="s">
        <v>215</v>
      </c>
      <c r="B102" s="63" t="s">
        <v>216</v>
      </c>
      <c r="C102" s="63" t="s">
        <v>33</v>
      </c>
      <c r="V102" s="61"/>
      <c r="Y102" s="61"/>
      <c r="AC102" s="61"/>
    </row>
    <row r="103" spans="1:31" s="60" customFormat="1" ht="47.25" x14ac:dyDescent="0.25">
      <c r="A103" s="63" t="s">
        <v>217</v>
      </c>
      <c r="B103" s="63" t="s">
        <v>218</v>
      </c>
      <c r="C103" s="63" t="s">
        <v>34</v>
      </c>
      <c r="V103" s="61"/>
      <c r="Y103" s="61"/>
      <c r="AC103" s="61"/>
    </row>
    <row r="104" spans="1:31" s="60" customFormat="1" ht="47.25" x14ac:dyDescent="0.25">
      <c r="A104" s="63" t="s">
        <v>219</v>
      </c>
      <c r="B104" s="63" t="s">
        <v>220</v>
      </c>
      <c r="C104" s="63" t="s">
        <v>35</v>
      </c>
      <c r="V104" s="61"/>
      <c r="Y104" s="61"/>
      <c r="AC104" s="61"/>
    </row>
    <row r="105" spans="1:31" s="60" customFormat="1" ht="15.75" x14ac:dyDescent="0.25">
      <c r="V105" s="61"/>
      <c r="Y105" s="61"/>
      <c r="AC105" s="61"/>
    </row>
    <row r="106" spans="1:31" s="60" customFormat="1" ht="15.75" x14ac:dyDescent="0.25">
      <c r="V106" s="61"/>
      <c r="Y106" s="61"/>
      <c r="AC106" s="61"/>
    </row>
    <row r="107" spans="1:31" s="60" customFormat="1" ht="15.75" x14ac:dyDescent="0.25">
      <c r="V107" s="61"/>
      <c r="Y107" s="61"/>
      <c r="AC107" s="61"/>
    </row>
    <row r="108" spans="1:31" s="60" customFormat="1" ht="15.75" x14ac:dyDescent="0.25">
      <c r="V108" s="61"/>
      <c r="Y108" s="61"/>
      <c r="AC108" s="61"/>
    </row>
  </sheetData>
  <mergeCells count="78">
    <mergeCell ref="A6:AD6"/>
    <mergeCell ref="T7:Y8"/>
    <mergeCell ref="T9:Y9"/>
    <mergeCell ref="A7:A9"/>
    <mergeCell ref="B7:B9"/>
    <mergeCell ref="C7:C9"/>
    <mergeCell ref="D7:D9"/>
    <mergeCell ref="E7:G9"/>
    <mergeCell ref="A1:AD1"/>
    <mergeCell ref="A2:AD2"/>
    <mergeCell ref="A3:AD3"/>
    <mergeCell ref="A4:AD4"/>
    <mergeCell ref="A5:AD5"/>
    <mergeCell ref="E10:G10"/>
    <mergeCell ref="H10:I10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10:Y10"/>
    <mergeCell ref="H7:I9"/>
    <mergeCell ref="E11:F12"/>
    <mergeCell ref="G11:G12"/>
    <mergeCell ref="H11:H12"/>
    <mergeCell ref="I11:I12"/>
    <mergeCell ref="J11:J12"/>
    <mergeCell ref="M11:M12"/>
    <mergeCell ref="Z10:AA10"/>
    <mergeCell ref="AB10:AD10"/>
    <mergeCell ref="J10:K10"/>
    <mergeCell ref="L10:M10"/>
    <mergeCell ref="N10:O10"/>
    <mergeCell ref="P10:Q10"/>
    <mergeCell ref="AB12:AC12"/>
    <mergeCell ref="AB11:AC11"/>
    <mergeCell ref="U11:V11"/>
    <mergeCell ref="U12:V12"/>
    <mergeCell ref="R10:S10"/>
    <mergeCell ref="A10:A12"/>
    <mergeCell ref="B10:B12"/>
    <mergeCell ref="C10:C12"/>
    <mergeCell ref="D10:D12"/>
    <mergeCell ref="A89:AD89"/>
    <mergeCell ref="N11:N12"/>
    <mergeCell ref="O11:O12"/>
    <mergeCell ref="X11:Y11"/>
    <mergeCell ref="X12:Y12"/>
    <mergeCell ref="P11:P12"/>
    <mergeCell ref="Q11:Q12"/>
    <mergeCell ref="R11:R12"/>
    <mergeCell ref="S11:S12"/>
    <mergeCell ref="K11:K12"/>
    <mergeCell ref="L11:L12"/>
    <mergeCell ref="A90:AD90"/>
    <mergeCell ref="A91:AD91"/>
    <mergeCell ref="A92:AD92"/>
    <mergeCell ref="A87:T87"/>
    <mergeCell ref="A88:T88"/>
    <mergeCell ref="T94:X94"/>
    <mergeCell ref="AA94:AE94"/>
    <mergeCell ref="T95:X95"/>
    <mergeCell ref="AA95:AE95"/>
    <mergeCell ref="T97:X97"/>
    <mergeCell ref="AA97:AE97"/>
    <mergeCell ref="T98:X98"/>
    <mergeCell ref="AA98:AE98"/>
    <mergeCell ref="T100:X100"/>
    <mergeCell ref="AA100:AE100"/>
    <mergeCell ref="T101:X101"/>
    <mergeCell ref="AA101:AE101"/>
  </mergeCells>
  <printOptions horizontalCentered="1"/>
  <pageMargins left="3.937007874015748E-2" right="3.937007874015748E-2" top="3.937007874015748E-2" bottom="3.937007874015748E-2" header="0" footer="0"/>
  <pageSetup paperSize="256" scale="34" orientation="landscape" horizontalDpi="4294967294" r:id="rId1"/>
  <rowBreaks count="1" manualBreakCount="1">
    <brk id="92" max="3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3F12-0106-4BC3-AA52-3F75C11A009B}">
  <sheetPr>
    <tabColor theme="9" tint="-0.249977111117893"/>
  </sheetPr>
  <dimension ref="A1:AS112"/>
  <sheetViews>
    <sheetView showGridLines="0" showRuler="0" topLeftCell="A10" zoomScale="60" zoomScaleNormal="60" zoomScaleSheetLayoutView="71" zoomScalePageLayoutView="55" workbookViewId="0">
      <selection activeCell="A15" sqref="A15:XFD20"/>
    </sheetView>
  </sheetViews>
  <sheetFormatPr defaultColWidth="9.140625" defaultRowHeight="14.25" x14ac:dyDescent="0.2"/>
  <cols>
    <col min="1" max="1" width="6.42578125" style="16" customWidth="1"/>
    <col min="2" max="2" width="18" style="16" customWidth="1"/>
    <col min="3" max="3" width="20.7109375" style="16" customWidth="1"/>
    <col min="4" max="4" width="15" style="16" customWidth="1"/>
    <col min="5" max="5" width="10.28515625" style="16" hidden="1" customWidth="1"/>
    <col min="6" max="6" width="7.7109375" style="16" hidden="1" customWidth="1"/>
    <col min="7" max="7" width="18.28515625" style="16" hidden="1" customWidth="1"/>
    <col min="8" max="8" width="14.85546875" style="16" hidden="1" customWidth="1"/>
    <col min="9" max="9" width="7.7109375" style="16" hidden="1" customWidth="1"/>
    <col min="10" max="10" width="21.42578125" style="16" hidden="1" customWidth="1"/>
    <col min="11" max="11" width="11.5703125" style="16" bestFit="1" customWidth="1"/>
    <col min="12" max="12" width="7.5703125" style="16" customWidth="1"/>
    <col min="13" max="13" width="19.85546875" style="16" customWidth="1"/>
    <col min="14" max="14" width="8.85546875" style="16" customWidth="1"/>
    <col min="15" max="15" width="7.7109375" style="16" customWidth="1"/>
    <col min="16" max="16" width="18.7109375" style="16" customWidth="1"/>
    <col min="17" max="17" width="11.42578125" style="16" customWidth="1"/>
    <col min="18" max="18" width="7.7109375" style="16" customWidth="1"/>
    <col min="19" max="19" width="18.140625" style="16" customWidth="1"/>
    <col min="20" max="20" width="8.28515625" style="16" customWidth="1"/>
    <col min="21" max="21" width="8" style="16" customWidth="1"/>
    <col min="22" max="22" width="18.28515625" style="16" customWidth="1"/>
    <col min="23" max="23" width="10.28515625" style="16" customWidth="1"/>
    <col min="24" max="24" width="7.5703125" style="16" customWidth="1"/>
    <col min="25" max="25" width="17.85546875" style="16" customWidth="1"/>
    <col min="26" max="26" width="9.7109375" style="16" customWidth="1"/>
    <col min="27" max="27" width="7.28515625" style="18" customWidth="1"/>
    <col min="28" max="28" width="9.7109375" style="16" customWidth="1"/>
    <col min="29" max="29" width="5.5703125" style="18" customWidth="1"/>
    <col min="30" max="30" width="19.42578125" style="16" customWidth="1"/>
    <col min="31" max="31" width="10.7109375" style="16" customWidth="1"/>
    <col min="32" max="32" width="5.5703125" style="18" customWidth="1"/>
    <col min="33" max="33" width="9.85546875" style="16" customWidth="1"/>
    <col min="34" max="34" width="8" style="18" customWidth="1"/>
    <col min="35" max="35" width="20.140625" style="16" customWidth="1"/>
    <col min="36" max="36" width="9.85546875" style="16" hidden="1" customWidth="1"/>
    <col min="37" max="37" width="5.5703125" style="18" hidden="1" customWidth="1"/>
    <col min="38" max="38" width="13.140625" style="16" hidden="1" customWidth="1"/>
    <col min="39" max="39" width="15" style="16" hidden="1" customWidth="1"/>
    <col min="40" max="40" width="9.140625" style="16"/>
    <col min="41" max="45" width="19.5703125" style="16" customWidth="1"/>
    <col min="46" max="16384" width="9.140625" style="16"/>
  </cols>
  <sheetData>
    <row r="1" spans="1:45" ht="22.5" x14ac:dyDescent="0.3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15"/>
    </row>
    <row r="2" spans="1:45" ht="22.5" x14ac:dyDescent="0.3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17"/>
    </row>
    <row r="3" spans="1:45" ht="22.5" x14ac:dyDescent="0.3">
      <c r="A3" s="299" t="s">
        <v>36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17"/>
    </row>
    <row r="4" spans="1:45" ht="22.5" x14ac:dyDescent="0.3">
      <c r="A4" s="300" t="s">
        <v>203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15"/>
    </row>
    <row r="5" spans="1:45" s="60" customFormat="1" ht="15.75" x14ac:dyDescent="0.25">
      <c r="A5" s="301" t="s">
        <v>2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</row>
    <row r="6" spans="1:45" s="60" customFormat="1" ht="15.75" x14ac:dyDescent="0.25">
      <c r="A6" s="302" t="s">
        <v>36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</row>
    <row r="7" spans="1:45" s="60" customFormat="1" ht="81" customHeight="1" x14ac:dyDescent="0.25">
      <c r="A7" s="303" t="s">
        <v>3</v>
      </c>
      <c r="B7" s="303" t="s">
        <v>4</v>
      </c>
      <c r="C7" s="304" t="s">
        <v>5</v>
      </c>
      <c r="D7" s="304" t="s">
        <v>210</v>
      </c>
      <c r="E7" s="290" t="s">
        <v>6</v>
      </c>
      <c r="F7" s="291"/>
      <c r="G7" s="294"/>
      <c r="H7" s="290" t="s">
        <v>195</v>
      </c>
      <c r="I7" s="291"/>
      <c r="J7" s="294"/>
      <c r="K7" s="290" t="s">
        <v>196</v>
      </c>
      <c r="L7" s="291"/>
      <c r="M7" s="291"/>
      <c r="N7" s="290" t="s">
        <v>7</v>
      </c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4"/>
      <c r="Z7" s="290" t="s">
        <v>41</v>
      </c>
      <c r="AA7" s="291"/>
      <c r="AB7" s="291"/>
      <c r="AC7" s="291"/>
      <c r="AD7" s="291"/>
      <c r="AE7" s="291"/>
      <c r="AF7" s="294"/>
      <c r="AG7" s="290" t="s">
        <v>227</v>
      </c>
      <c r="AH7" s="291"/>
      <c r="AI7" s="294"/>
      <c r="AJ7" s="290" t="s">
        <v>228</v>
      </c>
      <c r="AK7" s="291"/>
      <c r="AL7" s="291"/>
      <c r="AM7" s="282" t="s">
        <v>8</v>
      </c>
      <c r="AO7" s="61"/>
      <c r="AP7" s="61"/>
      <c r="AQ7" s="61"/>
      <c r="AR7" s="61"/>
      <c r="AS7" s="61"/>
    </row>
    <row r="8" spans="1:45" s="60" customFormat="1" ht="18" customHeight="1" x14ac:dyDescent="0.25">
      <c r="A8" s="303"/>
      <c r="B8" s="303"/>
      <c r="C8" s="304"/>
      <c r="D8" s="304"/>
      <c r="E8" s="296"/>
      <c r="F8" s="297"/>
      <c r="G8" s="298"/>
      <c r="H8" s="296"/>
      <c r="I8" s="297"/>
      <c r="J8" s="298"/>
      <c r="K8" s="292"/>
      <c r="L8" s="293"/>
      <c r="M8" s="293"/>
      <c r="N8" s="292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5"/>
      <c r="Z8" s="292"/>
      <c r="AA8" s="293"/>
      <c r="AB8" s="293"/>
      <c r="AC8" s="293"/>
      <c r="AD8" s="293"/>
      <c r="AE8" s="293"/>
      <c r="AF8" s="295"/>
      <c r="AG8" s="292"/>
      <c r="AH8" s="293"/>
      <c r="AI8" s="295"/>
      <c r="AJ8" s="292"/>
      <c r="AK8" s="293"/>
      <c r="AL8" s="293"/>
      <c r="AM8" s="283"/>
    </row>
    <row r="9" spans="1:45" s="60" customFormat="1" ht="15.75" customHeight="1" x14ac:dyDescent="0.25">
      <c r="A9" s="303"/>
      <c r="B9" s="303"/>
      <c r="C9" s="304"/>
      <c r="D9" s="304"/>
      <c r="E9" s="292"/>
      <c r="F9" s="293"/>
      <c r="G9" s="295"/>
      <c r="H9" s="292"/>
      <c r="I9" s="293"/>
      <c r="J9" s="295"/>
      <c r="K9" s="284">
        <v>2022</v>
      </c>
      <c r="L9" s="285"/>
      <c r="M9" s="286"/>
      <c r="N9" s="287" t="s">
        <v>9</v>
      </c>
      <c r="O9" s="288"/>
      <c r="P9" s="289"/>
      <c r="Q9" s="287" t="s">
        <v>10</v>
      </c>
      <c r="R9" s="288"/>
      <c r="S9" s="289"/>
      <c r="T9" s="287" t="s">
        <v>11</v>
      </c>
      <c r="U9" s="288"/>
      <c r="V9" s="289"/>
      <c r="W9" s="287" t="s">
        <v>12</v>
      </c>
      <c r="X9" s="288"/>
      <c r="Y9" s="289"/>
      <c r="Z9" s="287">
        <v>2022</v>
      </c>
      <c r="AA9" s="288"/>
      <c r="AB9" s="288"/>
      <c r="AC9" s="288"/>
      <c r="AD9" s="288"/>
      <c r="AE9" s="288"/>
      <c r="AF9" s="289"/>
      <c r="AG9" s="287">
        <v>2022</v>
      </c>
      <c r="AH9" s="288"/>
      <c r="AI9" s="289"/>
      <c r="AJ9" s="287">
        <v>2022</v>
      </c>
      <c r="AK9" s="288"/>
      <c r="AL9" s="289"/>
      <c r="AM9" s="19"/>
    </row>
    <row r="10" spans="1:45" s="60" customFormat="1" ht="15.75" x14ac:dyDescent="0.25">
      <c r="A10" s="265">
        <v>1</v>
      </c>
      <c r="B10" s="265">
        <v>2</v>
      </c>
      <c r="C10" s="265">
        <v>3</v>
      </c>
      <c r="D10" s="265">
        <v>4</v>
      </c>
      <c r="E10" s="272">
        <v>5</v>
      </c>
      <c r="F10" s="281"/>
      <c r="G10" s="273"/>
      <c r="H10" s="272">
        <v>6</v>
      </c>
      <c r="I10" s="281"/>
      <c r="J10" s="273"/>
      <c r="K10" s="277">
        <v>7</v>
      </c>
      <c r="L10" s="278"/>
      <c r="M10" s="279"/>
      <c r="N10" s="277">
        <v>8</v>
      </c>
      <c r="O10" s="278"/>
      <c r="P10" s="279"/>
      <c r="Q10" s="277">
        <v>9</v>
      </c>
      <c r="R10" s="278"/>
      <c r="S10" s="279"/>
      <c r="T10" s="277">
        <v>10</v>
      </c>
      <c r="U10" s="278"/>
      <c r="V10" s="279"/>
      <c r="W10" s="277">
        <v>11</v>
      </c>
      <c r="X10" s="278"/>
      <c r="Y10" s="279"/>
      <c r="Z10" s="274">
        <v>12</v>
      </c>
      <c r="AA10" s="275"/>
      <c r="AB10" s="275"/>
      <c r="AC10" s="275"/>
      <c r="AD10" s="275"/>
      <c r="AE10" s="275"/>
      <c r="AF10" s="276"/>
      <c r="AG10" s="274">
        <v>13</v>
      </c>
      <c r="AH10" s="275"/>
      <c r="AI10" s="276"/>
      <c r="AJ10" s="309">
        <v>14</v>
      </c>
      <c r="AK10" s="310"/>
      <c r="AL10" s="311"/>
      <c r="AM10" s="130">
        <v>15</v>
      </c>
    </row>
    <row r="11" spans="1:45" s="60" customFormat="1" ht="87" customHeight="1" x14ac:dyDescent="0.25">
      <c r="A11" s="266"/>
      <c r="B11" s="266"/>
      <c r="C11" s="266"/>
      <c r="D11" s="266"/>
      <c r="E11" s="268" t="s">
        <v>13</v>
      </c>
      <c r="F11" s="269"/>
      <c r="G11" s="267" t="s">
        <v>14</v>
      </c>
      <c r="H11" s="268" t="s">
        <v>13</v>
      </c>
      <c r="I11" s="269"/>
      <c r="J11" s="267" t="s">
        <v>14</v>
      </c>
      <c r="K11" s="268" t="s">
        <v>13</v>
      </c>
      <c r="L11" s="269"/>
      <c r="M11" s="265" t="s">
        <v>14</v>
      </c>
      <c r="N11" s="268" t="s">
        <v>13</v>
      </c>
      <c r="O11" s="269"/>
      <c r="P11" s="265" t="s">
        <v>14</v>
      </c>
      <c r="Q11" s="268" t="s">
        <v>13</v>
      </c>
      <c r="R11" s="269"/>
      <c r="S11" s="265" t="s">
        <v>14</v>
      </c>
      <c r="T11" s="268" t="s">
        <v>13</v>
      </c>
      <c r="U11" s="269"/>
      <c r="V11" s="265" t="s">
        <v>14</v>
      </c>
      <c r="W11" s="268" t="s">
        <v>13</v>
      </c>
      <c r="X11" s="269"/>
      <c r="Y11" s="265" t="s">
        <v>14</v>
      </c>
      <c r="Z11" s="272" t="s">
        <v>15</v>
      </c>
      <c r="AA11" s="273"/>
      <c r="AB11" s="272" t="s">
        <v>39</v>
      </c>
      <c r="AC11" s="273"/>
      <c r="AD11" s="131" t="s">
        <v>16</v>
      </c>
      <c r="AE11" s="272" t="s">
        <v>40</v>
      </c>
      <c r="AF11" s="273"/>
      <c r="AG11" s="272" t="s">
        <v>17</v>
      </c>
      <c r="AH11" s="273"/>
      <c r="AI11" s="131" t="s">
        <v>18</v>
      </c>
      <c r="AJ11" s="305" t="s">
        <v>19</v>
      </c>
      <c r="AK11" s="306"/>
      <c r="AL11" s="21" t="s">
        <v>20</v>
      </c>
      <c r="AM11" s="68"/>
    </row>
    <row r="12" spans="1:45" s="60" customFormat="1" ht="15.75" x14ac:dyDescent="0.25">
      <c r="A12" s="267"/>
      <c r="B12" s="267"/>
      <c r="C12" s="267"/>
      <c r="D12" s="267"/>
      <c r="E12" s="270"/>
      <c r="F12" s="271"/>
      <c r="G12" s="280"/>
      <c r="H12" s="270"/>
      <c r="I12" s="271"/>
      <c r="J12" s="280"/>
      <c r="K12" s="270"/>
      <c r="L12" s="271"/>
      <c r="M12" s="267"/>
      <c r="N12" s="270"/>
      <c r="O12" s="271"/>
      <c r="P12" s="267"/>
      <c r="Q12" s="270"/>
      <c r="R12" s="271"/>
      <c r="S12" s="267"/>
      <c r="T12" s="270"/>
      <c r="U12" s="271"/>
      <c r="V12" s="267"/>
      <c r="W12" s="270"/>
      <c r="X12" s="271"/>
      <c r="Y12" s="267"/>
      <c r="Z12" s="270" t="s">
        <v>13</v>
      </c>
      <c r="AA12" s="271"/>
      <c r="AB12" s="270" t="s">
        <v>13</v>
      </c>
      <c r="AC12" s="271"/>
      <c r="AD12" s="132" t="s">
        <v>14</v>
      </c>
      <c r="AE12" s="270" t="s">
        <v>14</v>
      </c>
      <c r="AF12" s="271"/>
      <c r="AG12" s="270" t="s">
        <v>13</v>
      </c>
      <c r="AH12" s="271"/>
      <c r="AI12" s="132" t="s">
        <v>14</v>
      </c>
      <c r="AJ12" s="307" t="s">
        <v>13</v>
      </c>
      <c r="AK12" s="308"/>
      <c r="AL12" s="129" t="s">
        <v>14</v>
      </c>
      <c r="AM12" s="86"/>
    </row>
    <row r="13" spans="1:45" s="60" customFormat="1" ht="50.45" customHeight="1" x14ac:dyDescent="0.25">
      <c r="A13" s="25"/>
      <c r="B13" s="88"/>
      <c r="C13" s="3" t="s">
        <v>87</v>
      </c>
      <c r="D13" s="4"/>
      <c r="E13" s="4"/>
      <c r="F13" s="4"/>
      <c r="G13" s="65"/>
      <c r="H13" s="65"/>
      <c r="I13" s="65"/>
      <c r="J13" s="65"/>
      <c r="K13" s="65"/>
      <c r="L13" s="65"/>
      <c r="M13" s="65"/>
      <c r="N13" s="65"/>
      <c r="O13" s="65"/>
      <c r="P13" s="20"/>
      <c r="Q13" s="21"/>
      <c r="R13" s="22"/>
      <c r="S13" s="20"/>
      <c r="T13" s="21"/>
      <c r="U13" s="22"/>
      <c r="V13" s="20"/>
      <c r="W13" s="23"/>
      <c r="X13" s="22"/>
      <c r="Y13" s="20"/>
      <c r="Z13" s="109"/>
      <c r="AA13" s="98"/>
      <c r="AB13" s="97"/>
      <c r="AC13" s="98"/>
      <c r="AD13" s="26"/>
      <c r="AE13" s="97"/>
      <c r="AF13" s="98"/>
      <c r="AG13" s="109"/>
      <c r="AH13" s="98"/>
      <c r="AI13" s="26"/>
      <c r="AJ13" s="24"/>
      <c r="AK13" s="25"/>
      <c r="AL13" s="24"/>
      <c r="AM13" s="27" t="s">
        <v>37</v>
      </c>
      <c r="AP13" s="28">
        <f t="shared" ref="AP13:AP26" si="0">P13+S13+V13+Y13</f>
        <v>0</v>
      </c>
    </row>
    <row r="14" spans="1:45" s="60" customFormat="1" ht="64.150000000000006" customHeight="1" x14ac:dyDescent="0.25">
      <c r="A14" s="25"/>
      <c r="B14" s="88"/>
      <c r="C14" s="3" t="s">
        <v>88</v>
      </c>
      <c r="D14" s="4"/>
      <c r="E14" s="4"/>
      <c r="F14" s="4"/>
      <c r="G14" s="65"/>
      <c r="H14" s="65"/>
      <c r="I14" s="65"/>
      <c r="J14" s="65"/>
      <c r="K14" s="65"/>
      <c r="L14" s="65"/>
      <c r="M14" s="65"/>
      <c r="N14" s="65"/>
      <c r="O14" s="65"/>
      <c r="P14" s="20"/>
      <c r="Q14" s="21"/>
      <c r="R14" s="22"/>
      <c r="S14" s="20"/>
      <c r="T14" s="21"/>
      <c r="U14" s="22"/>
      <c r="V14" s="20"/>
      <c r="W14" s="23"/>
      <c r="X14" s="22"/>
      <c r="Y14" s="20"/>
      <c r="Z14" s="109"/>
      <c r="AA14" s="98"/>
      <c r="AB14" s="109"/>
      <c r="AC14" s="98"/>
      <c r="AD14" s="26"/>
      <c r="AE14" s="97"/>
      <c r="AF14" s="98"/>
      <c r="AG14" s="109"/>
      <c r="AH14" s="98"/>
      <c r="AI14" s="26"/>
      <c r="AJ14" s="24"/>
      <c r="AK14" s="25"/>
      <c r="AL14" s="24"/>
      <c r="AM14" s="27"/>
      <c r="AP14" s="28"/>
    </row>
    <row r="15" spans="1:45" s="60" customFormat="1" ht="64.150000000000006" customHeight="1" x14ac:dyDescent="0.25">
      <c r="A15" s="25"/>
      <c r="B15" s="88" t="s">
        <v>234</v>
      </c>
      <c r="C15" s="3"/>
      <c r="D15" s="4" t="s">
        <v>235</v>
      </c>
      <c r="E15" s="4"/>
      <c r="F15" s="4"/>
      <c r="G15" s="65"/>
      <c r="H15" s="65"/>
      <c r="I15" s="65"/>
      <c r="J15" s="65"/>
      <c r="K15" s="65">
        <v>3</v>
      </c>
      <c r="L15" s="65" t="s">
        <v>80</v>
      </c>
      <c r="M15" s="65"/>
      <c r="N15" s="65">
        <v>0.37</v>
      </c>
      <c r="O15" s="65" t="s">
        <v>80</v>
      </c>
      <c r="P15" s="20"/>
      <c r="Q15" s="36">
        <v>0.25</v>
      </c>
      <c r="R15" s="65" t="s">
        <v>80</v>
      </c>
      <c r="S15" s="20"/>
      <c r="T15" s="36">
        <v>0.52</v>
      </c>
      <c r="U15" s="65" t="s">
        <v>80</v>
      </c>
      <c r="V15" s="20"/>
      <c r="W15" s="140">
        <v>1.86</v>
      </c>
      <c r="X15" s="65" t="s">
        <v>80</v>
      </c>
      <c r="Y15" s="20"/>
      <c r="Z15" s="111">
        <f t="shared" ref="Z15:Z78" si="1">SUM(N15,Q15,T15,W15)</f>
        <v>3</v>
      </c>
      <c r="AA15" s="98"/>
      <c r="AB15" s="111">
        <f t="shared" ref="AB15:AB18" si="2">Z15/K15*100</f>
        <v>100</v>
      </c>
      <c r="AC15" s="98"/>
      <c r="AD15" s="26"/>
      <c r="AE15" s="101"/>
      <c r="AF15" s="98"/>
      <c r="AG15" s="109"/>
      <c r="AH15" s="98"/>
      <c r="AI15" s="26"/>
      <c r="AJ15" s="24"/>
      <c r="AK15" s="25"/>
      <c r="AL15" s="24"/>
      <c r="AM15" s="27"/>
      <c r="AP15" s="28"/>
    </row>
    <row r="16" spans="1:45" s="60" customFormat="1" ht="64.150000000000006" customHeight="1" x14ac:dyDescent="0.25">
      <c r="A16" s="25"/>
      <c r="B16" s="88"/>
      <c r="C16" s="3"/>
      <c r="D16" s="4" t="s">
        <v>236</v>
      </c>
      <c r="E16" s="4"/>
      <c r="F16" s="4"/>
      <c r="G16" s="65"/>
      <c r="H16" s="65"/>
      <c r="I16" s="65"/>
      <c r="J16" s="65"/>
      <c r="K16" s="65">
        <v>2</v>
      </c>
      <c r="L16" s="65" t="s">
        <v>80</v>
      </c>
      <c r="M16" s="65"/>
      <c r="N16" s="65">
        <v>0.31</v>
      </c>
      <c r="O16" s="65" t="s">
        <v>80</v>
      </c>
      <c r="P16" s="20"/>
      <c r="Q16" s="36">
        <v>0.22</v>
      </c>
      <c r="R16" s="65" t="s">
        <v>80</v>
      </c>
      <c r="S16" s="35"/>
      <c r="T16" s="36">
        <v>0.21</v>
      </c>
      <c r="U16" s="65" t="s">
        <v>80</v>
      </c>
      <c r="V16" s="35"/>
      <c r="W16" s="140">
        <v>1.26</v>
      </c>
      <c r="X16" s="65" t="s">
        <v>80</v>
      </c>
      <c r="Y16" s="20"/>
      <c r="Z16" s="111">
        <f t="shared" si="1"/>
        <v>2</v>
      </c>
      <c r="AA16" s="98"/>
      <c r="AB16" s="111">
        <f t="shared" si="2"/>
        <v>100</v>
      </c>
      <c r="AC16" s="98"/>
      <c r="AD16" s="26"/>
      <c r="AE16" s="97"/>
      <c r="AF16" s="98"/>
      <c r="AG16" s="109"/>
      <c r="AH16" s="98"/>
      <c r="AI16" s="26"/>
      <c r="AJ16" s="24"/>
      <c r="AK16" s="25"/>
      <c r="AL16" s="24"/>
      <c r="AM16" s="27"/>
      <c r="AP16" s="28"/>
    </row>
    <row r="17" spans="1:42" s="60" customFormat="1" ht="64.150000000000006" customHeight="1" x14ac:dyDescent="0.25">
      <c r="A17" s="25"/>
      <c r="B17" s="88"/>
      <c r="C17" s="3"/>
      <c r="D17" s="4" t="s">
        <v>237</v>
      </c>
      <c r="E17" s="4"/>
      <c r="F17" s="4"/>
      <c r="G17" s="65"/>
      <c r="H17" s="65"/>
      <c r="I17" s="65"/>
      <c r="J17" s="65"/>
      <c r="K17" s="65">
        <v>2</v>
      </c>
      <c r="L17" s="65" t="s">
        <v>80</v>
      </c>
      <c r="M17" s="65"/>
      <c r="N17" s="65">
        <v>0.61</v>
      </c>
      <c r="O17" s="65" t="s">
        <v>80</v>
      </c>
      <c r="P17" s="20"/>
      <c r="Q17" s="36">
        <v>0.48</v>
      </c>
      <c r="R17" s="65" t="s">
        <v>80</v>
      </c>
      <c r="S17" s="20"/>
      <c r="T17" s="36">
        <v>0.55000000000000004</v>
      </c>
      <c r="U17" s="65" t="s">
        <v>80</v>
      </c>
      <c r="V17" s="20"/>
      <c r="W17" s="140">
        <v>0.36</v>
      </c>
      <c r="X17" s="65" t="s">
        <v>80</v>
      </c>
      <c r="Y17" s="20"/>
      <c r="Z17" s="111">
        <f t="shared" si="1"/>
        <v>2</v>
      </c>
      <c r="AA17" s="98"/>
      <c r="AB17" s="111">
        <f t="shared" si="2"/>
        <v>100</v>
      </c>
      <c r="AC17" s="98"/>
      <c r="AD17" s="26"/>
      <c r="AE17" s="97"/>
      <c r="AF17" s="98"/>
      <c r="AG17" s="109"/>
      <c r="AH17" s="98"/>
      <c r="AI17" s="26"/>
      <c r="AJ17" s="24"/>
      <c r="AK17" s="25"/>
      <c r="AL17" s="24"/>
      <c r="AM17" s="27"/>
      <c r="AP17" s="28"/>
    </row>
    <row r="18" spans="1:42" s="60" customFormat="1" ht="64.150000000000006" customHeight="1" x14ac:dyDescent="0.25">
      <c r="A18" s="25"/>
      <c r="B18" s="88"/>
      <c r="C18" s="3"/>
      <c r="D18" s="4" t="s">
        <v>238</v>
      </c>
      <c r="E18" s="4"/>
      <c r="F18" s="4"/>
      <c r="G18" s="65"/>
      <c r="H18" s="65"/>
      <c r="I18" s="65"/>
      <c r="J18" s="65"/>
      <c r="K18" s="65">
        <v>1.3</v>
      </c>
      <c r="L18" s="65" t="s">
        <v>80</v>
      </c>
      <c r="M18" s="65"/>
      <c r="N18" s="65">
        <v>0.18</v>
      </c>
      <c r="O18" s="65" t="s">
        <v>80</v>
      </c>
      <c r="P18" s="20"/>
      <c r="Q18" s="36">
        <v>0.72</v>
      </c>
      <c r="R18" s="65" t="s">
        <v>80</v>
      </c>
      <c r="S18" s="20"/>
      <c r="T18" s="36">
        <v>0.22</v>
      </c>
      <c r="U18" s="65" t="s">
        <v>80</v>
      </c>
      <c r="V18" s="20"/>
      <c r="W18" s="140">
        <v>0.18</v>
      </c>
      <c r="X18" s="65" t="s">
        <v>80</v>
      </c>
      <c r="Y18" s="20"/>
      <c r="Z18" s="111">
        <f t="shared" si="1"/>
        <v>1.2999999999999998</v>
      </c>
      <c r="AA18" s="98"/>
      <c r="AB18" s="111">
        <f t="shared" si="2"/>
        <v>99.999999999999972</v>
      </c>
      <c r="AC18" s="98"/>
      <c r="AD18" s="26"/>
      <c r="AE18" s="97"/>
      <c r="AF18" s="98"/>
      <c r="AG18" s="109"/>
      <c r="AH18" s="98"/>
      <c r="AI18" s="26"/>
      <c r="AJ18" s="24"/>
      <c r="AK18" s="25"/>
      <c r="AL18" s="24"/>
      <c r="AM18" s="27"/>
      <c r="AP18" s="28"/>
    </row>
    <row r="19" spans="1:42" s="60" customFormat="1" ht="126" customHeight="1" x14ac:dyDescent="0.25">
      <c r="A19" s="25"/>
      <c r="B19" s="88" t="s">
        <v>239</v>
      </c>
      <c r="C19" s="3"/>
      <c r="D19" s="4" t="s">
        <v>240</v>
      </c>
      <c r="E19" s="4"/>
      <c r="F19" s="4"/>
      <c r="G19" s="65"/>
      <c r="H19" s="65"/>
      <c r="I19" s="65"/>
      <c r="J19" s="65"/>
      <c r="K19" s="65">
        <v>9</v>
      </c>
      <c r="L19" s="65" t="s">
        <v>80</v>
      </c>
      <c r="M19" s="65"/>
      <c r="N19" s="65">
        <v>2.25</v>
      </c>
      <c r="O19" s="65" t="s">
        <v>80</v>
      </c>
      <c r="P19" s="20"/>
      <c r="Q19" s="65">
        <v>2.25</v>
      </c>
      <c r="R19" s="65" t="s">
        <v>80</v>
      </c>
      <c r="S19" s="20"/>
      <c r="T19" s="65">
        <v>2.25</v>
      </c>
      <c r="U19" s="65" t="s">
        <v>80</v>
      </c>
      <c r="V19" s="20"/>
      <c r="W19" s="65">
        <v>2.25</v>
      </c>
      <c r="X19" s="65" t="s">
        <v>80</v>
      </c>
      <c r="Y19" s="20"/>
      <c r="Z19" s="111">
        <f t="shared" si="1"/>
        <v>9</v>
      </c>
      <c r="AA19" s="98"/>
      <c r="AB19" s="111">
        <f>Z19/K19*100</f>
        <v>100</v>
      </c>
      <c r="AC19" s="98"/>
      <c r="AD19" s="26"/>
      <c r="AE19" s="97"/>
      <c r="AF19" s="98"/>
      <c r="AG19" s="109"/>
      <c r="AH19" s="98"/>
      <c r="AI19" s="26"/>
      <c r="AJ19" s="24"/>
      <c r="AK19" s="25"/>
      <c r="AL19" s="24"/>
      <c r="AM19" s="27"/>
      <c r="AP19" s="28"/>
    </row>
    <row r="20" spans="1:42" s="60" customFormat="1" ht="70.150000000000006" customHeight="1" x14ac:dyDescent="0.25">
      <c r="A20" s="25"/>
      <c r="B20" s="88"/>
      <c r="C20" s="3"/>
      <c r="D20" s="4" t="s">
        <v>241</v>
      </c>
      <c r="E20" s="4"/>
      <c r="F20" s="4"/>
      <c r="G20" s="65"/>
      <c r="H20" s="65"/>
      <c r="I20" s="65"/>
      <c r="J20" s="65"/>
      <c r="K20" s="65">
        <v>9</v>
      </c>
      <c r="L20" s="65" t="s">
        <v>80</v>
      </c>
      <c r="M20" s="65"/>
      <c r="N20" s="65">
        <v>2</v>
      </c>
      <c r="O20" s="65" t="s">
        <v>80</v>
      </c>
      <c r="P20" s="35"/>
      <c r="Q20" s="36">
        <v>0</v>
      </c>
      <c r="R20" s="65" t="s">
        <v>80</v>
      </c>
      <c r="S20" s="35"/>
      <c r="T20" s="36">
        <v>3</v>
      </c>
      <c r="U20" s="65" t="s">
        <v>80</v>
      </c>
      <c r="V20" s="35"/>
      <c r="W20" s="140">
        <v>4</v>
      </c>
      <c r="X20" s="65" t="s">
        <v>80</v>
      </c>
      <c r="Y20" s="20"/>
      <c r="Z20" s="111">
        <f t="shared" si="1"/>
        <v>9</v>
      </c>
      <c r="AA20" s="98"/>
      <c r="AB20" s="111">
        <f>Z20/K20*100</f>
        <v>100</v>
      </c>
      <c r="AC20" s="98"/>
      <c r="AD20" s="26"/>
      <c r="AE20" s="97"/>
      <c r="AF20" s="98"/>
      <c r="AG20" s="109"/>
      <c r="AH20" s="98"/>
      <c r="AI20" s="26"/>
      <c r="AJ20" s="24"/>
      <c r="AK20" s="25"/>
      <c r="AL20" s="24"/>
      <c r="AM20" s="27"/>
      <c r="AP20" s="28"/>
    </row>
    <row r="21" spans="1:42" s="60" customFormat="1" ht="126" x14ac:dyDescent="0.25">
      <c r="A21" s="25">
        <v>1</v>
      </c>
      <c r="B21" s="88" t="s">
        <v>38</v>
      </c>
      <c r="C21" s="76" t="s">
        <v>89</v>
      </c>
      <c r="D21" s="1" t="s">
        <v>116</v>
      </c>
      <c r="E21" s="89" t="s">
        <v>165</v>
      </c>
      <c r="F21" s="66" t="s">
        <v>80</v>
      </c>
      <c r="G21" s="67">
        <f>G24+G30</f>
        <v>1038915800</v>
      </c>
      <c r="H21" s="89"/>
      <c r="I21" s="66"/>
      <c r="J21" s="67"/>
      <c r="K21" s="90">
        <v>23</v>
      </c>
      <c r="L21" s="66" t="s">
        <v>80</v>
      </c>
      <c r="M21" s="67">
        <f>M24+M30+M33</f>
        <v>1429205650</v>
      </c>
      <c r="N21" s="90">
        <v>0</v>
      </c>
      <c r="O21" s="66" t="s">
        <v>80</v>
      </c>
      <c r="P21" s="29"/>
      <c r="Q21" s="90" t="s">
        <v>205</v>
      </c>
      <c r="R21" s="66" t="s">
        <v>80</v>
      </c>
      <c r="S21" s="67">
        <f>S24+S30+S33</f>
        <v>278480150</v>
      </c>
      <c r="T21" s="30"/>
      <c r="U21" s="31"/>
      <c r="V21" s="29"/>
      <c r="W21" s="30"/>
      <c r="X21" s="31"/>
      <c r="Y21" s="29"/>
      <c r="Z21" s="110">
        <f t="shared" si="1"/>
        <v>0</v>
      </c>
      <c r="AA21" s="100" t="str">
        <f t="shared" ref="AA21:AA90" si="3">L21</f>
        <v>%</v>
      </c>
      <c r="AB21" s="110">
        <f t="shared" ref="AB21:AB90" si="4">Z21/K21*100</f>
        <v>0</v>
      </c>
      <c r="AC21" s="100" t="s">
        <v>80</v>
      </c>
      <c r="AD21" s="33">
        <f t="shared" ref="AD21:AD90" si="5">SUM(P21,S21,V21,Y21)</f>
        <v>278480150</v>
      </c>
      <c r="AE21" s="99">
        <f t="shared" ref="AE21:AE90" si="6">AD21/M21*100</f>
        <v>19.484960054558979</v>
      </c>
      <c r="AF21" s="100" t="s">
        <v>80</v>
      </c>
      <c r="AG21" s="110">
        <f t="shared" ref="AG21:AG90" si="7">SUM(H21,Z21)</f>
        <v>0</v>
      </c>
      <c r="AH21" s="100" t="str">
        <f t="shared" ref="AH21:AH90" si="8">O21</f>
        <v>%</v>
      </c>
      <c r="AI21" s="33">
        <f t="shared" ref="AI21:AI90" si="9">SUM(J21,AD21)</f>
        <v>278480150</v>
      </c>
      <c r="AJ21" s="34"/>
      <c r="AK21" s="32" t="s">
        <v>80</v>
      </c>
      <c r="AL21" s="34"/>
      <c r="AM21" s="68"/>
      <c r="AP21" s="28"/>
    </row>
    <row r="22" spans="1:42" s="60" customFormat="1" ht="110.25" x14ac:dyDescent="0.25">
      <c r="A22" s="25"/>
      <c r="B22" s="88"/>
      <c r="C22" s="76"/>
      <c r="D22" s="133" t="s">
        <v>117</v>
      </c>
      <c r="E22" s="134">
        <v>0.95</v>
      </c>
      <c r="F22" s="66" t="s">
        <v>80</v>
      </c>
      <c r="G22" s="135"/>
      <c r="H22" s="134"/>
      <c r="I22" s="66"/>
      <c r="J22" s="135"/>
      <c r="K22" s="134">
        <v>22</v>
      </c>
      <c r="L22" s="66" t="s">
        <v>80</v>
      </c>
      <c r="M22" s="135"/>
      <c r="N22" s="134">
        <v>0</v>
      </c>
      <c r="O22" s="66" t="s">
        <v>80</v>
      </c>
      <c r="P22" s="29"/>
      <c r="Q22" s="134">
        <v>0.42</v>
      </c>
      <c r="R22" s="66" t="s">
        <v>80</v>
      </c>
      <c r="S22" s="135"/>
      <c r="T22" s="30"/>
      <c r="U22" s="31"/>
      <c r="V22" s="29"/>
      <c r="W22" s="30"/>
      <c r="X22" s="31"/>
      <c r="Y22" s="29"/>
      <c r="Z22" s="110">
        <f t="shared" si="1"/>
        <v>0.42</v>
      </c>
      <c r="AA22" s="100" t="str">
        <f t="shared" si="3"/>
        <v>%</v>
      </c>
      <c r="AB22" s="110">
        <f t="shared" si="4"/>
        <v>1.9090909090909089</v>
      </c>
      <c r="AC22" s="100" t="s">
        <v>80</v>
      </c>
      <c r="AD22" s="136">
        <f t="shared" si="5"/>
        <v>0</v>
      </c>
      <c r="AE22" s="99"/>
      <c r="AF22" s="100" t="s">
        <v>80</v>
      </c>
      <c r="AG22" s="110">
        <f t="shared" si="7"/>
        <v>0.42</v>
      </c>
      <c r="AH22" s="100" t="str">
        <f t="shared" si="8"/>
        <v>%</v>
      </c>
      <c r="AI22" s="33">
        <f t="shared" si="9"/>
        <v>0</v>
      </c>
      <c r="AJ22" s="40"/>
      <c r="AK22" s="38" t="s">
        <v>80</v>
      </c>
      <c r="AL22" s="40"/>
      <c r="AM22" s="68"/>
      <c r="AP22" s="28"/>
    </row>
    <row r="23" spans="1:42" s="60" customFormat="1" ht="110.25" x14ac:dyDescent="0.25">
      <c r="A23" s="25"/>
      <c r="B23" s="88"/>
      <c r="C23" s="76"/>
      <c r="D23" s="133" t="s">
        <v>118</v>
      </c>
      <c r="E23" s="134">
        <v>0.75</v>
      </c>
      <c r="F23" s="66" t="s">
        <v>80</v>
      </c>
      <c r="G23" s="135"/>
      <c r="H23" s="134"/>
      <c r="I23" s="66"/>
      <c r="J23" s="135"/>
      <c r="K23" s="134">
        <v>0.4</v>
      </c>
      <c r="L23" s="66" t="s">
        <v>80</v>
      </c>
      <c r="M23" s="135"/>
      <c r="N23" s="134">
        <v>0</v>
      </c>
      <c r="O23" s="66" t="s">
        <v>80</v>
      </c>
      <c r="P23" s="52"/>
      <c r="Q23" s="134">
        <v>0.32</v>
      </c>
      <c r="R23" s="66" t="s">
        <v>80</v>
      </c>
      <c r="S23" s="135"/>
      <c r="T23" s="137"/>
      <c r="U23" s="51"/>
      <c r="V23" s="52"/>
      <c r="W23" s="138"/>
      <c r="X23" s="51"/>
      <c r="Y23" s="52"/>
      <c r="Z23" s="114">
        <f t="shared" si="1"/>
        <v>0.32</v>
      </c>
      <c r="AA23" s="105" t="str">
        <f t="shared" si="3"/>
        <v>%</v>
      </c>
      <c r="AB23" s="104">
        <f t="shared" si="4"/>
        <v>80</v>
      </c>
      <c r="AC23" s="105" t="s">
        <v>80</v>
      </c>
      <c r="AD23" s="136">
        <f t="shared" si="5"/>
        <v>0</v>
      </c>
      <c r="AE23" s="99"/>
      <c r="AF23" s="105" t="s">
        <v>80</v>
      </c>
      <c r="AG23" s="114">
        <f t="shared" si="7"/>
        <v>0.32</v>
      </c>
      <c r="AH23" s="105" t="str">
        <f t="shared" si="8"/>
        <v>%</v>
      </c>
      <c r="AI23" s="92">
        <f t="shared" si="9"/>
        <v>0</v>
      </c>
      <c r="AJ23" s="24"/>
      <c r="AK23" s="25" t="s">
        <v>80</v>
      </c>
      <c r="AL23" s="24"/>
      <c r="AM23" s="68"/>
      <c r="AP23" s="28"/>
    </row>
    <row r="24" spans="1:42" s="60" customFormat="1" ht="78.75" x14ac:dyDescent="0.25">
      <c r="A24" s="25"/>
      <c r="B24" s="88"/>
      <c r="C24" s="141" t="s">
        <v>62</v>
      </c>
      <c r="D24" s="142" t="s">
        <v>119</v>
      </c>
      <c r="E24" s="143">
        <v>0.16</v>
      </c>
      <c r="F24" s="144" t="s">
        <v>80</v>
      </c>
      <c r="G24" s="145">
        <f>SUM(G25:G26)</f>
        <v>614796000</v>
      </c>
      <c r="H24" s="146"/>
      <c r="I24" s="144"/>
      <c r="J24" s="145"/>
      <c r="K24" s="146">
        <v>2.6</v>
      </c>
      <c r="L24" s="14" t="s">
        <v>80</v>
      </c>
      <c r="M24" s="72">
        <f>M25</f>
        <v>692637000</v>
      </c>
      <c r="N24" s="73">
        <v>0</v>
      </c>
      <c r="O24" s="14" t="s">
        <v>80</v>
      </c>
      <c r="P24" s="35"/>
      <c r="Q24" s="73">
        <v>0.44</v>
      </c>
      <c r="R24" s="14" t="s">
        <v>80</v>
      </c>
      <c r="S24" s="72">
        <f>S25</f>
        <v>123467750</v>
      </c>
      <c r="T24" s="36"/>
      <c r="U24" s="37"/>
      <c r="V24" s="35"/>
      <c r="W24" s="43"/>
      <c r="X24" s="37"/>
      <c r="Y24" s="35"/>
      <c r="Z24" s="111">
        <f t="shared" si="1"/>
        <v>0.44</v>
      </c>
      <c r="AA24" s="102" t="str">
        <f t="shared" si="3"/>
        <v>%</v>
      </c>
      <c r="AB24" s="111">
        <f t="shared" si="4"/>
        <v>16.92307692307692</v>
      </c>
      <c r="AC24" s="128" t="s">
        <v>80</v>
      </c>
      <c r="AD24" s="39">
        <f t="shared" si="5"/>
        <v>123467750</v>
      </c>
      <c r="AE24" s="101">
        <f t="shared" si="6"/>
        <v>17.825751439787364</v>
      </c>
      <c r="AF24" s="102" t="s">
        <v>80</v>
      </c>
      <c r="AG24" s="111">
        <f t="shared" si="7"/>
        <v>0.44</v>
      </c>
      <c r="AH24" s="102" t="str">
        <f t="shared" si="8"/>
        <v>%</v>
      </c>
      <c r="AI24" s="41">
        <f t="shared" si="9"/>
        <v>123467750</v>
      </c>
      <c r="AJ24" s="40"/>
      <c r="AK24" s="38" t="s">
        <v>80</v>
      </c>
      <c r="AL24" s="40"/>
      <c r="AM24" s="68"/>
      <c r="AP24" s="28">
        <f t="shared" si="0"/>
        <v>123467750</v>
      </c>
    </row>
    <row r="25" spans="1:42" s="60" customFormat="1" ht="126" x14ac:dyDescent="0.25">
      <c r="A25" s="25"/>
      <c r="B25" s="88"/>
      <c r="C25" s="2" t="s">
        <v>90</v>
      </c>
      <c r="D25" s="4" t="s">
        <v>120</v>
      </c>
      <c r="E25" s="74">
        <v>844</v>
      </c>
      <c r="F25" s="65" t="s">
        <v>81</v>
      </c>
      <c r="G25" s="69">
        <v>141108000</v>
      </c>
      <c r="H25" s="74"/>
      <c r="I25" s="65"/>
      <c r="J25" s="69"/>
      <c r="K25" s="74">
        <v>831</v>
      </c>
      <c r="L25" s="65" t="s">
        <v>81</v>
      </c>
      <c r="M25" s="69">
        <f>M26</f>
        <v>692637000</v>
      </c>
      <c r="N25" s="74">
        <v>0</v>
      </c>
      <c r="O25" s="65" t="s">
        <v>81</v>
      </c>
      <c r="P25" s="35"/>
      <c r="Q25" s="74">
        <v>412</v>
      </c>
      <c r="R25" s="65" t="s">
        <v>81</v>
      </c>
      <c r="S25" s="69">
        <f>S26</f>
        <v>123467750</v>
      </c>
      <c r="T25" s="36"/>
      <c r="U25" s="37"/>
      <c r="V25" s="35"/>
      <c r="W25" s="43"/>
      <c r="X25" s="37"/>
      <c r="Y25" s="35"/>
      <c r="Z25" s="111">
        <f t="shared" si="1"/>
        <v>412</v>
      </c>
      <c r="AA25" s="102" t="str">
        <f t="shared" si="3"/>
        <v>Ha</v>
      </c>
      <c r="AB25" s="111">
        <f t="shared" si="4"/>
        <v>49.578820697954271</v>
      </c>
      <c r="AC25" s="128" t="s">
        <v>80</v>
      </c>
      <c r="AD25" s="39">
        <f t="shared" si="5"/>
        <v>123467750</v>
      </c>
      <c r="AE25" s="101">
        <f t="shared" si="6"/>
        <v>17.825751439787364</v>
      </c>
      <c r="AF25" s="102" t="s">
        <v>80</v>
      </c>
      <c r="AG25" s="111">
        <f t="shared" si="7"/>
        <v>412</v>
      </c>
      <c r="AH25" s="102" t="str">
        <f t="shared" si="8"/>
        <v>Ha</v>
      </c>
      <c r="AI25" s="41">
        <f t="shared" si="9"/>
        <v>123467750</v>
      </c>
      <c r="AJ25" s="40"/>
      <c r="AK25" s="38" t="s">
        <v>80</v>
      </c>
      <c r="AL25" s="40"/>
      <c r="AM25" s="68"/>
      <c r="AP25" s="28">
        <f t="shared" si="0"/>
        <v>123467750</v>
      </c>
    </row>
    <row r="26" spans="1:42" s="60" customFormat="1" ht="78.75" x14ac:dyDescent="0.25">
      <c r="A26" s="25"/>
      <c r="B26" s="88"/>
      <c r="C26" s="4" t="s">
        <v>63</v>
      </c>
      <c r="D26" s="9" t="s">
        <v>121</v>
      </c>
      <c r="E26" s="75">
        <v>0.16</v>
      </c>
      <c r="F26" s="65" t="s">
        <v>80</v>
      </c>
      <c r="G26" s="69">
        <v>473688000</v>
      </c>
      <c r="H26" s="74"/>
      <c r="I26" s="65"/>
      <c r="J26" s="69"/>
      <c r="K26" s="74">
        <v>0.9</v>
      </c>
      <c r="L26" s="65" t="s">
        <v>80</v>
      </c>
      <c r="M26" s="69">
        <v>692637000</v>
      </c>
      <c r="N26" s="74">
        <v>0</v>
      </c>
      <c r="O26" s="65" t="s">
        <v>80</v>
      </c>
      <c r="P26" s="35"/>
      <c r="Q26" s="74">
        <v>0.4</v>
      </c>
      <c r="R26" s="65" t="s">
        <v>80</v>
      </c>
      <c r="S26" s="69">
        <v>123467750</v>
      </c>
      <c r="T26" s="36"/>
      <c r="U26" s="37"/>
      <c r="V26" s="35"/>
      <c r="W26" s="36"/>
      <c r="X26" s="37"/>
      <c r="Y26" s="35"/>
      <c r="Z26" s="111">
        <f t="shared" si="1"/>
        <v>0.4</v>
      </c>
      <c r="AA26" s="102" t="str">
        <f t="shared" si="3"/>
        <v>%</v>
      </c>
      <c r="AB26" s="111">
        <f t="shared" si="4"/>
        <v>44.44444444444445</v>
      </c>
      <c r="AC26" s="102" t="s">
        <v>80</v>
      </c>
      <c r="AD26" s="41">
        <f t="shared" si="5"/>
        <v>123467750</v>
      </c>
      <c r="AE26" s="101">
        <f t="shared" si="6"/>
        <v>17.825751439787364</v>
      </c>
      <c r="AF26" s="102" t="s">
        <v>80</v>
      </c>
      <c r="AG26" s="111">
        <f t="shared" si="7"/>
        <v>0.4</v>
      </c>
      <c r="AH26" s="102" t="str">
        <f t="shared" si="8"/>
        <v>%</v>
      </c>
      <c r="AI26" s="41">
        <f t="shared" si="9"/>
        <v>123467750</v>
      </c>
      <c r="AJ26" s="40"/>
      <c r="AK26" s="38" t="s">
        <v>80</v>
      </c>
      <c r="AL26" s="40"/>
      <c r="AM26" s="68"/>
      <c r="AP26" s="28">
        <f t="shared" si="0"/>
        <v>123467750</v>
      </c>
    </row>
    <row r="27" spans="1:42" s="60" customFormat="1" ht="15.75" x14ac:dyDescent="0.25">
      <c r="A27" s="25"/>
      <c r="B27" s="88"/>
      <c r="C27" s="4"/>
      <c r="D27" s="9" t="s">
        <v>122</v>
      </c>
      <c r="E27" s="75">
        <v>1.85</v>
      </c>
      <c r="F27" s="65" t="s">
        <v>80</v>
      </c>
      <c r="G27" s="69"/>
      <c r="H27" s="75"/>
      <c r="I27" s="65"/>
      <c r="J27" s="69"/>
      <c r="K27" s="75">
        <v>1.47</v>
      </c>
      <c r="L27" s="65" t="s">
        <v>80</v>
      </c>
      <c r="M27" s="69"/>
      <c r="N27" s="75">
        <v>0</v>
      </c>
      <c r="O27" s="65" t="s">
        <v>80</v>
      </c>
      <c r="P27" s="20"/>
      <c r="Q27" s="75">
        <v>0.6</v>
      </c>
      <c r="R27" s="65" t="s">
        <v>80</v>
      </c>
      <c r="S27" s="69"/>
      <c r="T27" s="91"/>
      <c r="U27" s="22"/>
      <c r="V27" s="20"/>
      <c r="W27" s="43"/>
      <c r="X27" s="37"/>
      <c r="Y27" s="35"/>
      <c r="Z27" s="109">
        <f t="shared" si="1"/>
        <v>0.6</v>
      </c>
      <c r="AA27" s="98" t="str">
        <f t="shared" si="3"/>
        <v>%</v>
      </c>
      <c r="AB27" s="109">
        <f t="shared" si="4"/>
        <v>40.816326530612244</v>
      </c>
      <c r="AC27" s="98" t="s">
        <v>80</v>
      </c>
      <c r="AD27" s="42">
        <f t="shared" si="5"/>
        <v>0</v>
      </c>
      <c r="AE27" s="103" t="e">
        <f t="shared" si="6"/>
        <v>#DIV/0!</v>
      </c>
      <c r="AF27" s="98" t="s">
        <v>80</v>
      </c>
      <c r="AG27" s="109">
        <f t="shared" si="7"/>
        <v>0.6</v>
      </c>
      <c r="AH27" s="98" t="str">
        <f t="shared" si="8"/>
        <v>%</v>
      </c>
      <c r="AI27" s="42">
        <f t="shared" si="9"/>
        <v>0</v>
      </c>
      <c r="AJ27" s="24"/>
      <c r="AK27" s="25" t="s">
        <v>80</v>
      </c>
      <c r="AL27" s="24"/>
      <c r="AM27" s="68"/>
      <c r="AP27" s="28"/>
    </row>
    <row r="28" spans="1:42" s="60" customFormat="1" ht="15.75" x14ac:dyDescent="0.25">
      <c r="A28" s="25"/>
      <c r="B28" s="88"/>
      <c r="C28" s="4"/>
      <c r="D28" s="9" t="s">
        <v>123</v>
      </c>
      <c r="E28" s="75">
        <v>0.15</v>
      </c>
      <c r="F28" s="65" t="s">
        <v>80</v>
      </c>
      <c r="G28" s="69"/>
      <c r="H28" s="75"/>
      <c r="I28" s="65"/>
      <c r="J28" s="69"/>
      <c r="K28" s="75">
        <v>0.06</v>
      </c>
      <c r="L28" s="65" t="s">
        <v>80</v>
      </c>
      <c r="M28" s="69"/>
      <c r="N28" s="75">
        <v>0</v>
      </c>
      <c r="O28" s="65" t="s">
        <v>80</v>
      </c>
      <c r="P28" s="35"/>
      <c r="Q28" s="75">
        <v>2.7E-2</v>
      </c>
      <c r="R28" s="65" t="s">
        <v>80</v>
      </c>
      <c r="S28" s="69"/>
      <c r="T28" s="43"/>
      <c r="U28" s="37"/>
      <c r="V28" s="35"/>
      <c r="W28" s="43"/>
      <c r="X28" s="37"/>
      <c r="Y28" s="35"/>
      <c r="Z28" s="111">
        <f t="shared" si="1"/>
        <v>2.7E-2</v>
      </c>
      <c r="AA28" s="102" t="str">
        <f t="shared" si="3"/>
        <v>%</v>
      </c>
      <c r="AB28" s="111">
        <f t="shared" si="4"/>
        <v>45</v>
      </c>
      <c r="AC28" s="102" t="s">
        <v>80</v>
      </c>
      <c r="AD28" s="41">
        <f t="shared" si="5"/>
        <v>0</v>
      </c>
      <c r="AE28" s="103" t="e">
        <f t="shared" si="6"/>
        <v>#DIV/0!</v>
      </c>
      <c r="AF28" s="102" t="s">
        <v>80</v>
      </c>
      <c r="AG28" s="111">
        <f t="shared" si="7"/>
        <v>2.7E-2</v>
      </c>
      <c r="AH28" s="102" t="str">
        <f t="shared" si="8"/>
        <v>%</v>
      </c>
      <c r="AI28" s="41">
        <f t="shared" si="9"/>
        <v>0</v>
      </c>
      <c r="AJ28" s="40"/>
      <c r="AK28" s="38" t="s">
        <v>80</v>
      </c>
      <c r="AL28" s="40"/>
      <c r="AM28" s="68"/>
      <c r="AP28" s="28"/>
    </row>
    <row r="29" spans="1:42" s="60" customFormat="1" ht="94.5" x14ac:dyDescent="0.25">
      <c r="A29" s="25"/>
      <c r="B29" s="88"/>
      <c r="C29" s="4"/>
      <c r="D29" s="9" t="str">
        <f>[1]Cascading!$AF$14</f>
        <v>Terlaksananya bimbingan teknis kegiatan tanaman pangan</v>
      </c>
      <c r="E29" s="69">
        <v>880</v>
      </c>
      <c r="F29" s="65" t="s">
        <v>166</v>
      </c>
      <c r="G29" s="69">
        <v>33000000</v>
      </c>
      <c r="H29" s="69"/>
      <c r="I29" s="65"/>
      <c r="J29" s="69"/>
      <c r="K29" s="69">
        <v>2510</v>
      </c>
      <c r="L29" s="65" t="s">
        <v>166</v>
      </c>
      <c r="M29" s="69"/>
      <c r="N29" s="69">
        <v>0</v>
      </c>
      <c r="O29" s="65" t="s">
        <v>166</v>
      </c>
      <c r="P29" s="35"/>
      <c r="Q29" s="69">
        <v>1100</v>
      </c>
      <c r="R29" s="65" t="s">
        <v>166</v>
      </c>
      <c r="S29" s="69"/>
      <c r="T29" s="43"/>
      <c r="U29" s="37"/>
      <c r="V29" s="35"/>
      <c r="W29" s="43"/>
      <c r="X29" s="37"/>
      <c r="Y29" s="35"/>
      <c r="Z29" s="111">
        <f t="shared" si="1"/>
        <v>1100</v>
      </c>
      <c r="AA29" s="102" t="str">
        <f t="shared" si="3"/>
        <v>Orang</v>
      </c>
      <c r="AB29" s="111">
        <f t="shared" si="4"/>
        <v>43.82470119521912</v>
      </c>
      <c r="AC29" s="102" t="s">
        <v>80</v>
      </c>
      <c r="AD29" s="41">
        <f t="shared" si="5"/>
        <v>0</v>
      </c>
      <c r="AE29" s="103" t="e">
        <f t="shared" si="6"/>
        <v>#DIV/0!</v>
      </c>
      <c r="AF29" s="102" t="s">
        <v>80</v>
      </c>
      <c r="AG29" s="111">
        <f t="shared" si="7"/>
        <v>1100</v>
      </c>
      <c r="AH29" s="102" t="str">
        <f t="shared" si="8"/>
        <v>Orang</v>
      </c>
      <c r="AI29" s="41">
        <f t="shared" si="9"/>
        <v>0</v>
      </c>
      <c r="AJ29" s="40"/>
      <c r="AK29" s="38" t="s">
        <v>80</v>
      </c>
      <c r="AL29" s="40"/>
      <c r="AM29" s="68"/>
      <c r="AP29" s="28"/>
    </row>
    <row r="30" spans="1:42" s="60" customFormat="1" ht="126" x14ac:dyDescent="0.25">
      <c r="A30" s="25"/>
      <c r="B30" s="88"/>
      <c r="C30" s="3" t="s">
        <v>64</v>
      </c>
      <c r="D30" s="5" t="s">
        <v>242</v>
      </c>
      <c r="E30" s="75">
        <f>SUM(E31:E32)</f>
        <v>3.25</v>
      </c>
      <c r="F30" s="14" t="s">
        <v>80</v>
      </c>
      <c r="G30" s="72">
        <f>SUM(G31:G32)</f>
        <v>424119800</v>
      </c>
      <c r="H30" s="75"/>
      <c r="I30" s="14"/>
      <c r="J30" s="72"/>
      <c r="K30" s="75">
        <v>3.16</v>
      </c>
      <c r="L30" s="14" t="s">
        <v>80</v>
      </c>
      <c r="M30" s="72">
        <f>SUM(M31:M32)</f>
        <v>264066800</v>
      </c>
      <c r="N30" s="75">
        <v>0</v>
      </c>
      <c r="O30" s="14" t="s">
        <v>80</v>
      </c>
      <c r="P30" s="35"/>
      <c r="Q30" s="75">
        <v>1.8</v>
      </c>
      <c r="R30" s="14" t="s">
        <v>80</v>
      </c>
      <c r="S30" s="72">
        <f>SUM(S31:S32)</f>
        <v>67100000</v>
      </c>
      <c r="T30" s="43"/>
      <c r="U30" s="37"/>
      <c r="V30" s="35"/>
      <c r="W30" s="43"/>
      <c r="X30" s="37"/>
      <c r="Y30" s="35"/>
      <c r="Z30" s="111">
        <f t="shared" si="1"/>
        <v>1.8</v>
      </c>
      <c r="AA30" s="102" t="str">
        <f t="shared" si="3"/>
        <v>%</v>
      </c>
      <c r="AB30" s="111">
        <f t="shared" si="4"/>
        <v>56.962025316455701</v>
      </c>
      <c r="AC30" s="102" t="s">
        <v>80</v>
      </c>
      <c r="AD30" s="41">
        <f t="shared" si="5"/>
        <v>67100000</v>
      </c>
      <c r="AE30" s="101">
        <f t="shared" si="6"/>
        <v>25.410237106671495</v>
      </c>
      <c r="AF30" s="102" t="s">
        <v>80</v>
      </c>
      <c r="AG30" s="111">
        <f t="shared" si="7"/>
        <v>1.8</v>
      </c>
      <c r="AH30" s="102" t="str">
        <f t="shared" si="8"/>
        <v>%</v>
      </c>
      <c r="AI30" s="41">
        <f t="shared" si="9"/>
        <v>67100000</v>
      </c>
      <c r="AJ30" s="40"/>
      <c r="AK30" s="38" t="s">
        <v>80</v>
      </c>
      <c r="AL30" s="40"/>
      <c r="AM30" s="68"/>
      <c r="AP30" s="28"/>
    </row>
    <row r="31" spans="1:42" s="60" customFormat="1" ht="78.75" x14ac:dyDescent="0.25">
      <c r="A31" s="25"/>
      <c r="B31" s="88"/>
      <c r="C31" s="4" t="s">
        <v>91</v>
      </c>
      <c r="D31" s="9" t="s">
        <v>125</v>
      </c>
      <c r="E31" s="75">
        <v>2.65</v>
      </c>
      <c r="F31" s="14" t="s">
        <v>80</v>
      </c>
      <c r="G31" s="69">
        <v>51779800</v>
      </c>
      <c r="H31" s="75"/>
      <c r="I31" s="14"/>
      <c r="J31" s="69"/>
      <c r="K31" s="75">
        <v>2.63</v>
      </c>
      <c r="L31" s="14" t="s">
        <v>80</v>
      </c>
      <c r="M31" s="69">
        <v>63234000</v>
      </c>
      <c r="N31" s="75">
        <v>0</v>
      </c>
      <c r="O31" s="14" t="s">
        <v>80</v>
      </c>
      <c r="P31" s="35"/>
      <c r="Q31" s="75">
        <v>1.4</v>
      </c>
      <c r="R31" s="14" t="s">
        <v>80</v>
      </c>
      <c r="S31" s="69">
        <v>5000000</v>
      </c>
      <c r="T31" s="43"/>
      <c r="U31" s="37"/>
      <c r="V31" s="35"/>
      <c r="W31" s="21"/>
      <c r="X31" s="22"/>
      <c r="Y31" s="20"/>
      <c r="Z31" s="111">
        <f t="shared" si="1"/>
        <v>1.4</v>
      </c>
      <c r="AA31" s="102" t="str">
        <f t="shared" si="3"/>
        <v>%</v>
      </c>
      <c r="AB31" s="111">
        <f t="shared" si="4"/>
        <v>53.231939163498097</v>
      </c>
      <c r="AC31" s="102" t="s">
        <v>80</v>
      </c>
      <c r="AD31" s="41">
        <f t="shared" si="5"/>
        <v>5000000</v>
      </c>
      <c r="AE31" s="101">
        <f t="shared" si="6"/>
        <v>7.9071385646962078</v>
      </c>
      <c r="AF31" s="102" t="s">
        <v>80</v>
      </c>
      <c r="AG31" s="111">
        <f t="shared" si="7"/>
        <v>1.4</v>
      </c>
      <c r="AH31" s="102" t="str">
        <f t="shared" si="8"/>
        <v>%</v>
      </c>
      <c r="AI31" s="41">
        <f t="shared" si="9"/>
        <v>5000000</v>
      </c>
      <c r="AJ31" s="40"/>
      <c r="AK31" s="38" t="s">
        <v>80</v>
      </c>
      <c r="AL31" s="24"/>
      <c r="AM31" s="68"/>
      <c r="AP31" s="28"/>
    </row>
    <row r="32" spans="1:42" s="60" customFormat="1" ht="78.75" x14ac:dyDescent="0.25">
      <c r="A32" s="25"/>
      <c r="B32" s="88"/>
      <c r="C32" s="4" t="s">
        <v>65</v>
      </c>
      <c r="D32" s="9" t="s">
        <v>126</v>
      </c>
      <c r="E32" s="75">
        <v>0.6</v>
      </c>
      <c r="F32" s="14" t="s">
        <v>80</v>
      </c>
      <c r="G32" s="69">
        <v>372340000</v>
      </c>
      <c r="H32" s="75"/>
      <c r="I32" s="14"/>
      <c r="J32" s="69"/>
      <c r="K32" s="75">
        <v>0.53</v>
      </c>
      <c r="L32" s="14" t="s">
        <v>80</v>
      </c>
      <c r="M32" s="69">
        <v>200832800</v>
      </c>
      <c r="N32" s="75">
        <v>0</v>
      </c>
      <c r="O32" s="14" t="s">
        <v>80</v>
      </c>
      <c r="P32" s="35"/>
      <c r="Q32" s="75">
        <v>0.33</v>
      </c>
      <c r="R32" s="14" t="s">
        <v>80</v>
      </c>
      <c r="S32" s="69">
        <v>62100000</v>
      </c>
      <c r="T32" s="43"/>
      <c r="U32" s="37"/>
      <c r="V32" s="35"/>
      <c r="W32" s="43"/>
      <c r="X32" s="37"/>
      <c r="Y32" s="35"/>
      <c r="Z32" s="111">
        <f t="shared" si="1"/>
        <v>0.33</v>
      </c>
      <c r="AA32" s="102" t="str">
        <f t="shared" si="3"/>
        <v>%</v>
      </c>
      <c r="AB32" s="111">
        <f t="shared" si="4"/>
        <v>62.264150943396224</v>
      </c>
      <c r="AC32" s="102" t="s">
        <v>80</v>
      </c>
      <c r="AD32" s="41">
        <f t="shared" si="5"/>
        <v>62100000</v>
      </c>
      <c r="AE32" s="101">
        <f t="shared" si="6"/>
        <v>30.921243940232866</v>
      </c>
      <c r="AF32" s="102" t="s">
        <v>80</v>
      </c>
      <c r="AG32" s="111">
        <f t="shared" si="7"/>
        <v>0.33</v>
      </c>
      <c r="AH32" s="102" t="str">
        <f t="shared" si="8"/>
        <v>%</v>
      </c>
      <c r="AI32" s="41">
        <f t="shared" si="9"/>
        <v>62100000</v>
      </c>
      <c r="AJ32" s="40"/>
      <c r="AK32" s="38" t="s">
        <v>80</v>
      </c>
      <c r="AL32" s="40"/>
      <c r="AM32" s="68"/>
      <c r="AP32" s="28"/>
    </row>
    <row r="33" spans="1:42" s="60" customFormat="1" ht="136.9" customHeight="1" x14ac:dyDescent="0.25">
      <c r="A33" s="25"/>
      <c r="B33" s="88"/>
      <c r="C33" s="3" t="s">
        <v>66</v>
      </c>
      <c r="D33" s="6" t="s">
        <v>127</v>
      </c>
      <c r="E33" s="72">
        <v>100</v>
      </c>
      <c r="F33" s="14" t="s">
        <v>80</v>
      </c>
      <c r="G33" s="72" t="s">
        <v>193</v>
      </c>
      <c r="H33" s="72"/>
      <c r="I33" s="14"/>
      <c r="J33" s="72"/>
      <c r="K33" s="72">
        <v>100</v>
      </c>
      <c r="L33" s="14" t="s">
        <v>80</v>
      </c>
      <c r="M33" s="72">
        <f>SUM(M34)</f>
        <v>472501850</v>
      </c>
      <c r="N33" s="72">
        <v>0</v>
      </c>
      <c r="O33" s="14" t="s">
        <v>80</v>
      </c>
      <c r="P33" s="20"/>
      <c r="Q33" s="72">
        <v>100</v>
      </c>
      <c r="R33" s="14" t="s">
        <v>80</v>
      </c>
      <c r="S33" s="72">
        <f>SUM(S34)</f>
        <v>87912400</v>
      </c>
      <c r="T33" s="91"/>
      <c r="U33" s="22"/>
      <c r="V33" s="20"/>
      <c r="W33" s="36"/>
      <c r="X33" s="37"/>
      <c r="Y33" s="35"/>
      <c r="Z33" s="109">
        <f t="shared" si="1"/>
        <v>100</v>
      </c>
      <c r="AA33" s="98" t="str">
        <f t="shared" si="3"/>
        <v>%</v>
      </c>
      <c r="AB33" s="109">
        <f t="shared" si="4"/>
        <v>100</v>
      </c>
      <c r="AC33" s="98" t="s">
        <v>80</v>
      </c>
      <c r="AD33" s="42">
        <f t="shared" si="5"/>
        <v>87912400</v>
      </c>
      <c r="AE33" s="97">
        <f t="shared" si="6"/>
        <v>18.60572609398249</v>
      </c>
      <c r="AF33" s="98" t="s">
        <v>80</v>
      </c>
      <c r="AG33" s="109">
        <f t="shared" si="7"/>
        <v>100</v>
      </c>
      <c r="AH33" s="98" t="str">
        <f t="shared" si="8"/>
        <v>%</v>
      </c>
      <c r="AI33" s="42">
        <f t="shared" si="9"/>
        <v>87912400</v>
      </c>
      <c r="AJ33" s="24"/>
      <c r="AK33" s="25" t="s">
        <v>80</v>
      </c>
      <c r="AL33" s="24"/>
      <c r="AM33" s="68"/>
      <c r="AP33" s="28"/>
    </row>
    <row r="34" spans="1:42" s="60" customFormat="1" ht="94.5" x14ac:dyDescent="0.25">
      <c r="A34" s="25"/>
      <c r="B34" s="88"/>
      <c r="C34" s="4" t="s">
        <v>92</v>
      </c>
      <c r="D34" s="9" t="s">
        <v>128</v>
      </c>
      <c r="E34" s="69">
        <v>100</v>
      </c>
      <c r="F34" s="65" t="s">
        <v>80</v>
      </c>
      <c r="G34" s="69" t="s">
        <v>194</v>
      </c>
      <c r="H34" s="69"/>
      <c r="I34" s="65"/>
      <c r="J34" s="69"/>
      <c r="K34" s="69">
        <v>100</v>
      </c>
      <c r="L34" s="65" t="s">
        <v>80</v>
      </c>
      <c r="M34" s="69">
        <v>472501850</v>
      </c>
      <c r="N34" s="69">
        <v>0</v>
      </c>
      <c r="O34" s="65" t="s">
        <v>80</v>
      </c>
      <c r="P34" s="35"/>
      <c r="Q34" s="69">
        <v>100</v>
      </c>
      <c r="R34" s="65" t="s">
        <v>80</v>
      </c>
      <c r="S34" s="69">
        <v>87912400</v>
      </c>
      <c r="T34" s="43"/>
      <c r="U34" s="37"/>
      <c r="V34" s="35"/>
      <c r="W34" s="43"/>
      <c r="X34" s="37"/>
      <c r="Y34" s="35"/>
      <c r="Z34" s="111">
        <f t="shared" si="1"/>
        <v>100</v>
      </c>
      <c r="AA34" s="102" t="str">
        <f t="shared" si="3"/>
        <v>%</v>
      </c>
      <c r="AB34" s="111">
        <f t="shared" si="4"/>
        <v>100</v>
      </c>
      <c r="AC34" s="102" t="s">
        <v>80</v>
      </c>
      <c r="AD34" s="41">
        <f t="shared" si="5"/>
        <v>87912400</v>
      </c>
      <c r="AE34" s="101">
        <f t="shared" si="6"/>
        <v>18.60572609398249</v>
      </c>
      <c r="AF34" s="102" t="s">
        <v>80</v>
      </c>
      <c r="AG34" s="111">
        <f t="shared" si="7"/>
        <v>100</v>
      </c>
      <c r="AH34" s="102" t="str">
        <f t="shared" si="8"/>
        <v>%</v>
      </c>
      <c r="AI34" s="41">
        <f t="shared" si="9"/>
        <v>87912400</v>
      </c>
      <c r="AJ34" s="40"/>
      <c r="AK34" s="38" t="s">
        <v>80</v>
      </c>
      <c r="AL34" s="40"/>
      <c r="AM34" s="68"/>
      <c r="AP34" s="28"/>
    </row>
    <row r="35" spans="1:42" s="60" customFormat="1" ht="126" x14ac:dyDescent="0.25">
      <c r="A35" s="25"/>
      <c r="B35" s="88" t="s">
        <v>229</v>
      </c>
      <c r="C35" s="76" t="s">
        <v>93</v>
      </c>
      <c r="D35" s="7" t="s">
        <v>129</v>
      </c>
      <c r="E35" s="77">
        <v>65</v>
      </c>
      <c r="F35" s="66" t="s">
        <v>80</v>
      </c>
      <c r="G35" s="67">
        <f>SUM(G36)</f>
        <v>82500000</v>
      </c>
      <c r="H35" s="77"/>
      <c r="I35" s="66"/>
      <c r="J35" s="67"/>
      <c r="K35" s="77">
        <v>63.41</v>
      </c>
      <c r="L35" s="66" t="s">
        <v>80</v>
      </c>
      <c r="M35" s="67">
        <f>M36+M38</f>
        <v>9654734250</v>
      </c>
      <c r="N35" s="77">
        <v>0</v>
      </c>
      <c r="O35" s="66" t="s">
        <v>80</v>
      </c>
      <c r="P35" s="29"/>
      <c r="Q35" s="77">
        <v>28</v>
      </c>
      <c r="R35" s="66" t="s">
        <v>80</v>
      </c>
      <c r="S35" s="67">
        <f>S36+S38</f>
        <v>1862010000</v>
      </c>
      <c r="T35" s="44"/>
      <c r="U35" s="31"/>
      <c r="V35" s="29"/>
      <c r="W35" s="44"/>
      <c r="X35" s="31"/>
      <c r="Y35" s="29"/>
      <c r="Z35" s="110">
        <f t="shared" si="1"/>
        <v>28</v>
      </c>
      <c r="AA35" s="100" t="str">
        <f t="shared" si="3"/>
        <v>%</v>
      </c>
      <c r="AB35" s="110">
        <f t="shared" si="4"/>
        <v>44.157073016874307</v>
      </c>
      <c r="AC35" s="100" t="s">
        <v>80</v>
      </c>
      <c r="AD35" s="33">
        <f t="shared" si="5"/>
        <v>1862010000</v>
      </c>
      <c r="AE35" s="99">
        <f t="shared" si="6"/>
        <v>19.285978793253683</v>
      </c>
      <c r="AF35" s="100" t="s">
        <v>80</v>
      </c>
      <c r="AG35" s="110">
        <f t="shared" si="7"/>
        <v>28</v>
      </c>
      <c r="AH35" s="100" t="str">
        <f t="shared" si="8"/>
        <v>%</v>
      </c>
      <c r="AI35" s="33">
        <f t="shared" si="9"/>
        <v>1862010000</v>
      </c>
      <c r="AJ35" s="34"/>
      <c r="AK35" s="32" t="s">
        <v>80</v>
      </c>
      <c r="AL35" s="34"/>
      <c r="AM35" s="68"/>
      <c r="AP35" s="28"/>
    </row>
    <row r="36" spans="1:42" s="60" customFormat="1" ht="63" x14ac:dyDescent="0.25">
      <c r="A36" s="25"/>
      <c r="B36" s="88"/>
      <c r="C36" s="3" t="s">
        <v>67</v>
      </c>
      <c r="D36" s="8" t="s">
        <v>130</v>
      </c>
      <c r="E36" s="72">
        <f>E37</f>
        <v>22294.84</v>
      </c>
      <c r="F36" s="14" t="s">
        <v>81</v>
      </c>
      <c r="G36" s="72">
        <f>SUM(G37)</f>
        <v>82500000</v>
      </c>
      <c r="H36" s="72"/>
      <c r="I36" s="14"/>
      <c r="J36" s="72"/>
      <c r="K36" s="72">
        <v>22294.84</v>
      </c>
      <c r="L36" s="14" t="s">
        <v>81</v>
      </c>
      <c r="M36" s="72">
        <f>SUM(M37)</f>
        <v>28510000</v>
      </c>
      <c r="N36" s="72">
        <v>0</v>
      </c>
      <c r="O36" s="14" t="s">
        <v>81</v>
      </c>
      <c r="P36" s="35"/>
      <c r="Q36" s="72">
        <f>Q37</f>
        <v>12800</v>
      </c>
      <c r="R36" s="14" t="s">
        <v>81</v>
      </c>
      <c r="S36" s="72">
        <f>SUM(S37)</f>
        <v>2185000</v>
      </c>
      <c r="T36" s="43"/>
      <c r="U36" s="37"/>
      <c r="V36" s="35"/>
      <c r="W36" s="45"/>
      <c r="X36" s="22"/>
      <c r="Y36" s="20"/>
      <c r="Z36" s="112">
        <f t="shared" si="1"/>
        <v>12800</v>
      </c>
      <c r="AA36" s="102" t="str">
        <f t="shared" si="3"/>
        <v>Ha</v>
      </c>
      <c r="AB36" s="111">
        <f t="shared" si="4"/>
        <v>57.412387799149933</v>
      </c>
      <c r="AC36" s="102" t="s">
        <v>80</v>
      </c>
      <c r="AD36" s="41">
        <f t="shared" si="5"/>
        <v>2185000</v>
      </c>
      <c r="AE36" s="101">
        <f t="shared" si="6"/>
        <v>7.6639775517362327</v>
      </c>
      <c r="AF36" s="102" t="s">
        <v>80</v>
      </c>
      <c r="AG36" s="112">
        <f t="shared" si="7"/>
        <v>12800</v>
      </c>
      <c r="AH36" s="102" t="str">
        <f t="shared" si="8"/>
        <v>Ha</v>
      </c>
      <c r="AI36" s="41">
        <f t="shared" si="9"/>
        <v>2185000</v>
      </c>
      <c r="AJ36" s="40"/>
      <c r="AK36" s="38" t="s">
        <v>80</v>
      </c>
      <c r="AL36" s="40"/>
      <c r="AM36" s="68"/>
      <c r="AP36" s="28"/>
    </row>
    <row r="37" spans="1:42" s="60" customFormat="1" ht="94.5" x14ac:dyDescent="0.25">
      <c r="A37" s="25"/>
      <c r="B37" s="88"/>
      <c r="C37" s="4" t="s">
        <v>68</v>
      </c>
      <c r="D37" s="9" t="s">
        <v>131</v>
      </c>
      <c r="E37" s="75">
        <v>22294.84</v>
      </c>
      <c r="F37" s="65" t="s">
        <v>81</v>
      </c>
      <c r="G37" s="69">
        <v>82500000</v>
      </c>
      <c r="H37" s="75"/>
      <c r="I37" s="65"/>
      <c r="J37" s="69"/>
      <c r="K37" s="75">
        <v>22294.84</v>
      </c>
      <c r="L37" s="65" t="s">
        <v>81</v>
      </c>
      <c r="M37" s="69">
        <v>28510000</v>
      </c>
      <c r="N37" s="75">
        <v>0</v>
      </c>
      <c r="O37" s="65" t="s">
        <v>81</v>
      </c>
      <c r="P37" s="35"/>
      <c r="Q37" s="75">
        <v>12800</v>
      </c>
      <c r="R37" s="65" t="s">
        <v>81</v>
      </c>
      <c r="S37" s="69">
        <v>2185000</v>
      </c>
      <c r="T37" s="43"/>
      <c r="U37" s="37"/>
      <c r="V37" s="35"/>
      <c r="W37" s="46"/>
      <c r="X37" s="22"/>
      <c r="Y37" s="20"/>
      <c r="Z37" s="112">
        <f t="shared" si="1"/>
        <v>12800</v>
      </c>
      <c r="AA37" s="102" t="str">
        <f t="shared" si="3"/>
        <v>Ha</v>
      </c>
      <c r="AB37" s="111">
        <f t="shared" si="4"/>
        <v>57.412387799149933</v>
      </c>
      <c r="AC37" s="102" t="s">
        <v>80</v>
      </c>
      <c r="AD37" s="41">
        <f t="shared" si="5"/>
        <v>2185000</v>
      </c>
      <c r="AE37" s="101">
        <f t="shared" si="6"/>
        <v>7.6639775517362327</v>
      </c>
      <c r="AF37" s="102" t="s">
        <v>80</v>
      </c>
      <c r="AG37" s="112">
        <f t="shared" si="7"/>
        <v>12800</v>
      </c>
      <c r="AH37" s="102" t="str">
        <f t="shared" si="8"/>
        <v>Ha</v>
      </c>
      <c r="AI37" s="41">
        <f t="shared" si="9"/>
        <v>2185000</v>
      </c>
      <c r="AJ37" s="40"/>
      <c r="AK37" s="38" t="s">
        <v>80</v>
      </c>
      <c r="AL37" s="40"/>
      <c r="AM37" s="68"/>
      <c r="AP37" s="28"/>
    </row>
    <row r="38" spans="1:42" s="60" customFormat="1" ht="84" customHeight="1" x14ac:dyDescent="0.25">
      <c r="A38" s="25"/>
      <c r="B38" s="88"/>
      <c r="C38" s="3" t="s">
        <v>69</v>
      </c>
      <c r="D38" s="6" t="s">
        <v>132</v>
      </c>
      <c r="E38" s="72">
        <f>SUM(E39:E42)</f>
        <v>26</v>
      </c>
      <c r="F38" s="14" t="s">
        <v>82</v>
      </c>
      <c r="G38" s="72">
        <f>SUM(G39:G42)</f>
        <v>102576000</v>
      </c>
      <c r="H38" s="72"/>
      <c r="I38" s="14"/>
      <c r="J38" s="72"/>
      <c r="K38" s="72">
        <v>26</v>
      </c>
      <c r="L38" s="14" t="s">
        <v>82</v>
      </c>
      <c r="M38" s="72">
        <f>SUM(M39:M42)</f>
        <v>9626224250</v>
      </c>
      <c r="N38" s="72">
        <v>0</v>
      </c>
      <c r="O38" s="14" t="s">
        <v>82</v>
      </c>
      <c r="P38" s="20"/>
      <c r="Q38" s="72">
        <f>SUM(Q39:Q42)</f>
        <v>10</v>
      </c>
      <c r="R38" s="14" t="s">
        <v>82</v>
      </c>
      <c r="S38" s="72">
        <f>SUM(S39:S42)</f>
        <v>1859825000</v>
      </c>
      <c r="T38" s="91"/>
      <c r="U38" s="22"/>
      <c r="V38" s="20"/>
      <c r="W38" s="21"/>
      <c r="X38" s="22"/>
      <c r="Y38" s="20"/>
      <c r="Z38" s="113">
        <f t="shared" si="1"/>
        <v>10</v>
      </c>
      <c r="AA38" s="98" t="str">
        <f t="shared" si="3"/>
        <v>Unit</v>
      </c>
      <c r="AB38" s="109">
        <f t="shared" si="4"/>
        <v>38.461538461538467</v>
      </c>
      <c r="AC38" s="98" t="s">
        <v>80</v>
      </c>
      <c r="AD38" s="42">
        <f t="shared" si="5"/>
        <v>1859825000</v>
      </c>
      <c r="AE38" s="97">
        <f t="shared" si="6"/>
        <v>19.320399688382491</v>
      </c>
      <c r="AF38" s="98" t="s">
        <v>80</v>
      </c>
      <c r="AG38" s="113">
        <f t="shared" si="7"/>
        <v>10</v>
      </c>
      <c r="AH38" s="98" t="str">
        <f t="shared" si="8"/>
        <v>Unit</v>
      </c>
      <c r="AI38" s="42">
        <f t="shared" si="9"/>
        <v>1859825000</v>
      </c>
      <c r="AJ38" s="24"/>
      <c r="AK38" s="25" t="s">
        <v>80</v>
      </c>
      <c r="AL38" s="24"/>
      <c r="AM38" s="68"/>
      <c r="AP38" s="28"/>
    </row>
    <row r="39" spans="1:42" s="60" customFormat="1" ht="85.9" customHeight="1" x14ac:dyDescent="0.25">
      <c r="A39" s="25"/>
      <c r="B39" s="88"/>
      <c r="C39" s="4" t="s">
        <v>94</v>
      </c>
      <c r="D39" s="2" t="s">
        <v>133</v>
      </c>
      <c r="E39" s="69">
        <v>2</v>
      </c>
      <c r="F39" s="65" t="s">
        <v>82</v>
      </c>
      <c r="G39" s="69">
        <v>102576000</v>
      </c>
      <c r="H39" s="69"/>
      <c r="I39" s="65"/>
      <c r="J39" s="69"/>
      <c r="K39" s="69">
        <v>2</v>
      </c>
      <c r="L39" s="65" t="s">
        <v>82</v>
      </c>
      <c r="M39" s="69">
        <v>634630000</v>
      </c>
      <c r="N39" s="69">
        <v>0</v>
      </c>
      <c r="O39" s="65" t="s">
        <v>82</v>
      </c>
      <c r="P39" s="35"/>
      <c r="Q39" s="69">
        <v>1</v>
      </c>
      <c r="R39" s="65" t="s">
        <v>82</v>
      </c>
      <c r="S39" s="69">
        <v>176670000</v>
      </c>
      <c r="T39" s="43"/>
      <c r="U39" s="37"/>
      <c r="V39" s="35"/>
      <c r="W39" s="36"/>
      <c r="X39" s="37"/>
      <c r="Y39" s="35"/>
      <c r="Z39" s="111">
        <f t="shared" si="1"/>
        <v>1</v>
      </c>
      <c r="AA39" s="102" t="str">
        <f t="shared" si="3"/>
        <v>Unit</v>
      </c>
      <c r="AB39" s="111">
        <f t="shared" si="4"/>
        <v>50</v>
      </c>
      <c r="AC39" s="102" t="s">
        <v>80</v>
      </c>
      <c r="AD39" s="41">
        <f t="shared" si="5"/>
        <v>176670000</v>
      </c>
      <c r="AE39" s="101">
        <f t="shared" si="6"/>
        <v>27.838267967161968</v>
      </c>
      <c r="AF39" s="102" t="s">
        <v>80</v>
      </c>
      <c r="AG39" s="111">
        <f t="shared" si="7"/>
        <v>1</v>
      </c>
      <c r="AH39" s="102" t="str">
        <f t="shared" si="8"/>
        <v>Unit</v>
      </c>
      <c r="AI39" s="41">
        <f t="shared" si="9"/>
        <v>176670000</v>
      </c>
      <c r="AJ39" s="40"/>
      <c r="AK39" s="38" t="s">
        <v>80</v>
      </c>
      <c r="AL39" s="40"/>
      <c r="AM39" s="68"/>
      <c r="AP39" s="28"/>
    </row>
    <row r="40" spans="1:42" s="60" customFormat="1" ht="69" customHeight="1" x14ac:dyDescent="0.25">
      <c r="A40" s="25"/>
      <c r="B40" s="88"/>
      <c r="C40" s="4" t="s">
        <v>83</v>
      </c>
      <c r="D40" s="2" t="s">
        <v>134</v>
      </c>
      <c r="E40" s="69">
        <v>10</v>
      </c>
      <c r="F40" s="65" t="s">
        <v>82</v>
      </c>
      <c r="G40" s="69">
        <v>0</v>
      </c>
      <c r="H40" s="69"/>
      <c r="I40" s="65"/>
      <c r="J40" s="69"/>
      <c r="K40" s="69">
        <v>10</v>
      </c>
      <c r="L40" s="65" t="s">
        <v>82</v>
      </c>
      <c r="M40" s="69">
        <v>1855805000</v>
      </c>
      <c r="N40" s="69">
        <v>0</v>
      </c>
      <c r="O40" s="65" t="s">
        <v>82</v>
      </c>
      <c r="P40" s="35"/>
      <c r="Q40" s="69">
        <v>4</v>
      </c>
      <c r="R40" s="65" t="s">
        <v>82</v>
      </c>
      <c r="S40" s="69">
        <v>554800000</v>
      </c>
      <c r="T40" s="43"/>
      <c r="U40" s="37"/>
      <c r="V40" s="35"/>
      <c r="W40" s="36"/>
      <c r="X40" s="37"/>
      <c r="Y40" s="35"/>
      <c r="Z40" s="111">
        <f t="shared" si="1"/>
        <v>4</v>
      </c>
      <c r="AA40" s="102" t="str">
        <f t="shared" si="3"/>
        <v>Unit</v>
      </c>
      <c r="AB40" s="111">
        <f t="shared" si="4"/>
        <v>40</v>
      </c>
      <c r="AC40" s="102" t="s">
        <v>80</v>
      </c>
      <c r="AD40" s="41">
        <f t="shared" si="5"/>
        <v>554800000</v>
      </c>
      <c r="AE40" s="101">
        <f t="shared" si="6"/>
        <v>29.895382327345814</v>
      </c>
      <c r="AF40" s="102" t="s">
        <v>80</v>
      </c>
      <c r="AG40" s="111">
        <f t="shared" si="7"/>
        <v>4</v>
      </c>
      <c r="AH40" s="102" t="str">
        <f t="shared" si="8"/>
        <v>Unit</v>
      </c>
      <c r="AI40" s="41">
        <f t="shared" si="9"/>
        <v>554800000</v>
      </c>
      <c r="AJ40" s="40"/>
      <c r="AK40" s="38" t="s">
        <v>80</v>
      </c>
      <c r="AL40" s="40"/>
      <c r="AM40" s="68"/>
      <c r="AP40" s="28"/>
    </row>
    <row r="41" spans="1:42" s="60" customFormat="1" ht="112.15" customHeight="1" x14ac:dyDescent="0.25">
      <c r="A41" s="25"/>
      <c r="B41" s="88"/>
      <c r="C41" s="4" t="s">
        <v>95</v>
      </c>
      <c r="D41" s="2" t="s">
        <v>135</v>
      </c>
      <c r="E41" s="69">
        <v>7</v>
      </c>
      <c r="F41" s="65" t="s">
        <v>82</v>
      </c>
      <c r="G41" s="69">
        <v>0</v>
      </c>
      <c r="H41" s="69"/>
      <c r="I41" s="65"/>
      <c r="J41" s="69"/>
      <c r="K41" s="69">
        <v>7</v>
      </c>
      <c r="L41" s="65" t="s">
        <v>82</v>
      </c>
      <c r="M41" s="69">
        <v>3367319250</v>
      </c>
      <c r="N41" s="69">
        <v>0</v>
      </c>
      <c r="O41" s="65" t="s">
        <v>82</v>
      </c>
      <c r="P41" s="35"/>
      <c r="Q41" s="69">
        <v>2</v>
      </c>
      <c r="R41" s="65" t="s">
        <v>82</v>
      </c>
      <c r="S41" s="69">
        <v>189355000</v>
      </c>
      <c r="T41" s="43"/>
      <c r="U41" s="37"/>
      <c r="V41" s="35"/>
      <c r="W41" s="36"/>
      <c r="X41" s="37"/>
      <c r="Y41" s="35"/>
      <c r="Z41" s="111">
        <f t="shared" si="1"/>
        <v>2</v>
      </c>
      <c r="AA41" s="102" t="str">
        <f t="shared" si="3"/>
        <v>Unit</v>
      </c>
      <c r="AB41" s="111">
        <f t="shared" si="4"/>
        <v>28.571428571428569</v>
      </c>
      <c r="AC41" s="102" t="s">
        <v>80</v>
      </c>
      <c r="AD41" s="41">
        <f t="shared" si="5"/>
        <v>189355000</v>
      </c>
      <c r="AE41" s="101">
        <f t="shared" si="6"/>
        <v>5.6233159359630065</v>
      </c>
      <c r="AF41" s="102" t="s">
        <v>80</v>
      </c>
      <c r="AG41" s="111">
        <f t="shared" si="7"/>
        <v>2</v>
      </c>
      <c r="AH41" s="102" t="str">
        <f t="shared" si="8"/>
        <v>Unit</v>
      </c>
      <c r="AI41" s="41">
        <f t="shared" si="9"/>
        <v>189355000</v>
      </c>
      <c r="AJ41" s="40"/>
      <c r="AK41" s="38" t="s">
        <v>80</v>
      </c>
      <c r="AL41" s="40"/>
      <c r="AM41" s="68"/>
      <c r="AP41" s="28"/>
    </row>
    <row r="42" spans="1:42" s="60" customFormat="1" ht="94.5" x14ac:dyDescent="0.25">
      <c r="A42" s="25"/>
      <c r="B42" s="88"/>
      <c r="C42" s="4" t="s">
        <v>96</v>
      </c>
      <c r="D42" s="2" t="s">
        <v>136</v>
      </c>
      <c r="E42" s="69">
        <v>7</v>
      </c>
      <c r="F42" s="65" t="s">
        <v>82</v>
      </c>
      <c r="G42" s="69">
        <v>0</v>
      </c>
      <c r="H42" s="69"/>
      <c r="I42" s="65"/>
      <c r="J42" s="69"/>
      <c r="K42" s="69">
        <v>7</v>
      </c>
      <c r="L42" s="65" t="s">
        <v>82</v>
      </c>
      <c r="M42" s="69">
        <v>3768470000</v>
      </c>
      <c r="N42" s="69">
        <v>0</v>
      </c>
      <c r="O42" s="65" t="s">
        <v>82</v>
      </c>
      <c r="P42" s="20"/>
      <c r="Q42" s="69">
        <v>3</v>
      </c>
      <c r="R42" s="65" t="s">
        <v>82</v>
      </c>
      <c r="S42" s="69">
        <v>939000000</v>
      </c>
      <c r="T42" s="23"/>
      <c r="U42" s="22"/>
      <c r="V42" s="20"/>
      <c r="W42" s="36"/>
      <c r="X42" s="37"/>
      <c r="Y42" s="35"/>
      <c r="Z42" s="97">
        <f t="shared" si="1"/>
        <v>3</v>
      </c>
      <c r="AA42" s="98" t="str">
        <f t="shared" si="3"/>
        <v>Unit</v>
      </c>
      <c r="AB42" s="109">
        <f t="shared" si="4"/>
        <v>42.857142857142854</v>
      </c>
      <c r="AC42" s="98" t="s">
        <v>80</v>
      </c>
      <c r="AD42" s="42">
        <f t="shared" si="5"/>
        <v>939000000</v>
      </c>
      <c r="AE42" s="97">
        <f t="shared" si="6"/>
        <v>24.917274119204876</v>
      </c>
      <c r="AF42" s="98" t="s">
        <v>80</v>
      </c>
      <c r="AG42" s="109">
        <f t="shared" si="7"/>
        <v>3</v>
      </c>
      <c r="AH42" s="98" t="str">
        <f t="shared" si="8"/>
        <v>Unit</v>
      </c>
      <c r="AI42" s="42">
        <f t="shared" si="9"/>
        <v>939000000</v>
      </c>
      <c r="AJ42" s="24"/>
      <c r="AK42" s="25" t="s">
        <v>80</v>
      </c>
      <c r="AL42" s="24"/>
      <c r="AM42" s="68"/>
      <c r="AP42" s="28"/>
    </row>
    <row r="43" spans="1:42" s="60" customFormat="1" ht="141.75" x14ac:dyDescent="0.25">
      <c r="A43" s="25"/>
      <c r="B43" s="88" t="s">
        <v>230</v>
      </c>
      <c r="C43" s="76" t="s">
        <v>97</v>
      </c>
      <c r="D43" s="7" t="s">
        <v>137</v>
      </c>
      <c r="E43" s="67">
        <v>100</v>
      </c>
      <c r="F43" s="66" t="s">
        <v>80</v>
      </c>
      <c r="G43" s="67">
        <f>G45+G48</f>
        <v>158039300</v>
      </c>
      <c r="H43" s="67"/>
      <c r="I43" s="66"/>
      <c r="J43" s="67"/>
      <c r="K43" s="67">
        <v>100</v>
      </c>
      <c r="L43" s="66" t="s">
        <v>80</v>
      </c>
      <c r="M43" s="67">
        <f>M45+M48</f>
        <v>303131050</v>
      </c>
      <c r="N43" s="67">
        <v>0</v>
      </c>
      <c r="O43" s="66" t="s">
        <v>80</v>
      </c>
      <c r="P43" s="52"/>
      <c r="Q43" s="67">
        <v>100</v>
      </c>
      <c r="R43" s="66" t="s">
        <v>80</v>
      </c>
      <c r="S43" s="67">
        <f>S45+S48</f>
        <v>54000000</v>
      </c>
      <c r="T43" s="30"/>
      <c r="U43" s="51"/>
      <c r="V43" s="29"/>
      <c r="W43" s="30"/>
      <c r="X43" s="31"/>
      <c r="Y43" s="29"/>
      <c r="Z43" s="114"/>
      <c r="AA43" s="105" t="str">
        <f t="shared" si="3"/>
        <v>%</v>
      </c>
      <c r="AB43" s="114"/>
      <c r="AC43" s="105"/>
      <c r="AD43" s="92"/>
      <c r="AE43" s="104"/>
      <c r="AF43" s="105"/>
      <c r="AG43" s="114"/>
      <c r="AH43" s="105"/>
      <c r="AI43" s="92"/>
      <c r="AJ43" s="48"/>
      <c r="AK43" s="47"/>
      <c r="AL43" s="48"/>
      <c r="AM43" s="68"/>
      <c r="AP43" s="28"/>
    </row>
    <row r="44" spans="1:42" s="60" customFormat="1" ht="94.5" x14ac:dyDescent="0.25">
      <c r="A44" s="25"/>
      <c r="B44" s="88"/>
      <c r="C44" s="3"/>
      <c r="D44" s="10" t="s">
        <v>138</v>
      </c>
      <c r="E44" s="69">
        <v>100</v>
      </c>
      <c r="F44" s="65" t="s">
        <v>80</v>
      </c>
      <c r="G44" s="69"/>
      <c r="H44" s="69"/>
      <c r="I44" s="65"/>
      <c r="J44" s="69"/>
      <c r="K44" s="69">
        <v>100</v>
      </c>
      <c r="L44" s="65" t="s">
        <v>80</v>
      </c>
      <c r="M44" s="69"/>
      <c r="N44" s="69">
        <v>0</v>
      </c>
      <c r="O44" s="65" t="s">
        <v>80</v>
      </c>
      <c r="P44" s="20"/>
      <c r="Q44" s="69">
        <v>100</v>
      </c>
      <c r="R44" s="65" t="s">
        <v>80</v>
      </c>
      <c r="S44" s="69"/>
      <c r="T44" s="36"/>
      <c r="U44" s="22"/>
      <c r="V44" s="35"/>
      <c r="W44" s="36"/>
      <c r="X44" s="37"/>
      <c r="Y44" s="35"/>
      <c r="Z44" s="109"/>
      <c r="AA44" s="98" t="str">
        <f t="shared" si="3"/>
        <v>%</v>
      </c>
      <c r="AB44" s="109"/>
      <c r="AC44" s="98"/>
      <c r="AD44" s="42"/>
      <c r="AE44" s="97"/>
      <c r="AF44" s="98"/>
      <c r="AG44" s="109"/>
      <c r="AH44" s="98"/>
      <c r="AI44" s="42"/>
      <c r="AJ44" s="24"/>
      <c r="AK44" s="25"/>
      <c r="AL44" s="24"/>
      <c r="AM44" s="68"/>
      <c r="AP44" s="28"/>
    </row>
    <row r="45" spans="1:42" s="60" customFormat="1" ht="129" customHeight="1" x14ac:dyDescent="0.25">
      <c r="A45" s="25"/>
      <c r="B45" s="88"/>
      <c r="C45" s="3" t="s">
        <v>70</v>
      </c>
      <c r="D45" s="9" t="s">
        <v>139</v>
      </c>
      <c r="E45" s="72">
        <v>12</v>
      </c>
      <c r="F45" s="14" t="s">
        <v>167</v>
      </c>
      <c r="G45" s="72">
        <f>G46+G47</f>
        <v>117761300</v>
      </c>
      <c r="H45" s="72"/>
      <c r="I45" s="14"/>
      <c r="J45" s="72"/>
      <c r="K45" s="72">
        <v>12</v>
      </c>
      <c r="L45" s="14" t="s">
        <v>167</v>
      </c>
      <c r="M45" s="72">
        <f>M46+M47</f>
        <v>208053850</v>
      </c>
      <c r="N45" s="72">
        <v>0</v>
      </c>
      <c r="O45" s="14" t="s">
        <v>167</v>
      </c>
      <c r="P45" s="20"/>
      <c r="Q45" s="72">
        <v>6</v>
      </c>
      <c r="R45" s="14" t="s">
        <v>167</v>
      </c>
      <c r="S45" s="72">
        <f>S46+S47</f>
        <v>27000000</v>
      </c>
      <c r="T45" s="49"/>
      <c r="U45" s="22"/>
      <c r="V45" s="20"/>
      <c r="W45" s="49"/>
      <c r="X45" s="22"/>
      <c r="Y45" s="20"/>
      <c r="Z45" s="115">
        <f t="shared" si="1"/>
        <v>6</v>
      </c>
      <c r="AA45" s="98" t="str">
        <f t="shared" si="3"/>
        <v>Bulan</v>
      </c>
      <c r="AB45" s="109">
        <f t="shared" si="4"/>
        <v>50</v>
      </c>
      <c r="AC45" s="98" t="s">
        <v>80</v>
      </c>
      <c r="AD45" s="42">
        <f t="shared" si="5"/>
        <v>27000000</v>
      </c>
      <c r="AE45" s="97">
        <f t="shared" si="6"/>
        <v>12.977409454331173</v>
      </c>
      <c r="AF45" s="98" t="s">
        <v>80</v>
      </c>
      <c r="AG45" s="115">
        <f t="shared" si="7"/>
        <v>6</v>
      </c>
      <c r="AH45" s="98" t="str">
        <f t="shared" si="8"/>
        <v>Bulan</v>
      </c>
      <c r="AI45" s="42">
        <f t="shared" si="9"/>
        <v>27000000</v>
      </c>
      <c r="AJ45" s="24"/>
      <c r="AK45" s="25" t="s">
        <v>80</v>
      </c>
      <c r="AL45" s="24"/>
      <c r="AM45" s="68"/>
      <c r="AP45" s="28"/>
    </row>
    <row r="46" spans="1:42" s="60" customFormat="1" ht="112.15" customHeight="1" x14ac:dyDescent="0.25">
      <c r="A46" s="25"/>
      <c r="B46" s="88"/>
      <c r="C46" s="4" t="s">
        <v>71</v>
      </c>
      <c r="D46" s="78" t="s">
        <v>140</v>
      </c>
      <c r="E46" s="69">
        <v>24</v>
      </c>
      <c r="F46" s="14" t="s">
        <v>85</v>
      </c>
      <c r="G46" s="69">
        <v>94364300</v>
      </c>
      <c r="H46" s="72"/>
      <c r="I46" s="14"/>
      <c r="J46" s="69"/>
      <c r="K46" s="72">
        <v>48</v>
      </c>
      <c r="L46" s="14" t="s">
        <v>85</v>
      </c>
      <c r="M46" s="69">
        <v>138868050</v>
      </c>
      <c r="N46" s="72">
        <v>0</v>
      </c>
      <c r="O46" s="14" t="s">
        <v>85</v>
      </c>
      <c r="P46" s="20"/>
      <c r="Q46" s="72">
        <v>24</v>
      </c>
      <c r="R46" s="14" t="s">
        <v>85</v>
      </c>
      <c r="S46" s="69">
        <v>27000000</v>
      </c>
      <c r="T46" s="49"/>
      <c r="U46" s="22"/>
      <c r="V46" s="20"/>
      <c r="W46" s="49"/>
      <c r="X46" s="22"/>
      <c r="Y46" s="20"/>
      <c r="Z46" s="115">
        <f t="shared" si="1"/>
        <v>24</v>
      </c>
      <c r="AA46" s="98" t="str">
        <f t="shared" si="3"/>
        <v>Kali</v>
      </c>
      <c r="AB46" s="109">
        <f t="shared" si="4"/>
        <v>50</v>
      </c>
      <c r="AC46" s="98" t="s">
        <v>80</v>
      </c>
      <c r="AD46" s="42"/>
      <c r="AE46" s="97"/>
      <c r="AF46" s="98"/>
      <c r="AG46" s="115">
        <f t="shared" si="7"/>
        <v>24</v>
      </c>
      <c r="AH46" s="98" t="str">
        <f t="shared" si="8"/>
        <v>Kali</v>
      </c>
      <c r="AI46" s="42"/>
      <c r="AJ46" s="24"/>
      <c r="AK46" s="25" t="s">
        <v>80</v>
      </c>
      <c r="AL46" s="24"/>
      <c r="AM46" s="68"/>
      <c r="AP46" s="28"/>
    </row>
    <row r="47" spans="1:42" s="60" customFormat="1" ht="105.6" customHeight="1" x14ac:dyDescent="0.25">
      <c r="A47" s="25"/>
      <c r="B47" s="88"/>
      <c r="C47" s="4" t="s">
        <v>98</v>
      </c>
      <c r="D47" s="78" t="s">
        <v>141</v>
      </c>
      <c r="E47" s="69">
        <v>12</v>
      </c>
      <c r="F47" s="14" t="s">
        <v>86</v>
      </c>
      <c r="G47" s="69">
        <v>23397000</v>
      </c>
      <c r="H47" s="72"/>
      <c r="I47" s="14"/>
      <c r="J47" s="69"/>
      <c r="K47" s="72">
        <v>6</v>
      </c>
      <c r="L47" s="14" t="s">
        <v>86</v>
      </c>
      <c r="M47" s="69">
        <v>69185800</v>
      </c>
      <c r="N47" s="72">
        <v>0</v>
      </c>
      <c r="O47" s="14" t="s">
        <v>86</v>
      </c>
      <c r="P47" s="20"/>
      <c r="Q47" s="72">
        <v>3</v>
      </c>
      <c r="R47" s="14" t="s">
        <v>86</v>
      </c>
      <c r="S47" s="69">
        <v>0</v>
      </c>
      <c r="T47" s="49"/>
      <c r="U47" s="22"/>
      <c r="V47" s="20"/>
      <c r="W47" s="49"/>
      <c r="X47" s="22"/>
      <c r="Y47" s="20"/>
      <c r="Z47" s="115">
        <f t="shared" si="1"/>
        <v>3</v>
      </c>
      <c r="AA47" s="98" t="str">
        <f t="shared" si="3"/>
        <v>Jenis</v>
      </c>
      <c r="AB47" s="109">
        <f t="shared" si="4"/>
        <v>50</v>
      </c>
      <c r="AC47" s="98" t="s">
        <v>80</v>
      </c>
      <c r="AD47" s="42"/>
      <c r="AE47" s="97"/>
      <c r="AF47" s="98"/>
      <c r="AG47" s="115">
        <f t="shared" si="7"/>
        <v>3</v>
      </c>
      <c r="AH47" s="98" t="str">
        <f t="shared" si="8"/>
        <v>Jenis</v>
      </c>
      <c r="AI47" s="42"/>
      <c r="AJ47" s="24"/>
      <c r="AK47" s="25" t="s">
        <v>80</v>
      </c>
      <c r="AL47" s="24"/>
      <c r="AM47" s="68"/>
      <c r="AP47" s="28"/>
    </row>
    <row r="48" spans="1:42" s="60" customFormat="1" ht="123.6" customHeight="1" x14ac:dyDescent="0.25">
      <c r="A48" s="25"/>
      <c r="B48" s="88"/>
      <c r="C48" s="3" t="s">
        <v>72</v>
      </c>
      <c r="D48" s="9" t="str">
        <f>[2]Cascading!$Y$31</f>
        <v xml:space="preserve">Persentase daging sapi dan unggas yang ASUH (Aman, Sehat, Utuh, dan Halal) </v>
      </c>
      <c r="E48" s="72">
        <v>100</v>
      </c>
      <c r="F48" s="14" t="s">
        <v>80</v>
      </c>
      <c r="G48" s="72">
        <f>G49</f>
        <v>40278000</v>
      </c>
      <c r="H48" s="72"/>
      <c r="I48" s="14"/>
      <c r="J48" s="72"/>
      <c r="K48" s="72">
        <v>100</v>
      </c>
      <c r="L48" s="14" t="s">
        <v>80</v>
      </c>
      <c r="M48" s="72">
        <f>M49</f>
        <v>95077200</v>
      </c>
      <c r="N48" s="72">
        <v>0</v>
      </c>
      <c r="O48" s="14" t="s">
        <v>80</v>
      </c>
      <c r="P48" s="20"/>
      <c r="Q48" s="72">
        <v>100</v>
      </c>
      <c r="R48" s="14" t="s">
        <v>80</v>
      </c>
      <c r="S48" s="72">
        <f>S49</f>
        <v>27000000</v>
      </c>
      <c r="T48" s="49"/>
      <c r="U48" s="22"/>
      <c r="V48" s="20"/>
      <c r="W48" s="49"/>
      <c r="X48" s="22"/>
      <c r="Y48" s="20"/>
      <c r="Z48" s="115">
        <f t="shared" si="1"/>
        <v>100</v>
      </c>
      <c r="AA48" s="98" t="str">
        <f t="shared" si="3"/>
        <v>%</v>
      </c>
      <c r="AB48" s="109">
        <f t="shared" si="4"/>
        <v>100</v>
      </c>
      <c r="AC48" s="98" t="s">
        <v>80</v>
      </c>
      <c r="AD48" s="42"/>
      <c r="AE48" s="97"/>
      <c r="AF48" s="98"/>
      <c r="AG48" s="115">
        <f t="shared" si="7"/>
        <v>100</v>
      </c>
      <c r="AH48" s="98" t="str">
        <f t="shared" si="8"/>
        <v>%</v>
      </c>
      <c r="AI48" s="42"/>
      <c r="AJ48" s="24"/>
      <c r="AK48" s="25" t="s">
        <v>80</v>
      </c>
      <c r="AL48" s="24"/>
      <c r="AM48" s="68"/>
      <c r="AP48" s="28"/>
    </row>
    <row r="49" spans="1:42" s="60" customFormat="1" ht="83.25" customHeight="1" x14ac:dyDescent="0.25">
      <c r="A49" s="25"/>
      <c r="B49" s="88"/>
      <c r="C49" s="4" t="s">
        <v>73</v>
      </c>
      <c r="D49" s="78" t="s">
        <v>142</v>
      </c>
      <c r="E49" s="69">
        <v>1</v>
      </c>
      <c r="F49" s="14" t="s">
        <v>85</v>
      </c>
      <c r="G49" s="69">
        <v>40278000</v>
      </c>
      <c r="H49" s="72"/>
      <c r="I49" s="14"/>
      <c r="J49" s="69"/>
      <c r="K49" s="72">
        <v>2</v>
      </c>
      <c r="L49" s="14" t="s">
        <v>85</v>
      </c>
      <c r="M49" s="69">
        <v>95077200</v>
      </c>
      <c r="N49" s="72">
        <v>0</v>
      </c>
      <c r="O49" s="14" t="s">
        <v>85</v>
      </c>
      <c r="P49" s="20"/>
      <c r="Q49" s="72">
        <v>2</v>
      </c>
      <c r="R49" s="14" t="s">
        <v>85</v>
      </c>
      <c r="S49" s="69">
        <v>27000000</v>
      </c>
      <c r="T49" s="49"/>
      <c r="U49" s="22"/>
      <c r="V49" s="20"/>
      <c r="W49" s="49"/>
      <c r="X49" s="22"/>
      <c r="Y49" s="20"/>
      <c r="Z49" s="115">
        <f t="shared" si="1"/>
        <v>2</v>
      </c>
      <c r="AA49" s="98" t="str">
        <f t="shared" si="3"/>
        <v>Kali</v>
      </c>
      <c r="AB49" s="109">
        <f t="shared" si="4"/>
        <v>100</v>
      </c>
      <c r="AC49" s="98" t="s">
        <v>80</v>
      </c>
      <c r="AD49" s="42"/>
      <c r="AE49" s="97"/>
      <c r="AF49" s="98"/>
      <c r="AG49" s="115">
        <f t="shared" si="7"/>
        <v>2</v>
      </c>
      <c r="AH49" s="98" t="str">
        <f t="shared" si="8"/>
        <v>Kali</v>
      </c>
      <c r="AI49" s="42"/>
      <c r="AJ49" s="24"/>
      <c r="AK49" s="25" t="s">
        <v>80</v>
      </c>
      <c r="AL49" s="24"/>
      <c r="AM49" s="68"/>
      <c r="AP49" s="28"/>
    </row>
    <row r="50" spans="1:42" s="60" customFormat="1" ht="97.15" customHeight="1" x14ac:dyDescent="0.25">
      <c r="A50" s="25"/>
      <c r="B50" s="88" t="s">
        <v>231</v>
      </c>
      <c r="C50" s="76" t="s">
        <v>99</v>
      </c>
      <c r="D50" s="11" t="s">
        <v>143</v>
      </c>
      <c r="E50" s="77">
        <v>63.41</v>
      </c>
      <c r="F50" s="66" t="s">
        <v>80</v>
      </c>
      <c r="G50" s="67">
        <f>G53</f>
        <v>382266000</v>
      </c>
      <c r="H50" s="67"/>
      <c r="I50" s="66"/>
      <c r="J50" s="67"/>
      <c r="K50" s="67">
        <v>90</v>
      </c>
      <c r="L50" s="66" t="s">
        <v>80</v>
      </c>
      <c r="M50" s="67">
        <f>M51</f>
        <v>415050966</v>
      </c>
      <c r="N50" s="67">
        <v>0</v>
      </c>
      <c r="O50" s="66" t="s">
        <v>80</v>
      </c>
      <c r="P50" s="52"/>
      <c r="Q50" s="67">
        <v>90</v>
      </c>
      <c r="R50" s="66" t="s">
        <v>80</v>
      </c>
      <c r="S50" s="67">
        <f>S51</f>
        <v>206968400</v>
      </c>
      <c r="T50" s="50"/>
      <c r="U50" s="51"/>
      <c r="V50" s="52"/>
      <c r="W50" s="50"/>
      <c r="X50" s="51"/>
      <c r="Y50" s="52"/>
      <c r="Z50" s="116">
        <f t="shared" si="1"/>
        <v>90</v>
      </c>
      <c r="AA50" s="105" t="str">
        <f t="shared" si="3"/>
        <v>%</v>
      </c>
      <c r="AB50" s="114">
        <f t="shared" si="4"/>
        <v>100</v>
      </c>
      <c r="AC50" s="105" t="s">
        <v>80</v>
      </c>
      <c r="AD50" s="92"/>
      <c r="AE50" s="104"/>
      <c r="AF50" s="105"/>
      <c r="AG50" s="116">
        <f t="shared" si="7"/>
        <v>90</v>
      </c>
      <c r="AH50" s="105" t="str">
        <f t="shared" si="8"/>
        <v>%</v>
      </c>
      <c r="AI50" s="92"/>
      <c r="AJ50" s="48"/>
      <c r="AK50" s="47" t="s">
        <v>80</v>
      </c>
      <c r="AL50" s="48"/>
      <c r="AM50" s="68"/>
      <c r="AP50" s="28"/>
    </row>
    <row r="51" spans="1:42" s="60" customFormat="1" ht="140.44999999999999" customHeight="1" x14ac:dyDescent="0.25">
      <c r="A51" s="25"/>
      <c r="B51" s="88"/>
      <c r="C51" s="3" t="s">
        <v>74</v>
      </c>
      <c r="D51" s="12" t="s">
        <v>144</v>
      </c>
      <c r="E51" s="69">
        <v>510</v>
      </c>
      <c r="F51" s="65" t="s">
        <v>168</v>
      </c>
      <c r="G51" s="69">
        <f>G53</f>
        <v>382266000</v>
      </c>
      <c r="H51" s="69"/>
      <c r="I51" s="65"/>
      <c r="J51" s="69"/>
      <c r="K51" s="69">
        <v>510</v>
      </c>
      <c r="L51" s="65" t="s">
        <v>168</v>
      </c>
      <c r="M51" s="69">
        <f>SUM(M52:M55)</f>
        <v>415050966</v>
      </c>
      <c r="N51" s="69">
        <v>0</v>
      </c>
      <c r="O51" s="65" t="s">
        <v>168</v>
      </c>
      <c r="P51" s="20"/>
      <c r="Q51" s="69">
        <v>210</v>
      </c>
      <c r="R51" s="65" t="s">
        <v>168</v>
      </c>
      <c r="S51" s="69">
        <f>SUM(S52:S55)</f>
        <v>206968400</v>
      </c>
      <c r="T51" s="49"/>
      <c r="U51" s="22"/>
      <c r="V51" s="20"/>
      <c r="W51" s="49"/>
      <c r="X51" s="22"/>
      <c r="Y51" s="20"/>
      <c r="Z51" s="115">
        <f t="shared" si="1"/>
        <v>210</v>
      </c>
      <c r="AA51" s="98" t="str">
        <f t="shared" si="3"/>
        <v>Kg/Lt</v>
      </c>
      <c r="AB51" s="109">
        <f t="shared" si="4"/>
        <v>41.17647058823529</v>
      </c>
      <c r="AC51" s="98" t="s">
        <v>80</v>
      </c>
      <c r="AD51" s="42"/>
      <c r="AE51" s="97"/>
      <c r="AF51" s="98"/>
      <c r="AG51" s="115">
        <f t="shared" si="7"/>
        <v>210</v>
      </c>
      <c r="AH51" s="98" t="str">
        <f t="shared" si="8"/>
        <v>Kg/Lt</v>
      </c>
      <c r="AI51" s="42"/>
      <c r="AJ51" s="24"/>
      <c r="AK51" s="25" t="s">
        <v>80</v>
      </c>
      <c r="AL51" s="24"/>
      <c r="AM51" s="68"/>
      <c r="AP51" s="28"/>
    </row>
    <row r="52" spans="1:42" s="60" customFormat="1" ht="99" customHeight="1" x14ac:dyDescent="0.25">
      <c r="A52" s="25"/>
      <c r="B52" s="88"/>
      <c r="C52" s="3"/>
      <c r="D52" s="9" t="s">
        <v>145</v>
      </c>
      <c r="E52" s="69">
        <v>1000</v>
      </c>
      <c r="F52" s="65" t="s">
        <v>81</v>
      </c>
      <c r="G52" s="69">
        <f>G54</f>
        <v>59100000</v>
      </c>
      <c r="H52" s="69"/>
      <c r="I52" s="65"/>
      <c r="J52" s="69"/>
      <c r="K52" s="69">
        <v>1000</v>
      </c>
      <c r="L52" s="65" t="s">
        <v>81</v>
      </c>
      <c r="M52" s="69"/>
      <c r="N52" s="69">
        <v>0</v>
      </c>
      <c r="O52" s="65" t="s">
        <v>81</v>
      </c>
      <c r="P52" s="20"/>
      <c r="Q52" s="69">
        <v>250</v>
      </c>
      <c r="R52" s="65" t="s">
        <v>81</v>
      </c>
      <c r="S52" s="69"/>
      <c r="T52" s="49"/>
      <c r="U52" s="22"/>
      <c r="V52" s="20"/>
      <c r="W52" s="49"/>
      <c r="X52" s="22"/>
      <c r="Y52" s="20"/>
      <c r="Z52" s="115">
        <f t="shared" si="1"/>
        <v>250</v>
      </c>
      <c r="AA52" s="98" t="str">
        <f t="shared" si="3"/>
        <v>Ha</v>
      </c>
      <c r="AB52" s="109">
        <f t="shared" si="4"/>
        <v>25</v>
      </c>
      <c r="AC52" s="98" t="s">
        <v>80</v>
      </c>
      <c r="AD52" s="42"/>
      <c r="AE52" s="97"/>
      <c r="AF52" s="98"/>
      <c r="AG52" s="115">
        <f t="shared" si="7"/>
        <v>250</v>
      </c>
      <c r="AH52" s="98" t="str">
        <f t="shared" si="8"/>
        <v>Ha</v>
      </c>
      <c r="AI52" s="42"/>
      <c r="AJ52" s="24"/>
      <c r="AK52" s="25" t="s">
        <v>80</v>
      </c>
      <c r="AL52" s="24"/>
      <c r="AM52" s="68"/>
      <c r="AP52" s="28"/>
    </row>
    <row r="53" spans="1:42" s="60" customFormat="1" ht="126.6" customHeight="1" x14ac:dyDescent="0.25">
      <c r="A53" s="25"/>
      <c r="B53" s="88"/>
      <c r="C53" s="4" t="s">
        <v>100</v>
      </c>
      <c r="D53" s="9" t="s">
        <v>146</v>
      </c>
      <c r="E53" s="69">
        <v>735</v>
      </c>
      <c r="F53" s="65" t="s">
        <v>168</v>
      </c>
      <c r="G53" s="69">
        <v>382266000</v>
      </c>
      <c r="H53" s="69"/>
      <c r="I53" s="65"/>
      <c r="J53" s="69"/>
      <c r="K53" s="69">
        <v>509.5</v>
      </c>
      <c r="L53" s="65" t="s">
        <v>168</v>
      </c>
      <c r="M53" s="69">
        <v>290199800</v>
      </c>
      <c r="N53" s="69">
        <v>0</v>
      </c>
      <c r="O53" s="65" t="s">
        <v>168</v>
      </c>
      <c r="P53" s="35"/>
      <c r="Q53" s="69">
        <v>210</v>
      </c>
      <c r="R53" s="65" t="s">
        <v>168</v>
      </c>
      <c r="S53" s="69">
        <v>182587400</v>
      </c>
      <c r="T53" s="53"/>
      <c r="U53" s="37"/>
      <c r="V53" s="35"/>
      <c r="W53" s="53"/>
      <c r="X53" s="37"/>
      <c r="Y53" s="35"/>
      <c r="Z53" s="117">
        <f t="shared" si="1"/>
        <v>210</v>
      </c>
      <c r="AA53" s="102" t="str">
        <f t="shared" si="3"/>
        <v>Kg/Lt</v>
      </c>
      <c r="AB53" s="111">
        <f t="shared" si="4"/>
        <v>41.216879293424924</v>
      </c>
      <c r="AC53" s="102" t="s">
        <v>80</v>
      </c>
      <c r="AD53" s="41">
        <f t="shared" ref="AD53" si="10">SUM(P53,S53,V53,Y53)</f>
        <v>182587400</v>
      </c>
      <c r="AE53" s="101">
        <f t="shared" ref="AE53" si="11">AD53/M53*100</f>
        <v>62.917824202497727</v>
      </c>
      <c r="AF53" s="102" t="s">
        <v>80</v>
      </c>
      <c r="AG53" s="117">
        <f t="shared" si="7"/>
        <v>210</v>
      </c>
      <c r="AH53" s="102" t="str">
        <f t="shared" si="8"/>
        <v>Kg/Lt</v>
      </c>
      <c r="AI53" s="41">
        <f t="shared" ref="AI53" si="12">SUM(J53,AD53)</f>
        <v>182587400</v>
      </c>
      <c r="AJ53" s="40"/>
      <c r="AK53" s="38" t="s">
        <v>80</v>
      </c>
      <c r="AL53" s="40"/>
      <c r="AM53" s="68"/>
      <c r="AP53" s="28"/>
    </row>
    <row r="54" spans="1:42" s="60" customFormat="1" ht="115.9" customHeight="1" x14ac:dyDescent="0.25">
      <c r="A54" s="25"/>
      <c r="B54" s="88"/>
      <c r="C54" s="4" t="s">
        <v>101</v>
      </c>
      <c r="D54" s="9" t="s">
        <v>147</v>
      </c>
      <c r="E54" s="69">
        <v>1000</v>
      </c>
      <c r="F54" s="65" t="s">
        <v>81</v>
      </c>
      <c r="G54" s="69">
        <v>59100000</v>
      </c>
      <c r="H54" s="69"/>
      <c r="I54" s="65"/>
      <c r="J54" s="69"/>
      <c r="K54" s="69">
        <v>1000</v>
      </c>
      <c r="L54" s="65" t="s">
        <v>81</v>
      </c>
      <c r="M54" s="69">
        <v>82548000</v>
      </c>
      <c r="N54" s="69">
        <v>0</v>
      </c>
      <c r="O54" s="65" t="s">
        <v>81</v>
      </c>
      <c r="P54" s="35"/>
      <c r="Q54" s="69">
        <v>300</v>
      </c>
      <c r="R54" s="65" t="s">
        <v>81</v>
      </c>
      <c r="S54" s="69">
        <v>19955000</v>
      </c>
      <c r="T54" s="53"/>
      <c r="U54" s="37"/>
      <c r="V54" s="35"/>
      <c r="W54" s="53"/>
      <c r="X54" s="37"/>
      <c r="Y54" s="35"/>
      <c r="Z54" s="117">
        <f t="shared" si="1"/>
        <v>300</v>
      </c>
      <c r="AA54" s="102" t="str">
        <f t="shared" si="3"/>
        <v>Ha</v>
      </c>
      <c r="AB54" s="111">
        <f t="shared" si="4"/>
        <v>30</v>
      </c>
      <c r="AC54" s="102" t="s">
        <v>80</v>
      </c>
      <c r="AD54" s="41"/>
      <c r="AE54" s="101"/>
      <c r="AF54" s="102"/>
      <c r="AG54" s="117">
        <f t="shared" si="7"/>
        <v>300</v>
      </c>
      <c r="AH54" s="102" t="str">
        <f t="shared" si="8"/>
        <v>Ha</v>
      </c>
      <c r="AI54" s="41"/>
      <c r="AJ54" s="40"/>
      <c r="AK54" s="38" t="s">
        <v>80</v>
      </c>
      <c r="AL54" s="40"/>
      <c r="AM54" s="68"/>
      <c r="AP54" s="28"/>
    </row>
    <row r="55" spans="1:42" s="60" customFormat="1" ht="127.9" customHeight="1" x14ac:dyDescent="0.25">
      <c r="A55" s="25"/>
      <c r="B55" s="88"/>
      <c r="C55" s="4" t="s">
        <v>102</v>
      </c>
      <c r="D55" s="9" t="s">
        <v>148</v>
      </c>
      <c r="E55" s="69">
        <v>0</v>
      </c>
      <c r="F55" s="65" t="s">
        <v>85</v>
      </c>
      <c r="G55" s="69">
        <v>0</v>
      </c>
      <c r="H55" s="69"/>
      <c r="I55" s="65"/>
      <c r="J55" s="69"/>
      <c r="K55" s="69">
        <v>20</v>
      </c>
      <c r="L55" s="65" t="s">
        <v>85</v>
      </c>
      <c r="M55" s="69">
        <v>42303166</v>
      </c>
      <c r="N55" s="69">
        <v>0</v>
      </c>
      <c r="O55" s="65" t="s">
        <v>85</v>
      </c>
      <c r="P55" s="35"/>
      <c r="Q55" s="69">
        <v>10</v>
      </c>
      <c r="R55" s="65" t="s">
        <v>85</v>
      </c>
      <c r="S55" s="69">
        <v>4426000</v>
      </c>
      <c r="T55" s="53"/>
      <c r="U55" s="37"/>
      <c r="V55" s="35"/>
      <c r="W55" s="53"/>
      <c r="X55" s="37"/>
      <c r="Y55" s="35"/>
      <c r="Z55" s="117">
        <f t="shared" si="1"/>
        <v>10</v>
      </c>
      <c r="AA55" s="102" t="str">
        <f t="shared" si="3"/>
        <v>Kali</v>
      </c>
      <c r="AB55" s="111">
        <f t="shared" si="4"/>
        <v>50</v>
      </c>
      <c r="AC55" s="102" t="s">
        <v>80</v>
      </c>
      <c r="AD55" s="41"/>
      <c r="AE55" s="101"/>
      <c r="AF55" s="102"/>
      <c r="AG55" s="117">
        <f t="shared" si="7"/>
        <v>10</v>
      </c>
      <c r="AH55" s="102" t="str">
        <f t="shared" si="8"/>
        <v>Kali</v>
      </c>
      <c r="AI55" s="41"/>
      <c r="AJ55" s="40"/>
      <c r="AK55" s="38" t="s">
        <v>80</v>
      </c>
      <c r="AL55" s="40"/>
      <c r="AM55" s="68"/>
      <c r="AP55" s="28"/>
    </row>
    <row r="56" spans="1:42" s="60" customFormat="1" ht="99" customHeight="1" x14ac:dyDescent="0.25">
      <c r="A56" s="25"/>
      <c r="B56" s="88" t="s">
        <v>232</v>
      </c>
      <c r="C56" s="1" t="s">
        <v>103</v>
      </c>
      <c r="D56" s="13" t="s">
        <v>149</v>
      </c>
      <c r="E56" s="79" t="s">
        <v>169</v>
      </c>
      <c r="F56" s="66" t="s">
        <v>80</v>
      </c>
      <c r="G56" s="67">
        <f>G57</f>
        <v>316936000</v>
      </c>
      <c r="H56" s="79"/>
      <c r="I56" s="66"/>
      <c r="J56" s="67"/>
      <c r="K56" s="79" t="s">
        <v>173</v>
      </c>
      <c r="L56" s="66" t="s">
        <v>80</v>
      </c>
      <c r="M56" s="67">
        <f>M57</f>
        <v>241707400</v>
      </c>
      <c r="N56" s="79" t="s">
        <v>202</v>
      </c>
      <c r="O56" s="66" t="s">
        <v>80</v>
      </c>
      <c r="P56" s="29"/>
      <c r="Q56" s="79" t="s">
        <v>206</v>
      </c>
      <c r="R56" s="66" t="s">
        <v>80</v>
      </c>
      <c r="S56" s="67">
        <f>S57</f>
        <v>31739800</v>
      </c>
      <c r="T56" s="54"/>
      <c r="U56" s="31"/>
      <c r="V56" s="29"/>
      <c r="W56" s="54"/>
      <c r="X56" s="31"/>
      <c r="Y56" s="29"/>
      <c r="Z56" s="118">
        <f t="shared" si="1"/>
        <v>0</v>
      </c>
      <c r="AA56" s="100" t="str">
        <f t="shared" si="3"/>
        <v>%</v>
      </c>
      <c r="AB56" s="110">
        <f t="shared" si="4"/>
        <v>0</v>
      </c>
      <c r="AC56" s="100" t="s">
        <v>80</v>
      </c>
      <c r="AD56" s="33"/>
      <c r="AE56" s="99"/>
      <c r="AF56" s="100"/>
      <c r="AG56" s="118">
        <f t="shared" si="7"/>
        <v>0</v>
      </c>
      <c r="AH56" s="100" t="str">
        <f t="shared" si="8"/>
        <v>%</v>
      </c>
      <c r="AI56" s="33"/>
      <c r="AJ56" s="34"/>
      <c r="AK56" s="32" t="s">
        <v>80</v>
      </c>
      <c r="AL56" s="34"/>
      <c r="AM56" s="68"/>
      <c r="AP56" s="28"/>
    </row>
    <row r="57" spans="1:42" s="60" customFormat="1" ht="97.9" customHeight="1" x14ac:dyDescent="0.25">
      <c r="A57" s="25"/>
      <c r="B57" s="88"/>
      <c r="C57" s="70" t="s">
        <v>75</v>
      </c>
      <c r="D57" s="5" t="s">
        <v>150</v>
      </c>
      <c r="E57" s="80" t="s">
        <v>170</v>
      </c>
      <c r="F57" s="14" t="s">
        <v>80</v>
      </c>
      <c r="G57" s="72">
        <f>G58</f>
        <v>316936000</v>
      </c>
      <c r="H57" s="80"/>
      <c r="I57" s="14"/>
      <c r="J57" s="72"/>
      <c r="K57" s="80" t="s">
        <v>200</v>
      </c>
      <c r="L57" s="14" t="s">
        <v>80</v>
      </c>
      <c r="M57" s="72">
        <f>M58</f>
        <v>241707400</v>
      </c>
      <c r="N57" s="80" t="s">
        <v>202</v>
      </c>
      <c r="O57" s="14" t="s">
        <v>80</v>
      </c>
      <c r="P57" s="35"/>
      <c r="Q57" s="80" t="s">
        <v>199</v>
      </c>
      <c r="R57" s="14" t="s">
        <v>80</v>
      </c>
      <c r="S57" s="72">
        <f>S58</f>
        <v>31739800</v>
      </c>
      <c r="T57" s="53"/>
      <c r="U57" s="37"/>
      <c r="V57" s="35"/>
      <c r="W57" s="53"/>
      <c r="X57" s="37"/>
      <c r="Y57" s="35"/>
      <c r="Z57" s="117">
        <f t="shared" si="1"/>
        <v>0</v>
      </c>
      <c r="AA57" s="102" t="str">
        <f t="shared" si="3"/>
        <v>%</v>
      </c>
      <c r="AB57" s="111">
        <f t="shared" si="4"/>
        <v>0</v>
      </c>
      <c r="AC57" s="102" t="s">
        <v>80</v>
      </c>
      <c r="AD57" s="41"/>
      <c r="AE57" s="101"/>
      <c r="AF57" s="102"/>
      <c r="AG57" s="117">
        <f t="shared" si="7"/>
        <v>0</v>
      </c>
      <c r="AH57" s="102" t="str">
        <f t="shared" si="8"/>
        <v>%</v>
      </c>
      <c r="AI57" s="41"/>
      <c r="AJ57" s="40"/>
      <c r="AK57" s="38" t="s">
        <v>80</v>
      </c>
      <c r="AL57" s="40"/>
      <c r="AM57" s="68"/>
      <c r="AP57" s="28"/>
    </row>
    <row r="58" spans="1:42" s="60" customFormat="1" ht="83.25" customHeight="1" x14ac:dyDescent="0.25">
      <c r="A58" s="25"/>
      <c r="B58" s="88"/>
      <c r="C58" s="2" t="s">
        <v>76</v>
      </c>
      <c r="D58" s="9" t="s">
        <v>151</v>
      </c>
      <c r="E58" s="69" t="s">
        <v>171</v>
      </c>
      <c r="F58" s="65" t="s">
        <v>172</v>
      </c>
      <c r="G58" s="69">
        <v>316936000</v>
      </c>
      <c r="H58" s="69"/>
      <c r="I58" s="65"/>
      <c r="J58" s="69"/>
      <c r="K58" s="69">
        <v>30</v>
      </c>
      <c r="L58" s="65" t="s">
        <v>172</v>
      </c>
      <c r="M58" s="69">
        <v>241707400</v>
      </c>
      <c r="N58" s="69">
        <v>0</v>
      </c>
      <c r="O58" s="65" t="s">
        <v>172</v>
      </c>
      <c r="P58" s="35"/>
      <c r="Q58" s="69">
        <v>15</v>
      </c>
      <c r="R58" s="65" t="s">
        <v>172</v>
      </c>
      <c r="S58" s="69">
        <v>31739800</v>
      </c>
      <c r="T58" s="53"/>
      <c r="U58" s="37"/>
      <c r="V58" s="35"/>
      <c r="W58" s="53"/>
      <c r="X58" s="37"/>
      <c r="Y58" s="35"/>
      <c r="Z58" s="117">
        <f t="shared" si="1"/>
        <v>15</v>
      </c>
      <c r="AA58" s="102" t="str">
        <f t="shared" si="3"/>
        <v>unit</v>
      </c>
      <c r="AB58" s="111">
        <f t="shared" si="4"/>
        <v>50</v>
      </c>
      <c r="AC58" s="102" t="s">
        <v>80</v>
      </c>
      <c r="AD58" s="41"/>
      <c r="AE58" s="101"/>
      <c r="AF58" s="102"/>
      <c r="AG58" s="117">
        <f t="shared" si="7"/>
        <v>15</v>
      </c>
      <c r="AH58" s="102" t="str">
        <f t="shared" si="8"/>
        <v>unit</v>
      </c>
      <c r="AI58" s="41"/>
      <c r="AJ58" s="40"/>
      <c r="AK58" s="38" t="s">
        <v>80</v>
      </c>
      <c r="AL58" s="40"/>
      <c r="AM58" s="68"/>
      <c r="AP58" s="28"/>
    </row>
    <row r="59" spans="1:42" s="60" customFormat="1" ht="83.25" customHeight="1" x14ac:dyDescent="0.25">
      <c r="A59" s="25"/>
      <c r="B59" s="88" t="s">
        <v>233</v>
      </c>
      <c r="C59" s="1" t="s">
        <v>104</v>
      </c>
      <c r="D59" s="13" t="s">
        <v>152</v>
      </c>
      <c r="E59" s="79" t="s">
        <v>173</v>
      </c>
      <c r="F59" s="66" t="s">
        <v>80</v>
      </c>
      <c r="G59" s="67">
        <f>G61</f>
        <v>2039773900</v>
      </c>
      <c r="H59" s="79"/>
      <c r="I59" s="66"/>
      <c r="J59" s="67"/>
      <c r="K59" s="79" t="s">
        <v>173</v>
      </c>
      <c r="L59" s="66" t="s">
        <v>80</v>
      </c>
      <c r="M59" s="67">
        <f>M61</f>
        <v>126933814116</v>
      </c>
      <c r="N59" s="79" t="s">
        <v>202</v>
      </c>
      <c r="O59" s="66" t="s">
        <v>80</v>
      </c>
      <c r="P59" s="29"/>
      <c r="Q59" s="79" t="s">
        <v>207</v>
      </c>
      <c r="R59" s="66" t="s">
        <v>80</v>
      </c>
      <c r="S59" s="67">
        <f>S61</f>
        <v>71075000</v>
      </c>
      <c r="T59" s="54"/>
      <c r="U59" s="31"/>
      <c r="V59" s="29"/>
      <c r="W59" s="54"/>
      <c r="X59" s="31"/>
      <c r="Y59" s="29"/>
      <c r="Z59" s="118">
        <f t="shared" si="1"/>
        <v>0</v>
      </c>
      <c r="AA59" s="100" t="str">
        <f t="shared" si="3"/>
        <v>%</v>
      </c>
      <c r="AB59" s="110">
        <f t="shared" si="4"/>
        <v>0</v>
      </c>
      <c r="AC59" s="100" t="s">
        <v>80</v>
      </c>
      <c r="AD59" s="33"/>
      <c r="AE59" s="99"/>
      <c r="AF59" s="100"/>
      <c r="AG59" s="118">
        <f t="shared" si="7"/>
        <v>0</v>
      </c>
      <c r="AH59" s="100" t="str">
        <f t="shared" si="8"/>
        <v>%</v>
      </c>
      <c r="AI59" s="33"/>
      <c r="AJ59" s="34"/>
      <c r="AK59" s="32" t="s">
        <v>80</v>
      </c>
      <c r="AL59" s="34"/>
      <c r="AM59" s="68"/>
      <c r="AP59" s="28"/>
    </row>
    <row r="60" spans="1:42" s="60" customFormat="1" ht="48.6" customHeight="1" x14ac:dyDescent="0.25">
      <c r="A60" s="25"/>
      <c r="B60" s="88"/>
      <c r="C60" s="1"/>
      <c r="D60" s="139" t="s">
        <v>153</v>
      </c>
      <c r="E60" s="135" t="s">
        <v>174</v>
      </c>
      <c r="F60" s="134" t="s">
        <v>175</v>
      </c>
      <c r="G60" s="135"/>
      <c r="H60" s="135"/>
      <c r="I60" s="134"/>
      <c r="J60" s="135"/>
      <c r="K60" s="135">
        <v>103</v>
      </c>
      <c r="L60" s="134" t="s">
        <v>175</v>
      </c>
      <c r="M60" s="135"/>
      <c r="N60" s="135">
        <v>0</v>
      </c>
      <c r="O60" s="134" t="s">
        <v>175</v>
      </c>
      <c r="P60" s="29"/>
      <c r="Q60" s="135">
        <v>66</v>
      </c>
      <c r="R60" s="134" t="s">
        <v>175</v>
      </c>
      <c r="S60" s="135"/>
      <c r="T60" s="54"/>
      <c r="U60" s="31"/>
      <c r="V60" s="29"/>
      <c r="W60" s="54"/>
      <c r="X60" s="31"/>
      <c r="Y60" s="29"/>
      <c r="Z60" s="118">
        <f t="shared" si="1"/>
        <v>66</v>
      </c>
      <c r="AA60" s="100" t="str">
        <f t="shared" si="3"/>
        <v>orang</v>
      </c>
      <c r="AB60" s="110">
        <f t="shared" si="4"/>
        <v>64.077669902912632</v>
      </c>
      <c r="AC60" s="100" t="s">
        <v>80</v>
      </c>
      <c r="AD60" s="33"/>
      <c r="AE60" s="99"/>
      <c r="AF60" s="100"/>
      <c r="AG60" s="118">
        <f t="shared" si="7"/>
        <v>66</v>
      </c>
      <c r="AH60" s="100" t="str">
        <f t="shared" si="8"/>
        <v>orang</v>
      </c>
      <c r="AI60" s="33"/>
      <c r="AJ60" s="40"/>
      <c r="AK60" s="38" t="s">
        <v>80</v>
      </c>
      <c r="AL60" s="40"/>
      <c r="AM60" s="68"/>
      <c r="AP60" s="28"/>
    </row>
    <row r="61" spans="1:42" s="60" customFormat="1" ht="84.6" customHeight="1" x14ac:dyDescent="0.25">
      <c r="A61" s="25"/>
      <c r="B61" s="88"/>
      <c r="C61" s="70" t="s">
        <v>77</v>
      </c>
      <c r="D61" s="70" t="str">
        <f>[2]Cascading!$Y$42</f>
        <v>Jumlah Kenaikan Kelas Kelompok Tani</v>
      </c>
      <c r="E61" s="80" t="s">
        <v>176</v>
      </c>
      <c r="F61" s="14" t="s">
        <v>80</v>
      </c>
      <c r="G61" s="72">
        <f>SUM(G65:G67)</f>
        <v>2039773900</v>
      </c>
      <c r="H61" s="80"/>
      <c r="I61" s="14"/>
      <c r="J61" s="72"/>
      <c r="K61" s="80" t="s">
        <v>201</v>
      </c>
      <c r="L61" s="14" t="s">
        <v>80</v>
      </c>
      <c r="M61" s="72">
        <f>SUM(M62:M67)</f>
        <v>126933814116</v>
      </c>
      <c r="N61" s="80" t="s">
        <v>202</v>
      </c>
      <c r="O61" s="14" t="s">
        <v>80</v>
      </c>
      <c r="P61" s="20"/>
      <c r="Q61" s="80" t="s">
        <v>189</v>
      </c>
      <c r="R61" s="14" t="s">
        <v>80</v>
      </c>
      <c r="S61" s="72">
        <f>SUM(S62:S67)</f>
        <v>71075000</v>
      </c>
      <c r="T61" s="49"/>
      <c r="U61" s="55"/>
      <c r="V61" s="20"/>
      <c r="W61" s="53"/>
      <c r="X61" s="37"/>
      <c r="Y61" s="35"/>
      <c r="Z61" s="124">
        <f t="shared" si="1"/>
        <v>0</v>
      </c>
      <c r="AA61" s="98" t="str">
        <f t="shared" si="3"/>
        <v>%</v>
      </c>
      <c r="AB61" s="109">
        <f t="shared" si="4"/>
        <v>0</v>
      </c>
      <c r="AC61" s="98" t="s">
        <v>80</v>
      </c>
      <c r="AD61" s="42">
        <f t="shared" ref="AD61" si="13">SUM(P61,S61,V61,Y61)</f>
        <v>71075000</v>
      </c>
      <c r="AE61" s="97">
        <f t="shared" ref="AE61" si="14">AD61/M61*100</f>
        <v>5.5993747997714186E-2</v>
      </c>
      <c r="AF61" s="98" t="s">
        <v>80</v>
      </c>
      <c r="AG61" s="113">
        <f t="shared" si="7"/>
        <v>0</v>
      </c>
      <c r="AH61" s="98" t="str">
        <f t="shared" si="8"/>
        <v>%</v>
      </c>
      <c r="AI61" s="42">
        <f t="shared" ref="AI61" si="15">SUM(J61,AD61)</f>
        <v>71075000</v>
      </c>
      <c r="AJ61" s="24"/>
      <c r="AK61" s="25" t="s">
        <v>80</v>
      </c>
      <c r="AL61" s="24"/>
      <c r="AM61" s="68"/>
      <c r="AP61" s="28"/>
    </row>
    <row r="62" spans="1:42" s="60" customFormat="1" ht="45" customHeight="1" x14ac:dyDescent="0.25">
      <c r="A62" s="25"/>
      <c r="B62" s="88"/>
      <c r="C62" s="70"/>
      <c r="D62" s="6" t="s">
        <v>154</v>
      </c>
      <c r="E62" s="14" t="s">
        <v>177</v>
      </c>
      <c r="F62" s="14" t="s">
        <v>84</v>
      </c>
      <c r="G62" s="72"/>
      <c r="H62" s="14"/>
      <c r="I62" s="14"/>
      <c r="J62" s="72"/>
      <c r="K62" s="14">
        <v>148</v>
      </c>
      <c r="L62" s="14" t="s">
        <v>84</v>
      </c>
      <c r="M62" s="72">
        <f t="shared" ref="M62:M64" si="16">SUM(M63:M68)</f>
        <v>72188177502</v>
      </c>
      <c r="N62" s="14">
        <v>0</v>
      </c>
      <c r="O62" s="14" t="s">
        <v>84</v>
      </c>
      <c r="P62" s="35"/>
      <c r="Q62" s="14">
        <v>75</v>
      </c>
      <c r="R62" s="14" t="s">
        <v>84</v>
      </c>
      <c r="S62" s="72"/>
      <c r="T62" s="36"/>
      <c r="U62" s="37"/>
      <c r="V62" s="35"/>
      <c r="W62" s="36"/>
      <c r="X62" s="37"/>
      <c r="Y62" s="35"/>
      <c r="Z62" s="111">
        <f t="shared" si="1"/>
        <v>75</v>
      </c>
      <c r="AA62" s="102" t="str">
        <f t="shared" si="3"/>
        <v>Desa</v>
      </c>
      <c r="AB62" s="111">
        <f t="shared" si="4"/>
        <v>50.675675675675677</v>
      </c>
      <c r="AC62" s="102" t="s">
        <v>80</v>
      </c>
      <c r="AD62" s="41">
        <f t="shared" si="5"/>
        <v>0</v>
      </c>
      <c r="AE62" s="101">
        <f t="shared" si="6"/>
        <v>0</v>
      </c>
      <c r="AF62" s="102" t="s">
        <v>80</v>
      </c>
      <c r="AG62" s="111">
        <f t="shared" si="7"/>
        <v>75</v>
      </c>
      <c r="AH62" s="102" t="str">
        <f t="shared" si="8"/>
        <v>Desa</v>
      </c>
      <c r="AI62" s="41">
        <f t="shared" si="9"/>
        <v>0</v>
      </c>
      <c r="AJ62" s="40"/>
      <c r="AK62" s="38" t="s">
        <v>80</v>
      </c>
      <c r="AL62" s="40"/>
      <c r="AM62" s="68"/>
      <c r="AP62" s="28"/>
    </row>
    <row r="63" spans="1:42" s="60" customFormat="1" ht="28.9" customHeight="1" x14ac:dyDescent="0.25">
      <c r="A63" s="25"/>
      <c r="B63" s="88"/>
      <c r="C63" s="70"/>
      <c r="D63" s="6"/>
      <c r="E63" s="14" t="s">
        <v>178</v>
      </c>
      <c r="F63" s="14" t="s">
        <v>179</v>
      </c>
      <c r="G63" s="72"/>
      <c r="H63" s="14"/>
      <c r="I63" s="14"/>
      <c r="J63" s="72"/>
      <c r="K63" s="14">
        <v>11</v>
      </c>
      <c r="L63" s="14" t="s">
        <v>179</v>
      </c>
      <c r="M63" s="72">
        <f t="shared" si="16"/>
        <v>36098838276</v>
      </c>
      <c r="N63" s="14">
        <v>0</v>
      </c>
      <c r="O63" s="14" t="s">
        <v>179</v>
      </c>
      <c r="P63" s="35"/>
      <c r="Q63" s="14">
        <v>6</v>
      </c>
      <c r="R63" s="14" t="s">
        <v>179</v>
      </c>
      <c r="S63" s="72"/>
      <c r="T63" s="36"/>
      <c r="U63" s="37"/>
      <c r="V63" s="35"/>
      <c r="W63" s="36"/>
      <c r="X63" s="37"/>
      <c r="Y63" s="35"/>
      <c r="Z63" s="111">
        <f t="shared" si="1"/>
        <v>6</v>
      </c>
      <c r="AA63" s="102" t="str">
        <f t="shared" si="3"/>
        <v>Kec</v>
      </c>
      <c r="AB63" s="111">
        <f t="shared" si="4"/>
        <v>54.54545454545454</v>
      </c>
      <c r="AC63" s="102" t="s">
        <v>80</v>
      </c>
      <c r="AD63" s="41">
        <f t="shared" si="5"/>
        <v>0</v>
      </c>
      <c r="AE63" s="101">
        <f t="shared" si="6"/>
        <v>0</v>
      </c>
      <c r="AF63" s="102" t="s">
        <v>80</v>
      </c>
      <c r="AG63" s="111">
        <f t="shared" si="7"/>
        <v>6</v>
      </c>
      <c r="AH63" s="102" t="str">
        <f t="shared" si="8"/>
        <v>Kec</v>
      </c>
      <c r="AI63" s="41">
        <f t="shared" si="9"/>
        <v>0</v>
      </c>
      <c r="AJ63" s="40"/>
      <c r="AK63" s="38" t="s">
        <v>80</v>
      </c>
      <c r="AL63" s="40"/>
      <c r="AM63" s="68"/>
      <c r="AP63" s="28"/>
    </row>
    <row r="64" spans="1:42" s="60" customFormat="1" ht="15.75" x14ac:dyDescent="0.25">
      <c r="A64" s="25"/>
      <c r="B64" s="88"/>
      <c r="C64" s="70"/>
      <c r="D64" s="6"/>
      <c r="E64" s="14" t="s">
        <v>180</v>
      </c>
      <c r="F64" s="14" t="s">
        <v>181</v>
      </c>
      <c r="G64" s="72"/>
      <c r="H64" s="14"/>
      <c r="I64" s="14"/>
      <c r="J64" s="72"/>
      <c r="K64" s="14">
        <v>1</v>
      </c>
      <c r="L64" s="14" t="s">
        <v>181</v>
      </c>
      <c r="M64" s="72">
        <f t="shared" si="16"/>
        <v>18053418738</v>
      </c>
      <c r="N64" s="14">
        <v>0</v>
      </c>
      <c r="O64" s="14" t="s">
        <v>181</v>
      </c>
      <c r="P64" s="35"/>
      <c r="Q64" s="14">
        <v>0</v>
      </c>
      <c r="R64" s="14" t="s">
        <v>181</v>
      </c>
      <c r="S64" s="72"/>
      <c r="T64" s="36"/>
      <c r="U64" s="56"/>
      <c r="V64" s="35"/>
      <c r="W64" s="36"/>
      <c r="X64" s="37"/>
      <c r="Y64" s="35"/>
      <c r="Z64" s="111">
        <f t="shared" si="1"/>
        <v>0</v>
      </c>
      <c r="AA64" s="102" t="str">
        <f t="shared" si="3"/>
        <v>Kab</v>
      </c>
      <c r="AB64" s="111">
        <f t="shared" si="4"/>
        <v>0</v>
      </c>
      <c r="AC64" s="102" t="s">
        <v>80</v>
      </c>
      <c r="AD64" s="41">
        <f t="shared" si="5"/>
        <v>0</v>
      </c>
      <c r="AE64" s="101">
        <f t="shared" si="6"/>
        <v>0</v>
      </c>
      <c r="AF64" s="102" t="s">
        <v>80</v>
      </c>
      <c r="AG64" s="111">
        <f t="shared" si="7"/>
        <v>0</v>
      </c>
      <c r="AH64" s="102" t="str">
        <f t="shared" si="8"/>
        <v>Kab</v>
      </c>
      <c r="AI64" s="41">
        <f t="shared" si="9"/>
        <v>0</v>
      </c>
      <c r="AJ64" s="40"/>
      <c r="AK64" s="38" t="s">
        <v>80</v>
      </c>
      <c r="AL64" s="40"/>
      <c r="AM64" s="68"/>
      <c r="AP64" s="28"/>
    </row>
    <row r="65" spans="1:42" s="60" customFormat="1" ht="104.45" customHeight="1" x14ac:dyDescent="0.25">
      <c r="A65" s="25"/>
      <c r="B65" s="88"/>
      <c r="C65" s="2" t="s">
        <v>79</v>
      </c>
      <c r="D65" s="9" t="s">
        <v>155</v>
      </c>
      <c r="E65" s="81" t="s">
        <v>169</v>
      </c>
      <c r="F65" s="65" t="s">
        <v>80</v>
      </c>
      <c r="G65" s="69">
        <v>1691970000</v>
      </c>
      <c r="H65" s="81"/>
      <c r="I65" s="65"/>
      <c r="J65" s="69"/>
      <c r="K65" s="81" t="s">
        <v>199</v>
      </c>
      <c r="L65" s="65" t="s">
        <v>80</v>
      </c>
      <c r="M65" s="69">
        <v>144653500</v>
      </c>
      <c r="N65" s="81" t="s">
        <v>202</v>
      </c>
      <c r="O65" s="65" t="s">
        <v>80</v>
      </c>
      <c r="P65" s="20"/>
      <c r="Q65" s="81" t="s">
        <v>208</v>
      </c>
      <c r="R65" s="65" t="s">
        <v>80</v>
      </c>
      <c r="S65" s="69">
        <v>35537500</v>
      </c>
      <c r="T65" s="49"/>
      <c r="U65" s="22"/>
      <c r="V65" s="20"/>
      <c r="W65" s="36"/>
      <c r="X65" s="37"/>
      <c r="Y65" s="35"/>
      <c r="Z65" s="125">
        <f t="shared" si="1"/>
        <v>0</v>
      </c>
      <c r="AA65" s="98" t="str">
        <f t="shared" si="3"/>
        <v>%</v>
      </c>
      <c r="AB65" s="109">
        <f t="shared" si="4"/>
        <v>0</v>
      </c>
      <c r="AC65" s="98" t="s">
        <v>80</v>
      </c>
      <c r="AD65" s="42">
        <f t="shared" si="5"/>
        <v>35537500</v>
      </c>
      <c r="AE65" s="97">
        <f t="shared" si="6"/>
        <v>24.567328132399147</v>
      </c>
      <c r="AF65" s="98" t="s">
        <v>80</v>
      </c>
      <c r="AG65" s="109">
        <f t="shared" si="7"/>
        <v>0</v>
      </c>
      <c r="AH65" s="119" t="str">
        <f t="shared" si="8"/>
        <v>%</v>
      </c>
      <c r="AI65" s="42">
        <f t="shared" si="9"/>
        <v>35537500</v>
      </c>
      <c r="AJ65" s="24"/>
      <c r="AK65" s="25" t="s">
        <v>80</v>
      </c>
      <c r="AL65" s="24"/>
      <c r="AM65" s="68"/>
      <c r="AP65" s="28"/>
    </row>
    <row r="66" spans="1:42" s="60" customFormat="1" ht="117.6" customHeight="1" x14ac:dyDescent="0.25">
      <c r="A66" s="25"/>
      <c r="B66" s="88"/>
      <c r="C66" s="2"/>
      <c r="D66" s="9" t="s">
        <v>78</v>
      </c>
      <c r="E66" s="82" t="s">
        <v>182</v>
      </c>
      <c r="F66" s="65" t="s">
        <v>183</v>
      </c>
      <c r="G66" s="69">
        <v>136315000</v>
      </c>
      <c r="H66" s="82"/>
      <c r="I66" s="65"/>
      <c r="J66" s="69"/>
      <c r="K66" s="82"/>
      <c r="L66" s="65"/>
      <c r="M66" s="69"/>
      <c r="N66" s="82"/>
      <c r="O66" s="65"/>
      <c r="P66" s="35"/>
      <c r="Q66" s="82"/>
      <c r="R66" s="65"/>
      <c r="S66" s="69"/>
      <c r="T66" s="49"/>
      <c r="U66" s="22"/>
      <c r="V66" s="35"/>
      <c r="W66" s="36"/>
      <c r="X66" s="37"/>
      <c r="Y66" s="35"/>
      <c r="Z66" s="125"/>
      <c r="AA66" s="119"/>
      <c r="AB66" s="109"/>
      <c r="AC66" s="98"/>
      <c r="AD66" s="42"/>
      <c r="AE66" s="97"/>
      <c r="AF66" s="98"/>
      <c r="AG66" s="109"/>
      <c r="AH66" s="119"/>
      <c r="AI66" s="42"/>
      <c r="AJ66" s="24"/>
      <c r="AK66" s="25"/>
      <c r="AL66" s="24"/>
      <c r="AM66" s="68"/>
      <c r="AP66" s="28"/>
    </row>
    <row r="67" spans="1:42" s="60" customFormat="1" ht="110.25" x14ac:dyDescent="0.25">
      <c r="A67" s="25"/>
      <c r="B67" s="88"/>
      <c r="C67" s="2" t="s">
        <v>105</v>
      </c>
      <c r="D67" s="9" t="s">
        <v>156</v>
      </c>
      <c r="E67" s="69" t="s">
        <v>184</v>
      </c>
      <c r="F67" s="65" t="s">
        <v>179</v>
      </c>
      <c r="G67" s="69">
        <v>211488900</v>
      </c>
      <c r="H67" s="69"/>
      <c r="I67" s="65"/>
      <c r="J67" s="69"/>
      <c r="K67" s="69">
        <v>11</v>
      </c>
      <c r="L67" s="65" t="s">
        <v>179</v>
      </c>
      <c r="M67" s="69">
        <v>448726100</v>
      </c>
      <c r="N67" s="69">
        <v>0</v>
      </c>
      <c r="O67" s="65" t="s">
        <v>179</v>
      </c>
      <c r="P67" s="35"/>
      <c r="Q67" s="69">
        <v>6</v>
      </c>
      <c r="R67" s="65" t="s">
        <v>179</v>
      </c>
      <c r="S67" s="69">
        <v>35537500</v>
      </c>
      <c r="T67" s="49"/>
      <c r="U67" s="22"/>
      <c r="V67" s="35"/>
      <c r="W67" s="36"/>
      <c r="X67" s="37"/>
      <c r="Y67" s="35"/>
      <c r="Z67" s="125">
        <f t="shared" si="1"/>
        <v>6</v>
      </c>
      <c r="AA67" s="119" t="str">
        <f t="shared" si="3"/>
        <v>Kec</v>
      </c>
      <c r="AB67" s="109">
        <f t="shared" si="4"/>
        <v>54.54545454545454</v>
      </c>
      <c r="AC67" s="98" t="s">
        <v>80</v>
      </c>
      <c r="AD67" s="42"/>
      <c r="AE67" s="97"/>
      <c r="AF67" s="98"/>
      <c r="AG67" s="109">
        <f t="shared" si="7"/>
        <v>6</v>
      </c>
      <c r="AH67" s="119" t="str">
        <f t="shared" si="8"/>
        <v>Kec</v>
      </c>
      <c r="AI67" s="42"/>
      <c r="AJ67" s="24"/>
      <c r="AK67" s="25" t="s">
        <v>80</v>
      </c>
      <c r="AL67" s="24"/>
      <c r="AM67" s="68"/>
      <c r="AP67" s="28"/>
    </row>
    <row r="68" spans="1:42" s="60" customFormat="1" ht="118.15" customHeight="1" x14ac:dyDescent="0.25">
      <c r="A68" s="25">
        <v>2</v>
      </c>
      <c r="B68" s="88" t="s">
        <v>21</v>
      </c>
      <c r="C68" s="76" t="s">
        <v>106</v>
      </c>
      <c r="D68" s="83" t="s">
        <v>157</v>
      </c>
      <c r="E68" s="67" t="s">
        <v>185</v>
      </c>
      <c r="F68" s="66"/>
      <c r="G68" s="67">
        <f>G69+G73+G77+G83+G88</f>
        <v>40382711564</v>
      </c>
      <c r="H68" s="66"/>
      <c r="I68" s="66"/>
      <c r="J68" s="67"/>
      <c r="K68" s="66">
        <v>86.42</v>
      </c>
      <c r="L68" s="84" t="s">
        <v>209</v>
      </c>
      <c r="M68" s="67">
        <f>M69+M72+M77+M83+M88</f>
        <v>17442540888</v>
      </c>
      <c r="N68" s="66">
        <v>0</v>
      </c>
      <c r="O68" s="66"/>
      <c r="P68" s="29"/>
      <c r="Q68" s="66">
        <v>0</v>
      </c>
      <c r="R68" s="66"/>
      <c r="S68" s="67">
        <f>S69+S72+S77+S83+S88</f>
        <v>11434723928</v>
      </c>
      <c r="T68" s="50"/>
      <c r="U68" s="51"/>
      <c r="V68" s="29"/>
      <c r="W68" s="30"/>
      <c r="X68" s="31"/>
      <c r="Y68" s="29"/>
      <c r="Z68" s="126">
        <f t="shared" si="1"/>
        <v>0</v>
      </c>
      <c r="AA68" s="120" t="str">
        <f t="shared" si="3"/>
        <v>(A)</v>
      </c>
      <c r="AB68" s="114">
        <f t="shared" si="4"/>
        <v>0</v>
      </c>
      <c r="AC68" s="105" t="s">
        <v>80</v>
      </c>
      <c r="AD68" s="92"/>
      <c r="AE68" s="104">
        <f t="shared" si="6"/>
        <v>0</v>
      </c>
      <c r="AF68" s="105"/>
      <c r="AG68" s="114">
        <f t="shared" si="7"/>
        <v>0</v>
      </c>
      <c r="AH68" s="120">
        <f t="shared" si="8"/>
        <v>0</v>
      </c>
      <c r="AI68" s="92"/>
      <c r="AJ68" s="48"/>
      <c r="AK68" s="47" t="s">
        <v>80</v>
      </c>
      <c r="AL68" s="48"/>
      <c r="AM68" s="68"/>
      <c r="AP68" s="28"/>
    </row>
    <row r="69" spans="1:42" s="60" customFormat="1" ht="94.5" x14ac:dyDescent="0.25">
      <c r="A69" s="25"/>
      <c r="B69" s="88"/>
      <c r="C69" s="3" t="s">
        <v>49</v>
      </c>
      <c r="D69" s="85" t="str">
        <f>[1]Cascading!$Y$48</f>
        <v xml:space="preserve">Terpenuhinya dokumen perencanaan dan evaluasi perangkat daerah </v>
      </c>
      <c r="E69" s="81" t="s">
        <v>186</v>
      </c>
      <c r="F69" s="65" t="s">
        <v>80</v>
      </c>
      <c r="G69" s="72">
        <f>SUM(G70:G71)</f>
        <v>18996200</v>
      </c>
      <c r="H69" s="81"/>
      <c r="I69" s="65"/>
      <c r="J69" s="72"/>
      <c r="K69" s="81" t="s">
        <v>173</v>
      </c>
      <c r="L69" s="65" t="s">
        <v>80</v>
      </c>
      <c r="M69" s="72">
        <f>SUM(M70:M71)</f>
        <v>9499050</v>
      </c>
      <c r="N69" s="81" t="s">
        <v>200</v>
      </c>
      <c r="O69" s="65" t="s">
        <v>80</v>
      </c>
      <c r="P69" s="35"/>
      <c r="Q69" s="81" t="s">
        <v>207</v>
      </c>
      <c r="R69" s="65" t="s">
        <v>80</v>
      </c>
      <c r="S69" s="72">
        <f>SUM(S70:S71)</f>
        <v>1299850</v>
      </c>
      <c r="T69" s="49"/>
      <c r="U69" s="22"/>
      <c r="V69" s="35"/>
      <c r="W69" s="36"/>
      <c r="X69" s="37"/>
      <c r="Y69" s="35"/>
      <c r="Z69" s="125">
        <f t="shared" si="1"/>
        <v>0</v>
      </c>
      <c r="AA69" s="119" t="str">
        <f t="shared" si="3"/>
        <v>%</v>
      </c>
      <c r="AB69" s="109">
        <f t="shared" si="4"/>
        <v>0</v>
      </c>
      <c r="AC69" s="98" t="s">
        <v>80</v>
      </c>
      <c r="AD69" s="42"/>
      <c r="AE69" s="97"/>
      <c r="AF69" s="98"/>
      <c r="AG69" s="109">
        <f t="shared" si="7"/>
        <v>0</v>
      </c>
      <c r="AH69" s="119" t="str">
        <f t="shared" si="8"/>
        <v>%</v>
      </c>
      <c r="AI69" s="42"/>
      <c r="AJ69" s="24"/>
      <c r="AK69" s="25" t="s">
        <v>80</v>
      </c>
      <c r="AL69" s="24"/>
      <c r="AM69" s="68"/>
      <c r="AP69" s="28"/>
    </row>
    <row r="70" spans="1:42" s="60" customFormat="1" ht="126" x14ac:dyDescent="0.25">
      <c r="A70" s="25"/>
      <c r="B70" s="88"/>
      <c r="C70" s="2" t="s">
        <v>50</v>
      </c>
      <c r="D70" s="4" t="s">
        <v>158</v>
      </c>
      <c r="E70" s="81" t="s">
        <v>187</v>
      </c>
      <c r="F70" s="65" t="s">
        <v>188</v>
      </c>
      <c r="G70" s="69">
        <v>15996200</v>
      </c>
      <c r="H70" s="81"/>
      <c r="I70" s="65"/>
      <c r="J70" s="69"/>
      <c r="K70" s="81" t="s">
        <v>187</v>
      </c>
      <c r="L70" s="65" t="s">
        <v>188</v>
      </c>
      <c r="M70" s="69">
        <v>7999200</v>
      </c>
      <c r="N70" s="81" t="s">
        <v>202</v>
      </c>
      <c r="O70" s="65" t="s">
        <v>188</v>
      </c>
      <c r="P70" s="35"/>
      <c r="Q70" s="81" t="s">
        <v>187</v>
      </c>
      <c r="R70" s="65" t="s">
        <v>188</v>
      </c>
      <c r="S70" s="69">
        <v>1299850</v>
      </c>
      <c r="T70" s="49"/>
      <c r="U70" s="22"/>
      <c r="V70" s="35"/>
      <c r="W70" s="36"/>
      <c r="X70" s="37"/>
      <c r="Y70" s="35"/>
      <c r="Z70" s="125">
        <f t="shared" si="1"/>
        <v>0</v>
      </c>
      <c r="AA70" s="119" t="str">
        <f t="shared" si="3"/>
        <v>Buah</v>
      </c>
      <c r="AB70" s="109">
        <f t="shared" si="4"/>
        <v>0</v>
      </c>
      <c r="AC70" s="98" t="s">
        <v>80</v>
      </c>
      <c r="AD70" s="42"/>
      <c r="AE70" s="97"/>
      <c r="AF70" s="98"/>
      <c r="AG70" s="109">
        <f t="shared" si="7"/>
        <v>0</v>
      </c>
      <c r="AH70" s="119" t="str">
        <f t="shared" si="8"/>
        <v>Buah</v>
      </c>
      <c r="AI70" s="42"/>
      <c r="AJ70" s="24"/>
      <c r="AK70" s="25" t="s">
        <v>80</v>
      </c>
      <c r="AL70" s="24"/>
      <c r="AM70" s="68"/>
      <c r="AP70" s="28"/>
    </row>
    <row r="71" spans="1:42" s="60" customFormat="1" ht="176.45" customHeight="1" x14ac:dyDescent="0.25">
      <c r="A71" s="25"/>
      <c r="B71" s="88"/>
      <c r="C71" s="2" t="s">
        <v>51</v>
      </c>
      <c r="D71" s="4" t="s">
        <v>159</v>
      </c>
      <c r="E71" s="81" t="s">
        <v>189</v>
      </c>
      <c r="F71" s="65" t="s">
        <v>188</v>
      </c>
      <c r="G71" s="69">
        <v>3000000</v>
      </c>
      <c r="H71" s="81"/>
      <c r="I71" s="65"/>
      <c r="J71" s="69"/>
      <c r="K71" s="81" t="s">
        <v>189</v>
      </c>
      <c r="L71" s="65" t="s">
        <v>188</v>
      </c>
      <c r="M71" s="69">
        <v>1499850</v>
      </c>
      <c r="N71" s="81" t="s">
        <v>202</v>
      </c>
      <c r="O71" s="65" t="s">
        <v>188</v>
      </c>
      <c r="P71" s="35"/>
      <c r="Q71" s="81" t="s">
        <v>189</v>
      </c>
      <c r="R71" s="65" t="s">
        <v>188</v>
      </c>
      <c r="S71" s="69">
        <v>0</v>
      </c>
      <c r="T71" s="36"/>
      <c r="U71" s="37"/>
      <c r="V71" s="35"/>
      <c r="W71" s="36"/>
      <c r="X71" s="37"/>
      <c r="Y71" s="35"/>
      <c r="Z71" s="111">
        <f t="shared" si="1"/>
        <v>0</v>
      </c>
      <c r="AA71" s="121" t="str">
        <f t="shared" si="3"/>
        <v>Buah</v>
      </c>
      <c r="AB71" s="111">
        <f t="shared" si="4"/>
        <v>0</v>
      </c>
      <c r="AC71" s="102" t="s">
        <v>80</v>
      </c>
      <c r="AD71" s="41">
        <f t="shared" si="5"/>
        <v>0</v>
      </c>
      <c r="AE71" s="101">
        <f t="shared" si="6"/>
        <v>0</v>
      </c>
      <c r="AF71" s="102" t="s">
        <v>80</v>
      </c>
      <c r="AG71" s="111">
        <f t="shared" si="7"/>
        <v>0</v>
      </c>
      <c r="AH71" s="121" t="str">
        <f t="shared" si="8"/>
        <v>Buah</v>
      </c>
      <c r="AI71" s="41">
        <f t="shared" si="9"/>
        <v>0</v>
      </c>
      <c r="AJ71" s="40"/>
      <c r="AK71" s="38" t="s">
        <v>80</v>
      </c>
      <c r="AL71" s="40"/>
      <c r="AM71" s="68"/>
      <c r="AP71" s="28"/>
    </row>
    <row r="72" spans="1:42" s="60" customFormat="1" ht="84.75" customHeight="1" x14ac:dyDescent="0.25">
      <c r="A72" s="25"/>
      <c r="B72" s="88"/>
      <c r="C72" s="3" t="s">
        <v>52</v>
      </c>
      <c r="D72" s="6" t="str">
        <f>[1]Cascading!$Y$54</f>
        <v>Tingkat pemenuhan aspek kualitas dokumen Keuangan daerah</v>
      </c>
      <c r="E72" s="80" t="s">
        <v>186</v>
      </c>
      <c r="F72" s="14" t="s">
        <v>80</v>
      </c>
      <c r="G72" s="72">
        <f>G73+G77+G83+G88</f>
        <v>40363715364</v>
      </c>
      <c r="H72" s="80"/>
      <c r="I72" s="14"/>
      <c r="J72" s="72"/>
      <c r="K72" s="80" t="s">
        <v>173</v>
      </c>
      <c r="L72" s="14" t="s">
        <v>80</v>
      </c>
      <c r="M72" s="72">
        <f>SUM(M73:M76)</f>
        <v>16253261197</v>
      </c>
      <c r="N72" s="80" t="s">
        <v>204</v>
      </c>
      <c r="O72" s="14" t="s">
        <v>80</v>
      </c>
      <c r="P72" s="20"/>
      <c r="Q72" s="80" t="s">
        <v>207</v>
      </c>
      <c r="R72" s="14" t="s">
        <v>80</v>
      </c>
      <c r="S72" s="72">
        <f>SUM(S73:S76)</f>
        <v>10981332543</v>
      </c>
      <c r="T72" s="45"/>
      <c r="U72" s="22"/>
      <c r="V72" s="20"/>
      <c r="W72" s="57"/>
      <c r="X72" s="22"/>
      <c r="Y72" s="20"/>
      <c r="Z72" s="115">
        <f t="shared" si="1"/>
        <v>0</v>
      </c>
      <c r="AA72" s="98" t="str">
        <f t="shared" si="3"/>
        <v>%</v>
      </c>
      <c r="AB72" s="109">
        <f t="shared" si="4"/>
        <v>0</v>
      </c>
      <c r="AC72" s="98" t="s">
        <v>80</v>
      </c>
      <c r="AD72" s="42">
        <f t="shared" si="5"/>
        <v>10981332543</v>
      </c>
      <c r="AE72" s="97">
        <f t="shared" si="6"/>
        <v>67.563871704879247</v>
      </c>
      <c r="AF72" s="98" t="s">
        <v>80</v>
      </c>
      <c r="AG72" s="115">
        <f t="shared" si="7"/>
        <v>0</v>
      </c>
      <c r="AH72" s="98" t="str">
        <f t="shared" si="8"/>
        <v>%</v>
      </c>
      <c r="AI72" s="42">
        <f t="shared" si="9"/>
        <v>10981332543</v>
      </c>
      <c r="AJ72" s="24"/>
      <c r="AK72" s="25" t="s">
        <v>80</v>
      </c>
      <c r="AL72" s="24"/>
      <c r="AM72" s="68"/>
      <c r="AP72" s="28"/>
    </row>
    <row r="73" spans="1:42" s="60" customFormat="1" ht="63" x14ac:dyDescent="0.25">
      <c r="A73" s="25"/>
      <c r="B73" s="88"/>
      <c r="C73" s="2" t="s">
        <v>53</v>
      </c>
      <c r="D73" s="12" t="s">
        <v>160</v>
      </c>
      <c r="E73" s="69" t="s">
        <v>190</v>
      </c>
      <c r="F73" s="65" t="s">
        <v>191</v>
      </c>
      <c r="G73" s="69">
        <v>38006374264</v>
      </c>
      <c r="H73" s="69"/>
      <c r="I73" s="65"/>
      <c r="J73" s="69"/>
      <c r="K73" s="69">
        <v>12</v>
      </c>
      <c r="L73" s="65" t="s">
        <v>191</v>
      </c>
      <c r="M73" s="69">
        <v>16248261897</v>
      </c>
      <c r="N73" s="69">
        <v>3</v>
      </c>
      <c r="O73" s="65" t="s">
        <v>191</v>
      </c>
      <c r="P73" s="35">
        <v>2740674486</v>
      </c>
      <c r="Q73" s="69">
        <v>6</v>
      </c>
      <c r="R73" s="65" t="s">
        <v>191</v>
      </c>
      <c r="S73" s="69">
        <v>10980982543</v>
      </c>
      <c r="T73" s="45"/>
      <c r="U73" s="22"/>
      <c r="V73" s="20"/>
      <c r="W73" s="45"/>
      <c r="X73" s="22"/>
      <c r="Y73" s="35"/>
      <c r="Z73" s="115">
        <f t="shared" si="1"/>
        <v>9</v>
      </c>
      <c r="AA73" s="98" t="str">
        <f t="shared" si="3"/>
        <v>bulan</v>
      </c>
      <c r="AB73" s="109">
        <f t="shared" si="4"/>
        <v>75</v>
      </c>
      <c r="AC73" s="98" t="s">
        <v>80</v>
      </c>
      <c r="AD73" s="42">
        <f t="shared" si="5"/>
        <v>13721657029</v>
      </c>
      <c r="AE73" s="97">
        <f t="shared" si="6"/>
        <v>84.449999119804318</v>
      </c>
      <c r="AF73" s="98" t="s">
        <v>80</v>
      </c>
      <c r="AG73" s="115">
        <f t="shared" si="7"/>
        <v>9</v>
      </c>
      <c r="AH73" s="98" t="str">
        <f t="shared" si="8"/>
        <v>bulan</v>
      </c>
      <c r="AI73" s="42">
        <f t="shared" si="9"/>
        <v>13721657029</v>
      </c>
      <c r="AJ73" s="24"/>
      <c r="AK73" s="25" t="s">
        <v>80</v>
      </c>
      <c r="AL73" s="24"/>
      <c r="AM73" s="68"/>
      <c r="AP73" s="28"/>
    </row>
    <row r="74" spans="1:42" s="60" customFormat="1" ht="95.25" customHeight="1" x14ac:dyDescent="0.25">
      <c r="A74" s="25"/>
      <c r="B74" s="88"/>
      <c r="C74" s="2" t="s">
        <v>54</v>
      </c>
      <c r="D74" s="12" t="s">
        <v>161</v>
      </c>
      <c r="E74" s="69" t="s">
        <v>190</v>
      </c>
      <c r="F74" s="65" t="s">
        <v>191</v>
      </c>
      <c r="G74" s="69">
        <v>4600000</v>
      </c>
      <c r="H74" s="69"/>
      <c r="I74" s="65"/>
      <c r="J74" s="69"/>
      <c r="K74" s="69">
        <v>12</v>
      </c>
      <c r="L74" s="65" t="s">
        <v>191</v>
      </c>
      <c r="M74" s="69">
        <v>1999700</v>
      </c>
      <c r="N74" s="69">
        <v>3</v>
      </c>
      <c r="O74" s="65" t="s">
        <v>191</v>
      </c>
      <c r="P74" s="35"/>
      <c r="Q74" s="69">
        <v>6</v>
      </c>
      <c r="R74" s="65" t="s">
        <v>191</v>
      </c>
      <c r="S74" s="69">
        <v>0</v>
      </c>
      <c r="T74" s="45"/>
      <c r="U74" s="22"/>
      <c r="V74" s="35"/>
      <c r="W74" s="45"/>
      <c r="X74" s="22"/>
      <c r="Y74" s="35"/>
      <c r="Z74" s="117">
        <f t="shared" si="1"/>
        <v>9</v>
      </c>
      <c r="AA74" s="102" t="str">
        <f t="shared" si="3"/>
        <v>bulan</v>
      </c>
      <c r="AB74" s="111">
        <f t="shared" si="4"/>
        <v>75</v>
      </c>
      <c r="AC74" s="102" t="s">
        <v>80</v>
      </c>
      <c r="AD74" s="41">
        <f t="shared" si="5"/>
        <v>0</v>
      </c>
      <c r="AE74" s="101">
        <f t="shared" si="6"/>
        <v>0</v>
      </c>
      <c r="AF74" s="102" t="s">
        <v>80</v>
      </c>
      <c r="AG74" s="117">
        <f t="shared" si="7"/>
        <v>9</v>
      </c>
      <c r="AH74" s="102" t="str">
        <f t="shared" si="8"/>
        <v>bulan</v>
      </c>
      <c r="AI74" s="41">
        <f t="shared" si="9"/>
        <v>0</v>
      </c>
      <c r="AJ74" s="40"/>
      <c r="AK74" s="38" t="s">
        <v>80</v>
      </c>
      <c r="AL74" s="40"/>
      <c r="AM74" s="68"/>
      <c r="AP74" s="28"/>
    </row>
    <row r="75" spans="1:42" s="60" customFormat="1" ht="93.6" customHeight="1" x14ac:dyDescent="0.25">
      <c r="A75" s="25"/>
      <c r="B75" s="88"/>
      <c r="C75" s="2" t="s">
        <v>55</v>
      </c>
      <c r="D75" s="12" t="s">
        <v>162</v>
      </c>
      <c r="E75" s="69" t="s">
        <v>190</v>
      </c>
      <c r="F75" s="65" t="s">
        <v>191</v>
      </c>
      <c r="G75" s="69">
        <v>3400000</v>
      </c>
      <c r="H75" s="69"/>
      <c r="I75" s="65"/>
      <c r="J75" s="69"/>
      <c r="K75" s="69">
        <v>12</v>
      </c>
      <c r="L75" s="65" t="s">
        <v>191</v>
      </c>
      <c r="M75" s="69">
        <v>1499800</v>
      </c>
      <c r="N75" s="69">
        <v>3</v>
      </c>
      <c r="O75" s="65" t="s">
        <v>191</v>
      </c>
      <c r="P75" s="20"/>
      <c r="Q75" s="69">
        <v>6</v>
      </c>
      <c r="R75" s="65" t="s">
        <v>191</v>
      </c>
      <c r="S75" s="69">
        <v>350000</v>
      </c>
      <c r="T75" s="45"/>
      <c r="U75" s="22"/>
      <c r="V75" s="20"/>
      <c r="W75" s="45"/>
      <c r="X75" s="22"/>
      <c r="Y75" s="35"/>
      <c r="Z75" s="115">
        <f t="shared" si="1"/>
        <v>9</v>
      </c>
      <c r="AA75" s="98" t="str">
        <f t="shared" si="3"/>
        <v>bulan</v>
      </c>
      <c r="AB75" s="109">
        <f t="shared" si="4"/>
        <v>75</v>
      </c>
      <c r="AC75" s="98" t="s">
        <v>80</v>
      </c>
      <c r="AD75" s="42">
        <f t="shared" si="5"/>
        <v>350000</v>
      </c>
      <c r="AE75" s="97">
        <f t="shared" si="6"/>
        <v>23.336444859314575</v>
      </c>
      <c r="AF75" s="98" t="s">
        <v>80</v>
      </c>
      <c r="AG75" s="115">
        <f t="shared" si="7"/>
        <v>9</v>
      </c>
      <c r="AH75" s="98" t="str">
        <f t="shared" si="8"/>
        <v>bulan</v>
      </c>
      <c r="AI75" s="42">
        <f t="shared" si="9"/>
        <v>350000</v>
      </c>
      <c r="AJ75" s="24"/>
      <c r="AK75" s="25" t="s">
        <v>80</v>
      </c>
      <c r="AL75" s="24"/>
      <c r="AM75" s="68"/>
      <c r="AP75" s="28"/>
    </row>
    <row r="76" spans="1:42" s="60" customFormat="1" ht="78.75" customHeight="1" x14ac:dyDescent="0.25">
      <c r="A76" s="25"/>
      <c r="B76" s="88"/>
      <c r="C76" s="2" t="s">
        <v>107</v>
      </c>
      <c r="D76" s="12" t="s">
        <v>161</v>
      </c>
      <c r="E76" s="69" t="s">
        <v>192</v>
      </c>
      <c r="F76" s="65" t="s">
        <v>191</v>
      </c>
      <c r="G76" s="69">
        <v>3400000</v>
      </c>
      <c r="H76" s="69"/>
      <c r="I76" s="65"/>
      <c r="J76" s="69"/>
      <c r="K76" s="69">
        <v>2</v>
      </c>
      <c r="L76" s="65" t="s">
        <v>191</v>
      </c>
      <c r="M76" s="69">
        <v>1499800</v>
      </c>
      <c r="N76" s="69">
        <v>3</v>
      </c>
      <c r="O76" s="65" t="s">
        <v>191</v>
      </c>
      <c r="P76" s="35"/>
      <c r="Q76" s="69">
        <v>1</v>
      </c>
      <c r="R76" s="65" t="s">
        <v>191</v>
      </c>
      <c r="S76" s="69">
        <v>0</v>
      </c>
      <c r="T76" s="36"/>
      <c r="U76" s="37"/>
      <c r="V76" s="35"/>
      <c r="W76" s="36"/>
      <c r="X76" s="37"/>
      <c r="Y76" s="35"/>
      <c r="Z76" s="111">
        <f t="shared" si="1"/>
        <v>4</v>
      </c>
      <c r="AA76" s="102" t="str">
        <f t="shared" si="3"/>
        <v>bulan</v>
      </c>
      <c r="AB76" s="111">
        <f t="shared" si="4"/>
        <v>200</v>
      </c>
      <c r="AC76" s="102" t="s">
        <v>80</v>
      </c>
      <c r="AD76" s="41">
        <f t="shared" si="5"/>
        <v>0</v>
      </c>
      <c r="AE76" s="101">
        <f t="shared" si="6"/>
        <v>0</v>
      </c>
      <c r="AF76" s="102" t="s">
        <v>80</v>
      </c>
      <c r="AG76" s="111">
        <f t="shared" si="7"/>
        <v>4</v>
      </c>
      <c r="AH76" s="102" t="str">
        <f t="shared" si="8"/>
        <v>bulan</v>
      </c>
      <c r="AI76" s="41">
        <f t="shared" si="9"/>
        <v>0</v>
      </c>
      <c r="AJ76" s="40"/>
      <c r="AK76" s="38" t="s">
        <v>80</v>
      </c>
      <c r="AL76" s="40"/>
      <c r="AM76" s="68"/>
      <c r="AP76" s="28"/>
    </row>
    <row r="77" spans="1:42" s="60" customFormat="1" ht="78.75" customHeight="1" x14ac:dyDescent="0.25">
      <c r="A77" s="25"/>
      <c r="B77" s="88"/>
      <c r="C77" s="3" t="s">
        <v>56</v>
      </c>
      <c r="D77" s="70" t="str">
        <f>[1]Cascading!$Y$58</f>
        <v>Indeks Kepuasan Layanan</v>
      </c>
      <c r="E77" s="80" t="s">
        <v>186</v>
      </c>
      <c r="F77" s="14" t="s">
        <v>80</v>
      </c>
      <c r="G77" s="72">
        <f>SUM(G78:G82)</f>
        <v>709914100</v>
      </c>
      <c r="H77" s="80"/>
      <c r="I77" s="14"/>
      <c r="J77" s="72"/>
      <c r="K77" s="80" t="s">
        <v>173</v>
      </c>
      <c r="L77" s="14" t="s">
        <v>80</v>
      </c>
      <c r="M77" s="72">
        <f>SUM(M78:M82)</f>
        <v>375405350</v>
      </c>
      <c r="N77" s="80" t="s">
        <v>204</v>
      </c>
      <c r="O77" s="14" t="s">
        <v>80</v>
      </c>
      <c r="P77" s="35"/>
      <c r="Q77" s="80" t="s">
        <v>202</v>
      </c>
      <c r="R77" s="14" t="s">
        <v>80</v>
      </c>
      <c r="S77" s="72">
        <f>SUM(S78:S82)</f>
        <v>103666000</v>
      </c>
      <c r="T77" s="36"/>
      <c r="U77" s="37"/>
      <c r="V77" s="35"/>
      <c r="W77" s="36"/>
      <c r="X77" s="37"/>
      <c r="Y77" s="35"/>
      <c r="Z77" s="111">
        <f t="shared" si="1"/>
        <v>0</v>
      </c>
      <c r="AA77" s="102" t="str">
        <f t="shared" si="3"/>
        <v>%</v>
      </c>
      <c r="AB77" s="111">
        <f t="shared" si="4"/>
        <v>0</v>
      </c>
      <c r="AC77" s="102" t="s">
        <v>80</v>
      </c>
      <c r="AD77" s="41">
        <f t="shared" si="5"/>
        <v>103666000</v>
      </c>
      <c r="AE77" s="101">
        <f t="shared" si="6"/>
        <v>27.614417322502199</v>
      </c>
      <c r="AF77" s="102" t="s">
        <v>80</v>
      </c>
      <c r="AG77" s="111">
        <f t="shared" si="7"/>
        <v>0</v>
      </c>
      <c r="AH77" s="102" t="str">
        <f t="shared" si="8"/>
        <v>%</v>
      </c>
      <c r="AI77" s="41">
        <f t="shared" si="9"/>
        <v>103666000</v>
      </c>
      <c r="AJ77" s="40"/>
      <c r="AK77" s="38" t="s">
        <v>80</v>
      </c>
      <c r="AL77" s="40"/>
      <c r="AM77" s="68"/>
      <c r="AP77" s="28"/>
    </row>
    <row r="78" spans="1:42" s="60" customFormat="1" ht="112.5" customHeight="1" x14ac:dyDescent="0.25">
      <c r="A78" s="25"/>
      <c r="B78" s="88"/>
      <c r="C78" s="2" t="s">
        <v>108</v>
      </c>
      <c r="D78" s="2" t="s">
        <v>163</v>
      </c>
      <c r="E78" s="69" t="s">
        <v>190</v>
      </c>
      <c r="F78" s="65" t="s">
        <v>191</v>
      </c>
      <c r="G78" s="69">
        <v>21923200</v>
      </c>
      <c r="H78" s="69"/>
      <c r="I78" s="65"/>
      <c r="J78" s="69"/>
      <c r="K78" s="69">
        <v>12</v>
      </c>
      <c r="L78" s="65" t="s">
        <v>191</v>
      </c>
      <c r="M78" s="69">
        <v>11168100</v>
      </c>
      <c r="N78" s="69">
        <v>3</v>
      </c>
      <c r="O78" s="65" t="s">
        <v>191</v>
      </c>
      <c r="P78" s="35"/>
      <c r="Q78" s="69">
        <v>6</v>
      </c>
      <c r="R78" s="65" t="s">
        <v>191</v>
      </c>
      <c r="S78" s="69">
        <v>0</v>
      </c>
      <c r="T78" s="36"/>
      <c r="U78" s="37"/>
      <c r="V78" s="35"/>
      <c r="W78" s="36"/>
      <c r="X78" s="37"/>
      <c r="Y78" s="35"/>
      <c r="Z78" s="111">
        <f t="shared" si="1"/>
        <v>9</v>
      </c>
      <c r="AA78" s="102" t="str">
        <f t="shared" si="3"/>
        <v>bulan</v>
      </c>
      <c r="AB78" s="111">
        <f t="shared" si="4"/>
        <v>75</v>
      </c>
      <c r="AC78" s="102" t="s">
        <v>80</v>
      </c>
      <c r="AD78" s="41">
        <f t="shared" si="5"/>
        <v>0</v>
      </c>
      <c r="AE78" s="101">
        <f t="shared" si="6"/>
        <v>0</v>
      </c>
      <c r="AF78" s="102" t="s">
        <v>80</v>
      </c>
      <c r="AG78" s="111">
        <f t="shared" si="7"/>
        <v>9</v>
      </c>
      <c r="AH78" s="102" t="str">
        <f t="shared" si="8"/>
        <v>bulan</v>
      </c>
      <c r="AI78" s="41">
        <f t="shared" si="9"/>
        <v>0</v>
      </c>
      <c r="AJ78" s="40"/>
      <c r="AK78" s="38" t="s">
        <v>80</v>
      </c>
      <c r="AL78" s="40"/>
      <c r="AM78" s="68"/>
      <c r="AP78" s="28"/>
    </row>
    <row r="79" spans="1:42" s="60" customFormat="1" ht="141.75" x14ac:dyDescent="0.25">
      <c r="A79" s="25"/>
      <c r="B79" s="88"/>
      <c r="C79" s="2" t="s">
        <v>109</v>
      </c>
      <c r="D79" s="2" t="s">
        <v>163</v>
      </c>
      <c r="E79" s="69" t="s">
        <v>190</v>
      </c>
      <c r="F79" s="65" t="s">
        <v>191</v>
      </c>
      <c r="G79" s="69">
        <v>132465900</v>
      </c>
      <c r="H79" s="69"/>
      <c r="I79" s="65"/>
      <c r="J79" s="69"/>
      <c r="K79" s="69">
        <v>12</v>
      </c>
      <c r="L79" s="65" t="s">
        <v>191</v>
      </c>
      <c r="M79" s="69">
        <v>104795750</v>
      </c>
      <c r="N79" s="69">
        <v>3</v>
      </c>
      <c r="O79" s="65" t="s">
        <v>191</v>
      </c>
      <c r="P79" s="35"/>
      <c r="Q79" s="69">
        <v>6</v>
      </c>
      <c r="R79" s="65" t="s">
        <v>191</v>
      </c>
      <c r="S79" s="69">
        <v>0</v>
      </c>
      <c r="T79" s="36"/>
      <c r="U79" s="37"/>
      <c r="V79" s="35"/>
      <c r="W79" s="36"/>
      <c r="X79" s="37"/>
      <c r="Y79" s="35"/>
      <c r="Z79" s="111">
        <f t="shared" ref="Z79:Z90" si="17">SUM(N79,Q79,T79,W79)</f>
        <v>9</v>
      </c>
      <c r="AA79" s="102" t="str">
        <f t="shared" si="3"/>
        <v>bulan</v>
      </c>
      <c r="AB79" s="111">
        <f t="shared" si="4"/>
        <v>75</v>
      </c>
      <c r="AC79" s="102" t="s">
        <v>80</v>
      </c>
      <c r="AD79" s="41">
        <f t="shared" si="5"/>
        <v>0</v>
      </c>
      <c r="AE79" s="101">
        <f t="shared" si="6"/>
        <v>0</v>
      </c>
      <c r="AF79" s="102" t="s">
        <v>80</v>
      </c>
      <c r="AG79" s="111">
        <f t="shared" si="7"/>
        <v>9</v>
      </c>
      <c r="AH79" s="102" t="str">
        <f t="shared" si="8"/>
        <v>bulan</v>
      </c>
      <c r="AI79" s="41">
        <f t="shared" si="9"/>
        <v>0</v>
      </c>
      <c r="AJ79" s="40"/>
      <c r="AK79" s="38" t="s">
        <v>80</v>
      </c>
      <c r="AL79" s="40"/>
      <c r="AM79" s="68"/>
      <c r="AP79" s="28"/>
    </row>
    <row r="80" spans="1:42" s="60" customFormat="1" ht="107.45" customHeight="1" x14ac:dyDescent="0.25">
      <c r="A80" s="25"/>
      <c r="B80" s="88"/>
      <c r="C80" s="2" t="s">
        <v>110</v>
      </c>
      <c r="D80" s="2" t="s">
        <v>163</v>
      </c>
      <c r="E80" s="69" t="s">
        <v>190</v>
      </c>
      <c r="F80" s="65" t="s">
        <v>191</v>
      </c>
      <c r="G80" s="69">
        <v>153425000</v>
      </c>
      <c r="H80" s="69"/>
      <c r="I80" s="65"/>
      <c r="J80" s="69"/>
      <c r="K80" s="69">
        <v>12</v>
      </c>
      <c r="L80" s="65" t="s">
        <v>191</v>
      </c>
      <c r="M80" s="69">
        <v>71617500</v>
      </c>
      <c r="N80" s="69">
        <v>3</v>
      </c>
      <c r="O80" s="65" t="s">
        <v>191</v>
      </c>
      <c r="P80" s="20"/>
      <c r="Q80" s="69">
        <v>6</v>
      </c>
      <c r="R80" s="65" t="s">
        <v>191</v>
      </c>
      <c r="S80" s="69">
        <v>0</v>
      </c>
      <c r="T80" s="21"/>
      <c r="U80" s="22"/>
      <c r="V80" s="20"/>
      <c r="W80" s="36"/>
      <c r="X80" s="37"/>
      <c r="Y80" s="35"/>
      <c r="Z80" s="109">
        <f t="shared" si="17"/>
        <v>9</v>
      </c>
      <c r="AA80" s="98" t="str">
        <f t="shared" si="3"/>
        <v>bulan</v>
      </c>
      <c r="AB80" s="109">
        <f t="shared" si="4"/>
        <v>75</v>
      </c>
      <c r="AC80" s="98" t="s">
        <v>80</v>
      </c>
      <c r="AD80" s="42">
        <f t="shared" si="5"/>
        <v>0</v>
      </c>
      <c r="AE80" s="97">
        <f t="shared" si="6"/>
        <v>0</v>
      </c>
      <c r="AF80" s="98" t="s">
        <v>80</v>
      </c>
      <c r="AG80" s="109">
        <f t="shared" si="7"/>
        <v>9</v>
      </c>
      <c r="AH80" s="98" t="str">
        <f t="shared" si="8"/>
        <v>bulan</v>
      </c>
      <c r="AI80" s="42">
        <f t="shared" si="9"/>
        <v>0</v>
      </c>
      <c r="AJ80" s="24"/>
      <c r="AK80" s="25" t="s">
        <v>80</v>
      </c>
      <c r="AL80" s="24"/>
      <c r="AM80" s="68"/>
      <c r="AP80" s="28"/>
    </row>
    <row r="81" spans="1:42" s="60" customFormat="1" ht="108.6" customHeight="1" x14ac:dyDescent="0.25">
      <c r="A81" s="25"/>
      <c r="B81" s="88"/>
      <c r="C81" s="2" t="s">
        <v>57</v>
      </c>
      <c r="D81" s="2" t="s">
        <v>163</v>
      </c>
      <c r="E81" s="69" t="s">
        <v>190</v>
      </c>
      <c r="F81" s="65" t="s">
        <v>191</v>
      </c>
      <c r="G81" s="69">
        <v>12100000</v>
      </c>
      <c r="H81" s="69"/>
      <c r="I81" s="65"/>
      <c r="J81" s="69"/>
      <c r="K81" s="69">
        <v>12</v>
      </c>
      <c r="L81" s="65" t="s">
        <v>191</v>
      </c>
      <c r="M81" s="69">
        <v>7824000</v>
      </c>
      <c r="N81" s="69">
        <v>3</v>
      </c>
      <c r="O81" s="65" t="s">
        <v>191</v>
      </c>
      <c r="P81" s="20"/>
      <c r="Q81" s="69">
        <v>6</v>
      </c>
      <c r="R81" s="65" t="s">
        <v>191</v>
      </c>
      <c r="S81" s="69">
        <v>1460000</v>
      </c>
      <c r="T81" s="21"/>
      <c r="U81" s="22"/>
      <c r="V81" s="20"/>
      <c r="W81" s="36"/>
      <c r="X81" s="37"/>
      <c r="Y81" s="35"/>
      <c r="Z81" s="109">
        <f t="shared" si="17"/>
        <v>9</v>
      </c>
      <c r="AA81" s="98" t="str">
        <f t="shared" si="3"/>
        <v>bulan</v>
      </c>
      <c r="AB81" s="109">
        <f t="shared" si="4"/>
        <v>75</v>
      </c>
      <c r="AC81" s="98" t="s">
        <v>80</v>
      </c>
      <c r="AD81" s="42">
        <f t="shared" si="5"/>
        <v>1460000</v>
      </c>
      <c r="AE81" s="97">
        <f t="shared" si="6"/>
        <v>18.660531697341511</v>
      </c>
      <c r="AF81" s="98" t="s">
        <v>80</v>
      </c>
      <c r="AG81" s="109">
        <f t="shared" si="7"/>
        <v>9</v>
      </c>
      <c r="AH81" s="98" t="str">
        <f t="shared" si="8"/>
        <v>bulan</v>
      </c>
      <c r="AI81" s="42">
        <f t="shared" si="9"/>
        <v>1460000</v>
      </c>
      <c r="AJ81" s="24"/>
      <c r="AK81" s="25" t="s">
        <v>80</v>
      </c>
      <c r="AL81" s="24"/>
      <c r="AM81" s="68"/>
      <c r="AP81" s="28"/>
    </row>
    <row r="82" spans="1:42" s="60" customFormat="1" ht="94.5" customHeight="1" x14ac:dyDescent="0.25">
      <c r="A82" s="25"/>
      <c r="B82" s="88"/>
      <c r="C82" s="2" t="s">
        <v>58</v>
      </c>
      <c r="D82" s="2" t="s">
        <v>163</v>
      </c>
      <c r="E82" s="69" t="s">
        <v>190</v>
      </c>
      <c r="F82" s="65" t="s">
        <v>191</v>
      </c>
      <c r="G82" s="69">
        <v>390000000</v>
      </c>
      <c r="H82" s="69"/>
      <c r="I82" s="65"/>
      <c r="J82" s="69"/>
      <c r="K82" s="69">
        <v>12</v>
      </c>
      <c r="L82" s="65" t="s">
        <v>191</v>
      </c>
      <c r="M82" s="69">
        <v>180000000</v>
      </c>
      <c r="N82" s="69">
        <v>3</v>
      </c>
      <c r="O82" s="65" t="s">
        <v>191</v>
      </c>
      <c r="P82" s="35">
        <v>35135800</v>
      </c>
      <c r="Q82" s="69">
        <v>6</v>
      </c>
      <c r="R82" s="65" t="s">
        <v>191</v>
      </c>
      <c r="S82" s="69">
        <v>102206000</v>
      </c>
      <c r="T82" s="36"/>
      <c r="U82" s="37"/>
      <c r="V82" s="35"/>
      <c r="W82" s="58"/>
      <c r="X82" s="37"/>
      <c r="Y82" s="35"/>
      <c r="Z82" s="117">
        <f t="shared" si="17"/>
        <v>9</v>
      </c>
      <c r="AA82" s="102" t="str">
        <f t="shared" si="3"/>
        <v>bulan</v>
      </c>
      <c r="AB82" s="111">
        <f t="shared" si="4"/>
        <v>75</v>
      </c>
      <c r="AC82" s="102" t="s">
        <v>80</v>
      </c>
      <c r="AD82" s="41">
        <f t="shared" si="5"/>
        <v>137341800</v>
      </c>
      <c r="AE82" s="101">
        <f t="shared" si="6"/>
        <v>76.301000000000002</v>
      </c>
      <c r="AF82" s="102" t="s">
        <v>80</v>
      </c>
      <c r="AG82" s="111">
        <f t="shared" si="7"/>
        <v>9</v>
      </c>
      <c r="AH82" s="102" t="str">
        <f t="shared" si="8"/>
        <v>bulan</v>
      </c>
      <c r="AI82" s="41">
        <f t="shared" si="9"/>
        <v>137341800</v>
      </c>
      <c r="AJ82" s="40"/>
      <c r="AK82" s="38" t="s">
        <v>80</v>
      </c>
      <c r="AL82" s="40"/>
      <c r="AM82" s="68"/>
      <c r="AP82" s="28"/>
    </row>
    <row r="83" spans="1:42" s="60" customFormat="1" ht="66" customHeight="1" x14ac:dyDescent="0.25">
      <c r="A83" s="25"/>
      <c r="B83" s="88"/>
      <c r="C83" s="3" t="s">
        <v>59</v>
      </c>
      <c r="D83" s="70" t="str">
        <f>[1]Cascading!$Y$63</f>
        <v>Persentase kesesuaian penyediaan jasa</v>
      </c>
      <c r="E83" s="72" t="s">
        <v>190</v>
      </c>
      <c r="F83" s="65" t="s">
        <v>191</v>
      </c>
      <c r="G83" s="72">
        <f>SUM(G84:G87)</f>
        <v>1208339000</v>
      </c>
      <c r="H83" s="72"/>
      <c r="I83" s="65"/>
      <c r="J83" s="72"/>
      <c r="K83" s="72">
        <v>12</v>
      </c>
      <c r="L83" s="65" t="s">
        <v>191</v>
      </c>
      <c r="M83" s="72">
        <f>SUM(M84:M87)</f>
        <v>601546191</v>
      </c>
      <c r="N83" s="72">
        <v>3</v>
      </c>
      <c r="O83" s="65" t="s">
        <v>191</v>
      </c>
      <c r="P83" s="35"/>
      <c r="Q83" s="72">
        <v>6</v>
      </c>
      <c r="R83" s="65" t="s">
        <v>191</v>
      </c>
      <c r="S83" s="72">
        <f>SUM(S84:S87)</f>
        <v>321895015</v>
      </c>
      <c r="T83" s="36"/>
      <c r="U83" s="37"/>
      <c r="V83" s="35"/>
      <c r="W83" s="36"/>
      <c r="X83" s="37"/>
      <c r="Y83" s="35"/>
      <c r="Z83" s="111">
        <f t="shared" si="17"/>
        <v>9</v>
      </c>
      <c r="AA83" s="102" t="str">
        <f t="shared" si="3"/>
        <v>bulan</v>
      </c>
      <c r="AB83" s="111">
        <f t="shared" si="4"/>
        <v>75</v>
      </c>
      <c r="AC83" s="102" t="s">
        <v>80</v>
      </c>
      <c r="AD83" s="41">
        <f t="shared" si="5"/>
        <v>321895015</v>
      </c>
      <c r="AE83" s="101">
        <f t="shared" si="6"/>
        <v>53.511271422878984</v>
      </c>
      <c r="AF83" s="102" t="s">
        <v>80</v>
      </c>
      <c r="AG83" s="111">
        <f t="shared" si="7"/>
        <v>9</v>
      </c>
      <c r="AH83" s="102" t="str">
        <f t="shared" si="8"/>
        <v>bulan</v>
      </c>
      <c r="AI83" s="41">
        <f t="shared" si="9"/>
        <v>321895015</v>
      </c>
      <c r="AJ83" s="40"/>
      <c r="AK83" s="38" t="s">
        <v>80</v>
      </c>
      <c r="AL83" s="40"/>
      <c r="AM83" s="68"/>
      <c r="AP83" s="28"/>
    </row>
    <row r="84" spans="1:42" s="60" customFormat="1" ht="50.45" customHeight="1" x14ac:dyDescent="0.25">
      <c r="A84" s="25"/>
      <c r="B84" s="88"/>
      <c r="C84" s="2" t="s">
        <v>111</v>
      </c>
      <c r="D84" s="2" t="str">
        <f>[1]Cascading!$Y$63</f>
        <v>Persentase kesesuaian penyediaan jasa</v>
      </c>
      <c r="E84" s="69" t="s">
        <v>190</v>
      </c>
      <c r="F84" s="65" t="s">
        <v>191</v>
      </c>
      <c r="G84" s="69">
        <v>1400000</v>
      </c>
      <c r="H84" s="69"/>
      <c r="I84" s="65"/>
      <c r="J84" s="69"/>
      <c r="K84" s="69">
        <v>12</v>
      </c>
      <c r="L84" s="65" t="s">
        <v>191</v>
      </c>
      <c r="M84" s="69">
        <v>750000</v>
      </c>
      <c r="N84" s="69">
        <v>3</v>
      </c>
      <c r="O84" s="65" t="s">
        <v>191</v>
      </c>
      <c r="P84" s="20"/>
      <c r="Q84" s="69">
        <v>6</v>
      </c>
      <c r="R84" s="65" t="s">
        <v>191</v>
      </c>
      <c r="S84" s="69">
        <v>0</v>
      </c>
      <c r="T84" s="21"/>
      <c r="U84" s="22"/>
      <c r="V84" s="20"/>
      <c r="W84" s="36"/>
      <c r="X84" s="37"/>
      <c r="Y84" s="35"/>
      <c r="Z84" s="109">
        <f t="shared" si="17"/>
        <v>9</v>
      </c>
      <c r="AA84" s="119" t="str">
        <f t="shared" si="3"/>
        <v>bulan</v>
      </c>
      <c r="AB84" s="109">
        <f t="shared" si="4"/>
        <v>75</v>
      </c>
      <c r="AC84" s="98" t="s">
        <v>80</v>
      </c>
      <c r="AD84" s="42">
        <f t="shared" si="5"/>
        <v>0</v>
      </c>
      <c r="AE84" s="97">
        <f t="shared" si="6"/>
        <v>0</v>
      </c>
      <c r="AF84" s="98" t="s">
        <v>80</v>
      </c>
      <c r="AG84" s="109">
        <f t="shared" si="7"/>
        <v>9</v>
      </c>
      <c r="AH84" s="119" t="str">
        <f t="shared" si="8"/>
        <v>bulan</v>
      </c>
      <c r="AI84" s="42">
        <f t="shared" si="9"/>
        <v>0</v>
      </c>
      <c r="AJ84" s="24"/>
      <c r="AK84" s="25" t="s">
        <v>80</v>
      </c>
      <c r="AL84" s="24"/>
      <c r="AM84" s="68"/>
      <c r="AP84" s="28"/>
    </row>
    <row r="85" spans="1:42" s="60" customFormat="1" ht="55.9" customHeight="1" x14ac:dyDescent="0.25">
      <c r="A85" s="25"/>
      <c r="B85" s="88"/>
      <c r="C85" s="2" t="s">
        <v>60</v>
      </c>
      <c r="D85" s="2" t="str">
        <f>[1]Cascading!$Y$63</f>
        <v>Persentase kesesuaian penyediaan jasa</v>
      </c>
      <c r="E85" s="69" t="s">
        <v>190</v>
      </c>
      <c r="F85" s="65" t="s">
        <v>191</v>
      </c>
      <c r="G85" s="69">
        <v>306000000</v>
      </c>
      <c r="H85" s="69"/>
      <c r="I85" s="65"/>
      <c r="J85" s="69"/>
      <c r="K85" s="69">
        <v>12</v>
      </c>
      <c r="L85" s="65" t="s">
        <v>191</v>
      </c>
      <c r="M85" s="69">
        <v>156500000</v>
      </c>
      <c r="N85" s="69">
        <v>3</v>
      </c>
      <c r="O85" s="65" t="s">
        <v>191</v>
      </c>
      <c r="P85" s="35"/>
      <c r="Q85" s="69">
        <v>6</v>
      </c>
      <c r="R85" s="65" t="s">
        <v>191</v>
      </c>
      <c r="S85" s="69">
        <v>75895015</v>
      </c>
      <c r="T85" s="36"/>
      <c r="U85" s="37"/>
      <c r="V85" s="35"/>
      <c r="W85" s="36"/>
      <c r="X85" s="37"/>
      <c r="Y85" s="35"/>
      <c r="Z85" s="111">
        <f t="shared" si="17"/>
        <v>9</v>
      </c>
      <c r="AA85" s="102" t="str">
        <f t="shared" si="3"/>
        <v>bulan</v>
      </c>
      <c r="AB85" s="111">
        <f t="shared" si="4"/>
        <v>75</v>
      </c>
      <c r="AC85" s="102" t="s">
        <v>80</v>
      </c>
      <c r="AD85" s="41">
        <f t="shared" si="5"/>
        <v>75895015</v>
      </c>
      <c r="AE85" s="101">
        <f t="shared" si="6"/>
        <v>48.495217252396166</v>
      </c>
      <c r="AF85" s="102" t="s">
        <v>80</v>
      </c>
      <c r="AG85" s="111">
        <f t="shared" si="7"/>
        <v>9</v>
      </c>
      <c r="AH85" s="102" t="str">
        <f t="shared" si="8"/>
        <v>bulan</v>
      </c>
      <c r="AI85" s="41">
        <f t="shared" si="9"/>
        <v>75895015</v>
      </c>
      <c r="AJ85" s="40"/>
      <c r="AK85" s="38" t="s">
        <v>80</v>
      </c>
      <c r="AL85" s="40"/>
      <c r="AM85" s="68"/>
      <c r="AP85" s="28"/>
    </row>
    <row r="86" spans="1:42" s="60" customFormat="1" ht="78.75" x14ac:dyDescent="0.25">
      <c r="A86" s="25"/>
      <c r="B86" s="88"/>
      <c r="C86" s="2" t="s">
        <v>112</v>
      </c>
      <c r="D86" s="2" t="str">
        <f>[1]Cascading!$Y$63</f>
        <v>Persentase kesesuaian penyediaan jasa</v>
      </c>
      <c r="E86" s="69" t="s">
        <v>190</v>
      </c>
      <c r="F86" s="65" t="s">
        <v>191</v>
      </c>
      <c r="G86" s="69">
        <v>19355000</v>
      </c>
      <c r="H86" s="69"/>
      <c r="I86" s="65"/>
      <c r="J86" s="69"/>
      <c r="K86" s="69">
        <v>12</v>
      </c>
      <c r="L86" s="65" t="s">
        <v>191</v>
      </c>
      <c r="M86" s="69">
        <v>64174191</v>
      </c>
      <c r="N86" s="69">
        <v>3</v>
      </c>
      <c r="O86" s="65" t="s">
        <v>191</v>
      </c>
      <c r="P86" s="20"/>
      <c r="Q86" s="69">
        <v>6</v>
      </c>
      <c r="R86" s="65" t="s">
        <v>191</v>
      </c>
      <c r="S86" s="69">
        <v>0</v>
      </c>
      <c r="T86" s="59"/>
      <c r="U86" s="22"/>
      <c r="V86" s="20"/>
      <c r="W86" s="36"/>
      <c r="X86" s="37"/>
      <c r="Y86" s="35"/>
      <c r="Z86" s="109">
        <f t="shared" si="17"/>
        <v>9</v>
      </c>
      <c r="AA86" s="98" t="str">
        <f t="shared" si="3"/>
        <v>bulan</v>
      </c>
      <c r="AB86" s="109">
        <f t="shared" si="4"/>
        <v>75</v>
      </c>
      <c r="AC86" s="98" t="s">
        <v>80</v>
      </c>
      <c r="AD86" s="42">
        <f t="shared" si="5"/>
        <v>0</v>
      </c>
      <c r="AE86" s="97">
        <f t="shared" si="6"/>
        <v>0</v>
      </c>
      <c r="AF86" s="98" t="s">
        <v>80</v>
      </c>
      <c r="AG86" s="109">
        <f t="shared" si="7"/>
        <v>9</v>
      </c>
      <c r="AH86" s="98" t="str">
        <f t="shared" si="8"/>
        <v>bulan</v>
      </c>
      <c r="AI86" s="42">
        <f t="shared" si="9"/>
        <v>0</v>
      </c>
      <c r="AJ86" s="24"/>
      <c r="AK86" s="25" t="s">
        <v>80</v>
      </c>
      <c r="AL86" s="24"/>
      <c r="AM86" s="68"/>
      <c r="AP86" s="28"/>
    </row>
    <row r="87" spans="1:42" s="60" customFormat="1" ht="63" x14ac:dyDescent="0.25">
      <c r="A87" s="25"/>
      <c r="B87" s="88"/>
      <c r="C87" s="2" t="s">
        <v>113</v>
      </c>
      <c r="D87" s="2" t="str">
        <f>[1]Cascading!$Y$63</f>
        <v>Persentase kesesuaian penyediaan jasa</v>
      </c>
      <c r="E87" s="69" t="s">
        <v>190</v>
      </c>
      <c r="F87" s="65" t="s">
        <v>191</v>
      </c>
      <c r="G87" s="69">
        <v>881584000</v>
      </c>
      <c r="H87" s="69"/>
      <c r="I87" s="65"/>
      <c r="J87" s="69"/>
      <c r="K87" s="69">
        <v>12</v>
      </c>
      <c r="L87" s="65" t="s">
        <v>191</v>
      </c>
      <c r="M87" s="69">
        <v>380122000</v>
      </c>
      <c r="N87" s="69">
        <v>3</v>
      </c>
      <c r="O87" s="65" t="s">
        <v>191</v>
      </c>
      <c r="P87" s="20"/>
      <c r="Q87" s="69">
        <v>6</v>
      </c>
      <c r="R87" s="65" t="s">
        <v>191</v>
      </c>
      <c r="S87" s="69">
        <v>246000000</v>
      </c>
      <c r="T87" s="21"/>
      <c r="U87" s="37"/>
      <c r="V87" s="20"/>
      <c r="W87" s="36"/>
      <c r="X87" s="37"/>
      <c r="Y87" s="35"/>
      <c r="Z87" s="109">
        <f t="shared" si="17"/>
        <v>9</v>
      </c>
      <c r="AA87" s="98" t="str">
        <f t="shared" si="3"/>
        <v>bulan</v>
      </c>
      <c r="AB87" s="109">
        <f t="shared" si="4"/>
        <v>75</v>
      </c>
      <c r="AC87" s="98" t="s">
        <v>80</v>
      </c>
      <c r="AD87" s="42">
        <f t="shared" si="5"/>
        <v>246000000</v>
      </c>
      <c r="AE87" s="97">
        <f t="shared" si="6"/>
        <v>64.716064842340089</v>
      </c>
      <c r="AF87" s="98" t="s">
        <v>80</v>
      </c>
      <c r="AG87" s="109">
        <f t="shared" si="7"/>
        <v>9</v>
      </c>
      <c r="AH87" s="98" t="str">
        <f t="shared" si="8"/>
        <v>bulan</v>
      </c>
      <c r="AI87" s="42">
        <f t="shared" si="9"/>
        <v>246000000</v>
      </c>
      <c r="AJ87" s="24"/>
      <c r="AK87" s="25" t="s">
        <v>80</v>
      </c>
      <c r="AL87" s="24"/>
      <c r="AM87" s="68"/>
      <c r="AP87" s="28"/>
    </row>
    <row r="88" spans="1:42" s="60" customFormat="1" ht="110.25" x14ac:dyDescent="0.25">
      <c r="A88" s="25"/>
      <c r="B88" s="88"/>
      <c r="C88" s="3" t="s">
        <v>61</v>
      </c>
      <c r="D88" s="70" t="str">
        <f>[1]Cascading!$Y$67</f>
        <v>Persentase Pemeliharaan Barang sesuai kebutuhan</v>
      </c>
      <c r="E88" s="80" t="s">
        <v>186</v>
      </c>
      <c r="F88" s="14"/>
      <c r="G88" s="72">
        <f>SUM(G89:G90)</f>
        <v>439088000</v>
      </c>
      <c r="H88" s="80"/>
      <c r="I88" s="14"/>
      <c r="J88" s="72"/>
      <c r="K88" s="80" t="s">
        <v>186</v>
      </c>
      <c r="L88" s="14"/>
      <c r="M88" s="72">
        <f>SUM(M89:M90)</f>
        <v>202829100</v>
      </c>
      <c r="N88" s="80" t="s">
        <v>200</v>
      </c>
      <c r="O88" s="14" t="s">
        <v>80</v>
      </c>
      <c r="P88" s="35"/>
      <c r="Q88" s="80" t="s">
        <v>207</v>
      </c>
      <c r="R88" s="14" t="s">
        <v>80</v>
      </c>
      <c r="S88" s="72">
        <f>SUM(S89:S90)</f>
        <v>26530520</v>
      </c>
      <c r="T88" s="53"/>
      <c r="U88" s="37"/>
      <c r="V88" s="35"/>
      <c r="W88" s="36"/>
      <c r="X88" s="37"/>
      <c r="Y88" s="35"/>
      <c r="Z88" s="127">
        <f t="shared" si="17"/>
        <v>0</v>
      </c>
      <c r="AA88" s="121">
        <f t="shared" si="3"/>
        <v>0</v>
      </c>
      <c r="AB88" s="111">
        <f t="shared" si="4"/>
        <v>0</v>
      </c>
      <c r="AC88" s="102" t="s">
        <v>80</v>
      </c>
      <c r="AD88" s="41">
        <f t="shared" si="5"/>
        <v>26530520</v>
      </c>
      <c r="AE88" s="101">
        <f t="shared" si="6"/>
        <v>13.080233556230345</v>
      </c>
      <c r="AF88" s="102" t="s">
        <v>80</v>
      </c>
      <c r="AG88" s="111">
        <f t="shared" si="7"/>
        <v>0</v>
      </c>
      <c r="AH88" s="102" t="str">
        <f t="shared" si="8"/>
        <v>%</v>
      </c>
      <c r="AI88" s="41">
        <f t="shared" si="9"/>
        <v>26530520</v>
      </c>
      <c r="AJ88" s="40"/>
      <c r="AK88" s="38" t="s">
        <v>80</v>
      </c>
      <c r="AL88" s="40"/>
      <c r="AM88" s="68"/>
      <c r="AP88" s="28"/>
    </row>
    <row r="89" spans="1:42" s="60" customFormat="1" ht="110.25" customHeight="1" x14ac:dyDescent="0.25">
      <c r="A89" s="25"/>
      <c r="B89" s="88"/>
      <c r="C89" s="2" t="s">
        <v>114</v>
      </c>
      <c r="D89" s="12" t="s">
        <v>164</v>
      </c>
      <c r="E89" s="69" t="s">
        <v>190</v>
      </c>
      <c r="F89" s="65" t="s">
        <v>191</v>
      </c>
      <c r="G89" s="69">
        <v>390488000</v>
      </c>
      <c r="H89" s="69"/>
      <c r="I89" s="65"/>
      <c r="J89" s="69"/>
      <c r="K89" s="69">
        <v>12</v>
      </c>
      <c r="L89" s="65" t="s">
        <v>191</v>
      </c>
      <c r="M89" s="69">
        <v>178629100</v>
      </c>
      <c r="N89" s="69">
        <v>3</v>
      </c>
      <c r="O89" s="65" t="s">
        <v>191</v>
      </c>
      <c r="P89" s="35"/>
      <c r="Q89" s="69">
        <v>6</v>
      </c>
      <c r="R89" s="65" t="s">
        <v>191</v>
      </c>
      <c r="S89" s="69">
        <v>26530520</v>
      </c>
      <c r="T89" s="36"/>
      <c r="U89" s="37"/>
      <c r="V89" s="35"/>
      <c r="W89" s="36"/>
      <c r="X89" s="37"/>
      <c r="Y89" s="35"/>
      <c r="Z89" s="101">
        <f t="shared" si="17"/>
        <v>9</v>
      </c>
      <c r="AA89" s="102" t="str">
        <f t="shared" si="3"/>
        <v>bulan</v>
      </c>
      <c r="AB89" s="111">
        <f t="shared" si="4"/>
        <v>75</v>
      </c>
      <c r="AC89" s="102" t="s">
        <v>80</v>
      </c>
      <c r="AD89" s="41">
        <f t="shared" si="5"/>
        <v>26530520</v>
      </c>
      <c r="AE89" s="101">
        <f t="shared" si="6"/>
        <v>14.852294502967322</v>
      </c>
      <c r="AF89" s="102" t="s">
        <v>80</v>
      </c>
      <c r="AG89" s="111">
        <f t="shared" si="7"/>
        <v>9</v>
      </c>
      <c r="AH89" s="102" t="str">
        <f t="shared" si="8"/>
        <v>bulan</v>
      </c>
      <c r="AI89" s="41">
        <f t="shared" si="9"/>
        <v>26530520</v>
      </c>
      <c r="AJ89" s="40"/>
      <c r="AK89" s="38" t="s">
        <v>80</v>
      </c>
      <c r="AL89" s="40"/>
      <c r="AM89" s="68"/>
      <c r="AP89" s="28"/>
    </row>
    <row r="90" spans="1:42" s="60" customFormat="1" ht="125.45" customHeight="1" x14ac:dyDescent="0.25">
      <c r="A90" s="25"/>
      <c r="B90" s="88"/>
      <c r="C90" s="2" t="s">
        <v>115</v>
      </c>
      <c r="D90" s="12" t="s">
        <v>164</v>
      </c>
      <c r="E90" s="69" t="s">
        <v>190</v>
      </c>
      <c r="F90" s="65" t="s">
        <v>191</v>
      </c>
      <c r="G90" s="69">
        <v>48600000</v>
      </c>
      <c r="H90" s="69"/>
      <c r="I90" s="65"/>
      <c r="J90" s="69"/>
      <c r="K90" s="69">
        <v>12</v>
      </c>
      <c r="L90" s="65" t="s">
        <v>191</v>
      </c>
      <c r="M90" s="69">
        <v>24200000</v>
      </c>
      <c r="N90" s="69">
        <v>3</v>
      </c>
      <c r="O90" s="65" t="s">
        <v>191</v>
      </c>
      <c r="P90" s="35"/>
      <c r="Q90" s="69">
        <v>6</v>
      </c>
      <c r="R90" s="65" t="s">
        <v>191</v>
      </c>
      <c r="S90" s="69">
        <v>0</v>
      </c>
      <c r="T90" s="36"/>
      <c r="U90" s="37"/>
      <c r="V90" s="35"/>
      <c r="W90" s="36"/>
      <c r="X90" s="37"/>
      <c r="Y90" s="35"/>
      <c r="Z90" s="111">
        <f t="shared" si="17"/>
        <v>9</v>
      </c>
      <c r="AA90" s="102" t="str">
        <f t="shared" si="3"/>
        <v>bulan</v>
      </c>
      <c r="AB90" s="111">
        <f t="shared" si="4"/>
        <v>75</v>
      </c>
      <c r="AC90" s="102" t="s">
        <v>80</v>
      </c>
      <c r="AD90" s="41">
        <f t="shared" si="5"/>
        <v>0</v>
      </c>
      <c r="AE90" s="101">
        <f t="shared" si="6"/>
        <v>0</v>
      </c>
      <c r="AF90" s="102" t="s">
        <v>80</v>
      </c>
      <c r="AG90" s="111">
        <f t="shared" si="7"/>
        <v>9</v>
      </c>
      <c r="AH90" s="102" t="str">
        <f t="shared" si="8"/>
        <v>bulan</v>
      </c>
      <c r="AI90" s="41">
        <f t="shared" si="9"/>
        <v>0</v>
      </c>
      <c r="AJ90" s="40"/>
      <c r="AK90" s="38" t="s">
        <v>80</v>
      </c>
      <c r="AL90" s="40"/>
      <c r="AM90" s="68"/>
      <c r="AP90" s="28"/>
    </row>
    <row r="91" spans="1:42" s="60" customFormat="1" ht="15.75" x14ac:dyDescent="0.25">
      <c r="A91" s="264" t="s">
        <v>22</v>
      </c>
      <c r="B91" s="264"/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264"/>
      <c r="Z91" s="264"/>
      <c r="AA91" s="264"/>
      <c r="AB91" s="106">
        <f>AVERAGE(AB21,AB35,AB43,AB56,AB59,AB50,AB68)</f>
        <v>24.026178836145718</v>
      </c>
      <c r="AC91" s="107"/>
      <c r="AD91" s="94"/>
      <c r="AE91" s="106">
        <f>AVERAGE(AE21,AE35,AE43,AE56,AE59,AE50,AE68)</f>
        <v>12.923646282604219</v>
      </c>
      <c r="AF91" s="107"/>
      <c r="AG91" s="122"/>
      <c r="AH91" s="107"/>
      <c r="AI91" s="94"/>
      <c r="AJ91" s="94"/>
      <c r="AK91" s="93"/>
      <c r="AL91" s="94"/>
      <c r="AM91" s="68"/>
    </row>
    <row r="92" spans="1:42" s="60" customFormat="1" ht="15.75" x14ac:dyDescent="0.25">
      <c r="A92" s="264" t="s">
        <v>23</v>
      </c>
      <c r="B92" s="264"/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  <c r="P92" s="264"/>
      <c r="Q92" s="264"/>
      <c r="R92" s="264"/>
      <c r="S92" s="264"/>
      <c r="T92" s="264"/>
      <c r="U92" s="264"/>
      <c r="V92" s="264"/>
      <c r="W92" s="264"/>
      <c r="X92" s="264"/>
      <c r="Y92" s="264"/>
      <c r="Z92" s="264"/>
      <c r="AA92" s="264"/>
      <c r="AB92" s="108" t="str">
        <f>IF(AB91&gt;=91,"Sangat Tinggi",IF(AB91&gt;=76,"Tinggi",IF(AB91&gt;=66,"Sedang",IF(AB91&gt;=51,"Rendah",IF(AB91&lt;=50,"Sangat Rendah")))))</f>
        <v>Sangat Rendah</v>
      </c>
      <c r="AC92" s="107"/>
      <c r="AD92" s="95"/>
      <c r="AE92" s="108" t="str">
        <f>IF(AE91&gt;=91,"Sangat Tinggi",IF(AE91&gt;=76,"Tinggi",IF(AE91&gt;=66,"Sedang",IF(AE91&gt;=51,"Rendah",IF(AE91&lt;=50,"Sangat Rendah")))))</f>
        <v>Sangat Rendah</v>
      </c>
      <c r="AF92" s="107"/>
      <c r="AG92" s="123"/>
      <c r="AH92" s="107"/>
      <c r="AI92" s="95"/>
      <c r="AJ92" s="96"/>
      <c r="AK92" s="93"/>
      <c r="AL92" s="95"/>
      <c r="AM92" s="68"/>
    </row>
    <row r="93" spans="1:42" s="60" customFormat="1" ht="15.75" x14ac:dyDescent="0.25">
      <c r="A93" s="263" t="s">
        <v>24</v>
      </c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68"/>
    </row>
    <row r="94" spans="1:42" s="60" customFormat="1" ht="15.75" x14ac:dyDescent="0.25">
      <c r="A94" s="263" t="s">
        <v>25</v>
      </c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3"/>
      <c r="AE94" s="263"/>
      <c r="AF94" s="263"/>
      <c r="AG94" s="263"/>
      <c r="AH94" s="263"/>
      <c r="AI94" s="263"/>
      <c r="AJ94" s="263"/>
      <c r="AK94" s="263"/>
      <c r="AL94" s="263"/>
      <c r="AM94" s="68"/>
    </row>
    <row r="95" spans="1:42" s="60" customFormat="1" ht="15.75" x14ac:dyDescent="0.25">
      <c r="A95" s="263" t="s">
        <v>26</v>
      </c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3"/>
      <c r="AE95" s="263"/>
      <c r="AF95" s="263"/>
      <c r="AG95" s="263"/>
      <c r="AH95" s="263"/>
      <c r="AI95" s="263"/>
      <c r="AJ95" s="263"/>
      <c r="AK95" s="263"/>
      <c r="AL95" s="263"/>
      <c r="AM95" s="68"/>
    </row>
    <row r="96" spans="1:42" s="60" customFormat="1" ht="15.75" x14ac:dyDescent="0.25">
      <c r="A96" s="263" t="s">
        <v>27</v>
      </c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  <c r="AB96" s="263"/>
      <c r="AC96" s="263"/>
      <c r="AD96" s="263"/>
      <c r="AE96" s="263"/>
      <c r="AF96" s="263"/>
      <c r="AG96" s="263"/>
      <c r="AH96" s="263"/>
      <c r="AI96" s="263"/>
      <c r="AJ96" s="263"/>
      <c r="AK96" s="263"/>
      <c r="AL96" s="263"/>
      <c r="AM96" s="86"/>
    </row>
    <row r="97" spans="1:39" s="60" customFormat="1" ht="15.75" x14ac:dyDescent="0.25">
      <c r="AA97" s="61"/>
      <c r="AC97" s="61"/>
      <c r="AF97" s="61"/>
      <c r="AH97" s="61"/>
      <c r="AK97" s="61"/>
    </row>
    <row r="98" spans="1:39" s="60" customFormat="1" ht="15.75" x14ac:dyDescent="0.25">
      <c r="Z98" s="260"/>
      <c r="AA98" s="260"/>
      <c r="AB98" s="260"/>
      <c r="AC98" s="260"/>
      <c r="AD98" s="260"/>
      <c r="AE98" s="260"/>
      <c r="AF98" s="61"/>
      <c r="AH98" s="260" t="s">
        <v>42</v>
      </c>
      <c r="AI98" s="260"/>
      <c r="AJ98" s="260"/>
      <c r="AK98" s="260"/>
      <c r="AL98" s="260"/>
      <c r="AM98" s="260"/>
    </row>
    <row r="99" spans="1:39" s="60" customFormat="1" ht="15.75" x14ac:dyDescent="0.25">
      <c r="A99" s="62"/>
      <c r="Z99" s="260" t="s">
        <v>221</v>
      </c>
      <c r="AA99" s="260"/>
      <c r="AB99" s="260"/>
      <c r="AC99" s="260"/>
      <c r="AD99" s="260"/>
      <c r="AE99" s="260"/>
      <c r="AF99" s="61"/>
      <c r="AH99" s="260" t="s">
        <v>221</v>
      </c>
      <c r="AI99" s="260"/>
      <c r="AJ99" s="260"/>
      <c r="AK99" s="260"/>
      <c r="AL99" s="260"/>
      <c r="AM99" s="260"/>
    </row>
    <row r="100" spans="1:39" s="60" customFormat="1" ht="15.75" x14ac:dyDescent="0.25">
      <c r="A100" s="62"/>
      <c r="Z100" s="61"/>
      <c r="AA100" s="61"/>
      <c r="AB100" s="61"/>
      <c r="AC100" s="61"/>
      <c r="AD100" s="61"/>
      <c r="AE100" s="61"/>
      <c r="AF100" s="61"/>
      <c r="AH100" s="61"/>
      <c r="AI100" s="61"/>
      <c r="AJ100" s="61"/>
      <c r="AK100" s="61"/>
      <c r="AL100" s="61"/>
      <c r="AM100" s="61"/>
    </row>
    <row r="101" spans="1:39" s="60" customFormat="1" ht="15.75" x14ac:dyDescent="0.25">
      <c r="Z101" s="260" t="s">
        <v>47</v>
      </c>
      <c r="AA101" s="260"/>
      <c r="AB101" s="260"/>
      <c r="AC101" s="260"/>
      <c r="AD101" s="260"/>
      <c r="AE101" s="260"/>
      <c r="AF101" s="61"/>
      <c r="AH101" s="260" t="s">
        <v>43</v>
      </c>
      <c r="AI101" s="260"/>
      <c r="AJ101" s="260"/>
      <c r="AK101" s="260"/>
      <c r="AL101" s="260"/>
      <c r="AM101" s="260"/>
    </row>
    <row r="102" spans="1:39" s="60" customFormat="1" ht="15.75" x14ac:dyDescent="0.25">
      <c r="Z102" s="260" t="s">
        <v>44</v>
      </c>
      <c r="AA102" s="260"/>
      <c r="AB102" s="260"/>
      <c r="AC102" s="260"/>
      <c r="AD102" s="260"/>
      <c r="AE102" s="260"/>
      <c r="AF102" s="61"/>
      <c r="AH102" s="260" t="s">
        <v>44</v>
      </c>
      <c r="AI102" s="260"/>
      <c r="AJ102" s="260"/>
      <c r="AK102" s="260"/>
      <c r="AL102" s="260"/>
      <c r="AM102" s="260"/>
    </row>
    <row r="103" spans="1:39" s="60" customFormat="1" ht="63" x14ac:dyDescent="0.25">
      <c r="A103" s="87" t="s">
        <v>28</v>
      </c>
      <c r="B103" s="87" t="s">
        <v>29</v>
      </c>
      <c r="C103" s="87" t="s">
        <v>30</v>
      </c>
      <c r="AA103" s="61"/>
      <c r="AC103" s="61"/>
      <c r="AF103" s="61"/>
      <c r="AI103" s="61"/>
      <c r="AK103" s="61"/>
    </row>
    <row r="104" spans="1:39" s="60" customFormat="1" ht="47.25" x14ac:dyDescent="0.25">
      <c r="A104" s="63" t="s">
        <v>211</v>
      </c>
      <c r="B104" s="63" t="s">
        <v>212</v>
      </c>
      <c r="C104" s="63" t="s">
        <v>31</v>
      </c>
      <c r="Z104" s="261" t="s">
        <v>222</v>
      </c>
      <c r="AA104" s="261"/>
      <c r="AB104" s="261"/>
      <c r="AC104" s="261"/>
      <c r="AD104" s="261"/>
      <c r="AE104" s="261"/>
      <c r="AF104" s="61"/>
      <c r="AH104" s="261" t="s">
        <v>45</v>
      </c>
      <c r="AI104" s="261"/>
      <c r="AJ104" s="261"/>
      <c r="AK104" s="261"/>
      <c r="AL104" s="261"/>
      <c r="AM104" s="261"/>
    </row>
    <row r="105" spans="1:39" s="60" customFormat="1" ht="47.25" x14ac:dyDescent="0.25">
      <c r="A105" s="63" t="s">
        <v>213</v>
      </c>
      <c r="B105" s="63" t="s">
        <v>214</v>
      </c>
      <c r="C105" s="63" t="s">
        <v>32</v>
      </c>
      <c r="Z105" s="262" t="s">
        <v>48</v>
      </c>
      <c r="AA105" s="262"/>
      <c r="AB105" s="262"/>
      <c r="AC105" s="262"/>
      <c r="AD105" s="262"/>
      <c r="AE105" s="262"/>
      <c r="AF105" s="61"/>
      <c r="AH105" s="262" t="s">
        <v>46</v>
      </c>
      <c r="AI105" s="262"/>
      <c r="AJ105" s="262"/>
      <c r="AK105" s="262"/>
      <c r="AL105" s="262"/>
      <c r="AM105" s="262"/>
    </row>
    <row r="106" spans="1:39" s="60" customFormat="1" ht="47.25" x14ac:dyDescent="0.25">
      <c r="A106" s="63" t="s">
        <v>215</v>
      </c>
      <c r="B106" s="63" t="s">
        <v>216</v>
      </c>
      <c r="C106" s="63" t="s">
        <v>33</v>
      </c>
      <c r="AA106" s="61"/>
      <c r="AC106" s="61"/>
      <c r="AF106" s="61"/>
      <c r="AH106" s="61"/>
      <c r="AK106" s="61"/>
    </row>
    <row r="107" spans="1:39" s="60" customFormat="1" ht="47.25" x14ac:dyDescent="0.25">
      <c r="A107" s="63" t="s">
        <v>217</v>
      </c>
      <c r="B107" s="63" t="s">
        <v>218</v>
      </c>
      <c r="C107" s="63" t="s">
        <v>34</v>
      </c>
      <c r="AA107" s="61"/>
      <c r="AC107" s="61"/>
      <c r="AF107" s="61"/>
      <c r="AH107" s="61"/>
      <c r="AK107" s="61"/>
    </row>
    <row r="108" spans="1:39" s="60" customFormat="1" ht="47.25" x14ac:dyDescent="0.25">
      <c r="A108" s="63" t="s">
        <v>219</v>
      </c>
      <c r="B108" s="63" t="s">
        <v>220</v>
      </c>
      <c r="C108" s="63" t="s">
        <v>35</v>
      </c>
      <c r="AA108" s="61"/>
      <c r="AC108" s="61"/>
      <c r="AF108" s="61"/>
      <c r="AH108" s="61"/>
      <c r="AK108" s="61"/>
    </row>
    <row r="109" spans="1:39" s="60" customFormat="1" ht="15.75" x14ac:dyDescent="0.25">
      <c r="AA109" s="61"/>
      <c r="AC109" s="61"/>
      <c r="AF109" s="61"/>
      <c r="AH109" s="61"/>
      <c r="AK109" s="61"/>
    </row>
    <row r="110" spans="1:39" s="60" customFormat="1" ht="15.75" x14ac:dyDescent="0.25">
      <c r="AA110" s="61"/>
      <c r="AC110" s="61"/>
      <c r="AF110" s="61"/>
      <c r="AH110" s="61"/>
      <c r="AK110" s="61"/>
    </row>
    <row r="111" spans="1:39" s="60" customFormat="1" ht="15.75" x14ac:dyDescent="0.25">
      <c r="AA111" s="61"/>
      <c r="AC111" s="61"/>
      <c r="AF111" s="61"/>
      <c r="AH111" s="61"/>
      <c r="AK111" s="61"/>
    </row>
    <row r="112" spans="1:39" s="60" customFormat="1" ht="15.75" x14ac:dyDescent="0.25">
      <c r="AA112" s="61"/>
      <c r="AC112" s="61"/>
      <c r="AF112" s="61"/>
      <c r="AH112" s="61"/>
      <c r="AK112" s="61"/>
    </row>
  </sheetData>
  <mergeCells count="82">
    <mergeCell ref="A6:AL6"/>
    <mergeCell ref="A1:AL1"/>
    <mergeCell ref="A2:AL2"/>
    <mergeCell ref="A3:AL3"/>
    <mergeCell ref="A4:AL4"/>
    <mergeCell ref="A5:AL5"/>
    <mergeCell ref="AJ7:AL8"/>
    <mergeCell ref="AM7:AM8"/>
    <mergeCell ref="A7:A9"/>
    <mergeCell ref="B7:B9"/>
    <mergeCell ref="C7:C9"/>
    <mergeCell ref="D7:D9"/>
    <mergeCell ref="E7:G9"/>
    <mergeCell ref="H7:J9"/>
    <mergeCell ref="Z9:AF9"/>
    <mergeCell ref="K7:M8"/>
    <mergeCell ref="N7:Y8"/>
    <mergeCell ref="Z7:AF8"/>
    <mergeCell ref="AG7:AI8"/>
    <mergeCell ref="AJ10:AL10"/>
    <mergeCell ref="AG9:AI9"/>
    <mergeCell ref="AJ9:AL9"/>
    <mergeCell ref="A10:A12"/>
    <mergeCell ref="B10:B12"/>
    <mergeCell ref="C10:C12"/>
    <mergeCell ref="D10:D12"/>
    <mergeCell ref="E10:G10"/>
    <mergeCell ref="H10:J10"/>
    <mergeCell ref="K10:M10"/>
    <mergeCell ref="N10:P10"/>
    <mergeCell ref="K9:M9"/>
    <mergeCell ref="N9:P9"/>
    <mergeCell ref="Q9:S9"/>
    <mergeCell ref="T9:V9"/>
    <mergeCell ref="W9:Y9"/>
    <mergeCell ref="Q10:S10"/>
    <mergeCell ref="T10:V10"/>
    <mergeCell ref="W10:Y10"/>
    <mergeCell ref="Z10:AF10"/>
    <mergeCell ref="AG10:AI10"/>
    <mergeCell ref="S11:S12"/>
    <mergeCell ref="T11:U12"/>
    <mergeCell ref="V11:V12"/>
    <mergeCell ref="E11:F12"/>
    <mergeCell ref="G11:G12"/>
    <mergeCell ref="H11:I12"/>
    <mergeCell ref="J11:J12"/>
    <mergeCell ref="K11:L12"/>
    <mergeCell ref="M11:M12"/>
    <mergeCell ref="A96:AL96"/>
    <mergeCell ref="AJ11:AK11"/>
    <mergeCell ref="Z12:AA12"/>
    <mergeCell ref="AB12:AC12"/>
    <mergeCell ref="AE12:AF12"/>
    <mergeCell ref="AG12:AH12"/>
    <mergeCell ref="AJ12:AK12"/>
    <mergeCell ref="W11:X12"/>
    <mergeCell ref="Y11:Y12"/>
    <mergeCell ref="Z11:AA11"/>
    <mergeCell ref="AB11:AC11"/>
    <mergeCell ref="AE11:AF11"/>
    <mergeCell ref="AG11:AH11"/>
    <mergeCell ref="N11:O12"/>
    <mergeCell ref="P11:P12"/>
    <mergeCell ref="Q11:R12"/>
    <mergeCell ref="A91:AA91"/>
    <mergeCell ref="A92:AA92"/>
    <mergeCell ref="A93:AL93"/>
    <mergeCell ref="A94:AL94"/>
    <mergeCell ref="A95:AL95"/>
    <mergeCell ref="Z98:AE98"/>
    <mergeCell ref="AH98:AM98"/>
    <mergeCell ref="Z99:AE99"/>
    <mergeCell ref="AH99:AM99"/>
    <mergeCell ref="Z101:AE101"/>
    <mergeCell ref="AH101:AM101"/>
    <mergeCell ref="Z102:AE102"/>
    <mergeCell ref="AH102:AM102"/>
    <mergeCell ref="Z104:AE104"/>
    <mergeCell ref="AH104:AM104"/>
    <mergeCell ref="Z105:AE105"/>
    <mergeCell ref="AH105:AM105"/>
  </mergeCells>
  <printOptions horizontalCentered="1"/>
  <pageMargins left="3.937007874015748E-2" right="3.937007874015748E-2" top="3.937007874015748E-2" bottom="3.937007874015748E-2" header="0" footer="0"/>
  <pageSetup paperSize="256" scale="34" orientation="landscape" horizontalDpi="4294967294" r:id="rId1"/>
  <rowBreaks count="1" manualBreakCount="1">
    <brk id="96" max="3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5E496-0A70-42F3-A10E-2E84D0BC95FC}">
  <sheetPr>
    <tabColor theme="9" tint="-0.249977111117893"/>
  </sheetPr>
  <dimension ref="A1:O86"/>
  <sheetViews>
    <sheetView showRuler="0" view="pageBreakPreview" zoomScale="71" zoomScaleNormal="40" zoomScaleSheetLayoutView="71" zoomScalePageLayoutView="55" workbookViewId="0">
      <selection activeCell="D14" sqref="D14"/>
    </sheetView>
  </sheetViews>
  <sheetFormatPr defaultColWidth="9.140625" defaultRowHeight="14.25" x14ac:dyDescent="0.2"/>
  <cols>
    <col min="1" max="1" width="6.42578125" style="16" customWidth="1"/>
    <col min="2" max="2" width="18" style="16" customWidth="1"/>
    <col min="3" max="3" width="20.7109375" style="16" customWidth="1"/>
    <col min="4" max="4" width="26.7109375" style="16" customWidth="1"/>
    <col min="5" max="5" width="14.85546875" style="16" customWidth="1"/>
    <col min="6" max="6" width="7.7109375" style="16" customWidth="1"/>
    <col min="7" max="7" width="11.5703125" style="16" bestFit="1" customWidth="1"/>
    <col min="8" max="8" width="7.5703125" style="16" customWidth="1"/>
    <col min="9" max="9" width="12.28515625" style="16" customWidth="1"/>
    <col min="10" max="10" width="7.7109375" style="16" customWidth="1"/>
    <col min="11" max="11" width="13.28515625" style="16" customWidth="1"/>
    <col min="12" max="12" width="11.42578125" style="16" customWidth="1"/>
    <col min="13" max="15" width="19.5703125" style="16" customWidth="1"/>
    <col min="16" max="16384" width="9.140625" style="16"/>
  </cols>
  <sheetData>
    <row r="1" spans="1:15" ht="22.5" x14ac:dyDescent="0.2">
      <c r="A1" s="300" t="s">
        <v>225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5" ht="22.5" x14ac:dyDescent="0.3">
      <c r="A2" s="299" t="s">
        <v>226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</row>
    <row r="3" spans="1:15" ht="22.5" x14ac:dyDescent="0.3">
      <c r="A3" s="299" t="s">
        <v>36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</row>
    <row r="4" spans="1:15" ht="22.5" x14ac:dyDescent="0.2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</row>
    <row r="5" spans="1:15" s="60" customFormat="1" ht="81" customHeight="1" x14ac:dyDescent="0.25">
      <c r="A5" s="312" t="s">
        <v>3</v>
      </c>
      <c r="B5" s="312" t="s">
        <v>4</v>
      </c>
      <c r="C5" s="313" t="s">
        <v>5</v>
      </c>
      <c r="D5" s="313" t="s">
        <v>210</v>
      </c>
      <c r="E5" s="322" t="s">
        <v>223</v>
      </c>
      <c r="F5" s="323"/>
      <c r="G5" s="323"/>
      <c r="H5" s="323"/>
      <c r="I5" s="323"/>
      <c r="J5" s="323"/>
      <c r="K5" s="322" t="s">
        <v>224</v>
      </c>
      <c r="L5" s="330"/>
      <c r="M5" s="61"/>
      <c r="N5" s="61"/>
      <c r="O5" s="61"/>
    </row>
    <row r="6" spans="1:15" s="60" customFormat="1" ht="18" customHeight="1" x14ac:dyDescent="0.25">
      <c r="A6" s="312"/>
      <c r="B6" s="312"/>
      <c r="C6" s="313"/>
      <c r="D6" s="313"/>
      <c r="E6" s="324"/>
      <c r="F6" s="325"/>
      <c r="G6" s="325"/>
      <c r="H6" s="325"/>
      <c r="I6" s="325"/>
      <c r="J6" s="325"/>
      <c r="K6" s="324"/>
      <c r="L6" s="331"/>
    </row>
    <row r="7" spans="1:15" s="60" customFormat="1" ht="15.75" customHeight="1" x14ac:dyDescent="0.25">
      <c r="A7" s="312"/>
      <c r="B7" s="312"/>
      <c r="C7" s="313"/>
      <c r="D7" s="313"/>
      <c r="E7" s="320">
        <v>2021</v>
      </c>
      <c r="F7" s="321"/>
      <c r="G7" s="307">
        <v>2022</v>
      </c>
      <c r="H7" s="329"/>
      <c r="I7" s="320">
        <v>2023</v>
      </c>
      <c r="J7" s="321"/>
      <c r="K7" s="320">
        <v>2021</v>
      </c>
      <c r="L7" s="326"/>
    </row>
    <row r="8" spans="1:15" s="64" customFormat="1" ht="15.75" x14ac:dyDescent="0.25">
      <c r="A8" s="314">
        <v>1</v>
      </c>
      <c r="B8" s="314">
        <v>2</v>
      </c>
      <c r="C8" s="314">
        <v>3</v>
      </c>
      <c r="D8" s="314">
        <v>4</v>
      </c>
      <c r="E8" s="305">
        <v>5</v>
      </c>
      <c r="F8" s="317"/>
      <c r="G8" s="327">
        <v>6</v>
      </c>
      <c r="H8" s="328"/>
      <c r="I8" s="305">
        <v>7</v>
      </c>
      <c r="J8" s="317"/>
      <c r="K8" s="305">
        <v>8</v>
      </c>
      <c r="L8" s="306"/>
    </row>
    <row r="9" spans="1:15" s="64" customFormat="1" ht="18.600000000000001" customHeight="1" x14ac:dyDescent="0.25">
      <c r="A9" s="315"/>
      <c r="B9" s="315"/>
      <c r="C9" s="315"/>
      <c r="D9" s="315"/>
      <c r="E9" s="318" t="s">
        <v>13</v>
      </c>
      <c r="F9" s="319"/>
      <c r="G9" s="318" t="s">
        <v>13</v>
      </c>
      <c r="H9" s="319"/>
      <c r="I9" s="318" t="s">
        <v>13</v>
      </c>
      <c r="J9" s="319"/>
      <c r="K9" s="318" t="s">
        <v>13</v>
      </c>
      <c r="L9" s="319"/>
    </row>
    <row r="10" spans="1:15" s="64" customFormat="1" ht="11.45" customHeight="1" x14ac:dyDescent="0.25">
      <c r="A10" s="316"/>
      <c r="B10" s="316"/>
      <c r="C10" s="316"/>
      <c r="D10" s="316"/>
      <c r="E10" s="307"/>
      <c r="F10" s="308"/>
      <c r="G10" s="307"/>
      <c r="H10" s="308"/>
      <c r="I10" s="307"/>
      <c r="J10" s="308"/>
      <c r="K10" s="307"/>
      <c r="L10" s="308"/>
    </row>
    <row r="11" spans="1:15" s="60" customFormat="1" ht="50.45" customHeight="1" x14ac:dyDescent="0.25">
      <c r="A11" s="25"/>
      <c r="B11" s="88"/>
      <c r="C11" s="3" t="s">
        <v>87</v>
      </c>
      <c r="D11" s="4"/>
      <c r="E11" s="65"/>
      <c r="F11" s="65"/>
      <c r="G11" s="65"/>
      <c r="H11" s="65"/>
      <c r="I11" s="4"/>
      <c r="J11" s="4"/>
      <c r="K11" s="65"/>
      <c r="L11" s="65"/>
    </row>
    <row r="12" spans="1:15" s="60" customFormat="1" ht="64.150000000000006" customHeight="1" x14ac:dyDescent="0.25">
      <c r="A12" s="25"/>
      <c r="B12" s="88"/>
      <c r="C12" s="3" t="s">
        <v>88</v>
      </c>
      <c r="D12" s="4"/>
      <c r="E12" s="65"/>
      <c r="F12" s="65"/>
      <c r="G12" s="65"/>
      <c r="H12" s="65"/>
      <c r="I12" s="4"/>
      <c r="J12" s="4"/>
      <c r="K12" s="65"/>
      <c r="L12" s="65"/>
    </row>
    <row r="13" spans="1:15" s="60" customFormat="1" ht="94.5" x14ac:dyDescent="0.25">
      <c r="A13" s="25">
        <v>1</v>
      </c>
      <c r="B13" s="88" t="s">
        <v>38</v>
      </c>
      <c r="C13" s="76" t="s">
        <v>89</v>
      </c>
      <c r="D13" s="1" t="s">
        <v>116</v>
      </c>
      <c r="E13" s="89"/>
      <c r="F13" s="66"/>
      <c r="G13" s="90" t="s">
        <v>187</v>
      </c>
      <c r="H13" s="66" t="s">
        <v>80</v>
      </c>
      <c r="I13" s="89" t="s">
        <v>165</v>
      </c>
      <c r="J13" s="66" t="s">
        <v>80</v>
      </c>
      <c r="K13" s="89"/>
      <c r="L13" s="66"/>
    </row>
    <row r="14" spans="1:15" s="60" customFormat="1" ht="63" x14ac:dyDescent="0.25">
      <c r="A14" s="25"/>
      <c r="B14" s="88"/>
      <c r="C14" s="3"/>
      <c r="D14" s="2" t="s">
        <v>117</v>
      </c>
      <c r="E14" s="65"/>
      <c r="F14" s="14"/>
      <c r="G14" s="65" t="s">
        <v>197</v>
      </c>
      <c r="H14" s="14" t="s">
        <v>80</v>
      </c>
      <c r="I14" s="65">
        <v>0.95</v>
      </c>
      <c r="J14" s="14" t="s">
        <v>80</v>
      </c>
      <c r="K14" s="65"/>
      <c r="L14" s="14"/>
    </row>
    <row r="15" spans="1:15" s="60" customFormat="1" ht="63" x14ac:dyDescent="0.25">
      <c r="A15" s="25"/>
      <c r="B15" s="88"/>
      <c r="C15" s="3"/>
      <c r="D15" s="2" t="s">
        <v>118</v>
      </c>
      <c r="E15" s="65"/>
      <c r="F15" s="14"/>
      <c r="G15" s="65" t="s">
        <v>198</v>
      </c>
      <c r="H15" s="14" t="s">
        <v>80</v>
      </c>
      <c r="I15" s="65">
        <v>0.75</v>
      </c>
      <c r="J15" s="14" t="s">
        <v>80</v>
      </c>
      <c r="K15" s="65"/>
      <c r="L15" s="14"/>
    </row>
    <row r="16" spans="1:15" s="60" customFormat="1" ht="47.25" x14ac:dyDescent="0.25">
      <c r="A16" s="25"/>
      <c r="B16" s="88"/>
      <c r="C16" s="70" t="s">
        <v>62</v>
      </c>
      <c r="D16" s="3" t="s">
        <v>119</v>
      </c>
      <c r="E16" s="73"/>
      <c r="F16" s="14"/>
      <c r="G16" s="73">
        <v>0.9</v>
      </c>
      <c r="H16" s="14" t="s">
        <v>80</v>
      </c>
      <c r="I16" s="71">
        <v>0.16</v>
      </c>
      <c r="J16" s="14" t="s">
        <v>80</v>
      </c>
      <c r="K16" s="73"/>
      <c r="L16" s="14"/>
    </row>
    <row r="17" spans="1:12" s="60" customFormat="1" ht="126" x14ac:dyDescent="0.25">
      <c r="A17" s="25"/>
      <c r="B17" s="88"/>
      <c r="C17" s="2" t="s">
        <v>90</v>
      </c>
      <c r="D17" s="4" t="s">
        <v>120</v>
      </c>
      <c r="E17" s="74"/>
      <c r="F17" s="65"/>
      <c r="G17" s="74">
        <v>831</v>
      </c>
      <c r="H17" s="65" t="s">
        <v>81</v>
      </c>
      <c r="I17" s="74">
        <v>844</v>
      </c>
      <c r="J17" s="65" t="s">
        <v>81</v>
      </c>
      <c r="K17" s="74"/>
      <c r="L17" s="65"/>
    </row>
    <row r="18" spans="1:12" s="60" customFormat="1" ht="63" x14ac:dyDescent="0.25">
      <c r="A18" s="25"/>
      <c r="B18" s="88"/>
      <c r="C18" s="4" t="s">
        <v>63</v>
      </c>
      <c r="D18" s="9" t="s">
        <v>121</v>
      </c>
      <c r="E18" s="74"/>
      <c r="F18" s="65"/>
      <c r="G18" s="74">
        <v>0.9</v>
      </c>
      <c r="H18" s="65" t="s">
        <v>80</v>
      </c>
      <c r="I18" s="75">
        <v>0.16</v>
      </c>
      <c r="J18" s="65" t="s">
        <v>80</v>
      </c>
      <c r="K18" s="74"/>
      <c r="L18" s="65"/>
    </row>
    <row r="19" spans="1:12" s="60" customFormat="1" ht="15.75" x14ac:dyDescent="0.25">
      <c r="A19" s="25"/>
      <c r="B19" s="88"/>
      <c r="C19" s="4"/>
      <c r="D19" s="9" t="s">
        <v>122</v>
      </c>
      <c r="E19" s="75"/>
      <c r="F19" s="65"/>
      <c r="G19" s="75">
        <v>1.47</v>
      </c>
      <c r="H19" s="65" t="s">
        <v>80</v>
      </c>
      <c r="I19" s="75">
        <v>1.85</v>
      </c>
      <c r="J19" s="65" t="s">
        <v>80</v>
      </c>
      <c r="K19" s="75"/>
      <c r="L19" s="65"/>
    </row>
    <row r="20" spans="1:12" s="60" customFormat="1" ht="15.75" x14ac:dyDescent="0.25">
      <c r="A20" s="25"/>
      <c r="B20" s="88"/>
      <c r="C20" s="4"/>
      <c r="D20" s="9" t="s">
        <v>123</v>
      </c>
      <c r="E20" s="75"/>
      <c r="F20" s="65"/>
      <c r="G20" s="75">
        <v>0.06</v>
      </c>
      <c r="H20" s="65" t="s">
        <v>80</v>
      </c>
      <c r="I20" s="75">
        <v>0.15</v>
      </c>
      <c r="J20" s="65" t="s">
        <v>80</v>
      </c>
      <c r="K20" s="75"/>
      <c r="L20" s="65"/>
    </row>
    <row r="21" spans="1:12" s="60" customFormat="1" ht="63" x14ac:dyDescent="0.25">
      <c r="A21" s="25"/>
      <c r="B21" s="88"/>
      <c r="C21" s="4"/>
      <c r="D21" s="9" t="str">
        <f>[1]Cascading!$AF$14</f>
        <v>Terlaksananya bimbingan teknis kegiatan tanaman pangan</v>
      </c>
      <c r="E21" s="69"/>
      <c r="F21" s="65"/>
      <c r="G21" s="69">
        <v>2510</v>
      </c>
      <c r="H21" s="65" t="s">
        <v>166</v>
      </c>
      <c r="I21" s="69">
        <v>880</v>
      </c>
      <c r="J21" s="65" t="s">
        <v>166</v>
      </c>
      <c r="K21" s="69"/>
      <c r="L21" s="65"/>
    </row>
    <row r="22" spans="1:12" s="60" customFormat="1" ht="126" x14ac:dyDescent="0.25">
      <c r="A22" s="25"/>
      <c r="B22" s="88"/>
      <c r="C22" s="3" t="s">
        <v>64</v>
      </c>
      <c r="D22" s="5" t="s">
        <v>124</v>
      </c>
      <c r="E22" s="75"/>
      <c r="F22" s="14"/>
      <c r="G22" s="75">
        <v>3.16</v>
      </c>
      <c r="H22" s="14" t="s">
        <v>80</v>
      </c>
      <c r="I22" s="75">
        <f>SUM(I23:I24)</f>
        <v>3.25</v>
      </c>
      <c r="J22" s="14" t="s">
        <v>80</v>
      </c>
      <c r="K22" s="75"/>
      <c r="L22" s="14"/>
    </row>
    <row r="23" spans="1:12" s="60" customFormat="1" ht="78.75" x14ac:dyDescent="0.25">
      <c r="A23" s="25"/>
      <c r="B23" s="88"/>
      <c r="C23" s="4" t="s">
        <v>91</v>
      </c>
      <c r="D23" s="9" t="s">
        <v>125</v>
      </c>
      <c r="E23" s="75"/>
      <c r="F23" s="14"/>
      <c r="G23" s="75">
        <v>2.63</v>
      </c>
      <c r="H23" s="14" t="s">
        <v>80</v>
      </c>
      <c r="I23" s="75">
        <v>2.65</v>
      </c>
      <c r="J23" s="14" t="s">
        <v>80</v>
      </c>
      <c r="K23" s="75"/>
      <c r="L23" s="14"/>
    </row>
    <row r="24" spans="1:12" s="60" customFormat="1" ht="47.25" x14ac:dyDescent="0.25">
      <c r="A24" s="25"/>
      <c r="B24" s="88"/>
      <c r="C24" s="4" t="s">
        <v>65</v>
      </c>
      <c r="D24" s="9" t="s">
        <v>126</v>
      </c>
      <c r="E24" s="75"/>
      <c r="F24" s="14"/>
      <c r="G24" s="75">
        <v>0.53</v>
      </c>
      <c r="H24" s="14" t="s">
        <v>80</v>
      </c>
      <c r="I24" s="75">
        <v>0.6</v>
      </c>
      <c r="J24" s="14" t="s">
        <v>80</v>
      </c>
      <c r="K24" s="75"/>
      <c r="L24" s="14"/>
    </row>
    <row r="25" spans="1:12" s="60" customFormat="1" ht="136.9" customHeight="1" x14ac:dyDescent="0.25">
      <c r="A25" s="25"/>
      <c r="B25" s="88"/>
      <c r="C25" s="3" t="s">
        <v>66</v>
      </c>
      <c r="D25" s="6" t="s">
        <v>127</v>
      </c>
      <c r="E25" s="72"/>
      <c r="F25" s="14"/>
      <c r="G25" s="72">
        <v>100</v>
      </c>
      <c r="H25" s="14" t="s">
        <v>80</v>
      </c>
      <c r="I25" s="72">
        <v>100</v>
      </c>
      <c r="J25" s="14" t="s">
        <v>80</v>
      </c>
      <c r="K25" s="72"/>
      <c r="L25" s="14"/>
    </row>
    <row r="26" spans="1:12" s="60" customFormat="1" ht="78.75" x14ac:dyDescent="0.25">
      <c r="A26" s="25"/>
      <c r="B26" s="88"/>
      <c r="C26" s="4" t="s">
        <v>92</v>
      </c>
      <c r="D26" s="9" t="s">
        <v>128</v>
      </c>
      <c r="E26" s="69"/>
      <c r="F26" s="65"/>
      <c r="G26" s="69">
        <v>100</v>
      </c>
      <c r="H26" s="65" t="s">
        <v>80</v>
      </c>
      <c r="I26" s="69">
        <v>100</v>
      </c>
      <c r="J26" s="65" t="s">
        <v>80</v>
      </c>
      <c r="K26" s="69"/>
      <c r="L26" s="65"/>
    </row>
    <row r="27" spans="1:12" s="60" customFormat="1" ht="94.5" x14ac:dyDescent="0.25">
      <c r="A27" s="25"/>
      <c r="B27" s="88"/>
      <c r="C27" s="76" t="s">
        <v>93</v>
      </c>
      <c r="D27" s="7" t="s">
        <v>129</v>
      </c>
      <c r="E27" s="77"/>
      <c r="F27" s="66"/>
      <c r="G27" s="77">
        <v>63.41</v>
      </c>
      <c r="H27" s="66" t="s">
        <v>80</v>
      </c>
      <c r="I27" s="77">
        <v>65</v>
      </c>
      <c r="J27" s="66" t="s">
        <v>80</v>
      </c>
      <c r="K27" s="77"/>
      <c r="L27" s="66"/>
    </row>
    <row r="28" spans="1:12" s="60" customFormat="1" ht="47.25" x14ac:dyDescent="0.25">
      <c r="A28" s="25"/>
      <c r="B28" s="88"/>
      <c r="C28" s="3" t="s">
        <v>67</v>
      </c>
      <c r="D28" s="8" t="s">
        <v>130</v>
      </c>
      <c r="E28" s="72"/>
      <c r="F28" s="14"/>
      <c r="G28" s="72">
        <v>22294.84</v>
      </c>
      <c r="H28" s="14" t="s">
        <v>81</v>
      </c>
      <c r="I28" s="72">
        <f>I29</f>
        <v>22294.84</v>
      </c>
      <c r="J28" s="14" t="s">
        <v>81</v>
      </c>
      <c r="K28" s="72"/>
      <c r="L28" s="14"/>
    </row>
    <row r="29" spans="1:12" s="60" customFormat="1" ht="78.75" x14ac:dyDescent="0.25">
      <c r="A29" s="25"/>
      <c r="B29" s="88"/>
      <c r="C29" s="4" t="s">
        <v>68</v>
      </c>
      <c r="D29" s="9" t="s">
        <v>131</v>
      </c>
      <c r="E29" s="75"/>
      <c r="F29" s="65"/>
      <c r="G29" s="75">
        <v>22294.84</v>
      </c>
      <c r="H29" s="65" t="s">
        <v>81</v>
      </c>
      <c r="I29" s="75">
        <v>22294.84</v>
      </c>
      <c r="J29" s="65" t="s">
        <v>81</v>
      </c>
      <c r="K29" s="75"/>
      <c r="L29" s="65"/>
    </row>
    <row r="30" spans="1:12" s="60" customFormat="1" ht="122.25" customHeight="1" x14ac:dyDescent="0.25">
      <c r="A30" s="25"/>
      <c r="B30" s="88"/>
      <c r="C30" s="3" t="s">
        <v>69</v>
      </c>
      <c r="D30" s="6" t="s">
        <v>132</v>
      </c>
      <c r="E30" s="72"/>
      <c r="F30" s="14"/>
      <c r="G30" s="72">
        <v>26</v>
      </c>
      <c r="H30" s="14" t="s">
        <v>82</v>
      </c>
      <c r="I30" s="72">
        <f>SUM(I31:I34)</f>
        <v>26</v>
      </c>
      <c r="J30" s="14" t="s">
        <v>82</v>
      </c>
      <c r="K30" s="72"/>
      <c r="L30" s="14"/>
    </row>
    <row r="31" spans="1:12" s="60" customFormat="1" ht="171.75" customHeight="1" x14ac:dyDescent="0.25">
      <c r="A31" s="25"/>
      <c r="B31" s="88"/>
      <c r="C31" s="4" t="s">
        <v>94</v>
      </c>
      <c r="D31" s="2" t="s">
        <v>133</v>
      </c>
      <c r="E31" s="69"/>
      <c r="F31" s="65"/>
      <c r="G31" s="69">
        <v>2</v>
      </c>
      <c r="H31" s="65" t="s">
        <v>82</v>
      </c>
      <c r="I31" s="69">
        <v>2</v>
      </c>
      <c r="J31" s="65" t="s">
        <v>82</v>
      </c>
      <c r="K31" s="69"/>
      <c r="L31" s="65"/>
    </row>
    <row r="32" spans="1:12" s="60" customFormat="1" ht="83.25" customHeight="1" x14ac:dyDescent="0.25">
      <c r="A32" s="25"/>
      <c r="B32" s="88"/>
      <c r="C32" s="4" t="s">
        <v>83</v>
      </c>
      <c r="D32" s="2" t="s">
        <v>134</v>
      </c>
      <c r="E32" s="69"/>
      <c r="F32" s="65"/>
      <c r="G32" s="69">
        <v>10</v>
      </c>
      <c r="H32" s="65" t="s">
        <v>82</v>
      </c>
      <c r="I32" s="69">
        <v>10</v>
      </c>
      <c r="J32" s="65" t="s">
        <v>82</v>
      </c>
      <c r="K32" s="69"/>
      <c r="L32" s="65"/>
    </row>
    <row r="33" spans="1:12" s="60" customFormat="1" ht="123" customHeight="1" x14ac:dyDescent="0.25">
      <c r="A33" s="25"/>
      <c r="B33" s="88"/>
      <c r="C33" s="4" t="s">
        <v>95</v>
      </c>
      <c r="D33" s="2" t="s">
        <v>135</v>
      </c>
      <c r="E33" s="69"/>
      <c r="F33" s="65"/>
      <c r="G33" s="69">
        <v>7</v>
      </c>
      <c r="H33" s="65" t="s">
        <v>82</v>
      </c>
      <c r="I33" s="69">
        <v>7</v>
      </c>
      <c r="J33" s="65" t="s">
        <v>82</v>
      </c>
      <c r="K33" s="69"/>
      <c r="L33" s="65"/>
    </row>
    <row r="34" spans="1:12" s="60" customFormat="1" ht="94.5" x14ac:dyDescent="0.25">
      <c r="A34" s="25"/>
      <c r="B34" s="88"/>
      <c r="C34" s="4" t="s">
        <v>96</v>
      </c>
      <c r="D34" s="2" t="s">
        <v>136</v>
      </c>
      <c r="E34" s="69"/>
      <c r="F34" s="65"/>
      <c r="G34" s="69">
        <v>7</v>
      </c>
      <c r="H34" s="65" t="s">
        <v>82</v>
      </c>
      <c r="I34" s="69">
        <v>7</v>
      </c>
      <c r="J34" s="65" t="s">
        <v>82</v>
      </c>
      <c r="K34" s="69"/>
      <c r="L34" s="65"/>
    </row>
    <row r="35" spans="1:12" s="60" customFormat="1" ht="110.25" x14ac:dyDescent="0.25">
      <c r="A35" s="25"/>
      <c r="B35" s="88"/>
      <c r="C35" s="76" t="s">
        <v>97</v>
      </c>
      <c r="D35" s="7" t="s">
        <v>137</v>
      </c>
      <c r="E35" s="67"/>
      <c r="F35" s="66"/>
      <c r="G35" s="67">
        <v>100</v>
      </c>
      <c r="H35" s="66" t="s">
        <v>80</v>
      </c>
      <c r="I35" s="67">
        <v>100</v>
      </c>
      <c r="J35" s="66" t="s">
        <v>80</v>
      </c>
      <c r="K35" s="67"/>
      <c r="L35" s="66"/>
    </row>
    <row r="36" spans="1:12" s="60" customFormat="1" ht="47.25" x14ac:dyDescent="0.25">
      <c r="A36" s="25"/>
      <c r="B36" s="88"/>
      <c r="C36" s="3"/>
      <c r="D36" s="10" t="s">
        <v>138</v>
      </c>
      <c r="E36" s="69"/>
      <c r="F36" s="65"/>
      <c r="G36" s="69">
        <v>100</v>
      </c>
      <c r="H36" s="65" t="s">
        <v>80</v>
      </c>
      <c r="I36" s="69">
        <v>100</v>
      </c>
      <c r="J36" s="65" t="s">
        <v>80</v>
      </c>
      <c r="K36" s="69"/>
      <c r="L36" s="65"/>
    </row>
    <row r="37" spans="1:12" s="60" customFormat="1" ht="145.9" customHeight="1" x14ac:dyDescent="0.25">
      <c r="A37" s="25"/>
      <c r="B37" s="88"/>
      <c r="C37" s="3" t="s">
        <v>70</v>
      </c>
      <c r="D37" s="9" t="s">
        <v>139</v>
      </c>
      <c r="E37" s="72"/>
      <c r="F37" s="14"/>
      <c r="G37" s="72">
        <v>12</v>
      </c>
      <c r="H37" s="14" t="s">
        <v>167</v>
      </c>
      <c r="I37" s="72">
        <v>12</v>
      </c>
      <c r="J37" s="14" t="s">
        <v>167</v>
      </c>
      <c r="K37" s="72"/>
      <c r="L37" s="14"/>
    </row>
    <row r="38" spans="1:12" s="60" customFormat="1" ht="112.15" customHeight="1" x14ac:dyDescent="0.25">
      <c r="A38" s="25"/>
      <c r="B38" s="88"/>
      <c r="C38" s="4" t="s">
        <v>71</v>
      </c>
      <c r="D38" s="78" t="s">
        <v>140</v>
      </c>
      <c r="E38" s="72"/>
      <c r="F38" s="14"/>
      <c r="G38" s="72">
        <v>48</v>
      </c>
      <c r="H38" s="14" t="s">
        <v>85</v>
      </c>
      <c r="I38" s="69">
        <v>24</v>
      </c>
      <c r="J38" s="14" t="s">
        <v>85</v>
      </c>
      <c r="K38" s="72"/>
      <c r="L38" s="14"/>
    </row>
    <row r="39" spans="1:12" s="60" customFormat="1" ht="105.6" customHeight="1" x14ac:dyDescent="0.25">
      <c r="A39" s="25"/>
      <c r="B39" s="88"/>
      <c r="C39" s="4" t="s">
        <v>98</v>
      </c>
      <c r="D39" s="78" t="s">
        <v>141</v>
      </c>
      <c r="E39" s="72"/>
      <c r="F39" s="14"/>
      <c r="G39" s="72">
        <v>6</v>
      </c>
      <c r="H39" s="14" t="s">
        <v>86</v>
      </c>
      <c r="I39" s="69">
        <v>12</v>
      </c>
      <c r="J39" s="14" t="s">
        <v>86</v>
      </c>
      <c r="K39" s="72"/>
      <c r="L39" s="14"/>
    </row>
    <row r="40" spans="1:12" s="60" customFormat="1" ht="123.6" customHeight="1" x14ac:dyDescent="0.25">
      <c r="A40" s="25"/>
      <c r="B40" s="88"/>
      <c r="C40" s="3" t="s">
        <v>72</v>
      </c>
      <c r="D40" s="9" t="str">
        <f>[2]Cascading!$Y$31</f>
        <v xml:space="preserve">Persentase daging sapi dan unggas yang ASUH (Aman, Sehat, Utuh, dan Halal) </v>
      </c>
      <c r="E40" s="72"/>
      <c r="F40" s="14"/>
      <c r="G40" s="72">
        <v>100</v>
      </c>
      <c r="H40" s="14" t="s">
        <v>80</v>
      </c>
      <c r="I40" s="72">
        <v>100</v>
      </c>
      <c r="J40" s="14" t="s">
        <v>80</v>
      </c>
      <c r="K40" s="72"/>
      <c r="L40" s="14"/>
    </row>
    <row r="41" spans="1:12" s="60" customFormat="1" ht="83.25" customHeight="1" x14ac:dyDescent="0.25">
      <c r="A41" s="25"/>
      <c r="B41" s="88"/>
      <c r="C41" s="4" t="s">
        <v>73</v>
      </c>
      <c r="D41" s="78" t="s">
        <v>142</v>
      </c>
      <c r="E41" s="72"/>
      <c r="F41" s="14"/>
      <c r="G41" s="72">
        <v>2</v>
      </c>
      <c r="H41" s="14" t="s">
        <v>85</v>
      </c>
      <c r="I41" s="69">
        <v>1</v>
      </c>
      <c r="J41" s="14" t="s">
        <v>85</v>
      </c>
      <c r="K41" s="72"/>
      <c r="L41" s="14"/>
    </row>
    <row r="42" spans="1:12" s="60" customFormat="1" ht="97.15" customHeight="1" x14ac:dyDescent="0.25">
      <c r="A42" s="25"/>
      <c r="B42" s="88"/>
      <c r="C42" s="76" t="s">
        <v>99</v>
      </c>
      <c r="D42" s="11" t="s">
        <v>143</v>
      </c>
      <c r="E42" s="67"/>
      <c r="F42" s="66"/>
      <c r="G42" s="67">
        <v>90</v>
      </c>
      <c r="H42" s="66" t="s">
        <v>80</v>
      </c>
      <c r="I42" s="77">
        <v>63.41</v>
      </c>
      <c r="J42" s="66" t="s">
        <v>80</v>
      </c>
      <c r="K42" s="67"/>
      <c r="L42" s="66"/>
    </row>
    <row r="43" spans="1:12" s="60" customFormat="1" ht="140.44999999999999" customHeight="1" x14ac:dyDescent="0.25">
      <c r="A43" s="25"/>
      <c r="B43" s="88"/>
      <c r="C43" s="3" t="s">
        <v>74</v>
      </c>
      <c r="D43" s="12" t="s">
        <v>144</v>
      </c>
      <c r="E43" s="69"/>
      <c r="F43" s="65"/>
      <c r="G43" s="69">
        <v>510</v>
      </c>
      <c r="H43" s="65" t="s">
        <v>168</v>
      </c>
      <c r="I43" s="69">
        <v>510</v>
      </c>
      <c r="J43" s="65" t="s">
        <v>168</v>
      </c>
      <c r="K43" s="69"/>
      <c r="L43" s="65"/>
    </row>
    <row r="44" spans="1:12" s="60" customFormat="1" ht="99" customHeight="1" x14ac:dyDescent="0.25">
      <c r="A44" s="25"/>
      <c r="B44" s="88"/>
      <c r="C44" s="3"/>
      <c r="D44" s="9" t="s">
        <v>145</v>
      </c>
      <c r="E44" s="69"/>
      <c r="F44" s="65"/>
      <c r="G44" s="69">
        <v>1000</v>
      </c>
      <c r="H44" s="65" t="s">
        <v>81</v>
      </c>
      <c r="I44" s="69">
        <v>1000</v>
      </c>
      <c r="J44" s="65" t="s">
        <v>81</v>
      </c>
      <c r="K44" s="69"/>
      <c r="L44" s="65"/>
    </row>
    <row r="45" spans="1:12" s="60" customFormat="1" ht="126.6" customHeight="1" x14ac:dyDescent="0.25">
      <c r="A45" s="25"/>
      <c r="B45" s="88"/>
      <c r="C45" s="4" t="s">
        <v>100</v>
      </c>
      <c r="D45" s="9" t="s">
        <v>146</v>
      </c>
      <c r="E45" s="69"/>
      <c r="F45" s="65"/>
      <c r="G45" s="69">
        <v>509.5</v>
      </c>
      <c r="H45" s="65" t="s">
        <v>168</v>
      </c>
      <c r="I45" s="69">
        <v>735</v>
      </c>
      <c r="J45" s="65" t="s">
        <v>168</v>
      </c>
      <c r="K45" s="69"/>
      <c r="L45" s="65"/>
    </row>
    <row r="46" spans="1:12" s="60" customFormat="1" ht="115.9" customHeight="1" x14ac:dyDescent="0.25">
      <c r="A46" s="25"/>
      <c r="B46" s="88"/>
      <c r="C46" s="4" t="s">
        <v>101</v>
      </c>
      <c r="D46" s="9" t="s">
        <v>147</v>
      </c>
      <c r="E46" s="69"/>
      <c r="F46" s="65"/>
      <c r="G46" s="69">
        <v>1000</v>
      </c>
      <c r="H46" s="65" t="s">
        <v>81</v>
      </c>
      <c r="I46" s="69">
        <v>1000</v>
      </c>
      <c r="J46" s="65" t="s">
        <v>81</v>
      </c>
      <c r="K46" s="69"/>
      <c r="L46" s="65"/>
    </row>
    <row r="47" spans="1:12" s="60" customFormat="1" ht="127.9" customHeight="1" x14ac:dyDescent="0.25">
      <c r="A47" s="25"/>
      <c r="B47" s="88"/>
      <c r="C47" s="4" t="s">
        <v>102</v>
      </c>
      <c r="D47" s="9" t="s">
        <v>148</v>
      </c>
      <c r="E47" s="69"/>
      <c r="F47" s="65"/>
      <c r="G47" s="69">
        <v>20</v>
      </c>
      <c r="H47" s="65" t="s">
        <v>85</v>
      </c>
      <c r="I47" s="69">
        <v>0</v>
      </c>
      <c r="J47" s="65" t="s">
        <v>85</v>
      </c>
      <c r="K47" s="69"/>
      <c r="L47" s="65"/>
    </row>
    <row r="48" spans="1:12" s="60" customFormat="1" ht="99" customHeight="1" x14ac:dyDescent="0.25">
      <c r="A48" s="25"/>
      <c r="B48" s="88"/>
      <c r="C48" s="1" t="s">
        <v>103</v>
      </c>
      <c r="D48" s="13" t="s">
        <v>149</v>
      </c>
      <c r="E48" s="79"/>
      <c r="F48" s="66"/>
      <c r="G48" s="79" t="s">
        <v>199</v>
      </c>
      <c r="H48" s="66" t="s">
        <v>80</v>
      </c>
      <c r="I48" s="79" t="s">
        <v>169</v>
      </c>
      <c r="J48" s="66" t="s">
        <v>80</v>
      </c>
      <c r="K48" s="79"/>
      <c r="L48" s="66"/>
    </row>
    <row r="49" spans="1:12" s="60" customFormat="1" ht="97.9" customHeight="1" x14ac:dyDescent="0.25">
      <c r="A49" s="25"/>
      <c r="B49" s="88"/>
      <c r="C49" s="70" t="s">
        <v>75</v>
      </c>
      <c r="D49" s="5" t="s">
        <v>150</v>
      </c>
      <c r="E49" s="80"/>
      <c r="F49" s="14"/>
      <c r="G49" s="80" t="s">
        <v>200</v>
      </c>
      <c r="H49" s="14" t="s">
        <v>80</v>
      </c>
      <c r="I49" s="80" t="s">
        <v>170</v>
      </c>
      <c r="J49" s="14" t="s">
        <v>80</v>
      </c>
      <c r="K49" s="80"/>
      <c r="L49" s="14"/>
    </row>
    <row r="50" spans="1:12" s="60" customFormat="1" ht="83.25" customHeight="1" x14ac:dyDescent="0.25">
      <c r="A50" s="25"/>
      <c r="B50" s="88"/>
      <c r="C50" s="2" t="s">
        <v>76</v>
      </c>
      <c r="D50" s="9" t="s">
        <v>151</v>
      </c>
      <c r="E50" s="69"/>
      <c r="F50" s="65"/>
      <c r="G50" s="69">
        <v>30</v>
      </c>
      <c r="H50" s="65" t="s">
        <v>172</v>
      </c>
      <c r="I50" s="69" t="s">
        <v>171</v>
      </c>
      <c r="J50" s="65" t="s">
        <v>172</v>
      </c>
      <c r="K50" s="69"/>
      <c r="L50" s="65"/>
    </row>
    <row r="51" spans="1:12" s="60" customFormat="1" ht="83.25" customHeight="1" x14ac:dyDescent="0.25">
      <c r="A51" s="25"/>
      <c r="B51" s="88"/>
      <c r="C51" s="1" t="s">
        <v>104</v>
      </c>
      <c r="D51" s="13" t="s">
        <v>152</v>
      </c>
      <c r="E51" s="79"/>
      <c r="F51" s="66"/>
      <c r="G51" s="79" t="s">
        <v>173</v>
      </c>
      <c r="H51" s="66" t="s">
        <v>80</v>
      </c>
      <c r="I51" s="79" t="s">
        <v>173</v>
      </c>
      <c r="J51" s="66" t="s">
        <v>80</v>
      </c>
      <c r="K51" s="79"/>
      <c r="L51" s="66"/>
    </row>
    <row r="52" spans="1:12" s="60" customFormat="1" ht="48.6" customHeight="1" x14ac:dyDescent="0.25">
      <c r="A52" s="25"/>
      <c r="B52" s="88"/>
      <c r="C52" s="70"/>
      <c r="D52" s="4" t="s">
        <v>153</v>
      </c>
      <c r="E52" s="69"/>
      <c r="F52" s="65"/>
      <c r="G52" s="69">
        <v>103</v>
      </c>
      <c r="H52" s="65" t="s">
        <v>175</v>
      </c>
      <c r="I52" s="69" t="s">
        <v>174</v>
      </c>
      <c r="J52" s="65" t="s">
        <v>175</v>
      </c>
      <c r="K52" s="69"/>
      <c r="L52" s="65"/>
    </row>
    <row r="53" spans="1:12" s="60" customFormat="1" ht="84.6" customHeight="1" x14ac:dyDescent="0.25">
      <c r="A53" s="25"/>
      <c r="B53" s="88"/>
      <c r="C53" s="70" t="s">
        <v>77</v>
      </c>
      <c r="D53" s="70" t="str">
        <f>[2]Cascading!$Y$42</f>
        <v>Jumlah Kenaikan Kelas Kelompok Tani</v>
      </c>
      <c r="E53" s="80"/>
      <c r="F53" s="14"/>
      <c r="G53" s="80" t="s">
        <v>201</v>
      </c>
      <c r="H53" s="14" t="s">
        <v>80</v>
      </c>
      <c r="I53" s="80" t="s">
        <v>176</v>
      </c>
      <c r="J53" s="14" t="s">
        <v>80</v>
      </c>
      <c r="K53" s="80"/>
      <c r="L53" s="14"/>
    </row>
    <row r="54" spans="1:12" s="60" customFormat="1" ht="68.25" customHeight="1" x14ac:dyDescent="0.25">
      <c r="A54" s="25"/>
      <c r="B54" s="88"/>
      <c r="C54" s="70"/>
      <c r="D54" s="6" t="s">
        <v>154</v>
      </c>
      <c r="E54" s="14"/>
      <c r="F54" s="14"/>
      <c r="G54" s="14">
        <v>148</v>
      </c>
      <c r="H54" s="14" t="s">
        <v>84</v>
      </c>
      <c r="I54" s="14" t="s">
        <v>177</v>
      </c>
      <c r="J54" s="14" t="s">
        <v>84</v>
      </c>
      <c r="K54" s="14"/>
      <c r="L54" s="14"/>
    </row>
    <row r="55" spans="1:12" s="60" customFormat="1" ht="48" customHeight="1" x14ac:dyDescent="0.25">
      <c r="A55" s="25"/>
      <c r="B55" s="88"/>
      <c r="C55" s="70"/>
      <c r="D55" s="6"/>
      <c r="E55" s="14"/>
      <c r="F55" s="14"/>
      <c r="G55" s="14">
        <v>11</v>
      </c>
      <c r="H55" s="14" t="s">
        <v>179</v>
      </c>
      <c r="I55" s="14" t="s">
        <v>178</v>
      </c>
      <c r="J55" s="14" t="s">
        <v>179</v>
      </c>
      <c r="K55" s="14"/>
      <c r="L55" s="14"/>
    </row>
    <row r="56" spans="1:12" s="60" customFormat="1" ht="15.75" x14ac:dyDescent="0.25">
      <c r="A56" s="25"/>
      <c r="B56" s="88"/>
      <c r="C56" s="70"/>
      <c r="D56" s="6"/>
      <c r="E56" s="14"/>
      <c r="F56" s="14"/>
      <c r="G56" s="14">
        <v>1</v>
      </c>
      <c r="H56" s="14" t="s">
        <v>181</v>
      </c>
      <c r="I56" s="14" t="s">
        <v>180</v>
      </c>
      <c r="J56" s="14" t="s">
        <v>181</v>
      </c>
      <c r="K56" s="14"/>
      <c r="L56" s="14"/>
    </row>
    <row r="57" spans="1:12" s="60" customFormat="1" ht="104.45" customHeight="1" x14ac:dyDescent="0.25">
      <c r="A57" s="25"/>
      <c r="B57" s="88"/>
      <c r="C57" s="2" t="s">
        <v>79</v>
      </c>
      <c r="D57" s="9" t="s">
        <v>155</v>
      </c>
      <c r="E57" s="81"/>
      <c r="F57" s="65"/>
      <c r="G57" s="81" t="s">
        <v>199</v>
      </c>
      <c r="H57" s="65" t="s">
        <v>80</v>
      </c>
      <c r="I57" s="81" t="s">
        <v>169</v>
      </c>
      <c r="J57" s="65" t="s">
        <v>80</v>
      </c>
      <c r="K57" s="81"/>
      <c r="L57" s="65"/>
    </row>
    <row r="58" spans="1:12" s="60" customFormat="1" ht="117.6" customHeight="1" x14ac:dyDescent="0.25">
      <c r="A58" s="25"/>
      <c r="B58" s="88"/>
      <c r="C58" s="2"/>
      <c r="D58" s="9" t="s">
        <v>78</v>
      </c>
      <c r="E58" s="82"/>
      <c r="F58" s="65"/>
      <c r="G58" s="82"/>
      <c r="H58" s="65"/>
      <c r="I58" s="82" t="s">
        <v>182</v>
      </c>
      <c r="J58" s="65" t="s">
        <v>183</v>
      </c>
      <c r="K58" s="82"/>
      <c r="L58" s="65"/>
    </row>
    <row r="59" spans="1:12" s="60" customFormat="1" ht="110.25" x14ac:dyDescent="0.25">
      <c r="A59" s="25"/>
      <c r="B59" s="88"/>
      <c r="C59" s="2" t="s">
        <v>105</v>
      </c>
      <c r="D59" s="9" t="s">
        <v>156</v>
      </c>
      <c r="E59" s="69"/>
      <c r="F59" s="65"/>
      <c r="G59" s="69">
        <v>11</v>
      </c>
      <c r="H59" s="65" t="s">
        <v>179</v>
      </c>
      <c r="I59" s="69" t="s">
        <v>184</v>
      </c>
      <c r="J59" s="65" t="s">
        <v>179</v>
      </c>
      <c r="K59" s="69"/>
      <c r="L59" s="65"/>
    </row>
    <row r="60" spans="1:12" s="60" customFormat="1" ht="118.15" customHeight="1" x14ac:dyDescent="0.25">
      <c r="A60" s="25">
        <v>2</v>
      </c>
      <c r="B60" s="88" t="s">
        <v>21</v>
      </c>
      <c r="C60" s="76" t="s">
        <v>106</v>
      </c>
      <c r="D60" s="83" t="s">
        <v>157</v>
      </c>
      <c r="E60" s="66"/>
      <c r="F60" s="66"/>
      <c r="G60" s="66">
        <v>86.42</v>
      </c>
      <c r="H60" s="84" t="s">
        <v>209</v>
      </c>
      <c r="I60" s="67" t="s">
        <v>185</v>
      </c>
      <c r="J60" s="66"/>
      <c r="K60" s="66"/>
      <c r="L60" s="66"/>
    </row>
    <row r="61" spans="1:12" s="60" customFormat="1" ht="78.75" x14ac:dyDescent="0.25">
      <c r="A61" s="25"/>
      <c r="B61" s="88"/>
      <c r="C61" s="3" t="s">
        <v>49</v>
      </c>
      <c r="D61" s="85" t="str">
        <f>[1]Cascading!$Y$48</f>
        <v xml:space="preserve">Terpenuhinya dokumen perencanaan dan evaluasi perangkat daerah </v>
      </c>
      <c r="E61" s="81"/>
      <c r="F61" s="65"/>
      <c r="G61" s="81" t="s">
        <v>173</v>
      </c>
      <c r="H61" s="65" t="s">
        <v>80</v>
      </c>
      <c r="I61" s="81" t="s">
        <v>186</v>
      </c>
      <c r="J61" s="65" t="s">
        <v>80</v>
      </c>
      <c r="K61" s="81"/>
      <c r="L61" s="65"/>
    </row>
    <row r="62" spans="1:12" s="60" customFormat="1" ht="63" x14ac:dyDescent="0.25">
      <c r="A62" s="25"/>
      <c r="B62" s="88"/>
      <c r="C62" s="2" t="s">
        <v>50</v>
      </c>
      <c r="D62" s="4" t="s">
        <v>158</v>
      </c>
      <c r="E62" s="81"/>
      <c r="F62" s="65"/>
      <c r="G62" s="81" t="s">
        <v>187</v>
      </c>
      <c r="H62" s="65" t="s">
        <v>188</v>
      </c>
      <c r="I62" s="81" t="s">
        <v>187</v>
      </c>
      <c r="J62" s="65" t="s">
        <v>188</v>
      </c>
      <c r="K62" s="81"/>
      <c r="L62" s="65"/>
    </row>
    <row r="63" spans="1:12" s="60" customFormat="1" ht="176.45" customHeight="1" x14ac:dyDescent="0.25">
      <c r="A63" s="25"/>
      <c r="B63" s="88"/>
      <c r="C63" s="2" t="s">
        <v>51</v>
      </c>
      <c r="D63" s="4" t="s">
        <v>159</v>
      </c>
      <c r="E63" s="81"/>
      <c r="F63" s="65"/>
      <c r="G63" s="81" t="s">
        <v>189</v>
      </c>
      <c r="H63" s="65" t="s">
        <v>188</v>
      </c>
      <c r="I63" s="81" t="s">
        <v>189</v>
      </c>
      <c r="J63" s="65" t="s">
        <v>188</v>
      </c>
      <c r="K63" s="81"/>
      <c r="L63" s="65"/>
    </row>
    <row r="64" spans="1:12" s="60" customFormat="1" ht="84.75" customHeight="1" x14ac:dyDescent="0.25">
      <c r="A64" s="25"/>
      <c r="B64" s="88"/>
      <c r="C64" s="3" t="s">
        <v>52</v>
      </c>
      <c r="D64" s="6" t="str">
        <f>[1]Cascading!$Y$54</f>
        <v>Tingkat pemenuhan aspek kualitas dokumen Keuangan daerah</v>
      </c>
      <c r="E64" s="80"/>
      <c r="F64" s="14"/>
      <c r="G64" s="80" t="s">
        <v>173</v>
      </c>
      <c r="H64" s="14" t="s">
        <v>80</v>
      </c>
      <c r="I64" s="80" t="s">
        <v>186</v>
      </c>
      <c r="J64" s="14" t="s">
        <v>80</v>
      </c>
      <c r="K64" s="80"/>
      <c r="L64" s="14"/>
    </row>
    <row r="65" spans="1:12" s="60" customFormat="1" ht="47.25" x14ac:dyDescent="0.25">
      <c r="A65" s="25"/>
      <c r="B65" s="88"/>
      <c r="C65" s="2" t="s">
        <v>53</v>
      </c>
      <c r="D65" s="12" t="s">
        <v>160</v>
      </c>
      <c r="E65" s="69"/>
      <c r="F65" s="65"/>
      <c r="G65" s="69">
        <v>12</v>
      </c>
      <c r="H65" s="65" t="s">
        <v>191</v>
      </c>
      <c r="I65" s="69" t="s">
        <v>190</v>
      </c>
      <c r="J65" s="65" t="s">
        <v>191</v>
      </c>
      <c r="K65" s="69"/>
      <c r="L65" s="65"/>
    </row>
    <row r="66" spans="1:12" s="60" customFormat="1" ht="95.25" customHeight="1" x14ac:dyDescent="0.25">
      <c r="A66" s="25"/>
      <c r="B66" s="88"/>
      <c r="C66" s="2" t="s">
        <v>54</v>
      </c>
      <c r="D66" s="12" t="s">
        <v>161</v>
      </c>
      <c r="E66" s="69"/>
      <c r="F66" s="65"/>
      <c r="G66" s="69">
        <v>12</v>
      </c>
      <c r="H66" s="65" t="s">
        <v>191</v>
      </c>
      <c r="I66" s="69" t="s">
        <v>190</v>
      </c>
      <c r="J66" s="65" t="s">
        <v>191</v>
      </c>
      <c r="K66" s="69"/>
      <c r="L66" s="65"/>
    </row>
    <row r="67" spans="1:12" s="60" customFormat="1" ht="93.6" customHeight="1" x14ac:dyDescent="0.25">
      <c r="A67" s="25"/>
      <c r="B67" s="88"/>
      <c r="C67" s="2" t="s">
        <v>55</v>
      </c>
      <c r="D67" s="12" t="s">
        <v>162</v>
      </c>
      <c r="E67" s="69"/>
      <c r="F67" s="65"/>
      <c r="G67" s="69">
        <v>12</v>
      </c>
      <c r="H67" s="65" t="s">
        <v>191</v>
      </c>
      <c r="I67" s="69" t="s">
        <v>190</v>
      </c>
      <c r="J67" s="65" t="s">
        <v>191</v>
      </c>
      <c r="K67" s="69"/>
      <c r="L67" s="65"/>
    </row>
    <row r="68" spans="1:12" s="60" customFormat="1" ht="78.75" customHeight="1" x14ac:dyDescent="0.25">
      <c r="A68" s="25"/>
      <c r="B68" s="88"/>
      <c r="C68" s="2" t="s">
        <v>107</v>
      </c>
      <c r="D68" s="12" t="s">
        <v>161</v>
      </c>
      <c r="E68" s="69"/>
      <c r="F68" s="65"/>
      <c r="G68" s="69">
        <v>2</v>
      </c>
      <c r="H68" s="65" t="s">
        <v>191</v>
      </c>
      <c r="I68" s="69" t="s">
        <v>192</v>
      </c>
      <c r="J68" s="65" t="s">
        <v>191</v>
      </c>
      <c r="K68" s="69"/>
      <c r="L68" s="65"/>
    </row>
    <row r="69" spans="1:12" s="60" customFormat="1" ht="78.75" customHeight="1" x14ac:dyDescent="0.25">
      <c r="A69" s="25"/>
      <c r="B69" s="88"/>
      <c r="C69" s="3" t="s">
        <v>56</v>
      </c>
      <c r="D69" s="70" t="str">
        <f>[1]Cascading!$Y$58</f>
        <v>Indeks Kepuasan Layanan</v>
      </c>
      <c r="E69" s="80"/>
      <c r="F69" s="14"/>
      <c r="G69" s="80" t="s">
        <v>173</v>
      </c>
      <c r="H69" s="14" t="s">
        <v>80</v>
      </c>
      <c r="I69" s="80" t="s">
        <v>186</v>
      </c>
      <c r="J69" s="14" t="s">
        <v>80</v>
      </c>
      <c r="K69" s="80"/>
      <c r="L69" s="14"/>
    </row>
    <row r="70" spans="1:12" s="60" customFormat="1" ht="112.5" customHeight="1" x14ac:dyDescent="0.25">
      <c r="A70" s="25"/>
      <c r="B70" s="88"/>
      <c r="C70" s="2" t="s">
        <v>108</v>
      </c>
      <c r="D70" s="2" t="s">
        <v>163</v>
      </c>
      <c r="E70" s="69"/>
      <c r="F70" s="65"/>
      <c r="G70" s="69">
        <v>12</v>
      </c>
      <c r="H70" s="65" t="s">
        <v>191</v>
      </c>
      <c r="I70" s="69" t="s">
        <v>190</v>
      </c>
      <c r="J70" s="65" t="s">
        <v>191</v>
      </c>
      <c r="K70" s="69"/>
      <c r="L70" s="65"/>
    </row>
    <row r="71" spans="1:12" s="60" customFormat="1" ht="78.75" x14ac:dyDescent="0.25">
      <c r="A71" s="25"/>
      <c r="B71" s="88"/>
      <c r="C71" s="2" t="s">
        <v>109</v>
      </c>
      <c r="D71" s="2" t="s">
        <v>163</v>
      </c>
      <c r="E71" s="69"/>
      <c r="F71" s="65"/>
      <c r="G71" s="69">
        <v>12</v>
      </c>
      <c r="H71" s="65" t="s">
        <v>191</v>
      </c>
      <c r="I71" s="69" t="s">
        <v>190</v>
      </c>
      <c r="J71" s="65" t="s">
        <v>191</v>
      </c>
      <c r="K71" s="69"/>
      <c r="L71" s="65"/>
    </row>
    <row r="72" spans="1:12" s="60" customFormat="1" ht="107.45" customHeight="1" x14ac:dyDescent="0.25">
      <c r="A72" s="25"/>
      <c r="B72" s="88"/>
      <c r="C72" s="2" t="s">
        <v>110</v>
      </c>
      <c r="D72" s="2" t="s">
        <v>163</v>
      </c>
      <c r="E72" s="69"/>
      <c r="F72" s="65"/>
      <c r="G72" s="69">
        <v>12</v>
      </c>
      <c r="H72" s="65" t="s">
        <v>191</v>
      </c>
      <c r="I72" s="69" t="s">
        <v>190</v>
      </c>
      <c r="J72" s="65" t="s">
        <v>191</v>
      </c>
      <c r="K72" s="69"/>
      <c r="L72" s="65"/>
    </row>
    <row r="73" spans="1:12" s="60" customFormat="1" ht="108.6" customHeight="1" x14ac:dyDescent="0.25">
      <c r="A73" s="25"/>
      <c r="B73" s="88"/>
      <c r="C73" s="2" t="s">
        <v>57</v>
      </c>
      <c r="D73" s="2" t="s">
        <v>163</v>
      </c>
      <c r="E73" s="69"/>
      <c r="F73" s="65"/>
      <c r="G73" s="69">
        <v>12</v>
      </c>
      <c r="H73" s="65" t="s">
        <v>191</v>
      </c>
      <c r="I73" s="69" t="s">
        <v>190</v>
      </c>
      <c r="J73" s="65" t="s">
        <v>191</v>
      </c>
      <c r="K73" s="69"/>
      <c r="L73" s="65"/>
    </row>
    <row r="74" spans="1:12" s="60" customFormat="1" ht="94.5" customHeight="1" x14ac:dyDescent="0.25">
      <c r="A74" s="25"/>
      <c r="B74" s="88"/>
      <c r="C74" s="2" t="s">
        <v>58</v>
      </c>
      <c r="D74" s="2" t="s">
        <v>163</v>
      </c>
      <c r="E74" s="69"/>
      <c r="F74" s="65"/>
      <c r="G74" s="69">
        <v>12</v>
      </c>
      <c r="H74" s="65" t="s">
        <v>191</v>
      </c>
      <c r="I74" s="69" t="s">
        <v>190</v>
      </c>
      <c r="J74" s="65" t="s">
        <v>191</v>
      </c>
      <c r="K74" s="69"/>
      <c r="L74" s="65"/>
    </row>
    <row r="75" spans="1:12" s="60" customFormat="1" ht="66" customHeight="1" x14ac:dyDescent="0.25">
      <c r="A75" s="25"/>
      <c r="B75" s="88"/>
      <c r="C75" s="3" t="s">
        <v>59</v>
      </c>
      <c r="D75" s="70" t="str">
        <f>[1]Cascading!$Y$63</f>
        <v>Persentase kesesuaian penyediaan jasa</v>
      </c>
      <c r="E75" s="72"/>
      <c r="F75" s="65"/>
      <c r="G75" s="72">
        <v>12</v>
      </c>
      <c r="H75" s="65" t="s">
        <v>191</v>
      </c>
      <c r="I75" s="72" t="s">
        <v>190</v>
      </c>
      <c r="J75" s="65" t="s">
        <v>191</v>
      </c>
      <c r="K75" s="72"/>
      <c r="L75" s="65"/>
    </row>
    <row r="76" spans="1:12" s="60" customFormat="1" ht="50.45" customHeight="1" x14ac:dyDescent="0.25">
      <c r="A76" s="25"/>
      <c r="B76" s="88"/>
      <c r="C76" s="2" t="s">
        <v>111</v>
      </c>
      <c r="D76" s="2" t="str">
        <f>[1]Cascading!$Y$63</f>
        <v>Persentase kesesuaian penyediaan jasa</v>
      </c>
      <c r="E76" s="69"/>
      <c r="F76" s="65"/>
      <c r="G76" s="69">
        <v>12</v>
      </c>
      <c r="H76" s="65" t="s">
        <v>191</v>
      </c>
      <c r="I76" s="69" t="s">
        <v>190</v>
      </c>
      <c r="J76" s="65" t="s">
        <v>191</v>
      </c>
      <c r="K76" s="69"/>
      <c r="L76" s="65"/>
    </row>
    <row r="77" spans="1:12" s="60" customFormat="1" ht="55.9" customHeight="1" x14ac:dyDescent="0.25">
      <c r="A77" s="25"/>
      <c r="B77" s="88"/>
      <c r="C77" s="2" t="s">
        <v>60</v>
      </c>
      <c r="D77" s="2" t="str">
        <f>[1]Cascading!$Y$63</f>
        <v>Persentase kesesuaian penyediaan jasa</v>
      </c>
      <c r="E77" s="69"/>
      <c r="F77" s="65"/>
      <c r="G77" s="69">
        <v>12</v>
      </c>
      <c r="H77" s="65" t="s">
        <v>191</v>
      </c>
      <c r="I77" s="69" t="s">
        <v>190</v>
      </c>
      <c r="J77" s="65" t="s">
        <v>191</v>
      </c>
      <c r="K77" s="69"/>
      <c r="L77" s="65"/>
    </row>
    <row r="78" spans="1:12" s="60" customFormat="1" ht="78.75" x14ac:dyDescent="0.25">
      <c r="A78" s="25"/>
      <c r="B78" s="88"/>
      <c r="C78" s="2" t="s">
        <v>112</v>
      </c>
      <c r="D78" s="2" t="str">
        <f>[1]Cascading!$Y$63</f>
        <v>Persentase kesesuaian penyediaan jasa</v>
      </c>
      <c r="E78" s="69"/>
      <c r="F78" s="65"/>
      <c r="G78" s="69">
        <v>12</v>
      </c>
      <c r="H78" s="65" t="s">
        <v>191</v>
      </c>
      <c r="I78" s="69" t="s">
        <v>190</v>
      </c>
      <c r="J78" s="65" t="s">
        <v>191</v>
      </c>
      <c r="K78" s="69"/>
      <c r="L78" s="65"/>
    </row>
    <row r="79" spans="1:12" s="60" customFormat="1" ht="63" x14ac:dyDescent="0.25">
      <c r="A79" s="25"/>
      <c r="B79" s="88"/>
      <c r="C79" s="2" t="s">
        <v>113</v>
      </c>
      <c r="D79" s="2" t="str">
        <f>[1]Cascading!$Y$63</f>
        <v>Persentase kesesuaian penyediaan jasa</v>
      </c>
      <c r="E79" s="69"/>
      <c r="F79" s="65"/>
      <c r="G79" s="69">
        <v>12</v>
      </c>
      <c r="H79" s="65" t="s">
        <v>191</v>
      </c>
      <c r="I79" s="69" t="s">
        <v>190</v>
      </c>
      <c r="J79" s="65" t="s">
        <v>191</v>
      </c>
      <c r="K79" s="69"/>
      <c r="L79" s="65"/>
    </row>
    <row r="80" spans="1:12" s="60" customFormat="1" ht="110.25" x14ac:dyDescent="0.25">
      <c r="A80" s="25"/>
      <c r="B80" s="88"/>
      <c r="C80" s="3" t="s">
        <v>61</v>
      </c>
      <c r="D80" s="70" t="str">
        <f>[1]Cascading!$Y$67</f>
        <v>Persentase Pemeliharaan Barang sesuai kebutuhan</v>
      </c>
      <c r="E80" s="80"/>
      <c r="F80" s="14"/>
      <c r="G80" s="80" t="s">
        <v>186</v>
      </c>
      <c r="H80" s="14"/>
      <c r="I80" s="80" t="s">
        <v>186</v>
      </c>
      <c r="J80" s="14"/>
      <c r="K80" s="80"/>
      <c r="L80" s="14"/>
    </row>
    <row r="81" spans="1:12" s="60" customFormat="1" ht="110.25" customHeight="1" x14ac:dyDescent="0.25">
      <c r="A81" s="25"/>
      <c r="B81" s="88"/>
      <c r="C81" s="2" t="s">
        <v>114</v>
      </c>
      <c r="D81" s="12" t="s">
        <v>164</v>
      </c>
      <c r="E81" s="69"/>
      <c r="F81" s="65"/>
      <c r="G81" s="69">
        <v>12</v>
      </c>
      <c r="H81" s="65" t="s">
        <v>191</v>
      </c>
      <c r="I81" s="69" t="s">
        <v>190</v>
      </c>
      <c r="J81" s="65" t="s">
        <v>191</v>
      </c>
      <c r="K81" s="69"/>
      <c r="L81" s="65"/>
    </row>
    <row r="82" spans="1:12" s="60" customFormat="1" ht="125.45" customHeight="1" x14ac:dyDescent="0.25">
      <c r="A82" s="25"/>
      <c r="B82" s="88"/>
      <c r="C82" s="2" t="s">
        <v>115</v>
      </c>
      <c r="D82" s="12" t="s">
        <v>164</v>
      </c>
      <c r="E82" s="69"/>
      <c r="F82" s="65"/>
      <c r="G82" s="69">
        <v>12</v>
      </c>
      <c r="H82" s="65" t="s">
        <v>191</v>
      </c>
      <c r="I82" s="69" t="s">
        <v>190</v>
      </c>
      <c r="J82" s="65" t="s">
        <v>191</v>
      </c>
      <c r="K82" s="69"/>
      <c r="L82" s="65"/>
    </row>
    <row r="83" spans="1:12" s="60" customFormat="1" ht="15.75" x14ac:dyDescent="0.25"/>
    <row r="84" spans="1:12" s="60" customFormat="1" ht="15.75" x14ac:dyDescent="0.25"/>
    <row r="85" spans="1:12" s="60" customFormat="1" ht="15.75" x14ac:dyDescent="0.25"/>
    <row r="86" spans="1:12" s="60" customFormat="1" ht="15.75" x14ac:dyDescent="0.25"/>
  </sheetData>
  <mergeCells count="26">
    <mergeCell ref="K8:L8"/>
    <mergeCell ref="K9:L10"/>
    <mergeCell ref="E7:F7"/>
    <mergeCell ref="E5:J6"/>
    <mergeCell ref="K7:L7"/>
    <mergeCell ref="I8:J8"/>
    <mergeCell ref="I9:J10"/>
    <mergeCell ref="I7:J7"/>
    <mergeCell ref="E9:F10"/>
    <mergeCell ref="G9:H10"/>
    <mergeCell ref="G8:H8"/>
    <mergeCell ref="G7:H7"/>
    <mergeCell ref="K5:L6"/>
    <mergeCell ref="A8:A10"/>
    <mergeCell ref="B8:B10"/>
    <mergeCell ref="C8:C10"/>
    <mergeCell ref="D8:D10"/>
    <mergeCell ref="E8:F8"/>
    <mergeCell ref="A5:A7"/>
    <mergeCell ref="B5:B7"/>
    <mergeCell ref="C5:C7"/>
    <mergeCell ref="D5:D7"/>
    <mergeCell ref="A1:L1"/>
    <mergeCell ref="A2:L2"/>
    <mergeCell ref="A3:L3"/>
    <mergeCell ref="A4:L4"/>
  </mergeCells>
  <pageMargins left="0.289370079" right="3.9370078740157501E-2" top="0.539370079" bottom="0.289370079" header="0" footer="0"/>
  <pageSetup paperSize="256" scale="60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Dinas Pertanian</vt:lpstr>
      <vt:lpstr>Dinas Pertanian (2)</vt:lpstr>
      <vt:lpstr>Target</vt:lpstr>
      <vt:lpstr>'Dinas Pertanian'!Print_Area</vt:lpstr>
      <vt:lpstr>'Dinas Pertanian (2)'!Print_Area</vt:lpstr>
      <vt:lpstr>Target!Print_Area</vt:lpstr>
      <vt:lpstr>'Dinas Pertanian'!Print_Titles</vt:lpstr>
      <vt:lpstr>'Dinas Pertanian (2)'!Print_Titles</vt:lpstr>
      <vt:lpstr>Target!Print_Titles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PE</cp:lastModifiedBy>
  <cp:lastPrinted>2022-07-19T04:59:08Z</cp:lastPrinted>
  <dcterms:created xsi:type="dcterms:W3CDTF">2020-03-18T05:59:44Z</dcterms:created>
  <dcterms:modified xsi:type="dcterms:W3CDTF">2023-01-11T00:59:42Z</dcterms:modified>
</cp:coreProperties>
</file>