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HAN KUMPUL BAPPEDA\Tabel E 75, E 80 dan E 81\TABEL E 81\"/>
    </mc:Choice>
  </mc:AlternateContent>
  <bookViews>
    <workbookView xWindow="0" yWindow="0" windowWidth="19815" windowHeight="7380"/>
  </bookViews>
  <sheets>
    <sheet name="Kalumpang" sheetId="1" r:id="rId1"/>
  </sheets>
  <definedNames>
    <definedName name="_xlnm.Print_Area" localSheetId="0">Kalumpang!$A$1:$AE$84</definedName>
    <definedName name="_xlnm.Print_Titles" localSheetId="0">Kalumpang!$7:$12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7" i="1" l="1"/>
  <c r="S58" i="1"/>
  <c r="Q50" i="1"/>
  <c r="Q51" i="1"/>
  <c r="S50" i="1"/>
  <c r="S51" i="1"/>
  <c r="S45" i="1"/>
  <c r="S46" i="1"/>
  <c r="S13" i="1"/>
  <c r="S40" i="1"/>
  <c r="S41" i="1"/>
  <c r="Q35" i="1"/>
  <c r="S35" i="1"/>
  <c r="S31" i="1"/>
  <c r="S22" i="1"/>
  <c r="S17" i="1"/>
  <c r="S14" i="1"/>
  <c r="Q29" i="1" l="1"/>
  <c r="M29" i="1"/>
  <c r="Q58" i="1" l="1"/>
  <c r="Q57" i="1" s="1"/>
  <c r="O58" i="1"/>
  <c r="O57" i="1"/>
  <c r="T22" i="1"/>
  <c r="Q54" i="1"/>
  <c r="Q53" i="1" s="1"/>
  <c r="Q46" i="1"/>
  <c r="Q45" i="1" s="1"/>
  <c r="P45" i="1"/>
  <c r="Q41" i="1"/>
  <c r="Q40" i="1" s="1"/>
  <c r="Q31" i="1"/>
  <c r="Q22" i="1"/>
  <c r="Q17" i="1"/>
  <c r="Q14" i="1"/>
  <c r="Q13" i="1" l="1"/>
  <c r="O54" i="1"/>
  <c r="O53" i="1" s="1"/>
  <c r="N45" i="1"/>
  <c r="O46" i="1"/>
  <c r="O45" i="1" s="1"/>
  <c r="O41" i="1"/>
  <c r="O40" i="1" s="1"/>
  <c r="O35" i="1"/>
  <c r="O31" i="1"/>
  <c r="O22" i="1"/>
  <c r="O13" i="1" s="1"/>
  <c r="O17" i="1"/>
  <c r="O14" i="1"/>
  <c r="I35" i="1" l="1"/>
  <c r="K35" i="1"/>
  <c r="I58" i="1" l="1"/>
  <c r="I57" i="1" s="1"/>
  <c r="I54" i="1"/>
  <c r="I53" i="1" s="1"/>
  <c r="I51" i="1"/>
  <c r="I50" i="1" s="1"/>
  <c r="I46" i="1"/>
  <c r="I45" i="1" s="1"/>
  <c r="G41" i="1"/>
  <c r="I41" i="1"/>
  <c r="K40" i="1"/>
  <c r="W42" i="1"/>
  <c r="X42" i="1" s="1"/>
  <c r="Z42" i="1"/>
  <c r="AB42" i="1" s="1"/>
  <c r="T41" i="1"/>
  <c r="U41" i="1" s="1"/>
  <c r="M41" i="1"/>
  <c r="W41" i="1" s="1"/>
  <c r="I43" i="1"/>
  <c r="I31" i="1"/>
  <c r="I29" i="1"/>
  <c r="I22" i="1"/>
  <c r="I17" i="1"/>
  <c r="I14" i="1"/>
  <c r="I40" i="1" l="1"/>
  <c r="X41" i="1"/>
  <c r="AA41" i="1"/>
  <c r="AD41" i="1" s="1"/>
  <c r="AA42" i="1"/>
  <c r="AD42" i="1" s="1"/>
  <c r="U42" i="1"/>
  <c r="Z41" i="1"/>
  <c r="AB41" i="1" s="1"/>
  <c r="I13" i="1"/>
  <c r="T18" i="1" l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1" i="1"/>
  <c r="T20" i="1"/>
  <c r="U20" i="1" s="1"/>
  <c r="T19" i="1"/>
  <c r="T16" i="1"/>
  <c r="T15" i="1"/>
  <c r="T13" i="1"/>
  <c r="U13" i="1" s="1"/>
  <c r="G62" i="1" l="1"/>
  <c r="G61" i="1"/>
  <c r="G60" i="1"/>
  <c r="G59" i="1"/>
  <c r="G56" i="1"/>
  <c r="G55" i="1"/>
  <c r="G52" i="1"/>
  <c r="G51" i="1" s="1"/>
  <c r="G50" i="1" s="1"/>
  <c r="G49" i="1"/>
  <c r="G48" i="1"/>
  <c r="G47" i="1"/>
  <c r="G43" i="1"/>
  <c r="G40" i="1" s="1"/>
  <c r="G39" i="1"/>
  <c r="G38" i="1"/>
  <c r="G37" i="1"/>
  <c r="G36" i="1"/>
  <c r="G34" i="1"/>
  <c r="G33" i="1"/>
  <c r="G32" i="1"/>
  <c r="G30" i="1"/>
  <c r="G29" i="1" s="1"/>
  <c r="G28" i="1"/>
  <c r="G27" i="1"/>
  <c r="G26" i="1"/>
  <c r="G25" i="1"/>
  <c r="G24" i="1"/>
  <c r="G23" i="1"/>
  <c r="G21" i="1"/>
  <c r="G20" i="1"/>
  <c r="G19" i="1"/>
  <c r="G18" i="1"/>
  <c r="G15" i="1"/>
  <c r="G16" i="1"/>
  <c r="G35" i="1" l="1"/>
  <c r="G54" i="1"/>
  <c r="G53" i="1" s="1"/>
  <c r="G58" i="1"/>
  <c r="G57" i="1" s="1"/>
  <c r="G31" i="1"/>
  <c r="G46" i="1"/>
  <c r="G45" i="1" s="1"/>
  <c r="G17" i="1"/>
  <c r="G14" i="1"/>
  <c r="G22" i="1"/>
  <c r="W60" i="1"/>
  <c r="X60" i="1" s="1"/>
  <c r="Z60" i="1"/>
  <c r="AB60" i="1" s="1"/>
  <c r="U61" i="1"/>
  <c r="W61" i="1"/>
  <c r="X61" i="1" s="1"/>
  <c r="W39" i="1"/>
  <c r="AA39" i="1" s="1"/>
  <c r="AD39" i="1" s="1"/>
  <c r="Z39" i="1"/>
  <c r="AB39" i="1" s="1"/>
  <c r="K29" i="1"/>
  <c r="W30" i="1"/>
  <c r="X30" i="1" s="1"/>
  <c r="Z30" i="1"/>
  <c r="AB30" i="1" s="1"/>
  <c r="Z29" i="1"/>
  <c r="AB29" i="1" s="1"/>
  <c r="W27" i="1"/>
  <c r="X27" i="1" s="1"/>
  <c r="Z27" i="1"/>
  <c r="AB27" i="1" s="1"/>
  <c r="G13" i="1" l="1"/>
  <c r="AA61" i="1"/>
  <c r="AD61" i="1" s="1"/>
  <c r="U27" i="1"/>
  <c r="U29" i="1"/>
  <c r="Z61" i="1"/>
  <c r="AB61" i="1" s="1"/>
  <c r="U60" i="1"/>
  <c r="U39" i="1"/>
  <c r="U30" i="1"/>
  <c r="AA60" i="1"/>
  <c r="AD60" i="1" s="1"/>
  <c r="X39" i="1"/>
  <c r="AA30" i="1"/>
  <c r="AD30" i="1" s="1"/>
  <c r="AA27" i="1"/>
  <c r="AD27" i="1" s="1"/>
  <c r="M14" i="1" l="1"/>
  <c r="W14" i="1" s="1"/>
  <c r="AA14" i="1" s="1"/>
  <c r="K14" i="1"/>
  <c r="M17" i="1"/>
  <c r="K17" i="1"/>
  <c r="M22" i="1"/>
  <c r="K22" i="1"/>
  <c r="M31" i="1"/>
  <c r="W29" i="1" s="1"/>
  <c r="K31" i="1"/>
  <c r="M35" i="1"/>
  <c r="M40" i="1"/>
  <c r="M46" i="1"/>
  <c r="M45" i="1" s="1"/>
  <c r="K46" i="1"/>
  <c r="K45" i="1" s="1"/>
  <c r="M51" i="1"/>
  <c r="M50" i="1" s="1"/>
  <c r="K51" i="1"/>
  <c r="K50" i="1" s="1"/>
  <c r="M54" i="1"/>
  <c r="M53" i="1" s="1"/>
  <c r="K54" i="1"/>
  <c r="K53" i="1" s="1"/>
  <c r="M58" i="1"/>
  <c r="M57" i="1" s="1"/>
  <c r="K58" i="1"/>
  <c r="K57" i="1" s="1"/>
  <c r="W38" i="1"/>
  <c r="X38" i="1" s="1"/>
  <c r="W37" i="1"/>
  <c r="X37" i="1" s="1"/>
  <c r="W20" i="1"/>
  <c r="X20" i="1" s="1"/>
  <c r="U38" i="1"/>
  <c r="U37" i="1"/>
  <c r="T17" i="1"/>
  <c r="J17" i="1"/>
  <c r="L14" i="1"/>
  <c r="T14" i="1" s="1"/>
  <c r="J14" i="1"/>
  <c r="M13" i="1" l="1"/>
  <c r="W13" i="1" s="1"/>
  <c r="AA13" i="1" s="1"/>
  <c r="AD13" i="1" s="1"/>
  <c r="X29" i="1"/>
  <c r="AA29" i="1"/>
  <c r="AD29" i="1" s="1"/>
  <c r="K13" i="1"/>
  <c r="W62" i="1"/>
  <c r="AA62" i="1" s="1"/>
  <c r="AD62" i="1" s="1"/>
  <c r="U62" i="1"/>
  <c r="W59" i="1"/>
  <c r="AA59" i="1" s="1"/>
  <c r="AD59" i="1" s="1"/>
  <c r="U59" i="1"/>
  <c r="Z58" i="1"/>
  <c r="AB58" i="1" s="1"/>
  <c r="W58" i="1"/>
  <c r="Z57" i="1"/>
  <c r="AB57" i="1" s="1"/>
  <c r="W57" i="1"/>
  <c r="W55" i="1"/>
  <c r="X55" i="1" s="1"/>
  <c r="U55" i="1"/>
  <c r="U54" i="1"/>
  <c r="Z53" i="1"/>
  <c r="AB53" i="1" s="1"/>
  <c r="U51" i="1"/>
  <c r="U50" i="1"/>
  <c r="U46" i="1"/>
  <c r="Z45" i="1"/>
  <c r="AB45" i="1" s="1"/>
  <c r="AA38" i="1"/>
  <c r="AD38" i="1" s="1"/>
  <c r="Z38" i="1"/>
  <c r="AB38" i="1" s="1"/>
  <c r="U35" i="1"/>
  <c r="Z36" i="1"/>
  <c r="AB36" i="1" s="1"/>
  <c r="W36" i="1"/>
  <c r="X36" i="1" s="1"/>
  <c r="W28" i="1"/>
  <c r="X28" i="1" s="1"/>
  <c r="U28" i="1"/>
  <c r="W26" i="1"/>
  <c r="X26" i="1" s="1"/>
  <c r="U26" i="1"/>
  <c r="W25" i="1"/>
  <c r="X25" i="1" s="1"/>
  <c r="U25" i="1"/>
  <c r="U22" i="1"/>
  <c r="U36" i="1" l="1"/>
  <c r="U45" i="1"/>
  <c r="U53" i="1"/>
  <c r="X59" i="1"/>
  <c r="AA25" i="1"/>
  <c r="AD25" i="1" s="1"/>
  <c r="AA36" i="1"/>
  <c r="AD36" i="1" s="1"/>
  <c r="Z28" i="1"/>
  <c r="AB28" i="1" s="1"/>
  <c r="AA55" i="1"/>
  <c r="AD55" i="1" s="1"/>
  <c r="U57" i="1"/>
  <c r="X62" i="1"/>
  <c r="AA26" i="1"/>
  <c r="AD26" i="1" s="1"/>
  <c r="AA28" i="1"/>
  <c r="AD28" i="1" s="1"/>
  <c r="X58" i="1"/>
  <c r="AA58" i="1"/>
  <c r="AD58" i="1" s="1"/>
  <c r="X57" i="1"/>
  <c r="AA57" i="1"/>
  <c r="AD57" i="1" s="1"/>
  <c r="W53" i="1"/>
  <c r="X53" i="1" s="1"/>
  <c r="Z59" i="1"/>
  <c r="AB59" i="1" s="1"/>
  <c r="Z62" i="1"/>
  <c r="AB62" i="1" s="1"/>
  <c r="U58" i="1"/>
  <c r="Z54" i="1"/>
  <c r="AB54" i="1" s="1"/>
  <c r="Z55" i="1"/>
  <c r="AB55" i="1" s="1"/>
  <c r="W54" i="1"/>
  <c r="W51" i="1"/>
  <c r="Z50" i="1"/>
  <c r="AB50" i="1" s="1"/>
  <c r="Z51" i="1"/>
  <c r="AB51" i="1" s="1"/>
  <c r="Z46" i="1"/>
  <c r="AB46" i="1" s="1"/>
  <c r="Z43" i="1"/>
  <c r="AB43" i="1" s="1"/>
  <c r="Z35" i="1"/>
  <c r="AB35" i="1" s="1"/>
  <c r="Z25" i="1"/>
  <c r="AB25" i="1" s="1"/>
  <c r="Z26" i="1"/>
  <c r="AB26" i="1" s="1"/>
  <c r="Z22" i="1"/>
  <c r="AB22" i="1" s="1"/>
  <c r="AA53" i="1" l="1"/>
  <c r="AD53" i="1" s="1"/>
  <c r="W45" i="1"/>
  <c r="AA45" i="1" s="1"/>
  <c r="AD45" i="1" s="1"/>
  <c r="W46" i="1"/>
  <c r="X54" i="1"/>
  <c r="AA54" i="1"/>
  <c r="AD54" i="1" s="1"/>
  <c r="W50" i="1"/>
  <c r="AA50" i="1" s="1"/>
  <c r="AA51" i="1"/>
  <c r="AD51" i="1" s="1"/>
  <c r="X51" i="1"/>
  <c r="AA43" i="1"/>
  <c r="AD43" i="1" s="1"/>
  <c r="X45" i="1" l="1"/>
  <c r="AA46" i="1"/>
  <c r="AD46" i="1" s="1"/>
  <c r="X46" i="1"/>
  <c r="AD50" i="1"/>
  <c r="X50" i="1"/>
  <c r="W35" i="1" l="1"/>
  <c r="AA37" i="1"/>
  <c r="AD37" i="1" s="1"/>
  <c r="Z37" i="1"/>
  <c r="AB37" i="1" s="1"/>
  <c r="W22" i="1" l="1"/>
  <c r="AA22" i="1" s="1"/>
  <c r="AD22" i="1" s="1"/>
  <c r="AA35" i="1"/>
  <c r="AD35" i="1" s="1"/>
  <c r="X35" i="1" l="1"/>
  <c r="X22" i="1" l="1"/>
  <c r="W52" i="1"/>
  <c r="AA52" i="1" l="1"/>
  <c r="AD52" i="1" s="1"/>
  <c r="X52" i="1"/>
  <c r="Z52" i="1"/>
  <c r="AB52" i="1" s="1"/>
  <c r="U52" i="1"/>
  <c r="Z44" i="1" l="1"/>
  <c r="AB44" i="1" s="1"/>
  <c r="AA44" i="1"/>
  <c r="AD44" i="1" s="1"/>
  <c r="Z14" i="1" l="1"/>
  <c r="AB14" i="1" s="1"/>
  <c r="U14" i="1"/>
  <c r="W34" i="1"/>
  <c r="AA34" i="1" l="1"/>
  <c r="AD34" i="1" s="1"/>
  <c r="X34" i="1"/>
  <c r="Z34" i="1"/>
  <c r="AB34" i="1" s="1"/>
  <c r="U34" i="1"/>
  <c r="W56" i="1"/>
  <c r="W49" i="1"/>
  <c r="W48" i="1"/>
  <c r="W47" i="1"/>
  <c r="W40" i="1"/>
  <c r="W33" i="1"/>
  <c r="W32" i="1"/>
  <c r="W31" i="1"/>
  <c r="W24" i="1"/>
  <c r="W23" i="1"/>
  <c r="AH21" i="1"/>
  <c r="W21" i="1"/>
  <c r="AH20" i="1"/>
  <c r="AH19" i="1"/>
  <c r="W19" i="1"/>
  <c r="AH18" i="1"/>
  <c r="W18" i="1"/>
  <c r="W17" i="1"/>
  <c r="W15" i="1"/>
  <c r="W16" i="1"/>
  <c r="AH13" i="1"/>
  <c r="Z15" i="1" l="1"/>
  <c r="AB15" i="1" s="1"/>
  <c r="U15" i="1"/>
  <c r="Z23" i="1"/>
  <c r="AB23" i="1" s="1"/>
  <c r="U23" i="1"/>
  <c r="Z33" i="1"/>
  <c r="AB33" i="1" s="1"/>
  <c r="U33" i="1"/>
  <c r="Z49" i="1"/>
  <c r="AB49" i="1" s="1"/>
  <c r="U49" i="1"/>
  <c r="AA15" i="1"/>
  <c r="AD15" i="1" s="1"/>
  <c r="X15" i="1"/>
  <c r="AA31" i="1"/>
  <c r="AD31" i="1" s="1"/>
  <c r="X31" i="1"/>
  <c r="AA33" i="1"/>
  <c r="AD33" i="1" s="1"/>
  <c r="X33" i="1"/>
  <c r="AA49" i="1"/>
  <c r="AD49" i="1" s="1"/>
  <c r="X49" i="1"/>
  <c r="X13" i="1"/>
  <c r="Z18" i="1"/>
  <c r="AB18" i="1" s="1"/>
  <c r="U18" i="1"/>
  <c r="Z31" i="1"/>
  <c r="AB31" i="1" s="1"/>
  <c r="U31" i="1"/>
  <c r="Z47" i="1"/>
  <c r="AB47" i="1" s="1"/>
  <c r="U47" i="1"/>
  <c r="AA18" i="1"/>
  <c r="AD18" i="1" s="1"/>
  <c r="X18" i="1"/>
  <c r="Z21" i="1"/>
  <c r="AB21" i="1" s="1"/>
  <c r="U21" i="1"/>
  <c r="AA23" i="1"/>
  <c r="AD23" i="1" s="1"/>
  <c r="X23" i="1"/>
  <c r="AA47" i="1"/>
  <c r="AD47" i="1" s="1"/>
  <c r="X47" i="1"/>
  <c r="Z16" i="1"/>
  <c r="AB16" i="1" s="1"/>
  <c r="U16" i="1"/>
  <c r="Z17" i="1"/>
  <c r="AB17" i="1" s="1"/>
  <c r="U17" i="1"/>
  <c r="Z20" i="1"/>
  <c r="AB20" i="1" s="1"/>
  <c r="AA21" i="1"/>
  <c r="AD21" i="1" s="1"/>
  <c r="X21" i="1"/>
  <c r="Z24" i="1"/>
  <c r="AB24" i="1" s="1"/>
  <c r="U24" i="1"/>
  <c r="Z32" i="1"/>
  <c r="AB32" i="1" s="1"/>
  <c r="U32" i="1"/>
  <c r="Z40" i="1"/>
  <c r="AB40" i="1" s="1"/>
  <c r="U40" i="1"/>
  <c r="Z48" i="1"/>
  <c r="AB48" i="1" s="1"/>
  <c r="U48" i="1"/>
  <c r="Z56" i="1"/>
  <c r="AB56" i="1" s="1"/>
  <c r="U56" i="1"/>
  <c r="AA19" i="1"/>
  <c r="AD19" i="1" s="1"/>
  <c r="X19" i="1"/>
  <c r="AA16" i="1"/>
  <c r="AD16" i="1" s="1"/>
  <c r="X16" i="1"/>
  <c r="AA17" i="1"/>
  <c r="AD17" i="1" s="1"/>
  <c r="X17" i="1"/>
  <c r="Z19" i="1"/>
  <c r="AB19" i="1" s="1"/>
  <c r="U19" i="1"/>
  <c r="AA20" i="1"/>
  <c r="AD20" i="1" s="1"/>
  <c r="AA24" i="1"/>
  <c r="AD24" i="1" s="1"/>
  <c r="X24" i="1"/>
  <c r="AA32" i="1"/>
  <c r="AD32" i="1" s="1"/>
  <c r="X32" i="1"/>
  <c r="AA40" i="1"/>
  <c r="AD40" i="1" s="1"/>
  <c r="X40" i="1"/>
  <c r="AA48" i="1"/>
  <c r="AD48" i="1" s="1"/>
  <c r="X48" i="1"/>
  <c r="AA56" i="1"/>
  <c r="AD56" i="1" s="1"/>
  <c r="X56" i="1"/>
  <c r="Z13" i="1"/>
  <c r="AB13" i="1" s="1"/>
  <c r="X63" i="1" l="1"/>
  <c r="X64" i="1" s="1"/>
  <c r="U63" i="1"/>
  <c r="U64" i="1" l="1"/>
</calcChain>
</file>

<file path=xl/sharedStrings.xml><?xml version="1.0" encoding="utf-8"?>
<sst xmlns="http://schemas.openxmlformats.org/spreadsheetml/2006/main" count="391" uniqueCount="182">
  <si>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</si>
  <si>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</si>
  <si>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</si>
  <si>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</si>
  <si>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</si>
  <si>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</si>
  <si>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</si>
  <si>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</si>
  <si>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</si>
  <si>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</si>
  <si>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</si>
  <si>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</si>
  <si>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</si>
  <si>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</si>
  <si>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</si>
  <si>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</si>
  <si>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</si>
  <si>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</si>
  <si>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</si>
  <si>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</si>
  <si>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</si>
  <si>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</si>
  <si>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</si>
  <si>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</si>
  <si>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</si>
  <si>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</si>
  <si>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</si>
  <si>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</si>
  <si>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</si>
  <si>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</si>
  <si>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</si>
  <si>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</si>
  <si>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</si>
  <si>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</si>
  <si>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</si>
  <si>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</si>
  <si>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</si>
  <si>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</si>
  <si>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</si>
  <si>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</si>
  <si>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</si>
  <si>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</si>
  <si>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Dok</t>
  </si>
  <si>
    <t>%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</si>
  <si>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</si>
  <si>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</si>
  <si>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</si>
  <si>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</si>
  <si>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</si>
  <si>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</si>
  <si>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</si>
  <si>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</si>
  <si>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</si>
  <si>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</si>
  <si>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</si>
  <si>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</si>
  <si>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</si>
  <si>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</si>
  <si>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</si>
  <si>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</si>
  <si>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</si>
  <si>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</si>
  <si>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</si>
  <si>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</si>
  <si>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</si>
  <si>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</si>
  <si>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</si>
  <si>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</si>
  <si>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</si>
  <si>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</si>
  <si>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Pemeliharaan/Rehabilitasi Sarana dan Prasarana Gedung Kantor atau Bangunan Lainnya</t>
  </si>
  <si>
    <t>Program Penyelenggaraan Pemerintahan Dan Pelayanan Publik</t>
  </si>
  <si>
    <t>Pelaksanaan Urusan Pemerintahan yang Dilimpahkan kepada Camat</t>
  </si>
  <si>
    <t>Pelaksanaan Urusan Pemerintahan yang terkait dengan Kewenangan Lain yang Dilimpahkan</t>
  </si>
  <si>
    <t>Program Pemberdayaan Masyarakat Desa Dan Kelurahan</t>
  </si>
  <si>
    <t>Koordinasi Kegiatan Pemberdayaan Desa</t>
  </si>
  <si>
    <t>Peningkatan Partisipasi Masyarakat dalam Forum Musyawarah Perencanaan Pembangunan di Desa</t>
  </si>
  <si>
    <t>Sinkronisasi Program Kerja dan Kegiatan Pemberdayaan Masyarakat yang Dilakukan oleh Pemerintah dan Swasta di Wilayah Kerja Kecamatan</t>
  </si>
  <si>
    <t>Peningkatan Efektifitas Kegiatan Pemberdayaan Masyarakat di Wilayah Kecamatan</t>
  </si>
  <si>
    <t>Program Koordinasi Ketentraman Dan Ketertiban Umum</t>
  </si>
  <si>
    <t>Koordinasi Upaya Penyelenggaraan Ketenteraman dan Ketertiban Umum</t>
  </si>
  <si>
    <t>Sinergitas dengan Kepolisian Negara Republik Indonesia, Tentara Nasional Indonesia dan Instansi Vertikal di Wilayah Kecamatan</t>
  </si>
  <si>
    <t>Program Penyelenggaraan Urusan Pemerintahan Umum</t>
  </si>
  <si>
    <t>Penyelenggaraan Urusan Pemerintahan Umum sesuai Penugasan Kepala Daerah</t>
  </si>
  <si>
    <t>Pembinaan Persatuan dan Kesatuan Bangsa</t>
  </si>
  <si>
    <t>Pelaksanaan Tugas Forum Koordinasi Pimpinan di Kecamatan</t>
  </si>
  <si>
    <t>Program Pembinaan Dan Pengawasan Pemerintahan Desa</t>
  </si>
  <si>
    <t>Fasilitasi, Rekomendasi dan Koordinasi Pembinaan dan Pengawasan Pemerintahan Desa</t>
  </si>
  <si>
    <t>Fasilitasi Penyusunan Peraturan Desa dan Peraturan Kepala Desa</t>
  </si>
  <si>
    <t>Fasilitasi Penataan, Pemanfaatan, dan Pendayagunaan Ruang Desa Serta Penetapan dan Penegasan Batas Desa</t>
  </si>
  <si>
    <t>Koordinasi Pendampingan Desa di Wilayahnya</t>
  </si>
  <si>
    <t>Lap</t>
  </si>
  <si>
    <t>KECAMATAN KALUMPANG</t>
  </si>
  <si>
    <t>Camat Kalumpang</t>
  </si>
  <si>
    <t>Penyediaan Bahan Bacaan dan Peraturan Perundang-undangan</t>
  </si>
  <si>
    <t>Pengadaan Barang Milik Daerah Penunjang Urusan Pemerintah Daerah</t>
  </si>
  <si>
    <t>Pengadaan Sarana dan Prasarana Pendukung Gedung Kantor atau Bangunan Lainnya</t>
  </si>
  <si>
    <t>Pemeliharaan/Rehabilitasi Sarana dan Prasarana Pendukung Gedung Kantor atau Bangunan Lainnya</t>
  </si>
  <si>
    <t>Fasilitasi Administrasi Tata Pemerintahan Desa</t>
  </si>
  <si>
    <t>Paket</t>
  </si>
  <si>
    <t>Kecamatan Kalumpang</t>
  </si>
  <si>
    <t>Persentase Dokumen Perencanaan dan Evaluasi Kinerja Kecamatan yang berkualitas</t>
  </si>
  <si>
    <t>Persentase dokumen administrasi keuangan sesuai dengan standar</t>
  </si>
  <si>
    <t>Persentase pelayanan administrasi umum sesuai kebutuhan</t>
  </si>
  <si>
    <t>Persentase jasa penunjang urusan pemerintahan daerah sesuai kebutuhan</t>
  </si>
  <si>
    <t>Persentase penyelenggaraan urusan pemerintahan umum  dan kewenangan lainnya dilaksanakan dengan baik</t>
  </si>
  <si>
    <t>Persentase penyelenggaraan pemerintahan dan pelayanan publik di kecamatan</t>
  </si>
  <si>
    <t>Persentase Penyelenggaraan Pemberdayaan Masyarakat yang dilaksanakan dengan baik</t>
  </si>
  <si>
    <t>Persentase penyelenggaraan urusan pemerintahan umum yang dilaksanakan dengan baik</t>
  </si>
  <si>
    <t>Faktor pendorong keberhasilan pencapaian: 1. Merupakan kegiatan rutin, sehingga pelaksanaannya sesuai target yang ada; 2. Merupakan kegiatan yang bersumber dari DAU saja sehingga tidak rumit juknis pencairannya; 3. Laporan dan Pertanggungjawaban Keuangan yang tepat waktu.</t>
  </si>
  <si>
    <t>Tindak lanjut yang diperlukan dalam Renja Perangkat Daerah Kabupaten berikutnya*): 1. Penyesuaian indikator program, kegiatan dan target yang ada di RPJMD; 2. Memprioritaskan pada pencapaian program yang hasil evaluasinya mempunyai kinerja sedang, rendah, dan sangat rendah; 3. Meningkatkan konsistensi antar dokumen Perencanaan SKPD dengan RKPD dan RPJMD.</t>
  </si>
  <si>
    <t>Org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</si>
  <si>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</si>
  <si>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</si>
  <si>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</si>
  <si>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</si>
  <si>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Penyelenggaraan Urusan Pemerintahan yang tidak Dilaksanakan oleh Unit Kerja Perangkat Daerah yang ada di Kecamatan</t>
  </si>
  <si>
    <t>Peningkatan Efektifitas Pelaksanaan Pelayanan kepada Masyarakat di Wilayah Kecamatan</t>
  </si>
  <si>
    <t>Jumlah Laporan Peningkatan Efektifitas Pelaksanaan Pelayanan kepada Masyarakat di Wilayah Kecamatan</t>
  </si>
  <si>
    <t>Jumlah Dokumen Perencanaan Perangkat Daerah</t>
  </si>
  <si>
    <t>Jumlah Laporan Evaluasi Kinerja Perangkat Daerah</t>
  </si>
  <si>
    <t>Jumlah Orang yang Menerima Gaji dan Tunjangan ASN</t>
  </si>
  <si>
    <t>Jumlah Laporan Keuangan Akhir Tahun SKPD dan Laporan Hasil Koordinasi Penyusunan Laporan Keuangan Akhir Tahun SKPD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</si>
  <si>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</si>
  <si>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</si>
  <si>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</si>
  <si>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</si>
  <si>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</si>
  <si>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</si>
  <si>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Dokumen Bahan Bacaan dan Peraturan Perundang-Undangan yang Disediakan</t>
  </si>
  <si>
    <t>Jumlah Laporan Penyelenggaraan Rapat Koordinasi dan Konsultasi SKPD</t>
  </si>
  <si>
    <t>Jumlah Unit Sarana dan Prasarana Gedung Kantor atau Bangunan Lainnya yang Disediakan</t>
  </si>
  <si>
    <t>Unit</t>
  </si>
  <si>
    <t>Jumlah Laporan Penyediaan Jasa Surat Menyurat</t>
  </si>
  <si>
    <t>Jumlah Laporan Penyediaan Jasa Komunikasi, Sumber Daya Air dan Listrik yang Disediakan</t>
  </si>
  <si>
    <t>Jumlah Laporan Penyediaan Jasa Pelayanan Umum Kantor yang Disediakan</t>
  </si>
  <si>
    <t>Jumlah Kendaraan Dinas Operasional atau Lapangan yang Dipelihara dan dibayarkan Pajak dan Perizinannya</t>
  </si>
  <si>
    <t>Jumlah Gedung Kantor dan Bangunan Lainnya
yang  Dipelihara/Direhabilitasi</t>
  </si>
  <si>
    <t>Jumlah Sarana dan Prasarana Gedung Kantor atau Bangunan Lainnya yang Dipelihara/Direhabilitasi</t>
  </si>
  <si>
    <t>Jumlah Sarana dan Prasarana Pendukung Gedung Kantor atau Bangunan Lainnya yang Dipelihara/Direhabilitasi</t>
  </si>
  <si>
    <t>Jumlah  Laporan  Pelaksanaan  Kewenangan  Lain yang  Dilimpahkan</t>
  </si>
  <si>
    <t>Jumlah Lembaga Kemasyarakatan yang Berpartisipasi dalam Forum Musyawarah Perencanaan Pembangunan di Desa</t>
  </si>
  <si>
    <t>Jumlah Dokumen Sinkronisasi Program Kerja dan Kegiatan Pemberdayaan Masyarakat yang Dilakukan oleh Pemerintah dan Swasta di Wilayah Kerja Kecamatan</t>
  </si>
  <si>
    <t>Jumlah Laporan Peningkatan Efektivitas Kegiatan Pemberdayaan Masyarakat di Wilayah Kecamatan</t>
  </si>
  <si>
    <t>Lembaga Kemasyarakatan</t>
  </si>
  <si>
    <t>Jumlah Laporan Hasil Sinergitas dengan Kepolisian Negara Republik Indonesia, Tentara Nasional Indonesia dan Instansi Vertikal di Wilayah Kecamatan</t>
  </si>
  <si>
    <t>Jumlah Orang yang Mengikuti Pembinaan Persatuan dan Kesatuan Bangsa</t>
  </si>
  <si>
    <t>Jumlah Dokumen Tugas Forum Koordinasi Pimpinan di Kecamatan</t>
  </si>
  <si>
    <t>Jumlah Dokumen yang Difasilitasi dalam rangka Penyusunan Peraturan Desa dan Peraturan Kepala Desa</t>
  </si>
  <si>
    <t>Jumlah Dokumen yang Difasilitasi dalam rangka Administrasi Tata Pemerintahan Desa</t>
  </si>
  <si>
    <t>Jumlah Dokumen Fasilitasi dalam rangka Penataan, Pemanfaatan, dan Pendayagunaan Ruang Desa serta Penetapan dan Penegasan Batas Desa</t>
  </si>
  <si>
    <t>Jumlah Laporan Hasil Koordinasi Pendampingan Desa di Wilayahnya</t>
  </si>
  <si>
    <t>Faktor penghambat pencapaian kinerja: karena masih pandemi COVID 19 sehingga ada beberapa kegiatan yang belum dilaksanakan dan ada yang dilaksanakan tetapi dengan orang/peserta yang masih terbatas</t>
  </si>
  <si>
    <t>Tindak lanjut yang diperlukan dalam triwulan berikutnya*): 1. Percepatan pelaksanaan kegiatan sesuai target DPA ; 2. Percepatan penyerapan anggaran sesuai progres kegiatan.</t>
  </si>
  <si>
    <t>Terlaksananya Kegiatan Perencanaan dan Umum</t>
  </si>
  <si>
    <t>Persentase Kegiatan Perencanaan dan Umum yang Dilaksanakan</t>
  </si>
  <si>
    <t>Tersusunnya Dokumen Perencanaan Kinerja dan Evaluasi Kinerja di Kecamatan</t>
  </si>
  <si>
    <t>Tersusunnya Dokumen Keuangan di Kecamatan</t>
  </si>
  <si>
    <t>Terlaksananya Pelayanan Administrasi Umum di Kecamatan</t>
  </si>
  <si>
    <t>Terlaksananya pemenuhan BMD penunjang pelayanan</t>
  </si>
  <si>
    <t>Pelayanan pemenuhan sarana dan prasarana penunjang pelayanan</t>
  </si>
  <si>
    <t>Tersedianya Penunjang Urusan Pemerintahan Daerah di Kecamatan</t>
  </si>
  <si>
    <t>Terpeliharanya Barang Milik Daerah di Kecamatan</t>
  </si>
  <si>
    <t>Terselenggaranya Pelayanan Publik di Kecamatan</t>
  </si>
  <si>
    <t>Terlaksananya pelayanan administrasi terpadu sesuai dengan standar</t>
  </si>
  <si>
    <t>Persentase objek pelayanan yang diselesaikan tepat waktu</t>
  </si>
  <si>
    <t>Terselenggaranya Pemberdayaan Masyarakat yang dilaksanakan dengan baik</t>
  </si>
  <si>
    <t>Terlaksananya sinkronisasi Perencanaan pembangunan ditingkat kecamatan, Terlaksananya fasilitasi pelayanan terhadap perekonomian masyarakat dan Terlaksananya fasilitasi pelayanan terhadap kesejahteraan sosial masyarakat</t>
  </si>
  <si>
    <t>Tingkat kesesuaian prioritas pembangunan kecamatan terhadap prioritas pembangunan daerah, Persentase Usaha Mikro yang memiliki izin usaha dan Persentase PMKS yang terlindungi</t>
  </si>
  <si>
    <t>Terselenggaranya urusan Ketentraman dan Ketertiban Umum yang dilaksanakan dengan baik</t>
  </si>
  <si>
    <t>Persentase penyelenggaraan urusan Ketertiban dan Ketentraman Umum yang dilaksanakan dengan baik</t>
  </si>
  <si>
    <t>terlaksananya pembinaan ketertiban umum di kecamatan</t>
  </si>
  <si>
    <t>Laporan kamtibmas yang disampaikan</t>
  </si>
  <si>
    <t>Terselenggaranya urusan pemerintahan umum yang dilaksanakan dengan baik</t>
  </si>
  <si>
    <t>Terselenggaranya Pemerintahan Desa yang dilaksanakan dengan baik</t>
  </si>
  <si>
    <t>Persentase Penyelenggaraan Tugas Pembinaan dan Pengawasan Pemerintahan Desa yang dilaksanakan dengan baik</t>
  </si>
  <si>
    <t>Terlaksananya pembinaan administrasi desa dan Terlaksananya fasilitasi pelayanan terhadap perekonomian masyarakat</t>
  </si>
  <si>
    <t>Meningkatnya nilai indeks desa membangun dan Persentase BUMDes yang dibina dengan baik</t>
  </si>
  <si>
    <t>WAHYUDI NOOR, S.STP</t>
  </si>
  <si>
    <t>NIP. 19900107 201206 1 001</t>
  </si>
  <si>
    <t>PERIODE PELAKSANAAN TRIWULAN IV TAHUN 2022</t>
  </si>
  <si>
    <t>Kandangan,     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</si>
</sst>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5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5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6" fontId="8" fillId="0" borderId="2" xfId="0" applyNumberFormat="1" applyFont="1" applyFill="1" applyBorder="1" applyAlignment="1">
      <alignment vertical="top"/>
    </xf>
    <xf numFmtId="165" fontId="6" fillId="0" borderId="15" xfId="1" quotePrefix="1" applyNumberFormat="1" applyFont="1" applyFill="1" applyBorder="1" applyAlignment="1">
      <alignment vertical="top"/>
    </xf>
    <xf numFmtId="165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66" fontId="6" fillId="0" borderId="2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top" wrapText="1"/>
    </xf>
    <xf numFmtId="1" fontId="6" fillId="0" borderId="15" xfId="0" applyNumberFormat="1" applyFont="1" applyFill="1" applyBorder="1" applyAlignment="1">
      <alignment horizontal="center" vertical="top"/>
    </xf>
    <xf numFmtId="2" fontId="14" fillId="0" borderId="2" xfId="0" applyNumberFormat="1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2" fontId="14" fillId="0" borderId="15" xfId="0" applyNumberFormat="1" applyFont="1" applyFill="1" applyBorder="1" applyAlignment="1">
      <alignment horizontal="center" vertical="top"/>
    </xf>
    <xf numFmtId="0" fontId="14" fillId="0" borderId="15" xfId="0" applyFont="1" applyFill="1" applyBorder="1" applyAlignment="1">
      <alignment horizontal="center" vertical="top"/>
    </xf>
    <xf numFmtId="2" fontId="15" fillId="0" borderId="2" xfId="0" applyNumberFormat="1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left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1" fontId="6" fillId="0" borderId="15" xfId="1" quotePrefix="1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6" fillId="7" borderId="2" xfId="0" applyFont="1" applyFill="1" applyBorder="1" applyAlignment="1">
      <alignment horizontal="center" vertical="top" wrapText="1"/>
    </xf>
    <xf numFmtId="165" fontId="6" fillId="7" borderId="2" xfId="1" quotePrefix="1" applyNumberFormat="1" applyFont="1" applyFill="1" applyBorder="1" applyAlignment="1">
      <alignment vertical="top"/>
    </xf>
    <xf numFmtId="0" fontId="6" fillId="7" borderId="15" xfId="0" applyFont="1" applyFill="1" applyBorder="1" applyAlignment="1">
      <alignment horizontal="center" vertical="top" wrapText="1"/>
    </xf>
    <xf numFmtId="165" fontId="6" fillId="7" borderId="15" xfId="1" quotePrefix="1" applyNumberFormat="1" applyFont="1" applyFill="1" applyBorder="1" applyAlignment="1">
      <alignment vertical="top"/>
    </xf>
    <xf numFmtId="0" fontId="8" fillId="7" borderId="2" xfId="0" applyFont="1" applyFill="1" applyBorder="1" applyAlignment="1">
      <alignment horizontal="center" vertical="top" wrapText="1"/>
    </xf>
    <xf numFmtId="165" fontId="8" fillId="7" borderId="2" xfId="1" quotePrefix="1" applyNumberFormat="1" applyFont="1" applyFill="1" applyBorder="1" applyAlignment="1">
      <alignment vertical="top"/>
    </xf>
    <xf numFmtId="1" fontId="6" fillId="7" borderId="2" xfId="0" applyNumberFormat="1" applyFont="1" applyFill="1" applyBorder="1" applyAlignment="1">
      <alignment horizontal="center" vertical="top" wrapText="1"/>
    </xf>
    <xf numFmtId="1" fontId="8" fillId="7" borderId="15" xfId="0" applyNumberFormat="1" applyFont="1" applyFill="1" applyBorder="1" applyAlignment="1">
      <alignment horizontal="center" vertical="top" wrapText="1"/>
    </xf>
    <xf numFmtId="165" fontId="8" fillId="7" borderId="15" xfId="1" quotePrefix="1" applyNumberFormat="1" applyFont="1" applyFill="1" applyBorder="1" applyAlignment="1">
      <alignment vertical="top"/>
    </xf>
    <xf numFmtId="0" fontId="8" fillId="7" borderId="2" xfId="0" quotePrefix="1" applyFont="1" applyFill="1" applyBorder="1" applyAlignment="1">
      <alignment horizontal="center" vertical="top" wrapText="1"/>
    </xf>
    <xf numFmtId="3" fontId="8" fillId="7" borderId="2" xfId="0" applyNumberFormat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196129</xdr:colOff>
      <xdr:row>70</xdr:row>
      <xdr:rowOff>6779</xdr:rowOff>
    </xdr:from>
    <xdr:to>
      <xdr:col>22</xdr:col>
      <xdr:colOff>149240</xdr:colOff>
      <xdr:row>77</xdr:row>
      <xdr:rowOff>35022</xdr:rowOff>
    </xdr:to>
    <xdr:pic>
      <xdr:nvPicPr>
        <xdr:cNvPr id="3" name="Gambar 4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36400">
          <a:off x="20710157" y="89241918"/>
          <a:ext cx="1734639" cy="168629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22</xdr:col>
      <xdr:colOff>194030</xdr:colOff>
      <xdr:row>72</xdr:row>
      <xdr:rowOff>113041</xdr:rowOff>
    </xdr:from>
    <xdr:to>
      <xdr:col>22</xdr:col>
      <xdr:colOff>1181805</xdr:colOff>
      <xdr:row>75</xdr:row>
      <xdr:rowOff>24135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9586" y="89736235"/>
          <a:ext cx="987775" cy="793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K80"/>
  <sheetViews>
    <sheetView tabSelected="1" showRuler="0" view="pageBreakPreview" topLeftCell="C60" zoomScale="54" zoomScaleNormal="40" zoomScaleSheetLayoutView="54" zoomScalePageLayoutView="55" workbookViewId="0">
      <selection activeCell="Q72" sqref="Q72"/>
    </sheetView>
  </sheetViews>
  <sheetFormatPr defaultColWidth="9.125" defaultRowHeight="14.25" x14ac:dyDescent="0.2"/>
  <cols>
    <col min="1" max="1" width="6.375" style="2" customWidth="1"/>
    <col min="2" max="2" width="18" style="2" customWidth="1"/>
    <col min="3" max="3" width="16.5" style="2" customWidth="1"/>
    <col min="4" max="4" width="15" style="2" customWidth="1"/>
    <col min="5" max="5" width="10.25" style="2" customWidth="1"/>
    <col min="6" max="6" width="7.75" style="2" customWidth="1"/>
    <col min="7" max="7" width="22.875" style="2" bestFit="1" customWidth="1"/>
    <col min="8" max="8" width="7.25" style="2" customWidth="1"/>
    <col min="9" max="9" width="22.875" style="2" bestFit="1" customWidth="1"/>
    <col min="10" max="10" width="9" style="2" customWidth="1"/>
    <col min="11" max="11" width="22.375" style="2" bestFit="1" customWidth="1"/>
    <col min="12" max="12" width="7.75" style="2" customWidth="1"/>
    <col min="13" max="13" width="20" style="2" bestFit="1" customWidth="1"/>
    <col min="14" max="14" width="7.75" style="2" customWidth="1"/>
    <col min="15" max="15" width="20.625" style="2" customWidth="1"/>
    <col min="16" max="16" width="7.75" style="2" customWidth="1"/>
    <col min="17" max="17" width="20.625" style="2" bestFit="1" customWidth="1"/>
    <col min="18" max="18" width="9" style="2" customWidth="1"/>
    <col min="19" max="19" width="17.875" style="2" customWidth="1"/>
    <col min="20" max="20" width="8" style="2" customWidth="1"/>
    <col min="21" max="21" width="9.625" style="2" customWidth="1"/>
    <col min="22" max="22" width="5.625" style="4" customWidth="1"/>
    <col min="23" max="23" width="26.875" style="2" bestFit="1" customWidth="1"/>
    <col min="24" max="24" width="8" style="2" customWidth="1"/>
    <col min="25" max="25" width="5.625" style="4" customWidth="1"/>
    <col min="26" max="26" width="8" style="2" customWidth="1"/>
    <col min="27" max="27" width="22.625" style="2" customWidth="1"/>
    <col min="28" max="28" width="8.875" style="2" bestFit="1" customWidth="1"/>
    <col min="29" max="29" width="5.625" style="4" customWidth="1"/>
    <col min="30" max="30" width="11" style="2" customWidth="1"/>
    <col min="31" max="31" width="15" style="2" customWidth="1"/>
    <col min="32" max="32" width="9.125" style="2"/>
    <col min="33" max="37" width="19.625" style="2" customWidth="1"/>
    <col min="38" max="16384" width="9.125" style="2"/>
  </cols>
  <sheetData>
    <row r="1" spans="1:37" ht="23.25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"/>
    </row>
    <row r="2" spans="1:37" ht="23.25" x14ac:dyDescent="0.3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3"/>
    </row>
    <row r="3" spans="1:37" ht="23.25" x14ac:dyDescent="0.35">
      <c r="A3" s="119" t="s">
        <v>92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3"/>
    </row>
    <row r="4" spans="1:37" ht="23.25" x14ac:dyDescent="0.35">
      <c r="A4" s="120" t="s">
        <v>180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"/>
    </row>
    <row r="5" spans="1:37" ht="18" x14ac:dyDescent="0.2">
      <c r="A5" s="121" t="s">
        <v>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</row>
    <row r="6" spans="1:37" ht="18" x14ac:dyDescent="0.25">
      <c r="A6" s="118" t="s">
        <v>92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</row>
    <row r="7" spans="1:37" ht="81" customHeight="1" x14ac:dyDescent="0.2">
      <c r="A7" s="122" t="s">
        <v>3</v>
      </c>
      <c r="B7" s="122" t="s">
        <v>4</v>
      </c>
      <c r="C7" s="123" t="s">
        <v>5</v>
      </c>
      <c r="D7" s="123" t="s">
        <v>6</v>
      </c>
      <c r="E7" s="110" t="s">
        <v>7</v>
      </c>
      <c r="F7" s="111"/>
      <c r="G7" s="114"/>
      <c r="H7" s="110" t="s">
        <v>115</v>
      </c>
      <c r="I7" s="114"/>
      <c r="J7" s="110" t="s">
        <v>112</v>
      </c>
      <c r="K7" s="111"/>
      <c r="L7" s="110" t="s">
        <v>8</v>
      </c>
      <c r="M7" s="111"/>
      <c r="N7" s="111"/>
      <c r="O7" s="111"/>
      <c r="P7" s="111"/>
      <c r="Q7" s="111"/>
      <c r="R7" s="111"/>
      <c r="S7" s="114"/>
      <c r="T7" s="110" t="s">
        <v>44</v>
      </c>
      <c r="U7" s="111"/>
      <c r="V7" s="111"/>
      <c r="W7" s="111"/>
      <c r="X7" s="111"/>
      <c r="Y7" s="114"/>
      <c r="Z7" s="110" t="s">
        <v>113</v>
      </c>
      <c r="AA7" s="114"/>
      <c r="AB7" s="110" t="s">
        <v>114</v>
      </c>
      <c r="AC7" s="111"/>
      <c r="AD7" s="111"/>
      <c r="AE7" s="103" t="s">
        <v>9</v>
      </c>
      <c r="AG7" s="4"/>
      <c r="AH7" s="4"/>
      <c r="AI7" s="4"/>
      <c r="AJ7" s="4"/>
      <c r="AK7" s="4"/>
    </row>
    <row r="8" spans="1:37" ht="18" customHeight="1" x14ac:dyDescent="0.2">
      <c r="A8" s="122"/>
      <c r="B8" s="122"/>
      <c r="C8" s="123"/>
      <c r="D8" s="123"/>
      <c r="E8" s="116"/>
      <c r="F8" s="124"/>
      <c r="G8" s="117"/>
      <c r="H8" s="116"/>
      <c r="I8" s="117"/>
      <c r="J8" s="112"/>
      <c r="K8" s="113"/>
      <c r="L8" s="112"/>
      <c r="M8" s="113"/>
      <c r="N8" s="113"/>
      <c r="O8" s="113"/>
      <c r="P8" s="113"/>
      <c r="Q8" s="113"/>
      <c r="R8" s="113"/>
      <c r="S8" s="115"/>
      <c r="T8" s="112"/>
      <c r="U8" s="113"/>
      <c r="V8" s="113"/>
      <c r="W8" s="113"/>
      <c r="X8" s="113"/>
      <c r="Y8" s="115"/>
      <c r="Z8" s="112"/>
      <c r="AA8" s="115"/>
      <c r="AB8" s="112"/>
      <c r="AC8" s="113"/>
      <c r="AD8" s="113"/>
      <c r="AE8" s="104"/>
    </row>
    <row r="9" spans="1:37" ht="15.75" customHeight="1" x14ac:dyDescent="0.2">
      <c r="A9" s="122"/>
      <c r="B9" s="122"/>
      <c r="C9" s="123"/>
      <c r="D9" s="123"/>
      <c r="E9" s="112"/>
      <c r="F9" s="113"/>
      <c r="G9" s="115"/>
      <c r="H9" s="112"/>
      <c r="I9" s="115"/>
      <c r="J9" s="105">
        <v>2022</v>
      </c>
      <c r="K9" s="106"/>
      <c r="L9" s="107" t="s">
        <v>10</v>
      </c>
      <c r="M9" s="108"/>
      <c r="N9" s="107" t="s">
        <v>11</v>
      </c>
      <c r="O9" s="108"/>
      <c r="P9" s="107" t="s">
        <v>12</v>
      </c>
      <c r="Q9" s="108"/>
      <c r="R9" s="107" t="s">
        <v>13</v>
      </c>
      <c r="S9" s="108"/>
      <c r="T9" s="107">
        <v>2022</v>
      </c>
      <c r="U9" s="109"/>
      <c r="V9" s="109"/>
      <c r="W9" s="109"/>
      <c r="X9" s="109"/>
      <c r="Y9" s="108"/>
      <c r="Z9" s="107">
        <v>2022</v>
      </c>
      <c r="AA9" s="108"/>
      <c r="AB9" s="107">
        <v>2022</v>
      </c>
      <c r="AC9" s="109"/>
      <c r="AD9" s="108"/>
      <c r="AE9" s="5"/>
    </row>
    <row r="10" spans="1:37" s="7" customFormat="1" ht="15.75" x14ac:dyDescent="0.25">
      <c r="A10" s="87">
        <v>1</v>
      </c>
      <c r="B10" s="87">
        <v>2</v>
      </c>
      <c r="C10" s="87">
        <v>3</v>
      </c>
      <c r="D10" s="87">
        <v>4</v>
      </c>
      <c r="E10" s="91">
        <v>5</v>
      </c>
      <c r="F10" s="92"/>
      <c r="G10" s="93"/>
      <c r="H10" s="91">
        <v>6</v>
      </c>
      <c r="I10" s="93"/>
      <c r="J10" s="101">
        <v>7</v>
      </c>
      <c r="K10" s="102"/>
      <c r="L10" s="101">
        <v>8</v>
      </c>
      <c r="M10" s="102"/>
      <c r="N10" s="101">
        <v>9</v>
      </c>
      <c r="O10" s="102"/>
      <c r="P10" s="101">
        <v>10</v>
      </c>
      <c r="Q10" s="102"/>
      <c r="R10" s="101">
        <v>11</v>
      </c>
      <c r="S10" s="102"/>
      <c r="T10" s="98">
        <v>12</v>
      </c>
      <c r="U10" s="100"/>
      <c r="V10" s="100"/>
      <c r="W10" s="100"/>
      <c r="X10" s="100"/>
      <c r="Y10" s="99"/>
      <c r="Z10" s="98">
        <v>13</v>
      </c>
      <c r="AA10" s="99"/>
      <c r="AB10" s="98">
        <v>14</v>
      </c>
      <c r="AC10" s="100"/>
      <c r="AD10" s="99"/>
      <c r="AE10" s="6">
        <v>15</v>
      </c>
    </row>
    <row r="11" spans="1:37" s="7" customFormat="1" ht="87" customHeight="1" x14ac:dyDescent="0.2">
      <c r="A11" s="89"/>
      <c r="B11" s="89"/>
      <c r="C11" s="89"/>
      <c r="D11" s="89"/>
      <c r="E11" s="85" t="s">
        <v>14</v>
      </c>
      <c r="F11" s="94"/>
      <c r="G11" s="88" t="s">
        <v>15</v>
      </c>
      <c r="H11" s="85" t="s">
        <v>14</v>
      </c>
      <c r="I11" s="88" t="s">
        <v>15</v>
      </c>
      <c r="J11" s="85" t="s">
        <v>14</v>
      </c>
      <c r="K11" s="87" t="s">
        <v>15</v>
      </c>
      <c r="L11" s="85" t="s">
        <v>14</v>
      </c>
      <c r="M11" s="87" t="s">
        <v>15</v>
      </c>
      <c r="N11" s="85" t="s">
        <v>14</v>
      </c>
      <c r="O11" s="87" t="s">
        <v>15</v>
      </c>
      <c r="P11" s="85" t="s">
        <v>14</v>
      </c>
      <c r="Q11" s="87" t="s">
        <v>15</v>
      </c>
      <c r="R11" s="85" t="s">
        <v>14</v>
      </c>
      <c r="S11" s="87" t="s">
        <v>15</v>
      </c>
      <c r="T11" s="74" t="s">
        <v>16</v>
      </c>
      <c r="U11" s="91" t="s">
        <v>45</v>
      </c>
      <c r="V11" s="93"/>
      <c r="W11" s="8" t="s">
        <v>17</v>
      </c>
      <c r="X11" s="91" t="s">
        <v>46</v>
      </c>
      <c r="Y11" s="93"/>
      <c r="Z11" s="74" t="s">
        <v>18</v>
      </c>
      <c r="AA11" s="8" t="s">
        <v>19</v>
      </c>
      <c r="AB11" s="91" t="s">
        <v>20</v>
      </c>
      <c r="AC11" s="93"/>
      <c r="AD11" s="8" t="s">
        <v>21</v>
      </c>
      <c r="AE11" s="9"/>
    </row>
    <row r="12" spans="1:37" s="7" customFormat="1" ht="15.75" x14ac:dyDescent="0.2">
      <c r="A12" s="88"/>
      <c r="B12" s="88"/>
      <c r="C12" s="88"/>
      <c r="D12" s="88"/>
      <c r="E12" s="86"/>
      <c r="F12" s="90"/>
      <c r="G12" s="95"/>
      <c r="H12" s="86"/>
      <c r="I12" s="95"/>
      <c r="J12" s="86"/>
      <c r="K12" s="88"/>
      <c r="L12" s="86"/>
      <c r="M12" s="88"/>
      <c r="N12" s="86"/>
      <c r="O12" s="88"/>
      <c r="P12" s="86"/>
      <c r="Q12" s="88"/>
      <c r="R12" s="86"/>
      <c r="S12" s="88"/>
      <c r="T12" s="73" t="s">
        <v>14</v>
      </c>
      <c r="U12" s="86" t="s">
        <v>14</v>
      </c>
      <c r="V12" s="90"/>
      <c r="W12" s="10" t="s">
        <v>15</v>
      </c>
      <c r="X12" s="86" t="s">
        <v>15</v>
      </c>
      <c r="Y12" s="90"/>
      <c r="Z12" s="73" t="s">
        <v>14</v>
      </c>
      <c r="AA12" s="10" t="s">
        <v>15</v>
      </c>
      <c r="AB12" s="86" t="s">
        <v>14</v>
      </c>
      <c r="AC12" s="90"/>
      <c r="AD12" s="10" t="s">
        <v>15</v>
      </c>
      <c r="AE12" s="62"/>
    </row>
    <row r="13" spans="1:37" ht="110.25" x14ac:dyDescent="0.2">
      <c r="A13" s="41">
        <v>1</v>
      </c>
      <c r="B13" s="12" t="s">
        <v>154</v>
      </c>
      <c r="C13" s="14" t="s">
        <v>48</v>
      </c>
      <c r="D13" s="14" t="s">
        <v>155</v>
      </c>
      <c r="E13" s="45">
        <v>100</v>
      </c>
      <c r="F13" s="40" t="s">
        <v>43</v>
      </c>
      <c r="G13" s="37">
        <f>G14+G17+G22+G31+G35</f>
        <v>8802128448</v>
      </c>
      <c r="H13" s="39">
        <v>100</v>
      </c>
      <c r="I13" s="37">
        <f>I14+I17+I22+I31+I35</f>
        <v>2665840367</v>
      </c>
      <c r="J13" s="65">
        <v>100</v>
      </c>
      <c r="K13" s="37">
        <f>K14+K17+K22+K31+K35</f>
        <v>2475938375</v>
      </c>
      <c r="L13" s="128">
        <v>25</v>
      </c>
      <c r="M13" s="129">
        <f>M14+M17+M22+M31+M35</f>
        <v>339485551</v>
      </c>
      <c r="N13" s="39">
        <v>25</v>
      </c>
      <c r="O13" s="37">
        <f>O14+O17+O22+O31+O35</f>
        <v>779499890</v>
      </c>
      <c r="P13" s="39">
        <v>25</v>
      </c>
      <c r="Q13" s="37">
        <f>Q14+Q17+Q22+Q31+Q35</f>
        <v>663390967</v>
      </c>
      <c r="R13" s="37">
        <v>25</v>
      </c>
      <c r="S13" s="37">
        <f t="shared" ref="S13" si="0">S14+S17+S22+S31+S35</f>
        <v>588782751</v>
      </c>
      <c r="T13" s="59">
        <f>SUM(L13,N13,P13,R13)</f>
        <v>100</v>
      </c>
      <c r="U13" s="59">
        <f>T13/J13*100</f>
        <v>100</v>
      </c>
      <c r="V13" s="58" t="s">
        <v>43</v>
      </c>
      <c r="W13" s="56">
        <f t="shared" ref="W13:W40" si="1">M13+O13+Q13+S13</f>
        <v>2371159159</v>
      </c>
      <c r="X13" s="57">
        <f>W13/K13*100</f>
        <v>95.768100811475165</v>
      </c>
      <c r="Y13" s="58" t="s">
        <v>43</v>
      </c>
      <c r="Z13" s="57">
        <f t="shared" ref="Z13:Z40" si="2">H13+T13</f>
        <v>200</v>
      </c>
      <c r="AA13" s="56">
        <f t="shared" ref="AA13:AA40" si="3">I13+W13</f>
        <v>5036999526</v>
      </c>
      <c r="AB13" s="67">
        <f t="shared" ref="AB13:AB40" si="4">Z13/E13*100</f>
        <v>200</v>
      </c>
      <c r="AC13" s="68" t="s">
        <v>43</v>
      </c>
      <c r="AD13" s="67">
        <f>AA13/G13*100</f>
        <v>57.224790069321195</v>
      </c>
      <c r="AE13" s="18" t="s">
        <v>100</v>
      </c>
      <c r="AH13" s="19">
        <f>M13+O13+Q13+S13</f>
        <v>2371159159</v>
      </c>
    </row>
    <row r="14" spans="1:37" ht="154.5" customHeight="1" x14ac:dyDescent="0.2">
      <c r="A14" s="41"/>
      <c r="B14" s="42" t="s">
        <v>156</v>
      </c>
      <c r="C14" s="13" t="s">
        <v>49</v>
      </c>
      <c r="D14" s="14" t="s">
        <v>101</v>
      </c>
      <c r="E14" s="39">
        <v>100</v>
      </c>
      <c r="F14" s="40" t="s">
        <v>43</v>
      </c>
      <c r="G14" s="36">
        <f>SUM(G15:G16)</f>
        <v>28500000</v>
      </c>
      <c r="H14" s="65">
        <v>15</v>
      </c>
      <c r="I14" s="36">
        <f>SUM(I15:I16)</f>
        <v>9500000</v>
      </c>
      <c r="J14" s="65">
        <f>SUM(J15:J16)</f>
        <v>15</v>
      </c>
      <c r="K14" s="36">
        <f>SUM(K15:K16)</f>
        <v>9500000</v>
      </c>
      <c r="L14" s="130">
        <f>SUM(L15:L16)</f>
        <v>6</v>
      </c>
      <c r="M14" s="131">
        <f>SUM(M15:M16)</f>
        <v>2000000</v>
      </c>
      <c r="N14" s="65">
        <v>7</v>
      </c>
      <c r="O14" s="36">
        <f>SUM(O15:O16)</f>
        <v>2000000</v>
      </c>
      <c r="P14" s="65">
        <v>2</v>
      </c>
      <c r="Q14" s="36">
        <f>SUM(Q15:Q16)</f>
        <v>5500000</v>
      </c>
      <c r="R14" s="65">
        <v>0</v>
      </c>
      <c r="S14" s="36">
        <f>SUM(S15:S16)</f>
        <v>0</v>
      </c>
      <c r="T14" s="66">
        <f>SUM(L14,N14,P14,R14)</f>
        <v>15</v>
      </c>
      <c r="U14" s="66">
        <f t="shared" ref="U14:U40" si="5">T14/J14*100</f>
        <v>100</v>
      </c>
      <c r="V14" s="61" t="s">
        <v>43</v>
      </c>
      <c r="W14" s="56">
        <f t="shared" si="1"/>
        <v>9500000</v>
      </c>
      <c r="X14" s="60"/>
      <c r="Y14" s="61"/>
      <c r="Z14" s="60">
        <f t="shared" si="2"/>
        <v>30</v>
      </c>
      <c r="AA14" s="56">
        <f t="shared" si="3"/>
        <v>19000000</v>
      </c>
      <c r="AB14" s="69">
        <f t="shared" si="4"/>
        <v>30</v>
      </c>
      <c r="AC14" s="70" t="s">
        <v>43</v>
      </c>
      <c r="AD14" s="69"/>
      <c r="AE14" s="18"/>
      <c r="AH14" s="19"/>
    </row>
    <row r="15" spans="1:37" ht="75" x14ac:dyDescent="0.2">
      <c r="A15" s="58"/>
      <c r="B15" s="14"/>
      <c r="C15" s="20" t="s">
        <v>50</v>
      </c>
      <c r="D15" s="23" t="s">
        <v>119</v>
      </c>
      <c r="E15" s="15">
        <v>15</v>
      </c>
      <c r="F15" s="16" t="s">
        <v>42</v>
      </c>
      <c r="G15" s="17">
        <f>8000000*3</f>
        <v>24000000</v>
      </c>
      <c r="H15" s="15">
        <v>5</v>
      </c>
      <c r="I15" s="17">
        <v>8000000</v>
      </c>
      <c r="J15" s="15">
        <v>5</v>
      </c>
      <c r="K15" s="17">
        <v>8000000</v>
      </c>
      <c r="L15" s="132">
        <v>1</v>
      </c>
      <c r="M15" s="133">
        <v>1500000</v>
      </c>
      <c r="N15" s="15">
        <v>2</v>
      </c>
      <c r="O15" s="17">
        <v>1000000</v>
      </c>
      <c r="P15" s="15">
        <v>2</v>
      </c>
      <c r="Q15" s="17">
        <v>5500000</v>
      </c>
      <c r="R15" s="15">
        <v>0</v>
      </c>
      <c r="S15" s="17">
        <v>0</v>
      </c>
      <c r="T15" s="47">
        <f>SUM(L15,N15,P15,R15)</f>
        <v>5</v>
      </c>
      <c r="U15" s="47">
        <f t="shared" si="5"/>
        <v>100</v>
      </c>
      <c r="V15" s="29" t="s">
        <v>43</v>
      </c>
      <c r="W15" s="35">
        <f t="shared" si="1"/>
        <v>8000000</v>
      </c>
      <c r="X15" s="46">
        <f t="shared" ref="X15:X40" si="6">W15/K15*100</f>
        <v>100</v>
      </c>
      <c r="Y15" s="29" t="s">
        <v>43</v>
      </c>
      <c r="Z15" s="47">
        <f t="shared" si="2"/>
        <v>10</v>
      </c>
      <c r="AA15" s="35">
        <f t="shared" si="3"/>
        <v>16000000</v>
      </c>
      <c r="AB15" s="71">
        <f t="shared" si="4"/>
        <v>66.666666666666657</v>
      </c>
      <c r="AC15" s="72" t="s">
        <v>43</v>
      </c>
      <c r="AD15" s="71">
        <f t="shared" ref="AD15:AD40" si="7">AA15/G15*100</f>
        <v>66.666666666666657</v>
      </c>
      <c r="AE15" s="11"/>
      <c r="AH15" s="19"/>
    </row>
    <row r="16" spans="1:37" ht="90" x14ac:dyDescent="0.2">
      <c r="A16" s="58"/>
      <c r="B16" s="14"/>
      <c r="C16" s="20" t="s">
        <v>51</v>
      </c>
      <c r="D16" s="23" t="s">
        <v>120</v>
      </c>
      <c r="E16" s="15">
        <v>30</v>
      </c>
      <c r="F16" s="16" t="s">
        <v>91</v>
      </c>
      <c r="G16" s="17">
        <f>1500000*3</f>
        <v>4500000</v>
      </c>
      <c r="H16" s="15">
        <v>10</v>
      </c>
      <c r="I16" s="17">
        <v>1500000</v>
      </c>
      <c r="J16" s="15">
        <v>10</v>
      </c>
      <c r="K16" s="17">
        <v>1500000</v>
      </c>
      <c r="L16" s="132">
        <v>5</v>
      </c>
      <c r="M16" s="133">
        <v>500000</v>
      </c>
      <c r="N16" s="15">
        <v>5</v>
      </c>
      <c r="O16" s="17">
        <v>1000000</v>
      </c>
      <c r="P16" s="15">
        <v>0</v>
      </c>
      <c r="Q16" s="17">
        <v>0</v>
      </c>
      <c r="R16" s="15">
        <v>0</v>
      </c>
      <c r="S16" s="17">
        <v>0</v>
      </c>
      <c r="T16" s="47">
        <f>SUM(L16,N16,P16,R16)</f>
        <v>10</v>
      </c>
      <c r="U16" s="47">
        <f t="shared" si="5"/>
        <v>100</v>
      </c>
      <c r="V16" s="29" t="s">
        <v>43</v>
      </c>
      <c r="W16" s="35">
        <f t="shared" si="1"/>
        <v>1500000</v>
      </c>
      <c r="X16" s="46">
        <f t="shared" si="6"/>
        <v>100</v>
      </c>
      <c r="Y16" s="29" t="s">
        <v>43</v>
      </c>
      <c r="Z16" s="47">
        <f t="shared" si="2"/>
        <v>20</v>
      </c>
      <c r="AA16" s="35">
        <f t="shared" si="3"/>
        <v>3000000</v>
      </c>
      <c r="AB16" s="71">
        <f t="shared" si="4"/>
        <v>66.666666666666657</v>
      </c>
      <c r="AC16" s="72" t="s">
        <v>43</v>
      </c>
      <c r="AD16" s="71">
        <f t="shared" si="7"/>
        <v>66.666666666666657</v>
      </c>
      <c r="AE16" s="11"/>
      <c r="AH16" s="19"/>
    </row>
    <row r="17" spans="1:34" ht="110.25" x14ac:dyDescent="0.2">
      <c r="A17" s="58"/>
      <c r="B17" s="14" t="s">
        <v>157</v>
      </c>
      <c r="C17" s="12" t="s">
        <v>52</v>
      </c>
      <c r="D17" s="13" t="s">
        <v>102</v>
      </c>
      <c r="E17" s="39">
        <v>100</v>
      </c>
      <c r="F17" s="40" t="s">
        <v>43</v>
      </c>
      <c r="G17" s="36">
        <f>SUM(G18:G21)</f>
        <v>6707064060</v>
      </c>
      <c r="H17" s="39">
        <v>14</v>
      </c>
      <c r="I17" s="36">
        <f>SUM(I18:I21)</f>
        <v>1876745153</v>
      </c>
      <c r="J17" s="45">
        <f>SUM(J19:J21)</f>
        <v>14</v>
      </c>
      <c r="K17" s="36">
        <f>SUM(K18:K21)</f>
        <v>2056519220</v>
      </c>
      <c r="L17" s="134">
        <v>3</v>
      </c>
      <c r="M17" s="131">
        <f>SUM(M18:M21)</f>
        <v>306554521</v>
      </c>
      <c r="N17" s="82">
        <v>3</v>
      </c>
      <c r="O17" s="36">
        <f t="shared" ref="O17:Q17" si="8">SUM(O18:O21)</f>
        <v>703115021</v>
      </c>
      <c r="P17" s="82">
        <v>4</v>
      </c>
      <c r="Q17" s="36">
        <f t="shared" si="8"/>
        <v>555752485</v>
      </c>
      <c r="R17" s="45">
        <v>4</v>
      </c>
      <c r="S17" s="36">
        <f>SUM(S18:S21)</f>
        <v>396539484</v>
      </c>
      <c r="T17" s="59">
        <f>SUM(L17,N17,P17,R17)</f>
        <v>14</v>
      </c>
      <c r="U17" s="59">
        <f t="shared" si="5"/>
        <v>100</v>
      </c>
      <c r="V17" s="58" t="s">
        <v>43</v>
      </c>
      <c r="W17" s="56">
        <f t="shared" si="1"/>
        <v>1961961511</v>
      </c>
      <c r="X17" s="57">
        <f t="shared" si="6"/>
        <v>95.402050801159049</v>
      </c>
      <c r="Y17" s="58" t="s">
        <v>43</v>
      </c>
      <c r="Z17" s="59">
        <f t="shared" si="2"/>
        <v>28</v>
      </c>
      <c r="AA17" s="56">
        <f t="shared" si="3"/>
        <v>3838706664</v>
      </c>
      <c r="AB17" s="67">
        <f t="shared" si="4"/>
        <v>28.000000000000004</v>
      </c>
      <c r="AC17" s="68" t="s">
        <v>43</v>
      </c>
      <c r="AD17" s="67">
        <f t="shared" si="7"/>
        <v>57.233785597688183</v>
      </c>
      <c r="AE17" s="11"/>
      <c r="AH17" s="19"/>
    </row>
    <row r="18" spans="1:34" ht="75" x14ac:dyDescent="0.2">
      <c r="A18" s="58"/>
      <c r="B18" s="14"/>
      <c r="C18" s="23" t="s">
        <v>53</v>
      </c>
      <c r="D18" s="20" t="s">
        <v>121</v>
      </c>
      <c r="E18" s="15">
        <v>48</v>
      </c>
      <c r="F18" s="21" t="s">
        <v>111</v>
      </c>
      <c r="G18" s="22">
        <f>2230688020*3</f>
        <v>6692064060</v>
      </c>
      <c r="H18" s="38">
        <v>16</v>
      </c>
      <c r="I18" s="22">
        <v>1871745153</v>
      </c>
      <c r="J18" s="38">
        <v>16</v>
      </c>
      <c r="K18" s="22">
        <v>2051519220</v>
      </c>
      <c r="L18" s="135">
        <v>16</v>
      </c>
      <c r="M18" s="136">
        <v>304054521</v>
      </c>
      <c r="N18" s="38">
        <v>16</v>
      </c>
      <c r="O18" s="22">
        <v>702615021</v>
      </c>
      <c r="P18" s="38">
        <v>16</v>
      </c>
      <c r="Q18" s="22">
        <v>553752535</v>
      </c>
      <c r="R18" s="38">
        <v>16</v>
      </c>
      <c r="S18" s="22">
        <v>396539484</v>
      </c>
      <c r="T18" s="47">
        <f>AVERAGE(L18,N18,P18,R18)</f>
        <v>16</v>
      </c>
      <c r="U18" s="47">
        <f t="shared" si="5"/>
        <v>100</v>
      </c>
      <c r="V18" s="29" t="s">
        <v>43</v>
      </c>
      <c r="W18" s="35">
        <f t="shared" si="1"/>
        <v>1956961561</v>
      </c>
      <c r="X18" s="46">
        <f t="shared" si="6"/>
        <v>95.390847032863775</v>
      </c>
      <c r="Y18" s="29" t="s">
        <v>43</v>
      </c>
      <c r="Z18" s="47">
        <f t="shared" si="2"/>
        <v>32</v>
      </c>
      <c r="AA18" s="35">
        <f t="shared" si="3"/>
        <v>3828706714</v>
      </c>
      <c r="AB18" s="71">
        <f t="shared" si="4"/>
        <v>66.666666666666657</v>
      </c>
      <c r="AC18" s="72" t="s">
        <v>43</v>
      </c>
      <c r="AD18" s="71">
        <f t="shared" si="7"/>
        <v>57.212642910653791</v>
      </c>
      <c r="AE18" s="24"/>
      <c r="AH18" s="19">
        <f>M18+O18+Q18+S18</f>
        <v>1956961561</v>
      </c>
    </row>
    <row r="19" spans="1:34" ht="180" x14ac:dyDescent="0.2">
      <c r="A19" s="58"/>
      <c r="B19" s="14"/>
      <c r="C19" s="23" t="s">
        <v>54</v>
      </c>
      <c r="D19" s="23" t="s">
        <v>122</v>
      </c>
      <c r="E19" s="15">
        <v>3</v>
      </c>
      <c r="F19" s="21" t="s">
        <v>91</v>
      </c>
      <c r="G19" s="22">
        <f>2000000*3</f>
        <v>6000000</v>
      </c>
      <c r="H19" s="38">
        <v>1</v>
      </c>
      <c r="I19" s="17">
        <v>2000000</v>
      </c>
      <c r="J19" s="38">
        <v>1</v>
      </c>
      <c r="K19" s="17">
        <v>2000000</v>
      </c>
      <c r="L19" s="135">
        <v>1</v>
      </c>
      <c r="M19" s="133">
        <v>2000000</v>
      </c>
      <c r="N19" s="38">
        <v>0</v>
      </c>
      <c r="O19" s="17">
        <v>0</v>
      </c>
      <c r="P19" s="38">
        <v>0</v>
      </c>
      <c r="Q19" s="17">
        <v>0</v>
      </c>
      <c r="R19" s="38">
        <v>0</v>
      </c>
      <c r="S19" s="17">
        <v>0</v>
      </c>
      <c r="T19" s="47">
        <f t="shared" ref="T19:T40" si="9">SUM(L19,N19,P19,R19)</f>
        <v>1</v>
      </c>
      <c r="U19" s="47">
        <f t="shared" si="5"/>
        <v>100</v>
      </c>
      <c r="V19" s="29" t="s">
        <v>43</v>
      </c>
      <c r="W19" s="35">
        <f t="shared" si="1"/>
        <v>2000000</v>
      </c>
      <c r="X19" s="46">
        <f t="shared" si="6"/>
        <v>100</v>
      </c>
      <c r="Y19" s="29" t="s">
        <v>43</v>
      </c>
      <c r="Z19" s="47">
        <f t="shared" si="2"/>
        <v>2</v>
      </c>
      <c r="AA19" s="35">
        <f t="shared" si="3"/>
        <v>4000000</v>
      </c>
      <c r="AB19" s="71">
        <f t="shared" si="4"/>
        <v>66.666666666666657</v>
      </c>
      <c r="AC19" s="72" t="s">
        <v>43</v>
      </c>
      <c r="AD19" s="71">
        <f t="shared" si="7"/>
        <v>66.666666666666657</v>
      </c>
      <c r="AE19" s="11"/>
      <c r="AH19" s="19">
        <f>M19+O19+Q19+S19</f>
        <v>2000000</v>
      </c>
    </row>
    <row r="20" spans="1:34" ht="210" x14ac:dyDescent="0.2">
      <c r="A20" s="58"/>
      <c r="B20" s="14"/>
      <c r="C20" s="23" t="s">
        <v>55</v>
      </c>
      <c r="D20" s="23" t="s">
        <v>123</v>
      </c>
      <c r="E20" s="38">
        <v>36</v>
      </c>
      <c r="F20" s="21" t="s">
        <v>91</v>
      </c>
      <c r="G20" s="22">
        <f>1500000*3</f>
        <v>4500000</v>
      </c>
      <c r="H20" s="38">
        <v>12</v>
      </c>
      <c r="I20" s="17">
        <v>1500000</v>
      </c>
      <c r="J20" s="38">
        <v>12</v>
      </c>
      <c r="K20" s="17">
        <v>1500000</v>
      </c>
      <c r="L20" s="135">
        <v>3</v>
      </c>
      <c r="M20" s="133">
        <v>500000</v>
      </c>
      <c r="N20" s="38">
        <v>3</v>
      </c>
      <c r="O20" s="17">
        <v>500000</v>
      </c>
      <c r="P20" s="38">
        <v>3</v>
      </c>
      <c r="Q20" s="17">
        <v>499950</v>
      </c>
      <c r="R20" s="38">
        <v>3</v>
      </c>
      <c r="S20" s="17">
        <v>0</v>
      </c>
      <c r="T20" s="47">
        <f t="shared" si="9"/>
        <v>12</v>
      </c>
      <c r="U20" s="47">
        <f t="shared" si="5"/>
        <v>100</v>
      </c>
      <c r="V20" s="29" t="s">
        <v>43</v>
      </c>
      <c r="W20" s="35">
        <f t="shared" si="1"/>
        <v>1499950</v>
      </c>
      <c r="X20" s="46">
        <f t="shared" si="6"/>
        <v>99.99666666666667</v>
      </c>
      <c r="Y20" s="29"/>
      <c r="Z20" s="47">
        <f t="shared" si="2"/>
        <v>24</v>
      </c>
      <c r="AA20" s="35">
        <f t="shared" si="3"/>
        <v>2999950</v>
      </c>
      <c r="AB20" s="71">
        <f t="shared" si="4"/>
        <v>66.666666666666657</v>
      </c>
      <c r="AC20" s="72" t="s">
        <v>43</v>
      </c>
      <c r="AD20" s="71">
        <f t="shared" si="7"/>
        <v>66.665555555555557</v>
      </c>
      <c r="AE20" s="11"/>
      <c r="AH20" s="19">
        <f>M20+O20+Q20+S20</f>
        <v>1499950</v>
      </c>
    </row>
    <row r="21" spans="1:34" ht="105" x14ac:dyDescent="0.2">
      <c r="A21" s="58"/>
      <c r="B21" s="14"/>
      <c r="C21" s="23" t="s">
        <v>56</v>
      </c>
      <c r="D21" s="23" t="s">
        <v>124</v>
      </c>
      <c r="E21" s="15">
        <v>3</v>
      </c>
      <c r="F21" s="21" t="s">
        <v>42</v>
      </c>
      <c r="G21" s="22">
        <f>1500000*3</f>
        <v>4500000</v>
      </c>
      <c r="H21" s="38">
        <v>1</v>
      </c>
      <c r="I21" s="17">
        <v>1500000</v>
      </c>
      <c r="J21" s="38">
        <v>1</v>
      </c>
      <c r="K21" s="17">
        <v>1500000</v>
      </c>
      <c r="L21" s="135">
        <v>0</v>
      </c>
      <c r="M21" s="133">
        <v>0</v>
      </c>
      <c r="N21" s="38">
        <v>0</v>
      </c>
      <c r="O21" s="17">
        <v>0</v>
      </c>
      <c r="P21" s="38">
        <v>1</v>
      </c>
      <c r="Q21" s="17">
        <v>1500000</v>
      </c>
      <c r="R21" s="38">
        <v>0</v>
      </c>
      <c r="S21" s="17">
        <v>0</v>
      </c>
      <c r="T21" s="47">
        <f t="shared" si="9"/>
        <v>1</v>
      </c>
      <c r="U21" s="47">
        <f t="shared" si="5"/>
        <v>100</v>
      </c>
      <c r="V21" s="29" t="s">
        <v>43</v>
      </c>
      <c r="W21" s="35">
        <f t="shared" si="1"/>
        <v>1500000</v>
      </c>
      <c r="X21" s="46">
        <f t="shared" si="6"/>
        <v>100</v>
      </c>
      <c r="Y21" s="29" t="s">
        <v>43</v>
      </c>
      <c r="Z21" s="47">
        <f t="shared" si="2"/>
        <v>2</v>
      </c>
      <c r="AA21" s="35">
        <f t="shared" si="3"/>
        <v>3000000</v>
      </c>
      <c r="AB21" s="71">
        <f t="shared" si="4"/>
        <v>66.666666666666657</v>
      </c>
      <c r="AC21" s="72" t="s">
        <v>43</v>
      </c>
      <c r="AD21" s="71">
        <f t="shared" si="7"/>
        <v>66.666666666666657</v>
      </c>
      <c r="AE21" s="11"/>
      <c r="AH21" s="19">
        <f>M21+O21+Q21+S21</f>
        <v>1500000</v>
      </c>
    </row>
    <row r="22" spans="1:34" ht="78.75" x14ac:dyDescent="0.2">
      <c r="A22" s="58"/>
      <c r="B22" s="14" t="s">
        <v>158</v>
      </c>
      <c r="C22" s="14" t="s">
        <v>57</v>
      </c>
      <c r="D22" s="13" t="s">
        <v>103</v>
      </c>
      <c r="E22" s="58">
        <v>100</v>
      </c>
      <c r="F22" s="40" t="s">
        <v>43</v>
      </c>
      <c r="G22" s="36">
        <f>SUM(G23:G28)</f>
        <v>405674388</v>
      </c>
      <c r="H22" s="58">
        <v>100</v>
      </c>
      <c r="I22" s="36">
        <f>SUM(I23:I28)</f>
        <v>245249559</v>
      </c>
      <c r="J22" s="58">
        <v>100</v>
      </c>
      <c r="K22" s="36">
        <f>SUM(K23:K28)</f>
        <v>217405800</v>
      </c>
      <c r="L22" s="128">
        <v>100</v>
      </c>
      <c r="M22" s="131">
        <f>SUM(M23:M28)</f>
        <v>8691130</v>
      </c>
      <c r="N22" s="82">
        <v>100</v>
      </c>
      <c r="O22" s="36">
        <f t="shared" ref="O22" si="10">SUM(O23:O28)</f>
        <v>36591300</v>
      </c>
      <c r="P22" s="82">
        <v>100</v>
      </c>
      <c r="Q22" s="36">
        <f t="shared" ref="Q22" si="11">SUM(Q23:Q28)</f>
        <v>48930686</v>
      </c>
      <c r="R22" s="39">
        <v>100</v>
      </c>
      <c r="S22" s="36">
        <f>SUM(S23:S28)</f>
        <v>118305459</v>
      </c>
      <c r="T22" s="59">
        <f>AVERAGE(L22,N22,P22,R22)</f>
        <v>100</v>
      </c>
      <c r="U22" s="59">
        <f t="shared" si="5"/>
        <v>100</v>
      </c>
      <c r="V22" s="58" t="s">
        <v>43</v>
      </c>
      <c r="W22" s="56">
        <f t="shared" si="1"/>
        <v>212518575</v>
      </c>
      <c r="X22" s="57">
        <f t="shared" si="6"/>
        <v>97.752026394879991</v>
      </c>
      <c r="Y22" s="58" t="s">
        <v>43</v>
      </c>
      <c r="Z22" s="59">
        <f t="shared" si="2"/>
        <v>200</v>
      </c>
      <c r="AA22" s="56">
        <f t="shared" si="3"/>
        <v>457768134</v>
      </c>
      <c r="AB22" s="67">
        <f t="shared" si="4"/>
        <v>200</v>
      </c>
      <c r="AC22" s="68" t="s">
        <v>43</v>
      </c>
      <c r="AD22" s="67">
        <f t="shared" si="7"/>
        <v>112.84127062021969</v>
      </c>
      <c r="AE22" s="11"/>
      <c r="AH22" s="19"/>
    </row>
    <row r="23" spans="1:34" ht="105" x14ac:dyDescent="0.2">
      <c r="A23" s="58"/>
      <c r="B23" s="14"/>
      <c r="C23" s="20" t="s">
        <v>58</v>
      </c>
      <c r="D23" s="23" t="s">
        <v>125</v>
      </c>
      <c r="E23" s="15">
        <v>36</v>
      </c>
      <c r="F23" s="16" t="s">
        <v>99</v>
      </c>
      <c r="G23" s="22">
        <f>3499000*3</f>
        <v>10497000</v>
      </c>
      <c r="H23" s="38">
        <v>12</v>
      </c>
      <c r="I23" s="17">
        <v>3499000</v>
      </c>
      <c r="J23" s="38">
        <v>12</v>
      </c>
      <c r="K23" s="17">
        <v>3500000</v>
      </c>
      <c r="L23" s="135">
        <v>3</v>
      </c>
      <c r="M23" s="133">
        <v>1000000</v>
      </c>
      <c r="N23" s="38">
        <v>3</v>
      </c>
      <c r="O23" s="17">
        <v>1500000</v>
      </c>
      <c r="P23" s="38">
        <v>3</v>
      </c>
      <c r="Q23" s="17">
        <v>1000000</v>
      </c>
      <c r="R23" s="38">
        <v>3</v>
      </c>
      <c r="S23" s="17">
        <v>0</v>
      </c>
      <c r="T23" s="47">
        <f t="shared" si="9"/>
        <v>12</v>
      </c>
      <c r="U23" s="47">
        <f t="shared" si="5"/>
        <v>100</v>
      </c>
      <c r="V23" s="29" t="s">
        <v>43</v>
      </c>
      <c r="W23" s="35">
        <f t="shared" si="1"/>
        <v>3500000</v>
      </c>
      <c r="X23" s="46">
        <f t="shared" si="6"/>
        <v>100</v>
      </c>
      <c r="Y23" s="29" t="s">
        <v>43</v>
      </c>
      <c r="Z23" s="47">
        <f t="shared" si="2"/>
        <v>24</v>
      </c>
      <c r="AA23" s="35">
        <f t="shared" si="3"/>
        <v>6999000</v>
      </c>
      <c r="AB23" s="71">
        <f t="shared" si="4"/>
        <v>66.666666666666657</v>
      </c>
      <c r="AC23" s="72" t="s">
        <v>43</v>
      </c>
      <c r="AD23" s="71">
        <f t="shared" si="7"/>
        <v>66.676193198056595</v>
      </c>
      <c r="AE23" s="11"/>
      <c r="AH23" s="19"/>
    </row>
    <row r="24" spans="1:34" ht="78" customHeight="1" x14ac:dyDescent="0.2">
      <c r="A24" s="58"/>
      <c r="B24" s="14"/>
      <c r="C24" s="20" t="s">
        <v>59</v>
      </c>
      <c r="D24" s="23" t="s">
        <v>126</v>
      </c>
      <c r="E24" s="15">
        <v>36</v>
      </c>
      <c r="F24" s="16" t="s">
        <v>99</v>
      </c>
      <c r="G24" s="22">
        <f>65865821*3</f>
        <v>197597463</v>
      </c>
      <c r="H24" s="15">
        <v>12</v>
      </c>
      <c r="I24" s="17">
        <v>119077209</v>
      </c>
      <c r="J24" s="15">
        <v>12</v>
      </c>
      <c r="K24" s="17">
        <v>73791800</v>
      </c>
      <c r="L24" s="132">
        <v>3</v>
      </c>
      <c r="M24" s="133">
        <v>0</v>
      </c>
      <c r="N24" s="15">
        <v>3</v>
      </c>
      <c r="O24" s="17">
        <v>9676300</v>
      </c>
      <c r="P24" s="15">
        <v>3</v>
      </c>
      <c r="Q24" s="17">
        <v>12928600</v>
      </c>
      <c r="R24" s="15">
        <v>3</v>
      </c>
      <c r="S24" s="17">
        <v>51162475</v>
      </c>
      <c r="T24" s="47">
        <f t="shared" si="9"/>
        <v>12</v>
      </c>
      <c r="U24" s="47">
        <f t="shared" si="5"/>
        <v>100</v>
      </c>
      <c r="V24" s="29" t="s">
        <v>43</v>
      </c>
      <c r="W24" s="35">
        <f t="shared" si="1"/>
        <v>73767375</v>
      </c>
      <c r="X24" s="46">
        <f t="shared" si="6"/>
        <v>99.966900116273081</v>
      </c>
      <c r="Y24" s="29" t="s">
        <v>43</v>
      </c>
      <c r="Z24" s="47">
        <f t="shared" si="2"/>
        <v>24</v>
      </c>
      <c r="AA24" s="35">
        <f t="shared" si="3"/>
        <v>192844584</v>
      </c>
      <c r="AB24" s="71">
        <f t="shared" si="4"/>
        <v>66.666666666666657</v>
      </c>
      <c r="AC24" s="72" t="s">
        <v>43</v>
      </c>
      <c r="AD24" s="71">
        <f t="shared" si="7"/>
        <v>97.594665980099151</v>
      </c>
      <c r="AE24" s="11"/>
      <c r="AH24" s="19"/>
    </row>
    <row r="25" spans="1:34" ht="60" x14ac:dyDescent="0.2">
      <c r="A25" s="58"/>
      <c r="B25" s="14"/>
      <c r="C25" s="20" t="s">
        <v>60</v>
      </c>
      <c r="D25" s="20" t="s">
        <v>127</v>
      </c>
      <c r="E25" s="15">
        <v>36</v>
      </c>
      <c r="F25" s="16" t="s">
        <v>99</v>
      </c>
      <c r="G25" s="22">
        <f>45660000*3</f>
        <v>136980000</v>
      </c>
      <c r="H25" s="38">
        <v>12</v>
      </c>
      <c r="I25" s="17">
        <v>21735000</v>
      </c>
      <c r="J25" s="38">
        <v>12</v>
      </c>
      <c r="K25" s="17">
        <v>61564000</v>
      </c>
      <c r="L25" s="135">
        <v>3</v>
      </c>
      <c r="M25" s="133">
        <v>0</v>
      </c>
      <c r="N25" s="38">
        <v>3</v>
      </c>
      <c r="O25" s="17">
        <v>8500000</v>
      </c>
      <c r="P25" s="38">
        <v>3</v>
      </c>
      <c r="Q25" s="17">
        <v>12023200</v>
      </c>
      <c r="R25" s="38">
        <v>3</v>
      </c>
      <c r="S25" s="17">
        <v>35200000</v>
      </c>
      <c r="T25" s="47">
        <f t="shared" si="9"/>
        <v>12</v>
      </c>
      <c r="U25" s="47">
        <f t="shared" si="5"/>
        <v>100</v>
      </c>
      <c r="V25" s="29" t="s">
        <v>43</v>
      </c>
      <c r="W25" s="35">
        <f t="shared" si="1"/>
        <v>55723200</v>
      </c>
      <c r="X25" s="46">
        <f t="shared" si="6"/>
        <v>90.512637255538948</v>
      </c>
      <c r="Y25" s="29" t="s">
        <v>43</v>
      </c>
      <c r="Z25" s="47">
        <f t="shared" si="2"/>
        <v>24</v>
      </c>
      <c r="AA25" s="35">
        <f t="shared" si="3"/>
        <v>77458200</v>
      </c>
      <c r="AB25" s="71">
        <f t="shared" si="4"/>
        <v>66.666666666666657</v>
      </c>
      <c r="AC25" s="72" t="s">
        <v>43</v>
      </c>
      <c r="AD25" s="71">
        <f t="shared" si="7"/>
        <v>56.547087166009632</v>
      </c>
      <c r="AE25" s="11"/>
      <c r="AH25" s="19"/>
    </row>
    <row r="26" spans="1:34" ht="90" x14ac:dyDescent="0.2">
      <c r="A26" s="58"/>
      <c r="B26" s="14"/>
      <c r="C26" s="20" t="s">
        <v>61</v>
      </c>
      <c r="D26" s="20" t="s">
        <v>128</v>
      </c>
      <c r="E26" s="15">
        <v>36</v>
      </c>
      <c r="F26" s="16" t="s">
        <v>99</v>
      </c>
      <c r="G26" s="22">
        <f>12499975*3</f>
        <v>37499925</v>
      </c>
      <c r="H26" s="15">
        <v>12</v>
      </c>
      <c r="I26" s="17">
        <v>12498350</v>
      </c>
      <c r="J26" s="15">
        <v>12</v>
      </c>
      <c r="K26" s="17">
        <v>12350000</v>
      </c>
      <c r="L26" s="132">
        <v>3</v>
      </c>
      <c r="M26" s="133">
        <v>1000000</v>
      </c>
      <c r="N26" s="15">
        <v>3</v>
      </c>
      <c r="O26" s="17">
        <v>4000000</v>
      </c>
      <c r="P26" s="15">
        <v>3</v>
      </c>
      <c r="Q26" s="17">
        <v>5253400</v>
      </c>
      <c r="R26" s="15">
        <v>3</v>
      </c>
      <c r="S26" s="17">
        <v>3074600</v>
      </c>
      <c r="T26" s="47">
        <f t="shared" si="9"/>
        <v>12</v>
      </c>
      <c r="U26" s="47">
        <f t="shared" si="5"/>
        <v>100</v>
      </c>
      <c r="V26" s="29" t="s">
        <v>43</v>
      </c>
      <c r="W26" s="35">
        <f t="shared" si="1"/>
        <v>13328000</v>
      </c>
      <c r="X26" s="46">
        <f t="shared" si="6"/>
        <v>107.91902834008098</v>
      </c>
      <c r="Y26" s="29" t="s">
        <v>43</v>
      </c>
      <c r="Z26" s="47">
        <f t="shared" si="2"/>
        <v>24</v>
      </c>
      <c r="AA26" s="35">
        <f t="shared" si="3"/>
        <v>25826350</v>
      </c>
      <c r="AB26" s="71">
        <f t="shared" si="4"/>
        <v>66.666666666666657</v>
      </c>
      <c r="AC26" s="72" t="s">
        <v>43</v>
      </c>
      <c r="AD26" s="71">
        <f t="shared" si="7"/>
        <v>68.870404407475476</v>
      </c>
      <c r="AE26" s="11"/>
      <c r="AH26" s="19"/>
    </row>
    <row r="27" spans="1:34" ht="120" x14ac:dyDescent="0.2">
      <c r="A27" s="58"/>
      <c r="B27" s="14"/>
      <c r="C27" s="20" t="s">
        <v>94</v>
      </c>
      <c r="D27" s="79" t="s">
        <v>129</v>
      </c>
      <c r="E27" s="15">
        <v>36</v>
      </c>
      <c r="F27" s="16" t="s">
        <v>42</v>
      </c>
      <c r="G27" s="22">
        <f>1200000*3</f>
        <v>3600000</v>
      </c>
      <c r="H27" s="15">
        <v>12</v>
      </c>
      <c r="I27" s="17">
        <v>1200000</v>
      </c>
      <c r="J27" s="15">
        <v>12</v>
      </c>
      <c r="K27" s="17">
        <v>1200000</v>
      </c>
      <c r="L27" s="132">
        <v>3</v>
      </c>
      <c r="M27" s="133">
        <v>300000</v>
      </c>
      <c r="N27" s="15">
        <v>3</v>
      </c>
      <c r="O27" s="17">
        <v>300000</v>
      </c>
      <c r="P27" s="15">
        <v>3</v>
      </c>
      <c r="Q27" s="17">
        <v>300000</v>
      </c>
      <c r="R27" s="15">
        <v>3</v>
      </c>
      <c r="S27" s="17">
        <v>300000</v>
      </c>
      <c r="T27" s="47">
        <f t="shared" si="9"/>
        <v>12</v>
      </c>
      <c r="U27" s="47">
        <f t="shared" si="5"/>
        <v>100</v>
      </c>
      <c r="V27" s="29" t="s">
        <v>43</v>
      </c>
      <c r="W27" s="35">
        <f t="shared" si="1"/>
        <v>1200000</v>
      </c>
      <c r="X27" s="46">
        <f t="shared" si="6"/>
        <v>100</v>
      </c>
      <c r="Y27" s="29" t="s">
        <v>43</v>
      </c>
      <c r="Z27" s="47">
        <f t="shared" si="2"/>
        <v>24</v>
      </c>
      <c r="AA27" s="35">
        <f t="shared" si="3"/>
        <v>2400000</v>
      </c>
      <c r="AB27" s="71">
        <f t="shared" si="4"/>
        <v>66.666666666666657</v>
      </c>
      <c r="AC27" s="72" t="s">
        <v>43</v>
      </c>
      <c r="AD27" s="71">
        <f t="shared" si="7"/>
        <v>66.666666666666657</v>
      </c>
      <c r="AE27" s="11"/>
      <c r="AH27" s="19"/>
    </row>
    <row r="28" spans="1:34" ht="105" x14ac:dyDescent="0.2">
      <c r="A28" s="58"/>
      <c r="B28" s="14"/>
      <c r="C28" s="20" t="s">
        <v>62</v>
      </c>
      <c r="D28" s="20" t="s">
        <v>130</v>
      </c>
      <c r="E28" s="15">
        <v>36</v>
      </c>
      <c r="F28" s="16" t="s">
        <v>91</v>
      </c>
      <c r="G28" s="22">
        <f>6500000*3</f>
        <v>19500000</v>
      </c>
      <c r="H28" s="15">
        <v>12</v>
      </c>
      <c r="I28" s="17">
        <v>87240000</v>
      </c>
      <c r="J28" s="15">
        <v>12</v>
      </c>
      <c r="K28" s="17">
        <v>65000000</v>
      </c>
      <c r="L28" s="132">
        <v>3</v>
      </c>
      <c r="M28" s="133">
        <v>6391130</v>
      </c>
      <c r="N28" s="15">
        <v>3</v>
      </c>
      <c r="O28" s="17">
        <v>12615000</v>
      </c>
      <c r="P28" s="15">
        <v>3</v>
      </c>
      <c r="Q28" s="17">
        <v>17425486</v>
      </c>
      <c r="R28" s="15">
        <v>3</v>
      </c>
      <c r="S28" s="17">
        <v>28568384</v>
      </c>
      <c r="T28" s="47">
        <f t="shared" si="9"/>
        <v>12</v>
      </c>
      <c r="U28" s="47">
        <f t="shared" si="5"/>
        <v>100</v>
      </c>
      <c r="V28" s="29" t="s">
        <v>43</v>
      </c>
      <c r="W28" s="35">
        <f t="shared" si="1"/>
        <v>65000000</v>
      </c>
      <c r="X28" s="46">
        <f t="shared" si="6"/>
        <v>100</v>
      </c>
      <c r="Y28" s="29" t="s">
        <v>43</v>
      </c>
      <c r="Z28" s="47">
        <f t="shared" si="2"/>
        <v>24</v>
      </c>
      <c r="AA28" s="35">
        <f t="shared" si="3"/>
        <v>152240000</v>
      </c>
      <c r="AB28" s="71">
        <f t="shared" si="4"/>
        <v>66.666666666666657</v>
      </c>
      <c r="AC28" s="72" t="s">
        <v>43</v>
      </c>
      <c r="AD28" s="71">
        <f t="shared" si="7"/>
        <v>780.71794871794873</v>
      </c>
      <c r="AE28" s="11"/>
      <c r="AH28" s="19"/>
    </row>
    <row r="29" spans="1:34" ht="118.5" customHeight="1" x14ac:dyDescent="0.2">
      <c r="A29" s="58"/>
      <c r="B29" s="14" t="s">
        <v>159</v>
      </c>
      <c r="C29" s="13" t="s">
        <v>95</v>
      </c>
      <c r="D29" s="13" t="s">
        <v>160</v>
      </c>
      <c r="E29" s="39">
        <v>100</v>
      </c>
      <c r="F29" s="40" t="s">
        <v>43</v>
      </c>
      <c r="G29" s="37">
        <f>SUM(G30)</f>
        <v>45000000</v>
      </c>
      <c r="H29" s="39">
        <v>100</v>
      </c>
      <c r="I29" s="37">
        <f>SUM(I30)</f>
        <v>15000000</v>
      </c>
      <c r="J29" s="39">
        <v>100</v>
      </c>
      <c r="K29" s="37">
        <f>SUM(K30)</f>
        <v>15000000</v>
      </c>
      <c r="L29" s="128">
        <v>25</v>
      </c>
      <c r="M29" s="129">
        <f>M30</f>
        <v>0</v>
      </c>
      <c r="N29" s="39">
        <v>25</v>
      </c>
      <c r="O29" s="37">
        <v>0</v>
      </c>
      <c r="P29" s="39">
        <v>25</v>
      </c>
      <c r="Q29" s="37">
        <f>Q30</f>
        <v>438400</v>
      </c>
      <c r="R29" s="39">
        <v>25</v>
      </c>
      <c r="S29" s="37">
        <v>0</v>
      </c>
      <c r="T29" s="59">
        <f t="shared" si="9"/>
        <v>100</v>
      </c>
      <c r="U29" s="59">
        <f t="shared" si="5"/>
        <v>100</v>
      </c>
      <c r="V29" s="58" t="s">
        <v>43</v>
      </c>
      <c r="W29" s="56">
        <f t="shared" si="1"/>
        <v>438400</v>
      </c>
      <c r="X29" s="57">
        <f t="shared" si="6"/>
        <v>2.9226666666666667</v>
      </c>
      <c r="Y29" s="58" t="s">
        <v>43</v>
      </c>
      <c r="Z29" s="59">
        <f t="shared" si="2"/>
        <v>200</v>
      </c>
      <c r="AA29" s="56">
        <f t="shared" si="3"/>
        <v>15438400</v>
      </c>
      <c r="AB29" s="67">
        <f t="shared" si="4"/>
        <v>200</v>
      </c>
      <c r="AC29" s="68" t="s">
        <v>43</v>
      </c>
      <c r="AD29" s="67">
        <f t="shared" si="7"/>
        <v>34.30755555555556</v>
      </c>
      <c r="AE29" s="11"/>
      <c r="AH29" s="19"/>
    </row>
    <row r="30" spans="1:34" ht="105" x14ac:dyDescent="0.2">
      <c r="A30" s="58"/>
      <c r="B30" s="14"/>
      <c r="C30" s="20" t="s">
        <v>96</v>
      </c>
      <c r="D30" s="80" t="s">
        <v>131</v>
      </c>
      <c r="E30" s="15">
        <v>36</v>
      </c>
      <c r="F30" s="16" t="s">
        <v>132</v>
      </c>
      <c r="G30" s="22">
        <f>15000000*3</f>
        <v>45000000</v>
      </c>
      <c r="H30" s="15">
        <v>1</v>
      </c>
      <c r="I30" s="17">
        <v>15000000</v>
      </c>
      <c r="J30" s="15">
        <v>1</v>
      </c>
      <c r="K30" s="17">
        <v>15000000</v>
      </c>
      <c r="L30" s="132">
        <v>0</v>
      </c>
      <c r="M30" s="133">
        <v>0</v>
      </c>
      <c r="N30" s="15">
        <v>0</v>
      </c>
      <c r="O30" s="17">
        <v>0</v>
      </c>
      <c r="P30" s="15">
        <v>1</v>
      </c>
      <c r="Q30" s="17">
        <v>438400</v>
      </c>
      <c r="R30" s="15">
        <v>0</v>
      </c>
      <c r="S30" s="17">
        <v>0</v>
      </c>
      <c r="T30" s="47">
        <f t="shared" si="9"/>
        <v>1</v>
      </c>
      <c r="U30" s="47">
        <f t="shared" si="5"/>
        <v>100</v>
      </c>
      <c r="V30" s="29" t="s">
        <v>43</v>
      </c>
      <c r="W30" s="35">
        <f t="shared" si="1"/>
        <v>438400</v>
      </c>
      <c r="X30" s="46">
        <f t="shared" si="6"/>
        <v>2.9226666666666667</v>
      </c>
      <c r="Y30" s="29" t="s">
        <v>43</v>
      </c>
      <c r="Z30" s="47">
        <f t="shared" si="2"/>
        <v>2</v>
      </c>
      <c r="AA30" s="35">
        <f t="shared" si="3"/>
        <v>15438400</v>
      </c>
      <c r="AB30" s="71">
        <f t="shared" si="4"/>
        <v>5.5555555555555554</v>
      </c>
      <c r="AC30" s="72" t="s">
        <v>43</v>
      </c>
      <c r="AD30" s="71">
        <f t="shared" si="7"/>
        <v>34.30755555555556</v>
      </c>
      <c r="AE30" s="11"/>
      <c r="AH30" s="19"/>
    </row>
    <row r="31" spans="1:34" ht="97.5" customHeight="1" x14ac:dyDescent="0.2">
      <c r="A31" s="58"/>
      <c r="B31" s="14" t="s">
        <v>161</v>
      </c>
      <c r="C31" s="13" t="s">
        <v>63</v>
      </c>
      <c r="D31" s="13" t="s">
        <v>104</v>
      </c>
      <c r="E31" s="39">
        <v>100</v>
      </c>
      <c r="F31" s="40" t="s">
        <v>43</v>
      </c>
      <c r="G31" s="37">
        <f>SUM(G32:G34)</f>
        <v>149820000</v>
      </c>
      <c r="H31" s="39">
        <v>100</v>
      </c>
      <c r="I31" s="37">
        <f>SUM(I32:I34)</f>
        <v>46949855</v>
      </c>
      <c r="J31" s="39">
        <v>100</v>
      </c>
      <c r="K31" s="37">
        <f>SUM(K32:K34)</f>
        <v>122113355</v>
      </c>
      <c r="L31" s="128">
        <v>25</v>
      </c>
      <c r="M31" s="129">
        <f>SUM(M32:M34)</f>
        <v>17739900</v>
      </c>
      <c r="N31" s="37">
        <v>25</v>
      </c>
      <c r="O31" s="37">
        <f t="shared" ref="O31:Q31" si="12">SUM(O32:O34)</f>
        <v>27687569</v>
      </c>
      <c r="P31" s="37">
        <v>25</v>
      </c>
      <c r="Q31" s="37">
        <f t="shared" si="12"/>
        <v>27620096</v>
      </c>
      <c r="R31" s="39">
        <v>25</v>
      </c>
      <c r="S31" s="37">
        <f>SUM(S32:S34)</f>
        <v>45169008</v>
      </c>
      <c r="T31" s="59">
        <f t="shared" si="9"/>
        <v>100</v>
      </c>
      <c r="U31" s="59">
        <f t="shared" si="5"/>
        <v>100</v>
      </c>
      <c r="V31" s="58" t="s">
        <v>43</v>
      </c>
      <c r="W31" s="56">
        <f t="shared" si="1"/>
        <v>118216573</v>
      </c>
      <c r="X31" s="57">
        <f t="shared" si="6"/>
        <v>96.808881387297902</v>
      </c>
      <c r="Y31" s="58" t="s">
        <v>43</v>
      </c>
      <c r="Z31" s="59">
        <f t="shared" si="2"/>
        <v>200</v>
      </c>
      <c r="AA31" s="56">
        <f t="shared" si="3"/>
        <v>165166428</v>
      </c>
      <c r="AB31" s="67">
        <f t="shared" si="4"/>
        <v>200</v>
      </c>
      <c r="AC31" s="68" t="s">
        <v>43</v>
      </c>
      <c r="AD31" s="67">
        <f t="shared" si="7"/>
        <v>110.24324389267119</v>
      </c>
      <c r="AE31" s="11"/>
      <c r="AH31" s="19"/>
    </row>
    <row r="32" spans="1:34" ht="75" x14ac:dyDescent="0.2">
      <c r="A32" s="58"/>
      <c r="B32" s="14"/>
      <c r="C32" s="20" t="s">
        <v>64</v>
      </c>
      <c r="D32" s="23" t="s">
        <v>133</v>
      </c>
      <c r="E32" s="15">
        <v>36</v>
      </c>
      <c r="F32" s="16" t="s">
        <v>91</v>
      </c>
      <c r="G32" s="22">
        <f>350000*3</f>
        <v>1050000</v>
      </c>
      <c r="H32" s="15">
        <v>12</v>
      </c>
      <c r="I32" s="17">
        <v>0</v>
      </c>
      <c r="J32" s="15">
        <v>12</v>
      </c>
      <c r="K32" s="17">
        <v>750000</v>
      </c>
      <c r="L32" s="132">
        <v>3</v>
      </c>
      <c r="M32" s="133">
        <v>0</v>
      </c>
      <c r="N32" s="15">
        <v>3</v>
      </c>
      <c r="O32" s="17">
        <v>0</v>
      </c>
      <c r="P32" s="15">
        <v>3</v>
      </c>
      <c r="Q32" s="17">
        <v>0</v>
      </c>
      <c r="R32" s="15">
        <v>3</v>
      </c>
      <c r="S32" s="17">
        <v>750000</v>
      </c>
      <c r="T32" s="47">
        <f t="shared" si="9"/>
        <v>12</v>
      </c>
      <c r="U32" s="47">
        <f t="shared" si="5"/>
        <v>100</v>
      </c>
      <c r="V32" s="29" t="s">
        <v>43</v>
      </c>
      <c r="W32" s="35">
        <f t="shared" si="1"/>
        <v>750000</v>
      </c>
      <c r="X32" s="46">
        <f t="shared" si="6"/>
        <v>100</v>
      </c>
      <c r="Y32" s="29" t="s">
        <v>43</v>
      </c>
      <c r="Z32" s="47">
        <f t="shared" si="2"/>
        <v>24</v>
      </c>
      <c r="AA32" s="35">
        <f t="shared" si="3"/>
        <v>750000</v>
      </c>
      <c r="AB32" s="71">
        <f t="shared" si="4"/>
        <v>66.666666666666657</v>
      </c>
      <c r="AC32" s="72" t="s">
        <v>43</v>
      </c>
      <c r="AD32" s="71">
        <f t="shared" si="7"/>
        <v>71.428571428571431</v>
      </c>
      <c r="AE32" s="11"/>
      <c r="AH32" s="19"/>
    </row>
    <row r="33" spans="1:34" ht="135" x14ac:dyDescent="0.2">
      <c r="A33" s="58"/>
      <c r="B33" s="14"/>
      <c r="C33" s="20" t="s">
        <v>65</v>
      </c>
      <c r="D33" s="23" t="s">
        <v>134</v>
      </c>
      <c r="E33" s="15">
        <v>36</v>
      </c>
      <c r="F33" s="16" t="s">
        <v>91</v>
      </c>
      <c r="G33" s="22">
        <f>38700000*3</f>
        <v>116100000</v>
      </c>
      <c r="H33" s="15">
        <v>12</v>
      </c>
      <c r="I33" s="17">
        <v>38699855</v>
      </c>
      <c r="J33" s="15">
        <v>12</v>
      </c>
      <c r="K33" s="17">
        <v>38699855</v>
      </c>
      <c r="L33" s="132">
        <v>3</v>
      </c>
      <c r="M33" s="133">
        <v>4239900</v>
      </c>
      <c r="N33" s="15">
        <v>3</v>
      </c>
      <c r="O33" s="17">
        <v>10025069</v>
      </c>
      <c r="P33" s="15">
        <v>3</v>
      </c>
      <c r="Q33" s="17">
        <v>6948596</v>
      </c>
      <c r="R33" s="15">
        <v>3</v>
      </c>
      <c r="S33" s="17">
        <v>13849609</v>
      </c>
      <c r="T33" s="47">
        <f t="shared" si="9"/>
        <v>12</v>
      </c>
      <c r="U33" s="47">
        <f t="shared" si="5"/>
        <v>100</v>
      </c>
      <c r="V33" s="29" t="s">
        <v>43</v>
      </c>
      <c r="W33" s="35">
        <f t="shared" si="1"/>
        <v>35063174</v>
      </c>
      <c r="X33" s="46">
        <f t="shared" si="6"/>
        <v>90.602856263931741</v>
      </c>
      <c r="Y33" s="29" t="s">
        <v>43</v>
      </c>
      <c r="Z33" s="47">
        <f t="shared" si="2"/>
        <v>24</v>
      </c>
      <c r="AA33" s="35">
        <f t="shared" si="3"/>
        <v>73763029</v>
      </c>
      <c r="AB33" s="71">
        <f t="shared" si="4"/>
        <v>66.666666666666657</v>
      </c>
      <c r="AC33" s="72" t="s">
        <v>43</v>
      </c>
      <c r="AD33" s="71">
        <f t="shared" si="7"/>
        <v>63.534047372954348</v>
      </c>
      <c r="AE33" s="11"/>
      <c r="AH33" s="19"/>
    </row>
    <row r="34" spans="1:34" ht="120" x14ac:dyDescent="0.2">
      <c r="A34" s="58"/>
      <c r="B34" s="14"/>
      <c r="C34" s="20" t="s">
        <v>66</v>
      </c>
      <c r="D34" s="23" t="s">
        <v>135</v>
      </c>
      <c r="E34" s="15">
        <v>36</v>
      </c>
      <c r="F34" s="16" t="s">
        <v>91</v>
      </c>
      <c r="G34" s="22">
        <f>10890000*3</f>
        <v>32670000</v>
      </c>
      <c r="H34" s="15">
        <v>12</v>
      </c>
      <c r="I34" s="17">
        <v>8250000</v>
      </c>
      <c r="J34" s="15">
        <v>12</v>
      </c>
      <c r="K34" s="17">
        <v>82663500</v>
      </c>
      <c r="L34" s="132">
        <v>3</v>
      </c>
      <c r="M34" s="133">
        <v>13500000</v>
      </c>
      <c r="N34" s="15">
        <v>3</v>
      </c>
      <c r="O34" s="17">
        <v>17662500</v>
      </c>
      <c r="P34" s="15">
        <v>3</v>
      </c>
      <c r="Q34" s="17">
        <v>20671500</v>
      </c>
      <c r="R34" s="15">
        <v>3</v>
      </c>
      <c r="S34" s="17">
        <v>30569399</v>
      </c>
      <c r="T34" s="47">
        <f t="shared" si="9"/>
        <v>12</v>
      </c>
      <c r="U34" s="47">
        <f t="shared" si="5"/>
        <v>100</v>
      </c>
      <c r="V34" s="29" t="s">
        <v>43</v>
      </c>
      <c r="W34" s="35">
        <f t="shared" si="1"/>
        <v>82403399</v>
      </c>
      <c r="X34" s="46">
        <f t="shared" si="6"/>
        <v>99.685349640409612</v>
      </c>
      <c r="Y34" s="29" t="s">
        <v>43</v>
      </c>
      <c r="Z34" s="47">
        <f t="shared" si="2"/>
        <v>24</v>
      </c>
      <c r="AA34" s="35">
        <f t="shared" si="3"/>
        <v>90653399</v>
      </c>
      <c r="AB34" s="71">
        <f t="shared" si="4"/>
        <v>66.666666666666657</v>
      </c>
      <c r="AC34" s="72" t="s">
        <v>43</v>
      </c>
      <c r="AD34" s="71">
        <f t="shared" si="7"/>
        <v>277.48209060299968</v>
      </c>
      <c r="AE34" s="11"/>
      <c r="AH34" s="19"/>
    </row>
    <row r="35" spans="1:34" ht="97.5" customHeight="1" x14ac:dyDescent="0.2">
      <c r="A35" s="58"/>
      <c r="B35" s="14" t="s">
        <v>162</v>
      </c>
      <c r="C35" s="13" t="s">
        <v>67</v>
      </c>
      <c r="D35" s="13" t="s">
        <v>103</v>
      </c>
      <c r="E35" s="39">
        <v>100</v>
      </c>
      <c r="F35" s="40" t="s">
        <v>43</v>
      </c>
      <c r="G35" s="37">
        <f>SUM(G36:G39)</f>
        <v>1511070000</v>
      </c>
      <c r="H35" s="39">
        <v>100</v>
      </c>
      <c r="I35" s="37">
        <f>SUM(I36:I39)</f>
        <v>487395800</v>
      </c>
      <c r="J35" s="39">
        <v>100</v>
      </c>
      <c r="K35" s="37">
        <f>SUM(K36:K39)</f>
        <v>70400000</v>
      </c>
      <c r="L35" s="128">
        <v>25</v>
      </c>
      <c r="M35" s="129">
        <f>SUM(M36:M38)</f>
        <v>4500000</v>
      </c>
      <c r="N35" s="37">
        <v>25</v>
      </c>
      <c r="O35" s="37">
        <f t="shared" ref="O35" si="13">SUM(O36:O38)</f>
        <v>10106000</v>
      </c>
      <c r="P35" s="37">
        <v>25</v>
      </c>
      <c r="Q35" s="37">
        <f>SUM(Q36:Q39)</f>
        <v>25587700</v>
      </c>
      <c r="R35" s="39">
        <v>25</v>
      </c>
      <c r="S35" s="37">
        <f>SUM(S36:S39)</f>
        <v>28768800</v>
      </c>
      <c r="T35" s="59">
        <f t="shared" si="9"/>
        <v>100</v>
      </c>
      <c r="U35" s="59">
        <f t="shared" si="5"/>
        <v>100</v>
      </c>
      <c r="V35" s="58" t="s">
        <v>43</v>
      </c>
      <c r="W35" s="56">
        <f t="shared" si="1"/>
        <v>68962500</v>
      </c>
      <c r="X35" s="57">
        <f t="shared" si="6"/>
        <v>97.958096590909093</v>
      </c>
      <c r="Y35" s="58" t="s">
        <v>43</v>
      </c>
      <c r="Z35" s="59">
        <f t="shared" si="2"/>
        <v>200</v>
      </c>
      <c r="AA35" s="56">
        <f t="shared" si="3"/>
        <v>556358300</v>
      </c>
      <c r="AB35" s="67">
        <f t="shared" si="4"/>
        <v>200</v>
      </c>
      <c r="AC35" s="68" t="s">
        <v>43</v>
      </c>
      <c r="AD35" s="67">
        <f t="shared" si="7"/>
        <v>36.818830365237872</v>
      </c>
      <c r="AE35" s="11"/>
      <c r="AH35" s="19"/>
    </row>
    <row r="36" spans="1:34" ht="165" x14ac:dyDescent="0.2">
      <c r="A36" s="58"/>
      <c r="B36" s="14"/>
      <c r="C36" s="20" t="s">
        <v>68</v>
      </c>
      <c r="D36" s="23" t="s">
        <v>136</v>
      </c>
      <c r="E36" s="15">
        <v>36</v>
      </c>
      <c r="F36" s="16" t="s">
        <v>132</v>
      </c>
      <c r="G36" s="22">
        <f xml:space="preserve"> 50728000*3</f>
        <v>152184000</v>
      </c>
      <c r="H36" s="15">
        <v>12</v>
      </c>
      <c r="I36" s="17">
        <v>46326600</v>
      </c>
      <c r="J36" s="15">
        <v>12</v>
      </c>
      <c r="K36" s="17">
        <v>29250000</v>
      </c>
      <c r="L36" s="132">
        <v>3</v>
      </c>
      <c r="M36" s="133">
        <v>4500000</v>
      </c>
      <c r="N36" s="15">
        <v>3</v>
      </c>
      <c r="O36" s="17">
        <v>8106000</v>
      </c>
      <c r="P36" s="15">
        <v>3</v>
      </c>
      <c r="Q36" s="17">
        <v>1587700</v>
      </c>
      <c r="R36" s="15">
        <v>3</v>
      </c>
      <c r="S36" s="17">
        <v>13618800</v>
      </c>
      <c r="T36" s="47">
        <f t="shared" si="9"/>
        <v>12</v>
      </c>
      <c r="U36" s="47">
        <f t="shared" si="5"/>
        <v>100</v>
      </c>
      <c r="V36" s="29" t="s">
        <v>43</v>
      </c>
      <c r="W36" s="35">
        <f t="shared" si="1"/>
        <v>27812500</v>
      </c>
      <c r="X36" s="46">
        <f t="shared" si="6"/>
        <v>95.085470085470078</v>
      </c>
      <c r="Y36" s="29" t="s">
        <v>43</v>
      </c>
      <c r="Z36" s="47">
        <f t="shared" si="2"/>
        <v>24</v>
      </c>
      <c r="AA36" s="35">
        <f t="shared" si="3"/>
        <v>74139100</v>
      </c>
      <c r="AB36" s="71">
        <f t="shared" si="4"/>
        <v>66.666666666666657</v>
      </c>
      <c r="AC36" s="72" t="s">
        <v>43</v>
      </c>
      <c r="AD36" s="71">
        <f t="shared" si="7"/>
        <v>48.716750775377179</v>
      </c>
      <c r="AE36" s="11"/>
      <c r="AH36" s="19"/>
    </row>
    <row r="37" spans="1:34" ht="105" x14ac:dyDescent="0.2">
      <c r="A37" s="58"/>
      <c r="B37" s="14"/>
      <c r="C37" s="20" t="s">
        <v>69</v>
      </c>
      <c r="D37" s="23" t="s">
        <v>137</v>
      </c>
      <c r="E37" s="15">
        <v>36</v>
      </c>
      <c r="F37" s="16" t="s">
        <v>132</v>
      </c>
      <c r="G37" s="22">
        <f>436962000*3</f>
        <v>1310886000</v>
      </c>
      <c r="H37" s="15">
        <v>12</v>
      </c>
      <c r="I37" s="17">
        <v>425069200</v>
      </c>
      <c r="J37" s="15">
        <v>12</v>
      </c>
      <c r="K37" s="17">
        <v>25000000</v>
      </c>
      <c r="L37" s="132">
        <v>3</v>
      </c>
      <c r="M37" s="133">
        <v>0</v>
      </c>
      <c r="N37" s="15">
        <v>3</v>
      </c>
      <c r="O37" s="17">
        <v>0</v>
      </c>
      <c r="P37" s="15">
        <v>3</v>
      </c>
      <c r="Q37" s="17">
        <v>14000000</v>
      </c>
      <c r="R37" s="15">
        <v>3</v>
      </c>
      <c r="S37" s="17">
        <v>11000000</v>
      </c>
      <c r="T37" s="47">
        <f t="shared" si="9"/>
        <v>12</v>
      </c>
      <c r="U37" s="47">
        <f t="shared" si="5"/>
        <v>100</v>
      </c>
      <c r="V37" s="29" t="s">
        <v>43</v>
      </c>
      <c r="W37" s="35">
        <f t="shared" si="1"/>
        <v>25000000</v>
      </c>
      <c r="X37" s="46">
        <f t="shared" si="6"/>
        <v>100</v>
      </c>
      <c r="Y37" s="29"/>
      <c r="Z37" s="47">
        <f t="shared" si="2"/>
        <v>24</v>
      </c>
      <c r="AA37" s="35">
        <f t="shared" si="3"/>
        <v>450069200</v>
      </c>
      <c r="AB37" s="71">
        <f t="shared" si="4"/>
        <v>66.666666666666657</v>
      </c>
      <c r="AC37" s="72" t="s">
        <v>43</v>
      </c>
      <c r="AD37" s="71">
        <f t="shared" si="7"/>
        <v>34.333206701421787</v>
      </c>
      <c r="AE37" s="11"/>
      <c r="AH37" s="19"/>
    </row>
    <row r="38" spans="1:34" ht="105" x14ac:dyDescent="0.2">
      <c r="A38" s="58"/>
      <c r="B38" s="14"/>
      <c r="C38" s="20" t="s">
        <v>70</v>
      </c>
      <c r="D38" s="79" t="s">
        <v>138</v>
      </c>
      <c r="E38" s="15">
        <v>36</v>
      </c>
      <c r="F38" s="16" t="s">
        <v>132</v>
      </c>
      <c r="G38" s="22">
        <f>6000000*3</f>
        <v>18000000</v>
      </c>
      <c r="H38" s="15">
        <v>12</v>
      </c>
      <c r="I38" s="17">
        <v>6000000</v>
      </c>
      <c r="J38" s="15">
        <v>12</v>
      </c>
      <c r="K38" s="17">
        <v>6150000</v>
      </c>
      <c r="L38" s="132">
        <v>3</v>
      </c>
      <c r="M38" s="133">
        <v>0</v>
      </c>
      <c r="N38" s="15">
        <v>3</v>
      </c>
      <c r="O38" s="17">
        <v>2000000</v>
      </c>
      <c r="P38" s="15">
        <v>3</v>
      </c>
      <c r="Q38" s="17">
        <v>0</v>
      </c>
      <c r="R38" s="15">
        <v>3</v>
      </c>
      <c r="S38" s="17">
        <v>4150000</v>
      </c>
      <c r="T38" s="47">
        <f t="shared" si="9"/>
        <v>12</v>
      </c>
      <c r="U38" s="47">
        <f t="shared" si="5"/>
        <v>100</v>
      </c>
      <c r="V38" s="29" t="s">
        <v>43</v>
      </c>
      <c r="W38" s="35">
        <f t="shared" si="1"/>
        <v>6150000</v>
      </c>
      <c r="X38" s="46">
        <f t="shared" si="6"/>
        <v>100</v>
      </c>
      <c r="Y38" s="29"/>
      <c r="Z38" s="47">
        <f t="shared" si="2"/>
        <v>24</v>
      </c>
      <c r="AA38" s="35">
        <f t="shared" si="3"/>
        <v>12150000</v>
      </c>
      <c r="AB38" s="71">
        <f t="shared" si="4"/>
        <v>66.666666666666657</v>
      </c>
      <c r="AC38" s="72" t="s">
        <v>43</v>
      </c>
      <c r="AD38" s="71">
        <f t="shared" si="7"/>
        <v>67.5</v>
      </c>
      <c r="AE38" s="11"/>
      <c r="AH38" s="19"/>
    </row>
    <row r="39" spans="1:34" ht="120" x14ac:dyDescent="0.2">
      <c r="A39" s="58"/>
      <c r="B39" s="14"/>
      <c r="C39" s="20" t="s">
        <v>97</v>
      </c>
      <c r="D39" s="80" t="s">
        <v>139</v>
      </c>
      <c r="E39" s="15">
        <v>36</v>
      </c>
      <c r="F39" s="16" t="s">
        <v>132</v>
      </c>
      <c r="G39" s="22">
        <f>10000000*3</f>
        <v>30000000</v>
      </c>
      <c r="H39" s="15">
        <v>12</v>
      </c>
      <c r="I39" s="17">
        <v>10000000</v>
      </c>
      <c r="J39" s="15">
        <v>12</v>
      </c>
      <c r="K39" s="17">
        <v>10000000</v>
      </c>
      <c r="L39" s="132">
        <v>3</v>
      </c>
      <c r="M39" s="133">
        <v>0</v>
      </c>
      <c r="N39" s="15">
        <v>3</v>
      </c>
      <c r="O39" s="17">
        <v>0</v>
      </c>
      <c r="P39" s="15">
        <v>3</v>
      </c>
      <c r="Q39" s="17">
        <v>10000000</v>
      </c>
      <c r="R39" s="15">
        <v>3</v>
      </c>
      <c r="S39" s="17">
        <v>0</v>
      </c>
      <c r="T39" s="47">
        <f t="shared" si="9"/>
        <v>12</v>
      </c>
      <c r="U39" s="47">
        <f t="shared" si="5"/>
        <v>100</v>
      </c>
      <c r="V39" s="29" t="s">
        <v>43</v>
      </c>
      <c r="W39" s="35">
        <f t="shared" si="1"/>
        <v>10000000</v>
      </c>
      <c r="X39" s="46">
        <f t="shared" si="6"/>
        <v>100</v>
      </c>
      <c r="Y39" s="29"/>
      <c r="Z39" s="47">
        <f t="shared" si="2"/>
        <v>24</v>
      </c>
      <c r="AA39" s="35">
        <f t="shared" si="3"/>
        <v>20000000</v>
      </c>
      <c r="AB39" s="71">
        <f t="shared" si="4"/>
        <v>66.666666666666657</v>
      </c>
      <c r="AC39" s="72" t="s">
        <v>43</v>
      </c>
      <c r="AD39" s="71">
        <f t="shared" si="7"/>
        <v>66.666666666666657</v>
      </c>
      <c r="AE39" s="11"/>
      <c r="AH39" s="19"/>
    </row>
    <row r="40" spans="1:34" ht="141.75" x14ac:dyDescent="0.2">
      <c r="A40" s="58"/>
      <c r="B40" s="14" t="s">
        <v>163</v>
      </c>
      <c r="C40" s="13" t="s">
        <v>71</v>
      </c>
      <c r="D40" s="14" t="s">
        <v>105</v>
      </c>
      <c r="E40" s="45">
        <v>100</v>
      </c>
      <c r="F40" s="40" t="s">
        <v>43</v>
      </c>
      <c r="G40" s="37">
        <f>SUM(G41,G43)</f>
        <v>16890000</v>
      </c>
      <c r="H40" s="45">
        <v>100</v>
      </c>
      <c r="I40" s="37">
        <f>SUM(I41,I43)</f>
        <v>12390000</v>
      </c>
      <c r="J40" s="45">
        <v>100</v>
      </c>
      <c r="K40" s="37">
        <f>SUM(K41,K43)</f>
        <v>13459900</v>
      </c>
      <c r="L40" s="134">
        <v>25</v>
      </c>
      <c r="M40" s="129">
        <f>M43</f>
        <v>0</v>
      </c>
      <c r="N40" s="45">
        <v>25</v>
      </c>
      <c r="O40" s="37">
        <f>SUM(O41)</f>
        <v>2500000</v>
      </c>
      <c r="P40" s="45">
        <v>25</v>
      </c>
      <c r="Q40" s="37">
        <f>SUM(Q41)</f>
        <v>0</v>
      </c>
      <c r="R40" s="45">
        <v>25</v>
      </c>
      <c r="S40" s="37">
        <f>S41</f>
        <v>10959900</v>
      </c>
      <c r="T40" s="59">
        <f t="shared" si="9"/>
        <v>100</v>
      </c>
      <c r="U40" s="59">
        <f t="shared" si="5"/>
        <v>100</v>
      </c>
      <c r="V40" s="58" t="s">
        <v>43</v>
      </c>
      <c r="W40" s="56">
        <f t="shared" si="1"/>
        <v>13459900</v>
      </c>
      <c r="X40" s="57">
        <f t="shared" si="6"/>
        <v>100</v>
      </c>
      <c r="Y40" s="58" t="s">
        <v>43</v>
      </c>
      <c r="Z40" s="59">
        <f t="shared" si="2"/>
        <v>200</v>
      </c>
      <c r="AA40" s="56">
        <f t="shared" si="3"/>
        <v>25849900</v>
      </c>
      <c r="AB40" s="67">
        <f t="shared" si="4"/>
        <v>200</v>
      </c>
      <c r="AC40" s="68" t="s">
        <v>43</v>
      </c>
      <c r="AD40" s="67">
        <f t="shared" si="7"/>
        <v>153.04854943753702</v>
      </c>
      <c r="AE40" s="11"/>
      <c r="AH40" s="19"/>
    </row>
    <row r="41" spans="1:34" ht="216.75" customHeight="1" x14ac:dyDescent="0.2">
      <c r="A41" s="58"/>
      <c r="B41" s="14" t="s">
        <v>164</v>
      </c>
      <c r="C41" s="13" t="s">
        <v>116</v>
      </c>
      <c r="D41" s="14" t="s">
        <v>165</v>
      </c>
      <c r="E41" s="45">
        <v>100</v>
      </c>
      <c r="F41" s="40" t="s">
        <v>43</v>
      </c>
      <c r="G41" s="37">
        <f>G42</f>
        <v>0</v>
      </c>
      <c r="H41" s="45">
        <v>100</v>
      </c>
      <c r="I41" s="37">
        <f>I42</f>
        <v>0</v>
      </c>
      <c r="J41" s="45">
        <v>100</v>
      </c>
      <c r="K41" s="37">
        <v>13459900</v>
      </c>
      <c r="L41" s="134">
        <v>25</v>
      </c>
      <c r="M41" s="129">
        <f>SUM(M42)</f>
        <v>0</v>
      </c>
      <c r="N41" s="45">
        <v>25</v>
      </c>
      <c r="O41" s="37">
        <f>SUM(O42)</f>
        <v>2500000</v>
      </c>
      <c r="P41" s="45">
        <v>25</v>
      </c>
      <c r="Q41" s="37">
        <f>SUM(Q42)</f>
        <v>0</v>
      </c>
      <c r="R41" s="45">
        <v>25</v>
      </c>
      <c r="S41" s="37">
        <f>S42</f>
        <v>10959900</v>
      </c>
      <c r="T41" s="59">
        <f t="shared" ref="T41" si="14">SUM(L41,N41,P41,R41)</f>
        <v>100</v>
      </c>
      <c r="U41" s="59">
        <f t="shared" ref="U41:U42" si="15">T41/J41*100</f>
        <v>100</v>
      </c>
      <c r="V41" s="58" t="s">
        <v>43</v>
      </c>
      <c r="W41" s="56">
        <f t="shared" ref="W41:W42" si="16">M41+O41+Q41+S41</f>
        <v>13459900</v>
      </c>
      <c r="X41" s="57">
        <f t="shared" ref="X41:X42" si="17">W41/K41*100</f>
        <v>100</v>
      </c>
      <c r="Y41" s="58" t="s">
        <v>43</v>
      </c>
      <c r="Z41" s="59">
        <f t="shared" ref="Z41:Z42" si="18">H41+T41</f>
        <v>200</v>
      </c>
      <c r="AA41" s="56">
        <f t="shared" ref="AA41:AA42" si="19">I41+W41</f>
        <v>13459900</v>
      </c>
      <c r="AB41" s="67">
        <f t="shared" ref="AB41:AB42" si="20">Z41/E41*100</f>
        <v>200</v>
      </c>
      <c r="AC41" s="68" t="s">
        <v>43</v>
      </c>
      <c r="AD41" s="67" t="e">
        <f t="shared" ref="AD41:AD42" si="21">AA41/G41*100</f>
        <v>#DIV/0!</v>
      </c>
      <c r="AE41" s="11"/>
      <c r="AH41" s="19"/>
    </row>
    <row r="42" spans="1:34" ht="150" x14ac:dyDescent="0.2">
      <c r="A42" s="58"/>
      <c r="B42" s="14"/>
      <c r="C42" s="20" t="s">
        <v>117</v>
      </c>
      <c r="D42" s="23" t="s">
        <v>118</v>
      </c>
      <c r="E42" s="15">
        <v>28</v>
      </c>
      <c r="F42" s="16" t="s">
        <v>91</v>
      </c>
      <c r="G42" s="17"/>
      <c r="H42" s="15"/>
      <c r="I42" s="17"/>
      <c r="J42" s="15">
        <v>14</v>
      </c>
      <c r="K42" s="17">
        <v>13459900</v>
      </c>
      <c r="L42" s="132"/>
      <c r="M42" s="133">
        <v>0</v>
      </c>
      <c r="N42" s="15">
        <v>14</v>
      </c>
      <c r="O42" s="17">
        <v>2500000</v>
      </c>
      <c r="P42" s="15">
        <v>14</v>
      </c>
      <c r="Q42" s="17">
        <v>0</v>
      </c>
      <c r="R42" s="15">
        <v>14</v>
      </c>
      <c r="S42" s="17">
        <v>10959900</v>
      </c>
      <c r="T42" s="47">
        <v>14</v>
      </c>
      <c r="U42" s="47">
        <f t="shared" si="15"/>
        <v>100</v>
      </c>
      <c r="V42" s="29" t="s">
        <v>43</v>
      </c>
      <c r="W42" s="35">
        <f t="shared" si="16"/>
        <v>13459900</v>
      </c>
      <c r="X42" s="46">
        <f t="shared" si="17"/>
        <v>100</v>
      </c>
      <c r="Y42" s="29" t="s">
        <v>43</v>
      </c>
      <c r="Z42" s="47">
        <f t="shared" si="18"/>
        <v>14</v>
      </c>
      <c r="AA42" s="35">
        <f t="shared" si="19"/>
        <v>13459900</v>
      </c>
      <c r="AB42" s="71">
        <f t="shared" si="20"/>
        <v>50</v>
      </c>
      <c r="AC42" s="72" t="s">
        <v>43</v>
      </c>
      <c r="AD42" s="71" t="e">
        <f t="shared" si="21"/>
        <v>#DIV/0!</v>
      </c>
      <c r="AE42" s="11"/>
      <c r="AH42" s="19"/>
    </row>
    <row r="43" spans="1:34" ht="146.25" customHeight="1" x14ac:dyDescent="0.2">
      <c r="A43" s="58"/>
      <c r="B43" s="14" t="s">
        <v>164</v>
      </c>
      <c r="C43" s="75" t="s">
        <v>72</v>
      </c>
      <c r="D43" s="76" t="s">
        <v>106</v>
      </c>
      <c r="E43" s="45">
        <v>100</v>
      </c>
      <c r="F43" s="40" t="s">
        <v>43</v>
      </c>
      <c r="G43" s="37">
        <f>SUM(G44)</f>
        <v>16890000</v>
      </c>
      <c r="H43" s="45">
        <v>100</v>
      </c>
      <c r="I43" s="37">
        <f>SUM(I44)</f>
        <v>12390000</v>
      </c>
      <c r="J43" s="45"/>
      <c r="K43" s="37"/>
      <c r="L43" s="134"/>
      <c r="M43" s="129"/>
      <c r="N43" s="45"/>
      <c r="O43" s="37"/>
      <c r="P43" s="45"/>
      <c r="Q43" s="37"/>
      <c r="R43" s="45"/>
      <c r="S43" s="37"/>
      <c r="T43" s="59"/>
      <c r="U43" s="59"/>
      <c r="V43" s="58"/>
      <c r="W43" s="56"/>
      <c r="X43" s="57"/>
      <c r="Y43" s="58"/>
      <c r="Z43" s="59">
        <f t="shared" ref="Z43:Z62" si="22">H43+T43</f>
        <v>100</v>
      </c>
      <c r="AA43" s="56">
        <f t="shared" ref="AA43:AA62" si="23">I43+W43</f>
        <v>12390000</v>
      </c>
      <c r="AB43" s="67">
        <f t="shared" ref="AB43:AB62" si="24">Z43/E43*100</f>
        <v>100</v>
      </c>
      <c r="AC43" s="68" t="s">
        <v>43</v>
      </c>
      <c r="AD43" s="67">
        <f t="shared" ref="AD43:AD62" si="25">AA43/G43*100</f>
        <v>73.357015985790412</v>
      </c>
      <c r="AE43" s="11"/>
      <c r="AH43" s="19"/>
    </row>
    <row r="44" spans="1:34" ht="120" x14ac:dyDescent="0.2">
      <c r="A44" s="58"/>
      <c r="B44" s="14"/>
      <c r="C44" s="77" t="s">
        <v>73</v>
      </c>
      <c r="D44" s="78" t="s">
        <v>140</v>
      </c>
      <c r="E44" s="15">
        <v>14</v>
      </c>
      <c r="F44" s="16" t="s">
        <v>91</v>
      </c>
      <c r="G44" s="17">
        <v>16890000</v>
      </c>
      <c r="H44" s="15">
        <v>14</v>
      </c>
      <c r="I44" s="17">
        <v>12390000</v>
      </c>
      <c r="J44" s="15"/>
      <c r="K44" s="17"/>
      <c r="L44" s="132"/>
      <c r="M44" s="133"/>
      <c r="N44" s="15"/>
      <c r="O44" s="17"/>
      <c r="P44" s="15"/>
      <c r="Q44" s="17"/>
      <c r="R44" s="15"/>
      <c r="S44" s="17"/>
      <c r="T44" s="47"/>
      <c r="U44" s="47"/>
      <c r="V44" s="29"/>
      <c r="W44" s="35"/>
      <c r="X44" s="46"/>
      <c r="Y44" s="29"/>
      <c r="Z44" s="47">
        <f t="shared" si="22"/>
        <v>14</v>
      </c>
      <c r="AA44" s="35">
        <f t="shared" si="23"/>
        <v>12390000</v>
      </c>
      <c r="AB44" s="71">
        <f t="shared" si="24"/>
        <v>100</v>
      </c>
      <c r="AC44" s="72" t="s">
        <v>43</v>
      </c>
      <c r="AD44" s="71">
        <f t="shared" si="25"/>
        <v>73.357015985790412</v>
      </c>
      <c r="AE44" s="11"/>
      <c r="AH44" s="19"/>
    </row>
    <row r="45" spans="1:34" ht="165.75" customHeight="1" x14ac:dyDescent="0.2">
      <c r="A45" s="58"/>
      <c r="B45" s="14" t="s">
        <v>166</v>
      </c>
      <c r="C45" s="13" t="s">
        <v>74</v>
      </c>
      <c r="D45" s="14" t="s">
        <v>107</v>
      </c>
      <c r="E45" s="45">
        <v>100</v>
      </c>
      <c r="F45" s="40" t="s">
        <v>43</v>
      </c>
      <c r="G45" s="37">
        <f>G46</f>
        <v>220057500</v>
      </c>
      <c r="H45" s="45">
        <v>100</v>
      </c>
      <c r="I45" s="37">
        <f>I46</f>
        <v>67040000</v>
      </c>
      <c r="J45" s="45">
        <v>100</v>
      </c>
      <c r="K45" s="37">
        <f>K46</f>
        <v>92294100</v>
      </c>
      <c r="L45" s="134">
        <v>25</v>
      </c>
      <c r="M45" s="129">
        <f>M46</f>
        <v>28661000</v>
      </c>
      <c r="N45" s="37">
        <f t="shared" ref="N45:Q45" si="26">N46</f>
        <v>25</v>
      </c>
      <c r="O45" s="37">
        <f t="shared" si="26"/>
        <v>14086500</v>
      </c>
      <c r="P45" s="37">
        <f t="shared" si="26"/>
        <v>25</v>
      </c>
      <c r="Q45" s="37">
        <f t="shared" si="26"/>
        <v>13175200</v>
      </c>
      <c r="R45" s="45">
        <v>25</v>
      </c>
      <c r="S45" s="37">
        <f>S46</f>
        <v>28870800</v>
      </c>
      <c r="T45" s="59">
        <f t="shared" ref="T45:T61" si="27">SUM(L45,N45,P45,R45)</f>
        <v>100</v>
      </c>
      <c r="U45" s="59">
        <f t="shared" ref="U45:U62" si="28">T45/J45*100</f>
        <v>100</v>
      </c>
      <c r="V45" s="58" t="s">
        <v>43</v>
      </c>
      <c r="W45" s="56">
        <f t="shared" ref="W45:W62" si="29">M45+O45+Q45+S45</f>
        <v>84793500</v>
      </c>
      <c r="X45" s="57">
        <f t="shared" ref="X45:X62" si="30">W45/K45*100</f>
        <v>91.873153321826635</v>
      </c>
      <c r="Y45" s="58" t="s">
        <v>43</v>
      </c>
      <c r="Z45" s="59">
        <f t="shared" si="22"/>
        <v>200</v>
      </c>
      <c r="AA45" s="56">
        <f t="shared" si="23"/>
        <v>151833500</v>
      </c>
      <c r="AB45" s="67">
        <f t="shared" si="24"/>
        <v>200</v>
      </c>
      <c r="AC45" s="68" t="s">
        <v>43</v>
      </c>
      <c r="AD45" s="67">
        <f t="shared" si="25"/>
        <v>68.997193915226703</v>
      </c>
      <c r="AE45" s="11"/>
      <c r="AH45" s="19"/>
    </row>
    <row r="46" spans="1:34" ht="308.25" customHeight="1" x14ac:dyDescent="0.2">
      <c r="A46" s="58"/>
      <c r="B46" s="14" t="s">
        <v>167</v>
      </c>
      <c r="C46" s="13" t="s">
        <v>75</v>
      </c>
      <c r="D46" s="14" t="s">
        <v>168</v>
      </c>
      <c r="E46" s="45">
        <v>100</v>
      </c>
      <c r="F46" s="40" t="s">
        <v>43</v>
      </c>
      <c r="G46" s="37">
        <f>SUM(G47:G49)</f>
        <v>220057500</v>
      </c>
      <c r="H46" s="45">
        <v>100</v>
      </c>
      <c r="I46" s="37">
        <f>SUM(I47:I49)</f>
        <v>67040000</v>
      </c>
      <c r="J46" s="45">
        <v>100</v>
      </c>
      <c r="K46" s="37">
        <f>SUM(K47:K49)</f>
        <v>92294100</v>
      </c>
      <c r="L46" s="134">
        <v>25</v>
      </c>
      <c r="M46" s="129">
        <f>SUM(M47:M49)</f>
        <v>28661000</v>
      </c>
      <c r="N46" s="37">
        <v>25</v>
      </c>
      <c r="O46" s="37">
        <f t="shared" ref="O46:Q46" si="31">SUM(O47:O49)</f>
        <v>14086500</v>
      </c>
      <c r="P46" s="37">
        <v>25</v>
      </c>
      <c r="Q46" s="37">
        <f t="shared" si="31"/>
        <v>13175200</v>
      </c>
      <c r="R46" s="45">
        <v>25</v>
      </c>
      <c r="S46" s="37">
        <f>S47+S48+S49</f>
        <v>28870800</v>
      </c>
      <c r="T46" s="59">
        <f t="shared" si="27"/>
        <v>100</v>
      </c>
      <c r="U46" s="59">
        <f t="shared" si="28"/>
        <v>100</v>
      </c>
      <c r="V46" s="58" t="s">
        <v>43</v>
      </c>
      <c r="W46" s="56">
        <f t="shared" si="29"/>
        <v>84793500</v>
      </c>
      <c r="X46" s="57">
        <f t="shared" si="30"/>
        <v>91.873153321826635</v>
      </c>
      <c r="Y46" s="58" t="s">
        <v>43</v>
      </c>
      <c r="Z46" s="59">
        <f t="shared" si="22"/>
        <v>200</v>
      </c>
      <c r="AA46" s="56">
        <f t="shared" si="23"/>
        <v>151833500</v>
      </c>
      <c r="AB46" s="67">
        <f t="shared" si="24"/>
        <v>200</v>
      </c>
      <c r="AC46" s="68" t="s">
        <v>43</v>
      </c>
      <c r="AD46" s="67">
        <f t="shared" si="25"/>
        <v>68.997193915226703</v>
      </c>
      <c r="AE46" s="11"/>
      <c r="AH46" s="19"/>
    </row>
    <row r="47" spans="1:34" ht="160.5" customHeight="1" x14ac:dyDescent="0.2">
      <c r="A47" s="58"/>
      <c r="B47" s="14"/>
      <c r="C47" s="20" t="s">
        <v>76</v>
      </c>
      <c r="D47" s="23" t="s">
        <v>141</v>
      </c>
      <c r="E47" s="15">
        <v>3</v>
      </c>
      <c r="F47" s="81" t="s">
        <v>144</v>
      </c>
      <c r="G47" s="22">
        <f>16875000*3</f>
        <v>50625000</v>
      </c>
      <c r="H47" s="15">
        <v>1</v>
      </c>
      <c r="I47" s="17">
        <v>16875000</v>
      </c>
      <c r="J47" s="15">
        <v>1</v>
      </c>
      <c r="K47" s="17">
        <v>20000000</v>
      </c>
      <c r="L47" s="132">
        <v>1</v>
      </c>
      <c r="M47" s="133">
        <v>16312000</v>
      </c>
      <c r="N47" s="15">
        <v>0</v>
      </c>
      <c r="O47" s="17">
        <v>0</v>
      </c>
      <c r="P47" s="15">
        <v>0</v>
      </c>
      <c r="Q47" s="17">
        <v>0</v>
      </c>
      <c r="R47" s="15">
        <v>0</v>
      </c>
      <c r="S47" s="17">
        <v>3688000</v>
      </c>
      <c r="T47" s="47">
        <f t="shared" si="27"/>
        <v>1</v>
      </c>
      <c r="U47" s="47">
        <f t="shared" si="28"/>
        <v>100</v>
      </c>
      <c r="V47" s="29" t="s">
        <v>43</v>
      </c>
      <c r="W47" s="35">
        <f t="shared" si="29"/>
        <v>20000000</v>
      </c>
      <c r="X47" s="46">
        <f t="shared" si="30"/>
        <v>100</v>
      </c>
      <c r="Y47" s="29" t="s">
        <v>43</v>
      </c>
      <c r="Z47" s="47">
        <f t="shared" si="22"/>
        <v>2</v>
      </c>
      <c r="AA47" s="35">
        <f t="shared" si="23"/>
        <v>36875000</v>
      </c>
      <c r="AB47" s="71">
        <f t="shared" si="24"/>
        <v>66.666666666666657</v>
      </c>
      <c r="AC47" s="72" t="s">
        <v>43</v>
      </c>
      <c r="AD47" s="71">
        <f t="shared" si="25"/>
        <v>72.839506172839506</v>
      </c>
      <c r="AE47" s="11"/>
      <c r="AH47" s="19"/>
    </row>
    <row r="48" spans="1:34" ht="219.75" customHeight="1" x14ac:dyDescent="0.2">
      <c r="A48" s="58"/>
      <c r="B48" s="14"/>
      <c r="C48" s="20" t="s">
        <v>77</v>
      </c>
      <c r="D48" s="23" t="s">
        <v>142</v>
      </c>
      <c r="E48" s="44">
        <v>4</v>
      </c>
      <c r="F48" s="16" t="s">
        <v>42</v>
      </c>
      <c r="G48" s="22">
        <f>51698500*3</f>
        <v>155095500</v>
      </c>
      <c r="H48" s="44">
        <v>2</v>
      </c>
      <c r="I48" s="17">
        <v>45386000</v>
      </c>
      <c r="J48" s="44">
        <v>2</v>
      </c>
      <c r="K48" s="17">
        <v>39859700</v>
      </c>
      <c r="L48" s="137">
        <v>1</v>
      </c>
      <c r="M48" s="133">
        <v>12349000</v>
      </c>
      <c r="N48" s="44">
        <v>1</v>
      </c>
      <c r="O48" s="17">
        <v>8260500</v>
      </c>
      <c r="P48" s="44">
        <v>0</v>
      </c>
      <c r="Q48" s="17">
        <v>13175200</v>
      </c>
      <c r="R48" s="44">
        <v>0</v>
      </c>
      <c r="S48" s="17">
        <v>6000000</v>
      </c>
      <c r="T48" s="47">
        <f t="shared" si="27"/>
        <v>2</v>
      </c>
      <c r="U48" s="47">
        <f t="shared" si="28"/>
        <v>100</v>
      </c>
      <c r="V48" s="29" t="s">
        <v>43</v>
      </c>
      <c r="W48" s="35">
        <f t="shared" si="29"/>
        <v>39784700</v>
      </c>
      <c r="X48" s="46">
        <f t="shared" si="30"/>
        <v>99.811840028901372</v>
      </c>
      <c r="Y48" s="29" t="s">
        <v>43</v>
      </c>
      <c r="Z48" s="47">
        <f t="shared" si="22"/>
        <v>4</v>
      </c>
      <c r="AA48" s="35">
        <f t="shared" si="23"/>
        <v>85170700</v>
      </c>
      <c r="AB48" s="71">
        <f t="shared" si="24"/>
        <v>100</v>
      </c>
      <c r="AC48" s="72" t="s">
        <v>43</v>
      </c>
      <c r="AD48" s="71">
        <f t="shared" si="25"/>
        <v>54.915003981417897</v>
      </c>
      <c r="AE48" s="11"/>
      <c r="AH48" s="19"/>
    </row>
    <row r="49" spans="1:34" ht="143.25" customHeight="1" x14ac:dyDescent="0.2">
      <c r="A49" s="58"/>
      <c r="B49" s="14"/>
      <c r="C49" s="20" t="s">
        <v>78</v>
      </c>
      <c r="D49" s="23" t="s">
        <v>143</v>
      </c>
      <c r="E49" s="43">
        <v>3</v>
      </c>
      <c r="F49" s="16" t="s">
        <v>91</v>
      </c>
      <c r="G49" s="22">
        <f xml:space="preserve"> 4779000*3</f>
        <v>14337000</v>
      </c>
      <c r="H49" s="43">
        <v>1</v>
      </c>
      <c r="I49" s="17">
        <v>4779000</v>
      </c>
      <c r="J49" s="43">
        <v>1</v>
      </c>
      <c r="K49" s="17">
        <v>32434400</v>
      </c>
      <c r="L49" s="138">
        <v>0</v>
      </c>
      <c r="M49" s="133">
        <v>0</v>
      </c>
      <c r="N49" s="43">
        <v>1</v>
      </c>
      <c r="O49" s="17">
        <v>5826000</v>
      </c>
      <c r="P49" s="43"/>
      <c r="Q49" s="17">
        <v>0</v>
      </c>
      <c r="R49" s="43">
        <v>0</v>
      </c>
      <c r="S49" s="17">
        <v>19182800</v>
      </c>
      <c r="T49" s="47">
        <f t="shared" si="27"/>
        <v>1</v>
      </c>
      <c r="U49" s="47">
        <f t="shared" si="28"/>
        <v>100</v>
      </c>
      <c r="V49" s="29" t="s">
        <v>43</v>
      </c>
      <c r="W49" s="35">
        <f t="shared" si="29"/>
        <v>25008800</v>
      </c>
      <c r="X49" s="46">
        <f t="shared" si="30"/>
        <v>77.105788915472459</v>
      </c>
      <c r="Y49" s="29" t="s">
        <v>43</v>
      </c>
      <c r="Z49" s="47">
        <f t="shared" si="22"/>
        <v>2</v>
      </c>
      <c r="AA49" s="35">
        <f t="shared" si="23"/>
        <v>29787800</v>
      </c>
      <c r="AB49" s="71">
        <f t="shared" si="24"/>
        <v>66.666666666666657</v>
      </c>
      <c r="AC49" s="72" t="s">
        <v>43</v>
      </c>
      <c r="AD49" s="71">
        <f t="shared" si="25"/>
        <v>207.76871032991559</v>
      </c>
      <c r="AE49" s="11"/>
      <c r="AH49" s="19"/>
    </row>
    <row r="50" spans="1:34" ht="141.75" x14ac:dyDescent="0.2">
      <c r="A50" s="58"/>
      <c r="B50" s="14" t="s">
        <v>169</v>
      </c>
      <c r="C50" s="13" t="s">
        <v>79</v>
      </c>
      <c r="D50" s="14" t="s">
        <v>170</v>
      </c>
      <c r="E50" s="45">
        <v>100</v>
      </c>
      <c r="F50" s="40" t="s">
        <v>43</v>
      </c>
      <c r="G50" s="37">
        <f>G51</f>
        <v>150030000</v>
      </c>
      <c r="H50" s="45">
        <v>100</v>
      </c>
      <c r="I50" s="37">
        <f>I51</f>
        <v>28125000</v>
      </c>
      <c r="J50" s="45">
        <v>100</v>
      </c>
      <c r="K50" s="37">
        <f>K51</f>
        <v>45450000</v>
      </c>
      <c r="L50" s="134">
        <v>25</v>
      </c>
      <c r="M50" s="129">
        <f>M51</f>
        <v>0</v>
      </c>
      <c r="N50" s="45">
        <v>25</v>
      </c>
      <c r="O50" s="37">
        <v>0</v>
      </c>
      <c r="P50" s="45">
        <v>25</v>
      </c>
      <c r="Q50" s="37">
        <f>Q51</f>
        <v>33000000</v>
      </c>
      <c r="R50" s="45">
        <v>25</v>
      </c>
      <c r="S50" s="37">
        <f>S51</f>
        <v>12450000</v>
      </c>
      <c r="T50" s="59">
        <f t="shared" si="27"/>
        <v>100</v>
      </c>
      <c r="U50" s="59">
        <f t="shared" si="28"/>
        <v>100</v>
      </c>
      <c r="V50" s="58" t="s">
        <v>43</v>
      </c>
      <c r="W50" s="56">
        <f t="shared" si="29"/>
        <v>45450000</v>
      </c>
      <c r="X50" s="57">
        <f t="shared" si="30"/>
        <v>100</v>
      </c>
      <c r="Y50" s="58" t="s">
        <v>43</v>
      </c>
      <c r="Z50" s="59">
        <f t="shared" si="22"/>
        <v>200</v>
      </c>
      <c r="AA50" s="56">
        <f t="shared" si="23"/>
        <v>73575000</v>
      </c>
      <c r="AB50" s="67">
        <f t="shared" si="24"/>
        <v>200</v>
      </c>
      <c r="AC50" s="68" t="s">
        <v>43</v>
      </c>
      <c r="AD50" s="67">
        <f t="shared" si="25"/>
        <v>49.040191961607675</v>
      </c>
      <c r="AE50" s="11"/>
      <c r="AH50" s="19"/>
    </row>
    <row r="51" spans="1:34" ht="110.25" x14ac:dyDescent="0.2">
      <c r="A51" s="58"/>
      <c r="B51" s="14" t="s">
        <v>171</v>
      </c>
      <c r="C51" s="13" t="s">
        <v>80</v>
      </c>
      <c r="D51" s="14" t="s">
        <v>172</v>
      </c>
      <c r="E51" s="45">
        <v>100</v>
      </c>
      <c r="F51" s="40" t="s">
        <v>43</v>
      </c>
      <c r="G51" s="37">
        <f>SUM(G52)</f>
        <v>150030000</v>
      </c>
      <c r="H51" s="45">
        <v>100</v>
      </c>
      <c r="I51" s="37">
        <f>SUM(I52)</f>
        <v>28125000</v>
      </c>
      <c r="J51" s="45">
        <v>100</v>
      </c>
      <c r="K51" s="37">
        <f>SUM(K52)</f>
        <v>45450000</v>
      </c>
      <c r="L51" s="134">
        <v>25</v>
      </c>
      <c r="M51" s="129">
        <f>SUM(M52)</f>
        <v>0</v>
      </c>
      <c r="N51" s="45">
        <v>25</v>
      </c>
      <c r="O51" s="37">
        <v>0</v>
      </c>
      <c r="P51" s="45">
        <v>25</v>
      </c>
      <c r="Q51" s="37">
        <f>Q52</f>
        <v>33000000</v>
      </c>
      <c r="R51" s="45">
        <v>25</v>
      </c>
      <c r="S51" s="37">
        <f>S52</f>
        <v>12450000</v>
      </c>
      <c r="T51" s="59">
        <f t="shared" si="27"/>
        <v>100</v>
      </c>
      <c r="U51" s="59">
        <f t="shared" si="28"/>
        <v>100</v>
      </c>
      <c r="V51" s="58" t="s">
        <v>43</v>
      </c>
      <c r="W51" s="56">
        <f t="shared" si="29"/>
        <v>45450000</v>
      </c>
      <c r="X51" s="57">
        <f t="shared" si="30"/>
        <v>100</v>
      </c>
      <c r="Y51" s="58" t="s">
        <v>43</v>
      </c>
      <c r="Z51" s="59">
        <f t="shared" si="22"/>
        <v>200</v>
      </c>
      <c r="AA51" s="56">
        <f t="shared" si="23"/>
        <v>73575000</v>
      </c>
      <c r="AB51" s="67">
        <f t="shared" si="24"/>
        <v>200</v>
      </c>
      <c r="AC51" s="68" t="s">
        <v>43</v>
      </c>
      <c r="AD51" s="67">
        <f t="shared" si="25"/>
        <v>49.040191961607675</v>
      </c>
      <c r="AE51" s="11"/>
      <c r="AH51" s="19"/>
    </row>
    <row r="52" spans="1:34" ht="225" x14ac:dyDescent="0.2">
      <c r="A52" s="58"/>
      <c r="B52" s="14"/>
      <c r="C52" s="20" t="s">
        <v>81</v>
      </c>
      <c r="D52" s="23" t="s">
        <v>145</v>
      </c>
      <c r="E52" s="43">
        <v>3</v>
      </c>
      <c r="F52" s="16" t="s">
        <v>91</v>
      </c>
      <c r="G52" s="22">
        <f>50010000*3</f>
        <v>150030000</v>
      </c>
      <c r="H52" s="43">
        <v>1</v>
      </c>
      <c r="I52" s="17">
        <v>28125000</v>
      </c>
      <c r="J52" s="43">
        <v>1</v>
      </c>
      <c r="K52" s="17">
        <v>45450000</v>
      </c>
      <c r="L52" s="138">
        <v>0</v>
      </c>
      <c r="M52" s="133">
        <v>0</v>
      </c>
      <c r="N52" s="43">
        <v>0</v>
      </c>
      <c r="O52" s="17">
        <v>0</v>
      </c>
      <c r="P52" s="43">
        <v>1</v>
      </c>
      <c r="Q52" s="17">
        <v>33000000</v>
      </c>
      <c r="R52" s="43">
        <v>0</v>
      </c>
      <c r="S52" s="17">
        <v>12450000</v>
      </c>
      <c r="T52" s="47">
        <f t="shared" si="27"/>
        <v>1</v>
      </c>
      <c r="U52" s="47">
        <f t="shared" si="28"/>
        <v>100</v>
      </c>
      <c r="V52" s="29" t="s">
        <v>43</v>
      </c>
      <c r="W52" s="35">
        <f t="shared" si="29"/>
        <v>45450000</v>
      </c>
      <c r="X52" s="46">
        <f t="shared" si="30"/>
        <v>100</v>
      </c>
      <c r="Y52" s="29" t="s">
        <v>43</v>
      </c>
      <c r="Z52" s="47">
        <f t="shared" si="22"/>
        <v>2</v>
      </c>
      <c r="AA52" s="35">
        <f t="shared" si="23"/>
        <v>73575000</v>
      </c>
      <c r="AB52" s="71">
        <f t="shared" si="24"/>
        <v>66.666666666666657</v>
      </c>
      <c r="AC52" s="72" t="s">
        <v>43</v>
      </c>
      <c r="AD52" s="71">
        <f t="shared" si="25"/>
        <v>49.040191961607675</v>
      </c>
      <c r="AE52" s="11"/>
      <c r="AH52" s="19"/>
    </row>
    <row r="53" spans="1:34" ht="165" customHeight="1" x14ac:dyDescent="0.2">
      <c r="A53" s="58"/>
      <c r="B53" s="14" t="s">
        <v>173</v>
      </c>
      <c r="C53" s="13" t="s">
        <v>82</v>
      </c>
      <c r="D53" s="14" t="s">
        <v>108</v>
      </c>
      <c r="E53" s="45">
        <v>100</v>
      </c>
      <c r="F53" s="40" t="s">
        <v>43</v>
      </c>
      <c r="G53" s="37">
        <f>G54</f>
        <v>129750000</v>
      </c>
      <c r="H53" s="45">
        <v>100</v>
      </c>
      <c r="I53" s="37">
        <f>I54</f>
        <v>13062500</v>
      </c>
      <c r="J53" s="45">
        <v>100</v>
      </c>
      <c r="K53" s="37">
        <f>K54</f>
        <v>40000000</v>
      </c>
      <c r="L53" s="134">
        <v>25</v>
      </c>
      <c r="M53" s="129">
        <f>M54</f>
        <v>0</v>
      </c>
      <c r="N53" s="45">
        <v>25</v>
      </c>
      <c r="O53" s="37">
        <f>O54</f>
        <v>2000000</v>
      </c>
      <c r="P53" s="45">
        <v>25</v>
      </c>
      <c r="Q53" s="37">
        <f>Q54</f>
        <v>22550000</v>
      </c>
      <c r="R53" s="45"/>
      <c r="S53" s="37"/>
      <c r="T53" s="59">
        <f t="shared" si="27"/>
        <v>75</v>
      </c>
      <c r="U53" s="59">
        <f t="shared" si="28"/>
        <v>75</v>
      </c>
      <c r="V53" s="58" t="s">
        <v>43</v>
      </c>
      <c r="W53" s="56">
        <f t="shared" si="29"/>
        <v>24550000</v>
      </c>
      <c r="X53" s="57">
        <f t="shared" si="30"/>
        <v>61.375</v>
      </c>
      <c r="Y53" s="58" t="s">
        <v>43</v>
      </c>
      <c r="Z53" s="59">
        <f t="shared" si="22"/>
        <v>175</v>
      </c>
      <c r="AA53" s="56">
        <f t="shared" si="23"/>
        <v>37612500</v>
      </c>
      <c r="AB53" s="67">
        <f t="shared" si="24"/>
        <v>175</v>
      </c>
      <c r="AC53" s="68" t="s">
        <v>43</v>
      </c>
      <c r="AD53" s="67">
        <f t="shared" si="25"/>
        <v>28.988439306358384</v>
      </c>
      <c r="AE53" s="11"/>
      <c r="AH53" s="19"/>
    </row>
    <row r="54" spans="1:34" ht="94.5" x14ac:dyDescent="0.2">
      <c r="A54" s="58"/>
      <c r="B54" s="14" t="s">
        <v>171</v>
      </c>
      <c r="C54" s="13" t="s">
        <v>83</v>
      </c>
      <c r="D54" s="14" t="s">
        <v>172</v>
      </c>
      <c r="E54" s="45">
        <v>100</v>
      </c>
      <c r="F54" s="40" t="s">
        <v>43</v>
      </c>
      <c r="G54" s="37">
        <f>SUM(G55:G56)</f>
        <v>129750000</v>
      </c>
      <c r="H54" s="45">
        <v>100</v>
      </c>
      <c r="I54" s="37">
        <f>SUM(I55:I56)</f>
        <v>13062500</v>
      </c>
      <c r="J54" s="45">
        <v>100</v>
      </c>
      <c r="K54" s="37">
        <f>SUM(K55:K56)</f>
        <v>40000000</v>
      </c>
      <c r="L54" s="134">
        <v>25</v>
      </c>
      <c r="M54" s="129">
        <f>SUM(M55:M56)</f>
        <v>0</v>
      </c>
      <c r="N54" s="45">
        <v>25</v>
      </c>
      <c r="O54" s="37">
        <f>SUM(O55:O56)</f>
        <v>2000000</v>
      </c>
      <c r="P54" s="45">
        <v>25</v>
      </c>
      <c r="Q54" s="37">
        <f>SUM(Q55:Q56)</f>
        <v>22550000</v>
      </c>
      <c r="R54" s="45">
        <v>25</v>
      </c>
      <c r="S54" s="37">
        <v>7000000</v>
      </c>
      <c r="T54" s="59">
        <f t="shared" si="27"/>
        <v>100</v>
      </c>
      <c r="U54" s="59">
        <f t="shared" si="28"/>
        <v>100</v>
      </c>
      <c r="V54" s="58" t="s">
        <v>43</v>
      </c>
      <c r="W54" s="56">
        <f t="shared" si="29"/>
        <v>31550000</v>
      </c>
      <c r="X54" s="57">
        <f t="shared" si="30"/>
        <v>78.875</v>
      </c>
      <c r="Y54" s="58" t="s">
        <v>43</v>
      </c>
      <c r="Z54" s="59">
        <f t="shared" si="22"/>
        <v>200</v>
      </c>
      <c r="AA54" s="56">
        <f t="shared" si="23"/>
        <v>44612500</v>
      </c>
      <c r="AB54" s="67">
        <f t="shared" si="24"/>
        <v>200</v>
      </c>
      <c r="AC54" s="68" t="s">
        <v>43</v>
      </c>
      <c r="AD54" s="67">
        <f t="shared" si="25"/>
        <v>34.383429672447015</v>
      </c>
      <c r="AE54" s="11"/>
      <c r="AH54" s="19"/>
    </row>
    <row r="55" spans="1:34" ht="90" x14ac:dyDescent="0.2">
      <c r="A55" s="58"/>
      <c r="B55" s="14"/>
      <c r="C55" s="23" t="s">
        <v>84</v>
      </c>
      <c r="D55" s="64" t="s">
        <v>146</v>
      </c>
      <c r="E55" s="43">
        <v>250</v>
      </c>
      <c r="F55" s="16" t="s">
        <v>111</v>
      </c>
      <c r="G55" s="22">
        <f>39250000*3</f>
        <v>117750000</v>
      </c>
      <c r="H55" s="43">
        <v>250</v>
      </c>
      <c r="I55" s="17">
        <v>9062500</v>
      </c>
      <c r="J55" s="43">
        <v>250</v>
      </c>
      <c r="K55" s="17">
        <v>36000000</v>
      </c>
      <c r="L55" s="138">
        <v>0</v>
      </c>
      <c r="M55" s="133">
        <v>0</v>
      </c>
      <c r="N55" s="43">
        <v>0</v>
      </c>
      <c r="O55" s="17">
        <v>0</v>
      </c>
      <c r="P55" s="43">
        <v>250</v>
      </c>
      <c r="Q55" s="17">
        <v>21550000</v>
      </c>
      <c r="R55" s="43">
        <v>250</v>
      </c>
      <c r="S55" s="17">
        <v>6000000</v>
      </c>
      <c r="T55" s="47">
        <f t="shared" si="27"/>
        <v>500</v>
      </c>
      <c r="U55" s="47">
        <f t="shared" si="28"/>
        <v>200</v>
      </c>
      <c r="V55" s="29" t="s">
        <v>43</v>
      </c>
      <c r="W55" s="35">
        <f t="shared" si="29"/>
        <v>27550000</v>
      </c>
      <c r="X55" s="46">
        <f t="shared" si="30"/>
        <v>76.527777777777771</v>
      </c>
      <c r="Y55" s="29" t="s">
        <v>43</v>
      </c>
      <c r="Z55" s="47">
        <f t="shared" si="22"/>
        <v>750</v>
      </c>
      <c r="AA55" s="35">
        <f t="shared" si="23"/>
        <v>36612500</v>
      </c>
      <c r="AB55" s="71">
        <f t="shared" si="24"/>
        <v>300</v>
      </c>
      <c r="AC55" s="72" t="s">
        <v>43</v>
      </c>
      <c r="AD55" s="71">
        <f t="shared" si="25"/>
        <v>31.093418259023352</v>
      </c>
      <c r="AE55" s="11"/>
      <c r="AH55" s="19"/>
    </row>
    <row r="56" spans="1:34" ht="90" x14ac:dyDescent="0.2">
      <c r="A56" s="58"/>
      <c r="B56" s="14"/>
      <c r="C56" s="20" t="s">
        <v>85</v>
      </c>
      <c r="D56" s="23" t="s">
        <v>147</v>
      </c>
      <c r="E56" s="43">
        <v>4</v>
      </c>
      <c r="F56" s="16" t="s">
        <v>42</v>
      </c>
      <c r="G56" s="22">
        <f>4000000*3</f>
        <v>12000000</v>
      </c>
      <c r="H56" s="43">
        <v>4</v>
      </c>
      <c r="I56" s="17">
        <v>4000000</v>
      </c>
      <c r="J56" s="43">
        <v>4</v>
      </c>
      <c r="K56" s="17">
        <v>4000000</v>
      </c>
      <c r="L56" s="138">
        <v>1</v>
      </c>
      <c r="M56" s="133">
        <v>0</v>
      </c>
      <c r="N56" s="43">
        <v>1</v>
      </c>
      <c r="O56" s="17">
        <v>2000000</v>
      </c>
      <c r="P56" s="43">
        <v>1</v>
      </c>
      <c r="Q56" s="17">
        <v>1000000</v>
      </c>
      <c r="R56" s="43">
        <v>1</v>
      </c>
      <c r="S56" s="17">
        <v>1000000</v>
      </c>
      <c r="T56" s="47">
        <f t="shared" si="27"/>
        <v>4</v>
      </c>
      <c r="U56" s="47">
        <f t="shared" si="28"/>
        <v>100</v>
      </c>
      <c r="V56" s="29" t="s">
        <v>43</v>
      </c>
      <c r="W56" s="35">
        <f t="shared" si="29"/>
        <v>4000000</v>
      </c>
      <c r="X56" s="46">
        <f t="shared" si="30"/>
        <v>100</v>
      </c>
      <c r="Y56" s="29" t="s">
        <v>43</v>
      </c>
      <c r="Z56" s="47">
        <f t="shared" si="22"/>
        <v>8</v>
      </c>
      <c r="AA56" s="35">
        <f t="shared" si="23"/>
        <v>8000000</v>
      </c>
      <c r="AB56" s="71">
        <f t="shared" si="24"/>
        <v>200</v>
      </c>
      <c r="AC56" s="72" t="s">
        <v>43</v>
      </c>
      <c r="AD56" s="71">
        <f t="shared" si="25"/>
        <v>66.666666666666657</v>
      </c>
      <c r="AE56" s="11"/>
      <c r="AH56" s="19"/>
    </row>
    <row r="57" spans="1:34" ht="147" customHeight="1" x14ac:dyDescent="0.2">
      <c r="A57" s="58"/>
      <c r="B57" s="14" t="s">
        <v>174</v>
      </c>
      <c r="C57" s="13" t="s">
        <v>86</v>
      </c>
      <c r="D57" s="14" t="s">
        <v>175</v>
      </c>
      <c r="E57" s="45">
        <v>100</v>
      </c>
      <c r="F57" s="40" t="s">
        <v>43</v>
      </c>
      <c r="G57" s="37">
        <f>G58</f>
        <v>118687500</v>
      </c>
      <c r="H57" s="45">
        <v>100</v>
      </c>
      <c r="I57" s="37">
        <f>I58</f>
        <v>17725000</v>
      </c>
      <c r="J57" s="45">
        <v>100</v>
      </c>
      <c r="K57" s="37">
        <f>K58</f>
        <v>38212300</v>
      </c>
      <c r="L57" s="134">
        <v>25</v>
      </c>
      <c r="M57" s="129">
        <f>M58</f>
        <v>0</v>
      </c>
      <c r="N57" s="45">
        <v>25</v>
      </c>
      <c r="O57" s="37">
        <f>O58</f>
        <v>11000000</v>
      </c>
      <c r="P57" s="45">
        <v>25</v>
      </c>
      <c r="Q57" s="37">
        <f>Q58</f>
        <v>8659600</v>
      </c>
      <c r="R57" s="37">
        <v>25</v>
      </c>
      <c r="S57" s="37">
        <f t="shared" ref="S57" si="32">S58</f>
        <v>17252650</v>
      </c>
      <c r="T57" s="59">
        <f t="shared" si="27"/>
        <v>100</v>
      </c>
      <c r="U57" s="59">
        <f t="shared" si="28"/>
        <v>100</v>
      </c>
      <c r="V57" s="58" t="s">
        <v>43</v>
      </c>
      <c r="W57" s="56">
        <f t="shared" si="29"/>
        <v>36912250</v>
      </c>
      <c r="X57" s="57">
        <f t="shared" si="30"/>
        <v>96.597823213991305</v>
      </c>
      <c r="Y57" s="58" t="s">
        <v>43</v>
      </c>
      <c r="Z57" s="59">
        <f t="shared" si="22"/>
        <v>200</v>
      </c>
      <c r="AA57" s="56">
        <f t="shared" si="23"/>
        <v>54637250</v>
      </c>
      <c r="AB57" s="67">
        <f t="shared" si="24"/>
        <v>200</v>
      </c>
      <c r="AC57" s="68" t="s">
        <v>43</v>
      </c>
      <c r="AD57" s="67">
        <f t="shared" si="25"/>
        <v>46.034544497103738</v>
      </c>
      <c r="AE57" s="11"/>
      <c r="AH57" s="19"/>
    </row>
    <row r="58" spans="1:34" ht="177.75" customHeight="1" x14ac:dyDescent="0.2">
      <c r="A58" s="58"/>
      <c r="B58" s="14" t="s">
        <v>176</v>
      </c>
      <c r="C58" s="13" t="s">
        <v>87</v>
      </c>
      <c r="D58" s="14" t="s">
        <v>177</v>
      </c>
      <c r="E58" s="45">
        <v>100</v>
      </c>
      <c r="F58" s="40" t="s">
        <v>43</v>
      </c>
      <c r="G58" s="37">
        <f>SUM(G59:G62)</f>
        <v>118687500</v>
      </c>
      <c r="H58" s="45">
        <v>100</v>
      </c>
      <c r="I58" s="37">
        <f>SUM(I59:I62)</f>
        <v>17725000</v>
      </c>
      <c r="J58" s="45">
        <v>100</v>
      </c>
      <c r="K58" s="37">
        <f>SUM(K59:K62)</f>
        <v>38212300</v>
      </c>
      <c r="L58" s="134">
        <v>25</v>
      </c>
      <c r="M58" s="129">
        <f>SUM(M59:M62)</f>
        <v>0</v>
      </c>
      <c r="N58" s="45">
        <v>25</v>
      </c>
      <c r="O58" s="37">
        <f>SUM(O59:O62)</f>
        <v>11000000</v>
      </c>
      <c r="P58" s="45">
        <v>25</v>
      </c>
      <c r="Q58" s="37">
        <f>SUM(Q59:Q62)</f>
        <v>8659600</v>
      </c>
      <c r="R58" s="37">
        <v>25</v>
      </c>
      <c r="S58" s="37">
        <f t="shared" ref="S58" si="33">SUM(S59:S62)</f>
        <v>17252650</v>
      </c>
      <c r="T58" s="59">
        <f t="shared" si="27"/>
        <v>100</v>
      </c>
      <c r="U58" s="59">
        <f t="shared" si="28"/>
        <v>100</v>
      </c>
      <c r="V58" s="58" t="s">
        <v>43</v>
      </c>
      <c r="W58" s="56">
        <f t="shared" si="29"/>
        <v>36912250</v>
      </c>
      <c r="X58" s="57">
        <f t="shared" si="30"/>
        <v>96.597823213991305</v>
      </c>
      <c r="Y58" s="58" t="s">
        <v>43</v>
      </c>
      <c r="Z58" s="59">
        <f t="shared" si="22"/>
        <v>200</v>
      </c>
      <c r="AA58" s="56">
        <f t="shared" si="23"/>
        <v>54637250</v>
      </c>
      <c r="AB58" s="67">
        <f t="shared" si="24"/>
        <v>200</v>
      </c>
      <c r="AC58" s="68" t="s">
        <v>43</v>
      </c>
      <c r="AD58" s="67">
        <f t="shared" si="25"/>
        <v>46.034544497103738</v>
      </c>
      <c r="AE58" s="11"/>
      <c r="AH58" s="19"/>
    </row>
    <row r="59" spans="1:34" ht="135" x14ac:dyDescent="0.2">
      <c r="A59" s="58"/>
      <c r="B59" s="14"/>
      <c r="C59" s="20" t="s">
        <v>88</v>
      </c>
      <c r="D59" s="23" t="s">
        <v>148</v>
      </c>
      <c r="E59" s="15">
        <v>3</v>
      </c>
      <c r="F59" s="16" t="s">
        <v>42</v>
      </c>
      <c r="G59" s="22">
        <f>9562500*3</f>
        <v>28687500</v>
      </c>
      <c r="H59" s="15">
        <v>1</v>
      </c>
      <c r="I59" s="17">
        <v>1875000</v>
      </c>
      <c r="J59" s="15">
        <v>1</v>
      </c>
      <c r="K59" s="17">
        <v>9562300</v>
      </c>
      <c r="L59" s="132">
        <v>0</v>
      </c>
      <c r="M59" s="133">
        <v>0</v>
      </c>
      <c r="N59" s="15">
        <v>1</v>
      </c>
      <c r="O59" s="17">
        <v>4250000</v>
      </c>
      <c r="P59" s="15">
        <v>0</v>
      </c>
      <c r="Q59" s="17">
        <v>0</v>
      </c>
      <c r="R59" s="15">
        <v>0</v>
      </c>
      <c r="S59" s="17">
        <v>5312300</v>
      </c>
      <c r="T59" s="47">
        <f t="shared" si="27"/>
        <v>1</v>
      </c>
      <c r="U59" s="47">
        <f t="shared" si="28"/>
        <v>100</v>
      </c>
      <c r="V59" s="29" t="s">
        <v>43</v>
      </c>
      <c r="W59" s="35">
        <f t="shared" si="29"/>
        <v>9562300</v>
      </c>
      <c r="X59" s="46">
        <f t="shared" si="30"/>
        <v>100</v>
      </c>
      <c r="Y59" s="29" t="s">
        <v>43</v>
      </c>
      <c r="Z59" s="47">
        <f t="shared" si="22"/>
        <v>2</v>
      </c>
      <c r="AA59" s="35">
        <f t="shared" si="23"/>
        <v>11437300</v>
      </c>
      <c r="AB59" s="71">
        <f t="shared" si="24"/>
        <v>66.666666666666657</v>
      </c>
      <c r="AC59" s="72" t="s">
        <v>43</v>
      </c>
      <c r="AD59" s="71">
        <f t="shared" si="25"/>
        <v>39.868583877995647</v>
      </c>
      <c r="AE59" s="11"/>
      <c r="AH59" s="19"/>
    </row>
    <row r="60" spans="1:34" ht="120" x14ac:dyDescent="0.2">
      <c r="A60" s="58"/>
      <c r="B60" s="14"/>
      <c r="C60" s="20" t="s">
        <v>98</v>
      </c>
      <c r="D60" s="23" t="s">
        <v>149</v>
      </c>
      <c r="E60" s="15">
        <v>12</v>
      </c>
      <c r="F60" s="16" t="s">
        <v>42</v>
      </c>
      <c r="G60" s="22">
        <f>19000000*3</f>
        <v>57000000</v>
      </c>
      <c r="H60" s="15">
        <v>4</v>
      </c>
      <c r="I60" s="17">
        <v>7350000</v>
      </c>
      <c r="J60" s="15">
        <v>4</v>
      </c>
      <c r="K60" s="17">
        <v>17650000</v>
      </c>
      <c r="L60" s="132">
        <v>0</v>
      </c>
      <c r="M60" s="133">
        <v>0</v>
      </c>
      <c r="N60" s="15">
        <v>2</v>
      </c>
      <c r="O60" s="17">
        <v>4750000</v>
      </c>
      <c r="P60" s="15">
        <v>2</v>
      </c>
      <c r="Q60" s="17">
        <v>4409650</v>
      </c>
      <c r="R60" s="15">
        <v>0</v>
      </c>
      <c r="S60" s="17">
        <v>8440350</v>
      </c>
      <c r="T60" s="47">
        <f t="shared" si="27"/>
        <v>4</v>
      </c>
      <c r="U60" s="47">
        <f t="shared" si="28"/>
        <v>100</v>
      </c>
      <c r="V60" s="29" t="s">
        <v>43</v>
      </c>
      <c r="W60" s="35">
        <f t="shared" si="29"/>
        <v>17600000</v>
      </c>
      <c r="X60" s="46">
        <f t="shared" si="30"/>
        <v>99.716713881019828</v>
      </c>
      <c r="Y60" s="29" t="s">
        <v>43</v>
      </c>
      <c r="Z60" s="47">
        <f t="shared" si="22"/>
        <v>8</v>
      </c>
      <c r="AA60" s="35">
        <f t="shared" si="23"/>
        <v>24950000</v>
      </c>
      <c r="AB60" s="71">
        <f t="shared" si="24"/>
        <v>66.666666666666657</v>
      </c>
      <c r="AC60" s="72" t="s">
        <v>43</v>
      </c>
      <c r="AD60" s="71">
        <f t="shared" si="25"/>
        <v>43.771929824561404</v>
      </c>
      <c r="AE60" s="11"/>
      <c r="AH60" s="19"/>
    </row>
    <row r="61" spans="1:34" ht="195" x14ac:dyDescent="0.2">
      <c r="A61" s="58"/>
      <c r="B61" s="14"/>
      <c r="C61" s="20" t="s">
        <v>89</v>
      </c>
      <c r="D61" s="23" t="s">
        <v>150</v>
      </c>
      <c r="E61" s="15">
        <v>3</v>
      </c>
      <c r="F61" s="16" t="s">
        <v>42</v>
      </c>
      <c r="G61" s="22">
        <f>6000000*3</f>
        <v>18000000</v>
      </c>
      <c r="H61" s="44">
        <v>1</v>
      </c>
      <c r="I61" s="17">
        <v>4750000</v>
      </c>
      <c r="J61" s="44">
        <v>1</v>
      </c>
      <c r="K61" s="17">
        <v>6000000</v>
      </c>
      <c r="L61" s="137">
        <v>0</v>
      </c>
      <c r="M61" s="133">
        <v>0</v>
      </c>
      <c r="N61" s="44">
        <v>1</v>
      </c>
      <c r="O61" s="17">
        <v>1000000</v>
      </c>
      <c r="P61" s="44">
        <v>0</v>
      </c>
      <c r="Q61" s="17">
        <v>3249950</v>
      </c>
      <c r="R61" s="44">
        <v>0</v>
      </c>
      <c r="S61" s="17">
        <v>1750000</v>
      </c>
      <c r="T61" s="47">
        <f t="shared" si="27"/>
        <v>1</v>
      </c>
      <c r="U61" s="47">
        <f t="shared" si="28"/>
        <v>100</v>
      </c>
      <c r="V61" s="29" t="s">
        <v>43</v>
      </c>
      <c r="W61" s="35">
        <f t="shared" si="29"/>
        <v>5999950</v>
      </c>
      <c r="X61" s="46">
        <f t="shared" si="30"/>
        <v>99.999166666666667</v>
      </c>
      <c r="Y61" s="29" t="s">
        <v>43</v>
      </c>
      <c r="Z61" s="47">
        <f t="shared" si="22"/>
        <v>2</v>
      </c>
      <c r="AA61" s="35">
        <f t="shared" si="23"/>
        <v>10749950</v>
      </c>
      <c r="AB61" s="71">
        <f t="shared" si="24"/>
        <v>66.666666666666657</v>
      </c>
      <c r="AC61" s="72" t="s">
        <v>43</v>
      </c>
      <c r="AD61" s="71">
        <f t="shared" si="25"/>
        <v>59.721944444444439</v>
      </c>
      <c r="AE61" s="11"/>
      <c r="AH61" s="19"/>
    </row>
    <row r="62" spans="1:34" ht="90" x14ac:dyDescent="0.2">
      <c r="A62" s="58"/>
      <c r="B62" s="14"/>
      <c r="C62" s="20" t="s">
        <v>90</v>
      </c>
      <c r="D62" s="23" t="s">
        <v>151</v>
      </c>
      <c r="E62" s="43">
        <v>27</v>
      </c>
      <c r="F62" s="16" t="s">
        <v>91</v>
      </c>
      <c r="G62" s="22">
        <f>5000000*3</f>
        <v>15000000</v>
      </c>
      <c r="H62" s="43">
        <v>9</v>
      </c>
      <c r="I62" s="17">
        <v>3750000</v>
      </c>
      <c r="J62" s="43">
        <v>9</v>
      </c>
      <c r="K62" s="17">
        <v>5000000</v>
      </c>
      <c r="L62" s="138">
        <v>0</v>
      </c>
      <c r="M62" s="133">
        <v>0</v>
      </c>
      <c r="N62" s="43">
        <v>9</v>
      </c>
      <c r="O62" s="17">
        <v>1000000</v>
      </c>
      <c r="P62" s="43">
        <v>9</v>
      </c>
      <c r="Q62" s="17">
        <v>1000000</v>
      </c>
      <c r="R62" s="43">
        <v>9</v>
      </c>
      <c r="S62" s="17">
        <v>1750000</v>
      </c>
      <c r="T62" s="47">
        <v>9</v>
      </c>
      <c r="U62" s="47">
        <f t="shared" si="28"/>
        <v>100</v>
      </c>
      <c r="V62" s="29" t="s">
        <v>43</v>
      </c>
      <c r="W62" s="35">
        <f t="shared" si="29"/>
        <v>3750000</v>
      </c>
      <c r="X62" s="46">
        <f t="shared" si="30"/>
        <v>75</v>
      </c>
      <c r="Y62" s="29" t="s">
        <v>43</v>
      </c>
      <c r="Z62" s="47">
        <f t="shared" si="22"/>
        <v>18</v>
      </c>
      <c r="AA62" s="35">
        <f t="shared" si="23"/>
        <v>7500000</v>
      </c>
      <c r="AB62" s="71">
        <f t="shared" si="24"/>
        <v>66.666666666666657</v>
      </c>
      <c r="AC62" s="72" t="s">
        <v>43</v>
      </c>
      <c r="AD62" s="71">
        <f t="shared" si="25"/>
        <v>50</v>
      </c>
      <c r="AE62" s="11"/>
      <c r="AH62" s="19"/>
    </row>
    <row r="63" spans="1:34" ht="15" x14ac:dyDescent="0.2">
      <c r="A63" s="96" t="s">
        <v>22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63">
        <f>AVERAGE(U13:U62)</f>
        <v>101.5625</v>
      </c>
      <c r="V63" s="50"/>
      <c r="W63" s="48"/>
      <c r="X63" s="63">
        <f>AVERAGE(X13,X40,X45,X50,X53,X57)</f>
        <v>90.935679557882182</v>
      </c>
      <c r="Y63" s="50"/>
      <c r="Z63" s="49"/>
      <c r="AA63" s="49"/>
      <c r="AB63" s="49"/>
      <c r="AC63" s="50"/>
      <c r="AD63" s="51"/>
      <c r="AE63" s="11"/>
    </row>
    <row r="64" spans="1:34" ht="15" x14ac:dyDescent="0.2">
      <c r="A64" s="96" t="s">
        <v>23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25" t="str">
        <f>IF(U63&gt;=91,"Sangat Tinggi",IF(U63&gt;=76,"Tinggi",IF(U63&gt;=66,"Sedang",IF(U63&gt;=51,"Rendah",IF(U63&lt;=50.99,"Sangat Rendah")))))</f>
        <v>Sangat Tinggi</v>
      </c>
      <c r="V64" s="50"/>
      <c r="W64" s="52"/>
      <c r="X64" s="25" t="str">
        <f>IF(X63&gt;=91,"Sangat Tinggi",IF(X63&gt;=76,"Tinggi",IF(X63&gt;=66,"Sedang",IF(X63&gt;=51,"Rendah",IF(X63&lt;=50,"Sangat Rendah")))))</f>
        <v>Tinggi</v>
      </c>
      <c r="Y64" s="50"/>
      <c r="Z64" s="53"/>
      <c r="AA64" s="54"/>
      <c r="AB64" s="53"/>
      <c r="AC64" s="50"/>
      <c r="AD64" s="55"/>
      <c r="AE64" s="11"/>
    </row>
    <row r="65" spans="1:31" ht="15" x14ac:dyDescent="0.2">
      <c r="A65" s="84" t="s">
        <v>109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11"/>
    </row>
    <row r="66" spans="1:31" ht="15" x14ac:dyDescent="0.2">
      <c r="A66" s="84" t="s">
        <v>152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11"/>
    </row>
    <row r="67" spans="1:31" ht="15" x14ac:dyDescent="0.2">
      <c r="A67" s="84" t="s">
        <v>153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11"/>
    </row>
    <row r="68" spans="1:31" ht="15" x14ac:dyDescent="0.2">
      <c r="A68" s="84" t="s">
        <v>110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26"/>
    </row>
    <row r="69" spans="1:31" ht="15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8"/>
      <c r="W69" s="27"/>
      <c r="X69" s="27"/>
      <c r="Y69" s="28"/>
      <c r="Z69" s="27"/>
      <c r="AA69" s="27"/>
      <c r="AB69" s="27"/>
      <c r="AC69" s="28"/>
      <c r="AD69" s="27"/>
    </row>
    <row r="70" spans="1:31" ht="15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125" t="s">
        <v>47</v>
      </c>
      <c r="U70" s="125"/>
      <c r="V70" s="125"/>
      <c r="W70" s="125"/>
      <c r="X70" s="125"/>
      <c r="Y70" s="28"/>
      <c r="Z70" s="27"/>
      <c r="AA70" s="125"/>
      <c r="AB70" s="125"/>
      <c r="AC70" s="125"/>
      <c r="AD70" s="125"/>
      <c r="AE70" s="125"/>
    </row>
    <row r="71" spans="1:31" ht="15.75" x14ac:dyDescent="0.25">
      <c r="A71" s="33"/>
      <c r="B71" s="34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125" t="s">
        <v>181</v>
      </c>
      <c r="U71" s="125"/>
      <c r="V71" s="125"/>
      <c r="W71" s="125"/>
      <c r="X71" s="125"/>
      <c r="Y71" s="28"/>
      <c r="Z71" s="27"/>
      <c r="AA71" s="125"/>
      <c r="AB71" s="125"/>
      <c r="AC71" s="125"/>
      <c r="AD71" s="125"/>
      <c r="AE71" s="125"/>
    </row>
    <row r="72" spans="1:31" ht="15" x14ac:dyDescent="0.2">
      <c r="T72" s="125" t="s">
        <v>93</v>
      </c>
      <c r="U72" s="125"/>
      <c r="V72" s="125"/>
      <c r="W72" s="125"/>
      <c r="X72" s="125"/>
      <c r="AA72" s="125"/>
      <c r="AB72" s="125"/>
      <c r="AC72" s="125"/>
      <c r="AD72" s="125"/>
      <c r="AE72" s="125"/>
    </row>
    <row r="73" spans="1:31" ht="15" x14ac:dyDescent="0.2">
      <c r="T73" s="125"/>
      <c r="U73" s="125"/>
      <c r="V73" s="125"/>
      <c r="W73" s="125"/>
      <c r="X73" s="125"/>
      <c r="AA73" s="125"/>
      <c r="AB73" s="125"/>
      <c r="AC73" s="125"/>
      <c r="AD73" s="125"/>
      <c r="AE73" s="125"/>
    </row>
    <row r="74" spans="1:31" ht="15" x14ac:dyDescent="0.2">
      <c r="T74" s="83"/>
      <c r="U74" s="83"/>
      <c r="V74" s="83"/>
      <c r="W74" s="83"/>
      <c r="X74" s="83"/>
      <c r="AA74" s="83"/>
      <c r="AB74" s="83"/>
      <c r="AC74" s="83"/>
      <c r="AD74" s="83"/>
      <c r="AE74" s="83"/>
    </row>
    <row r="75" spans="1:31" ht="38.25" customHeight="1" x14ac:dyDescent="0.2">
      <c r="A75" s="30" t="s">
        <v>24</v>
      </c>
      <c r="B75" s="30" t="s">
        <v>25</v>
      </c>
      <c r="C75" s="30" t="s">
        <v>26</v>
      </c>
      <c r="T75" s="27"/>
      <c r="U75" s="27"/>
      <c r="V75" s="28"/>
      <c r="W75" s="27"/>
      <c r="AA75" s="28"/>
      <c r="AB75" s="27"/>
      <c r="AC75" s="28"/>
      <c r="AD75" s="27"/>
    </row>
    <row r="76" spans="1:31" ht="15.75" x14ac:dyDescent="0.25">
      <c r="A76" s="31" t="s">
        <v>27</v>
      </c>
      <c r="B76" s="31" t="s">
        <v>28</v>
      </c>
      <c r="C76" s="31" t="s">
        <v>29</v>
      </c>
      <c r="T76" s="126" t="s">
        <v>178</v>
      </c>
      <c r="U76" s="126"/>
      <c r="V76" s="126"/>
      <c r="W76" s="126"/>
      <c r="X76" s="126"/>
      <c r="AA76" s="126"/>
      <c r="AB76" s="126"/>
      <c r="AC76" s="126"/>
      <c r="AD76" s="126"/>
      <c r="AE76" s="126"/>
    </row>
    <row r="77" spans="1:31" ht="15.75" x14ac:dyDescent="0.2">
      <c r="A77" s="31" t="s">
        <v>30</v>
      </c>
      <c r="B77" s="31" t="s">
        <v>31</v>
      </c>
      <c r="C77" s="31" t="s">
        <v>32</v>
      </c>
      <c r="T77" s="127" t="s">
        <v>179</v>
      </c>
      <c r="U77" s="127"/>
      <c r="V77" s="127"/>
      <c r="W77" s="127"/>
      <c r="X77" s="127"/>
      <c r="AA77" s="127"/>
      <c r="AB77" s="127"/>
      <c r="AC77" s="127"/>
      <c r="AD77" s="127"/>
      <c r="AE77" s="127"/>
    </row>
    <row r="78" spans="1:31" ht="15.75" x14ac:dyDescent="0.2">
      <c r="A78" s="31" t="s">
        <v>33</v>
      </c>
      <c r="B78" s="31" t="s">
        <v>34</v>
      </c>
      <c r="C78" s="31" t="s">
        <v>35</v>
      </c>
    </row>
    <row r="79" spans="1:31" ht="15.75" x14ac:dyDescent="0.2">
      <c r="A79" s="31" t="s">
        <v>36</v>
      </c>
      <c r="B79" s="31" t="s">
        <v>37</v>
      </c>
      <c r="C79" s="31" t="s">
        <v>38</v>
      </c>
    </row>
    <row r="80" spans="1:31" ht="15.75" x14ac:dyDescent="0.2">
      <c r="A80" s="31" t="s">
        <v>39</v>
      </c>
      <c r="B80" s="32" t="s">
        <v>40</v>
      </c>
      <c r="C80" s="31" t="s">
        <v>41</v>
      </c>
    </row>
  </sheetData>
  <mergeCells count="78">
    <mergeCell ref="T73:X73"/>
    <mergeCell ref="AA73:AE73"/>
    <mergeCell ref="T76:X76"/>
    <mergeCell ref="AA76:AE76"/>
    <mergeCell ref="T77:X77"/>
    <mergeCell ref="AA77:AE77"/>
    <mergeCell ref="T70:X70"/>
    <mergeCell ref="AA70:AE70"/>
    <mergeCell ref="T71:X71"/>
    <mergeCell ref="AA71:AE71"/>
    <mergeCell ref="T72:X72"/>
    <mergeCell ref="AA72:AE72"/>
    <mergeCell ref="H7:I9"/>
    <mergeCell ref="A6:AD6"/>
    <mergeCell ref="T9:Y9"/>
    <mergeCell ref="A1:AD1"/>
    <mergeCell ref="A2:AD2"/>
    <mergeCell ref="A3:AD3"/>
    <mergeCell ref="A4:AD4"/>
    <mergeCell ref="A5:AD5"/>
    <mergeCell ref="A7:A9"/>
    <mergeCell ref="B7:B9"/>
    <mergeCell ref="C7:C9"/>
    <mergeCell ref="D7:D9"/>
    <mergeCell ref="E7:G9"/>
    <mergeCell ref="AE7:AE8"/>
    <mergeCell ref="J9:K9"/>
    <mergeCell ref="L9:M9"/>
    <mergeCell ref="N9:O9"/>
    <mergeCell ref="P9:Q9"/>
    <mergeCell ref="R9:S9"/>
    <mergeCell ref="Z9:AA9"/>
    <mergeCell ref="AB9:AD9"/>
    <mergeCell ref="J7:K8"/>
    <mergeCell ref="L7:S8"/>
    <mergeCell ref="Z7:AA8"/>
    <mergeCell ref="AB7:AD8"/>
    <mergeCell ref="T7:Y8"/>
    <mergeCell ref="Z10:AA10"/>
    <mergeCell ref="AB10:AD10"/>
    <mergeCell ref="J10:K10"/>
    <mergeCell ref="L10:M10"/>
    <mergeCell ref="N10:O10"/>
    <mergeCell ref="P10:Q10"/>
    <mergeCell ref="R10:S10"/>
    <mergeCell ref="T10:Y10"/>
    <mergeCell ref="A68:AD68"/>
    <mergeCell ref="A65:AD65"/>
    <mergeCell ref="E11:F12"/>
    <mergeCell ref="G11:G12"/>
    <mergeCell ref="H11:H12"/>
    <mergeCell ref="I11:I12"/>
    <mergeCell ref="J11:J12"/>
    <mergeCell ref="K11:K12"/>
    <mergeCell ref="L11:L12"/>
    <mergeCell ref="M11:M12"/>
    <mergeCell ref="AB12:AC12"/>
    <mergeCell ref="A63:T63"/>
    <mergeCell ref="AB11:AC11"/>
    <mergeCell ref="U11:V11"/>
    <mergeCell ref="X11:Y11"/>
    <mergeCell ref="A64:T64"/>
    <mergeCell ref="A66:AD66"/>
    <mergeCell ref="A67:AD67"/>
    <mergeCell ref="P11:P12"/>
    <mergeCell ref="Q11:Q12"/>
    <mergeCell ref="R11:R12"/>
    <mergeCell ref="S11:S12"/>
    <mergeCell ref="A10:A12"/>
    <mergeCell ref="B10:B12"/>
    <mergeCell ref="C10:C12"/>
    <mergeCell ref="D10:D12"/>
    <mergeCell ref="N11:N12"/>
    <mergeCell ref="O11:O12"/>
    <mergeCell ref="U12:V12"/>
    <mergeCell ref="X12:Y12"/>
    <mergeCell ref="E10:G10"/>
    <mergeCell ref="H10:I10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Kalumpang</vt:lpstr>
      <vt:lpstr>Kalumpang!Print_Area</vt:lpstr>
      <vt:lpstr>Kalumpang!Print_Titles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Windows User</cp:lastModifiedBy>
  <cp:lastPrinted>2021-07-16T08:05:45Z</cp:lastPrinted>
  <dcterms:created xsi:type="dcterms:W3CDTF">2020-03-18T05:59:44Z</dcterms:created>
  <dcterms:modified xsi:type="dcterms:W3CDTF">2023-01-05T07:57:49Z</dcterms:modified>
</cp:coreProperties>
</file>