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 PINDAHAN\2021\Pengendalian dan Evaluasi Renja PD dan RKPD\TRIWULAN IV\"/>
    </mc:Choice>
  </mc:AlternateContent>
  <bookViews>
    <workbookView xWindow="-120" yWindow="-120" windowWidth="20730" windowHeight="11160"/>
  </bookViews>
  <sheets>
    <sheet name="Dinas Sosial" sheetId="1" r:id="rId1"/>
    <sheet name="Sheet1" sheetId="2" r:id="rId2"/>
  </sheets>
  <definedNames>
    <definedName name="_xlnm.Print_Area" localSheetId="0">'Dinas Sosial'!$A$1:$AM$96</definedName>
    <definedName name="_xlnm.Print_Titles" localSheetId="0">'Dinas Sosial'!$7:$12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 r="Y48" i="1"/>
  <c r="Y36" i="1"/>
  <c r="Y25" i="1"/>
  <c r="Z21" i="1"/>
  <c r="Y20" i="1"/>
  <c r="W17" i="1"/>
  <c r="T17" i="1"/>
  <c r="X75" i="1"/>
  <c r="X74" i="1"/>
  <c r="Y73" i="1"/>
  <c r="Y72" i="1" s="1"/>
  <c r="X73" i="1"/>
  <c r="X72" i="1"/>
  <c r="X71" i="1"/>
  <c r="X70" i="1"/>
  <c r="W70" i="1"/>
  <c r="W69" i="1" s="1"/>
  <c r="Y69" i="1"/>
  <c r="Y68" i="1" s="1"/>
  <c r="X69" i="1"/>
  <c r="X68" i="1"/>
  <c r="X67" i="1"/>
  <c r="X66" i="1"/>
  <c r="X65" i="1"/>
  <c r="X64" i="1"/>
  <c r="X63" i="1"/>
  <c r="W63" i="1"/>
  <c r="X62" i="1"/>
  <c r="X61" i="1"/>
  <c r="X60" i="1"/>
  <c r="X59" i="1"/>
  <c r="Y58" i="1"/>
  <c r="X58" i="1"/>
  <c r="W58" i="1"/>
  <c r="W62" i="1" s="1"/>
  <c r="X57" i="1"/>
  <c r="X56" i="1"/>
  <c r="X55" i="1"/>
  <c r="X54" i="1"/>
  <c r="X53" i="1"/>
  <c r="Y52" i="1"/>
  <c r="X52" i="1"/>
  <c r="W52" i="1"/>
  <c r="X51" i="1"/>
  <c r="X50" i="1"/>
  <c r="X49" i="1"/>
  <c r="X48" i="1"/>
  <c r="W48" i="1"/>
  <c r="X47" i="1"/>
  <c r="X46" i="1"/>
  <c r="X45" i="1"/>
  <c r="X44" i="1"/>
  <c r="X43" i="1"/>
  <c r="X42" i="1"/>
  <c r="Y41" i="1"/>
  <c r="Y40" i="1" s="1"/>
  <c r="X41" i="1"/>
  <c r="W41" i="1"/>
  <c r="X40" i="1"/>
  <c r="X39" i="1"/>
  <c r="X38" i="1"/>
  <c r="X37" i="1"/>
  <c r="X36" i="1"/>
  <c r="X35" i="1"/>
  <c r="X34" i="1"/>
  <c r="X33" i="1"/>
  <c r="Y32" i="1"/>
  <c r="X32" i="1"/>
  <c r="X31" i="1"/>
  <c r="X30" i="1"/>
  <c r="X29" i="1"/>
  <c r="X28" i="1"/>
  <c r="X27" i="1"/>
  <c r="X26" i="1"/>
  <c r="X25" i="1"/>
  <c r="X24" i="1"/>
  <c r="X23" i="1"/>
  <c r="X22" i="1"/>
  <c r="X21" i="1"/>
  <c r="X20" i="1"/>
  <c r="W20" i="1"/>
  <c r="X19" i="1"/>
  <c r="X18" i="1"/>
  <c r="Y17" i="1"/>
  <c r="X17" i="1"/>
  <c r="X16" i="1"/>
  <c r="Y57" i="1" l="1"/>
  <c r="Y47" i="1"/>
  <c r="Y16" i="1"/>
  <c r="T20" i="1"/>
  <c r="G75" i="1" l="1"/>
  <c r="O72" i="1"/>
  <c r="K72" i="1"/>
  <c r="H72" i="1"/>
  <c r="E73" i="1"/>
  <c r="H73" i="1"/>
  <c r="Z69" i="1"/>
  <c r="T69" i="1"/>
  <c r="Q68" i="1"/>
  <c r="N68" i="1"/>
  <c r="K68" i="1"/>
  <c r="Z70" i="1"/>
  <c r="T70" i="1"/>
  <c r="Q70" i="1"/>
  <c r="N70" i="1"/>
  <c r="H71" i="1"/>
  <c r="H70" i="1"/>
  <c r="N71" i="1"/>
  <c r="K71" i="1"/>
  <c r="AA71" i="1"/>
  <c r="Z71" i="1"/>
  <c r="AB71" i="1" s="1"/>
  <c r="R71" i="1"/>
  <c r="O71" i="1"/>
  <c r="U71" i="1" s="1"/>
  <c r="G62" i="1"/>
  <c r="M62" i="1"/>
  <c r="T63" i="1"/>
  <c r="Q63" i="1"/>
  <c r="N63" i="1"/>
  <c r="Z63" i="1" s="1"/>
  <c r="AB63" i="1" s="1"/>
  <c r="T58" i="1"/>
  <c r="T62" i="1" s="1"/>
  <c r="Q58" i="1"/>
  <c r="Q62" i="1" s="1"/>
  <c r="N58" i="1"/>
  <c r="N62" i="1" s="1"/>
  <c r="K58" i="1"/>
  <c r="K62" i="1" s="1"/>
  <c r="AA63" i="1"/>
  <c r="R63" i="1"/>
  <c r="O63" i="1"/>
  <c r="U63" i="1" s="1"/>
  <c r="H63" i="1"/>
  <c r="E63" i="1"/>
  <c r="H62" i="1"/>
  <c r="E62" i="1"/>
  <c r="G67" i="1"/>
  <c r="E67" i="1"/>
  <c r="E64" i="1"/>
  <c r="E65" i="1"/>
  <c r="E66" i="1"/>
  <c r="G64" i="1"/>
  <c r="AA65" i="1"/>
  <c r="Z65" i="1"/>
  <c r="AB65" i="1" s="1"/>
  <c r="R65" i="1"/>
  <c r="O65" i="1"/>
  <c r="U65" i="1" s="1"/>
  <c r="AA66" i="1"/>
  <c r="Z66" i="1"/>
  <c r="AB66" i="1" s="1"/>
  <c r="R66" i="1"/>
  <c r="O66" i="1"/>
  <c r="U66" i="1" s="1"/>
  <c r="Q57" i="1"/>
  <c r="N57" i="1"/>
  <c r="E57" i="1"/>
  <c r="H57" i="1"/>
  <c r="K57" i="1"/>
  <c r="E58" i="1"/>
  <c r="H58" i="1"/>
  <c r="G56" i="1"/>
  <c r="Q59" i="1"/>
  <c r="M52" i="1"/>
  <c r="P52" i="1"/>
  <c r="T52" i="1"/>
  <c r="Q52" i="1"/>
  <c r="N52" i="1"/>
  <c r="K52" i="1"/>
  <c r="H52" i="1"/>
  <c r="G55" i="1"/>
  <c r="G54" i="1"/>
  <c r="G53" i="1"/>
  <c r="G51" i="1"/>
  <c r="H47" i="1"/>
  <c r="K47" i="1"/>
  <c r="T48" i="1"/>
  <c r="Q48" i="1"/>
  <c r="N48" i="1"/>
  <c r="H48" i="1"/>
  <c r="K48" i="1"/>
  <c r="G50" i="1"/>
  <c r="G49" i="1"/>
  <c r="E49" i="1"/>
  <c r="G46" i="1"/>
  <c r="G44" i="1"/>
  <c r="G43" i="1"/>
  <c r="G42" i="1"/>
  <c r="K45" i="1"/>
  <c r="K41" i="1" s="1"/>
  <c r="T41" i="1"/>
  <c r="Q41" i="1"/>
  <c r="N41" i="1"/>
  <c r="H40" i="1"/>
  <c r="K40" i="1"/>
  <c r="H45" i="1"/>
  <c r="H41" i="1" s="1"/>
  <c r="AD44" i="1"/>
  <c r="AI44" i="1" s="1"/>
  <c r="AA44" i="1"/>
  <c r="Z44" i="1"/>
  <c r="AG44" i="1" s="1"/>
  <c r="R44" i="1"/>
  <c r="O44" i="1"/>
  <c r="U44" i="1" s="1"/>
  <c r="V52" i="1"/>
  <c r="V48" i="1"/>
  <c r="V41" i="1"/>
  <c r="V40" i="1" s="1"/>
  <c r="V73" i="1"/>
  <c r="V72" i="1" s="1"/>
  <c r="V69" i="1"/>
  <c r="V68" i="1" s="1"/>
  <c r="V62" i="1"/>
  <c r="V58" i="1"/>
  <c r="V36" i="1"/>
  <c r="V32" i="1"/>
  <c r="V25" i="1"/>
  <c r="V20" i="1"/>
  <c r="V17" i="1"/>
  <c r="E46" i="1"/>
  <c r="Q20" i="1"/>
  <c r="N20" i="1"/>
  <c r="K20" i="1"/>
  <c r="R75" i="1"/>
  <c r="R74" i="1"/>
  <c r="R73" i="1"/>
  <c r="R72" i="1"/>
  <c r="R70" i="1"/>
  <c r="R69" i="1"/>
  <c r="R68" i="1"/>
  <c r="R67" i="1"/>
  <c r="R64" i="1"/>
  <c r="R62" i="1"/>
  <c r="R61" i="1"/>
  <c r="R60" i="1"/>
  <c r="R59" i="1"/>
  <c r="R58" i="1"/>
  <c r="R57" i="1"/>
  <c r="R56" i="1"/>
  <c r="R55" i="1"/>
  <c r="R54" i="1"/>
  <c r="R53" i="1"/>
  <c r="R52" i="1"/>
  <c r="R51" i="1"/>
  <c r="R50" i="1"/>
  <c r="R49" i="1"/>
  <c r="R48" i="1"/>
  <c r="R47" i="1"/>
  <c r="R46" i="1"/>
  <c r="R45"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O75" i="1"/>
  <c r="U75" i="1" s="1"/>
  <c r="O74" i="1"/>
  <c r="U74" i="1" s="1"/>
  <c r="O73" i="1"/>
  <c r="U73" i="1" s="1"/>
  <c r="U72" i="1"/>
  <c r="O70" i="1"/>
  <c r="U70" i="1" s="1"/>
  <c r="O69" i="1"/>
  <c r="U69" i="1" s="1"/>
  <c r="O68" i="1"/>
  <c r="U68" i="1" s="1"/>
  <c r="O67" i="1"/>
  <c r="U67" i="1" s="1"/>
  <c r="O64" i="1"/>
  <c r="U64" i="1" s="1"/>
  <c r="O62" i="1"/>
  <c r="U62" i="1" s="1"/>
  <c r="O61" i="1"/>
  <c r="U61" i="1" s="1"/>
  <c r="O60" i="1"/>
  <c r="U60" i="1" s="1"/>
  <c r="O59" i="1"/>
  <c r="U59" i="1" s="1"/>
  <c r="O58" i="1"/>
  <c r="U58" i="1" s="1"/>
  <c r="O57" i="1"/>
  <c r="U57" i="1" s="1"/>
  <c r="O56" i="1"/>
  <c r="U56" i="1" s="1"/>
  <c r="O55" i="1"/>
  <c r="U55" i="1" s="1"/>
  <c r="O54" i="1"/>
  <c r="U54" i="1" s="1"/>
  <c r="O53" i="1"/>
  <c r="U53" i="1" s="1"/>
  <c r="O52" i="1"/>
  <c r="U52" i="1" s="1"/>
  <c r="O51" i="1"/>
  <c r="U51" i="1" s="1"/>
  <c r="O50" i="1"/>
  <c r="U50" i="1" s="1"/>
  <c r="O49" i="1"/>
  <c r="U49" i="1" s="1"/>
  <c r="O48" i="1"/>
  <c r="U48" i="1" s="1"/>
  <c r="O47" i="1"/>
  <c r="U47" i="1" s="1"/>
  <c r="O46" i="1"/>
  <c r="U46" i="1" s="1"/>
  <c r="O45" i="1"/>
  <c r="U45" i="1" s="1"/>
  <c r="O43" i="1"/>
  <c r="U43" i="1" s="1"/>
  <c r="O42" i="1"/>
  <c r="U42" i="1" s="1"/>
  <c r="O41" i="1"/>
  <c r="U41" i="1" s="1"/>
  <c r="O40" i="1"/>
  <c r="U40" i="1" s="1"/>
  <c r="O39" i="1"/>
  <c r="U39" i="1" s="1"/>
  <c r="O38" i="1"/>
  <c r="U38" i="1" s="1"/>
  <c r="O37" i="1"/>
  <c r="U37" i="1" s="1"/>
  <c r="O36" i="1"/>
  <c r="U36" i="1" s="1"/>
  <c r="O35" i="1"/>
  <c r="U35" i="1" s="1"/>
  <c r="O34" i="1"/>
  <c r="U34" i="1" s="1"/>
  <c r="O33" i="1"/>
  <c r="U33" i="1" s="1"/>
  <c r="O32" i="1"/>
  <c r="U32" i="1" s="1"/>
  <c r="O31" i="1"/>
  <c r="U31" i="1" s="1"/>
  <c r="O30" i="1"/>
  <c r="U30" i="1" s="1"/>
  <c r="O29" i="1"/>
  <c r="U29" i="1" s="1"/>
  <c r="O28" i="1"/>
  <c r="U28" i="1" s="1"/>
  <c r="O27" i="1"/>
  <c r="U27" i="1" s="1"/>
  <c r="O26" i="1"/>
  <c r="U26" i="1" s="1"/>
  <c r="O25" i="1"/>
  <c r="U25" i="1" s="1"/>
  <c r="O24" i="1"/>
  <c r="U24" i="1" s="1"/>
  <c r="O23" i="1"/>
  <c r="U23" i="1" s="1"/>
  <c r="O22" i="1"/>
  <c r="U22" i="1" s="1"/>
  <c r="O21" i="1"/>
  <c r="U21" i="1" s="1"/>
  <c r="O20" i="1"/>
  <c r="U20" i="1" s="1"/>
  <c r="O19" i="1"/>
  <c r="U19" i="1" s="1"/>
  <c r="O18" i="1"/>
  <c r="U18" i="1" s="1"/>
  <c r="O17" i="1"/>
  <c r="U17" i="1" s="1"/>
  <c r="O16" i="1"/>
  <c r="U16" i="1" s="1"/>
  <c r="AG71" i="1" l="1"/>
  <c r="AH71" i="1"/>
  <c r="AH63" i="1"/>
  <c r="AG63" i="1"/>
  <c r="AG65" i="1"/>
  <c r="AH65" i="1"/>
  <c r="AB44" i="1"/>
  <c r="AG66" i="1"/>
  <c r="AH66" i="1"/>
  <c r="AH44" i="1"/>
  <c r="AE44" i="1"/>
  <c r="V16" i="1"/>
  <c r="V57" i="1"/>
  <c r="V47" i="1"/>
  <c r="G73" i="1"/>
  <c r="G72" i="1" s="1"/>
  <c r="G69" i="1"/>
  <c r="G68" i="1" s="1"/>
  <c r="G58" i="1"/>
  <c r="G57" i="1" s="1"/>
  <c r="G52" i="1"/>
  <c r="G48" i="1"/>
  <c r="G41" i="1"/>
  <c r="G40" i="1" s="1"/>
  <c r="G36" i="1"/>
  <c r="G32" i="1"/>
  <c r="G25" i="1"/>
  <c r="G20" i="1"/>
  <c r="G17" i="1"/>
  <c r="G16" i="1" l="1"/>
  <c r="G47" i="1"/>
  <c r="N17" i="1"/>
  <c r="Q17" i="1"/>
  <c r="K17" i="1"/>
  <c r="K69" i="1" l="1"/>
  <c r="Q69" i="1"/>
  <c r="N69" i="1"/>
  <c r="Z45" i="1"/>
  <c r="S52" i="1" l="1"/>
  <c r="S69" i="1" l="1"/>
  <c r="S68" i="1" s="1"/>
  <c r="AH40" i="1"/>
  <c r="AH41" i="1"/>
  <c r="AH42" i="1"/>
  <c r="AH43" i="1"/>
  <c r="AH45" i="1"/>
  <c r="AH46" i="1"/>
  <c r="AH47" i="1"/>
  <c r="AH48" i="1"/>
  <c r="AH49" i="1"/>
  <c r="AH50" i="1"/>
  <c r="AH51" i="1"/>
  <c r="AH52" i="1"/>
  <c r="AH53" i="1"/>
  <c r="AH54" i="1"/>
  <c r="AH55" i="1"/>
  <c r="AH56" i="1"/>
  <c r="AH57" i="1"/>
  <c r="AH58" i="1"/>
  <c r="AH59" i="1"/>
  <c r="AH60" i="1"/>
  <c r="AH61" i="1"/>
  <c r="AH62" i="1"/>
  <c r="AH64" i="1"/>
  <c r="AH67" i="1"/>
  <c r="AH68" i="1"/>
  <c r="AH69" i="1"/>
  <c r="AH70" i="1"/>
  <c r="AH72" i="1"/>
  <c r="AH73" i="1"/>
  <c r="AH74" i="1"/>
  <c r="AH75" i="1"/>
  <c r="S73" i="1"/>
  <c r="S72" i="1" s="1"/>
  <c r="S62" i="1"/>
  <c r="S58" i="1"/>
  <c r="S48" i="1"/>
  <c r="S47" i="1" s="1"/>
  <c r="S41" i="1"/>
  <c r="S40" i="1" s="1"/>
  <c r="AH18" i="1"/>
  <c r="AH19" i="1"/>
  <c r="AH20" i="1"/>
  <c r="AH21" i="1"/>
  <c r="AH22" i="1"/>
  <c r="AH23" i="1"/>
  <c r="AH24" i="1"/>
  <c r="AH25" i="1"/>
  <c r="AH26" i="1"/>
  <c r="AH27" i="1"/>
  <c r="AH28" i="1"/>
  <c r="AH29" i="1"/>
  <c r="AH30" i="1"/>
  <c r="AH31" i="1"/>
  <c r="AH32" i="1"/>
  <c r="AH33" i="1"/>
  <c r="AH34" i="1"/>
  <c r="AH35" i="1"/>
  <c r="AH36" i="1"/>
  <c r="AH37" i="1"/>
  <c r="AH38" i="1"/>
  <c r="AH39" i="1"/>
  <c r="AH16" i="1"/>
  <c r="S36" i="1"/>
  <c r="S32" i="1"/>
  <c r="S25" i="1"/>
  <c r="S20" i="1"/>
  <c r="S17" i="1"/>
  <c r="S57" i="1" l="1"/>
  <c r="S16" i="1"/>
  <c r="AH17" i="1"/>
  <c r="AA17" i="1"/>
  <c r="P17" i="1"/>
  <c r="AD17" i="1" s="1"/>
  <c r="Z17" i="1"/>
  <c r="AB17" i="1" s="1"/>
  <c r="M17" i="1"/>
  <c r="AI17" i="1" l="1"/>
  <c r="AE17" i="1"/>
  <c r="AG17" i="1"/>
  <c r="N73" i="1"/>
  <c r="K73" i="1"/>
  <c r="Z47" i="1" l="1"/>
  <c r="AG47" i="1" s="1"/>
  <c r="AB47" i="1" s="1"/>
  <c r="AA47" i="1"/>
  <c r="AD75" i="1" l="1"/>
  <c r="AI75" i="1" s="1"/>
  <c r="AA75" i="1"/>
  <c r="Z75" i="1"/>
  <c r="AG75" i="1" s="1"/>
  <c r="AD74" i="1"/>
  <c r="AI74" i="1" s="1"/>
  <c r="AA74" i="1"/>
  <c r="Z74" i="1"/>
  <c r="AG74" i="1" s="1"/>
  <c r="AA73" i="1"/>
  <c r="Z73" i="1"/>
  <c r="AG73" i="1" s="1"/>
  <c r="AA72" i="1"/>
  <c r="Z72" i="1"/>
  <c r="AG72" i="1" s="1"/>
  <c r="AD70" i="1"/>
  <c r="AI70" i="1" s="1"/>
  <c r="AA70" i="1"/>
  <c r="AG70" i="1"/>
  <c r="AA69" i="1"/>
  <c r="AG69" i="1"/>
  <c r="AA68" i="1"/>
  <c r="Z68" i="1"/>
  <c r="AG68" i="1" s="1"/>
  <c r="AD67" i="1"/>
  <c r="AI67" i="1" s="1"/>
  <c r="AA67" i="1"/>
  <c r="Z67" i="1"/>
  <c r="AG67" i="1" s="1"/>
  <c r="AD64" i="1"/>
  <c r="AI64" i="1" s="1"/>
  <c r="AA64" i="1"/>
  <c r="Z64" i="1"/>
  <c r="AG64" i="1" s="1"/>
  <c r="AA62" i="1"/>
  <c r="Z62" i="1"/>
  <c r="AG62" i="1" s="1"/>
  <c r="AD61" i="1"/>
  <c r="AI61" i="1" s="1"/>
  <c r="AA61" i="1"/>
  <c r="Z61" i="1"/>
  <c r="AG61" i="1" s="1"/>
  <c r="AD60" i="1"/>
  <c r="AI60" i="1" s="1"/>
  <c r="AA60" i="1"/>
  <c r="Z60" i="1"/>
  <c r="AG60" i="1" s="1"/>
  <c r="AD59" i="1"/>
  <c r="AI59" i="1" s="1"/>
  <c r="AA59" i="1"/>
  <c r="Z59" i="1"/>
  <c r="AG59" i="1" s="1"/>
  <c r="AA58" i="1"/>
  <c r="Z58" i="1"/>
  <c r="AG58" i="1" s="1"/>
  <c r="AA57" i="1"/>
  <c r="Z57" i="1"/>
  <c r="AD56" i="1"/>
  <c r="AI56" i="1" s="1"/>
  <c r="AA56" i="1"/>
  <c r="Z56" i="1"/>
  <c r="AG56" i="1" s="1"/>
  <c r="AD55" i="1"/>
  <c r="AI55" i="1" s="1"/>
  <c r="AA55" i="1"/>
  <c r="Z55" i="1"/>
  <c r="AG55" i="1" s="1"/>
  <c r="AD54" i="1"/>
  <c r="AI54" i="1" s="1"/>
  <c r="AA54" i="1"/>
  <c r="Z54" i="1"/>
  <c r="AG54" i="1" s="1"/>
  <c r="AD53" i="1"/>
  <c r="AI53" i="1" s="1"/>
  <c r="AA53" i="1"/>
  <c r="Z53" i="1"/>
  <c r="AG53" i="1" s="1"/>
  <c r="AA52" i="1"/>
  <c r="Z52" i="1"/>
  <c r="AD51" i="1"/>
  <c r="AI51" i="1" s="1"/>
  <c r="AA51" i="1"/>
  <c r="Z51" i="1"/>
  <c r="AG51" i="1" s="1"/>
  <c r="AD50" i="1"/>
  <c r="AI50" i="1" s="1"/>
  <c r="AA50" i="1"/>
  <c r="Z50" i="1"/>
  <c r="AG50" i="1" s="1"/>
  <c r="AD49" i="1"/>
  <c r="AI49" i="1" s="1"/>
  <c r="AA49" i="1"/>
  <c r="Z49" i="1"/>
  <c r="AG49" i="1" s="1"/>
  <c r="AA48" i="1"/>
  <c r="Z48" i="1"/>
  <c r="AG48" i="1" s="1"/>
  <c r="AD46" i="1"/>
  <c r="AI46" i="1" s="1"/>
  <c r="AA46" i="1"/>
  <c r="Z46" i="1"/>
  <c r="AG46" i="1" s="1"/>
  <c r="AA45" i="1"/>
  <c r="AG45" i="1"/>
  <c r="AD43" i="1"/>
  <c r="AI43" i="1" s="1"/>
  <c r="AA43" i="1"/>
  <c r="Z43" i="1"/>
  <c r="AG43" i="1" s="1"/>
  <c r="AD42" i="1"/>
  <c r="AI42" i="1" s="1"/>
  <c r="AA42" i="1"/>
  <c r="Z42" i="1"/>
  <c r="AG42" i="1" s="1"/>
  <c r="AA41" i="1"/>
  <c r="Z41" i="1"/>
  <c r="AG41" i="1" s="1"/>
  <c r="AA40" i="1"/>
  <c r="Z40" i="1"/>
  <c r="AG40" i="1" s="1"/>
  <c r="AB40" i="1" s="1"/>
  <c r="AD39" i="1"/>
  <c r="AA39" i="1"/>
  <c r="Z39" i="1"/>
  <c r="AD38" i="1"/>
  <c r="AA38" i="1"/>
  <c r="Z38" i="1"/>
  <c r="AD37" i="1"/>
  <c r="AA37" i="1"/>
  <c r="Z37" i="1"/>
  <c r="AA36" i="1"/>
  <c r="Z36" i="1"/>
  <c r="AD35" i="1"/>
  <c r="AA35" i="1"/>
  <c r="Z35" i="1"/>
  <c r="AD34" i="1"/>
  <c r="AA34" i="1"/>
  <c r="Z34" i="1"/>
  <c r="AD33" i="1"/>
  <c r="AA33" i="1"/>
  <c r="Z33" i="1"/>
  <c r="AA32" i="1"/>
  <c r="Z32" i="1"/>
  <c r="AD31" i="1"/>
  <c r="AA31" i="1"/>
  <c r="Z31" i="1"/>
  <c r="AD30" i="1"/>
  <c r="AA30" i="1"/>
  <c r="Z30" i="1"/>
  <c r="AD29" i="1"/>
  <c r="AA29" i="1"/>
  <c r="Z29" i="1"/>
  <c r="AD28" i="1"/>
  <c r="AA28" i="1"/>
  <c r="Z28" i="1"/>
  <c r="AD27" i="1"/>
  <c r="AA27" i="1"/>
  <c r="Z27" i="1"/>
  <c r="AD26" i="1"/>
  <c r="AA26" i="1"/>
  <c r="Z26" i="1"/>
  <c r="AA25" i="1"/>
  <c r="Z25" i="1"/>
  <c r="AD24" i="1"/>
  <c r="AA24" i="1"/>
  <c r="Z24" i="1"/>
  <c r="AD23" i="1"/>
  <c r="AA23" i="1"/>
  <c r="Z23" i="1"/>
  <c r="AD22" i="1"/>
  <c r="AA22" i="1"/>
  <c r="Z22" i="1"/>
  <c r="AD21" i="1"/>
  <c r="AA21" i="1"/>
  <c r="AA20" i="1"/>
  <c r="AD19" i="1"/>
  <c r="AA19" i="1"/>
  <c r="Z19" i="1"/>
  <c r="AD18" i="1"/>
  <c r="AA18" i="1"/>
  <c r="Z18" i="1"/>
  <c r="AA16" i="1"/>
  <c r="Z16" i="1"/>
  <c r="AG57" i="1" l="1"/>
  <c r="AB57" i="1"/>
  <c r="AB23" i="1"/>
  <c r="AG23" i="1"/>
  <c r="AB22" i="1"/>
  <c r="AG22" i="1"/>
  <c r="AB29" i="1"/>
  <c r="AG29" i="1"/>
  <c r="AB36" i="1"/>
  <c r="AG36" i="1"/>
  <c r="AB39" i="1"/>
  <c r="AG39" i="1"/>
  <c r="AB33" i="1"/>
  <c r="AG33" i="1"/>
  <c r="AB19" i="1"/>
  <c r="AG19" i="1"/>
  <c r="AB25" i="1"/>
  <c r="AG25" i="1"/>
  <c r="AB28" i="1"/>
  <c r="AG28" i="1"/>
  <c r="AB32" i="1"/>
  <c r="AG32" i="1"/>
  <c r="AB35" i="1"/>
  <c r="AG35" i="1"/>
  <c r="AB38" i="1"/>
  <c r="AG38" i="1"/>
  <c r="AB26" i="1"/>
  <c r="AG26" i="1"/>
  <c r="AB30" i="1"/>
  <c r="AG30" i="1"/>
  <c r="AB18" i="1"/>
  <c r="AG18" i="1"/>
  <c r="AB24" i="1"/>
  <c r="AG24" i="1"/>
  <c r="AB27" i="1"/>
  <c r="AG27" i="1"/>
  <c r="AB31" i="1"/>
  <c r="AG31" i="1"/>
  <c r="AB34" i="1"/>
  <c r="AG34" i="1"/>
  <c r="AB37" i="1"/>
  <c r="AG37" i="1"/>
  <c r="AB21" i="1"/>
  <c r="AG21" i="1"/>
  <c r="AB64" i="1"/>
  <c r="AB52" i="1"/>
  <c r="AG52" i="1"/>
  <c r="AB16" i="1"/>
  <c r="AG16" i="1"/>
  <c r="AE46" i="1"/>
  <c r="AE53" i="1"/>
  <c r="AE60" i="1"/>
  <c r="AB72" i="1"/>
  <c r="AB42" i="1"/>
  <c r="AB48" i="1"/>
  <c r="AE49" i="1"/>
  <c r="AB51" i="1"/>
  <c r="AB54" i="1"/>
  <c r="AE56" i="1"/>
  <c r="AE59" i="1"/>
  <c r="AB61" i="1"/>
  <c r="AE64" i="1"/>
  <c r="AB68" i="1"/>
  <c r="AB70" i="1"/>
  <c r="AE75" i="1"/>
  <c r="AB43" i="1"/>
  <c r="AB55" i="1"/>
  <c r="AB74" i="1"/>
  <c r="AE43" i="1"/>
  <c r="AB46" i="1"/>
  <c r="AB50" i="1"/>
  <c r="AB53" i="1"/>
  <c r="AE55" i="1"/>
  <c r="AB58" i="1"/>
  <c r="AB60" i="1"/>
  <c r="AB67" i="1"/>
  <c r="AB73" i="1"/>
  <c r="AE74" i="1"/>
  <c r="AE50" i="1"/>
  <c r="AB62" i="1"/>
  <c r="AE67" i="1"/>
  <c r="AB41" i="1"/>
  <c r="AE42" i="1"/>
  <c r="AB45" i="1"/>
  <c r="AB49" i="1"/>
  <c r="AE51" i="1"/>
  <c r="AE54" i="1"/>
  <c r="AB56" i="1"/>
  <c r="AB59" i="1"/>
  <c r="AE61" i="1"/>
  <c r="AB69" i="1"/>
  <c r="AE70" i="1"/>
  <c r="AB75" i="1"/>
  <c r="AE39" i="1"/>
  <c r="AI39" i="1"/>
  <c r="AE38" i="1"/>
  <c r="AI38" i="1"/>
  <c r="AE37" i="1"/>
  <c r="AI37" i="1"/>
  <c r="AE35" i="1"/>
  <c r="AI35" i="1"/>
  <c r="AE34" i="1"/>
  <c r="AI34" i="1"/>
  <c r="AE33" i="1"/>
  <c r="AI33" i="1"/>
  <c r="AE31" i="1"/>
  <c r="AI31" i="1"/>
  <c r="AE30" i="1"/>
  <c r="AI30" i="1"/>
  <c r="AE29" i="1"/>
  <c r="AI29" i="1"/>
  <c r="AE28" i="1"/>
  <c r="AI28" i="1"/>
  <c r="AE27" i="1"/>
  <c r="AI27" i="1"/>
  <c r="AE26" i="1"/>
  <c r="AI26" i="1"/>
  <c r="AE24" i="1"/>
  <c r="AI24" i="1"/>
  <c r="AE23" i="1"/>
  <c r="AI23" i="1"/>
  <c r="AE22" i="1"/>
  <c r="AI22" i="1"/>
  <c r="AE21" i="1"/>
  <c r="AI21" i="1"/>
  <c r="AE19" i="1"/>
  <c r="AI19" i="1"/>
  <c r="AE18" i="1"/>
  <c r="AI18" i="1"/>
  <c r="Z20" i="1"/>
  <c r="AG20" i="1" s="1"/>
  <c r="P73" i="1"/>
  <c r="P69" i="1"/>
  <c r="P62" i="1"/>
  <c r="AD62" i="1" s="1"/>
  <c r="AI62" i="1" s="1"/>
  <c r="P58" i="1"/>
  <c r="AD52" i="1"/>
  <c r="AI52" i="1" s="1"/>
  <c r="P48" i="1"/>
  <c r="P41" i="1"/>
  <c r="P36" i="1"/>
  <c r="AD36" i="1" s="1"/>
  <c r="AI36" i="1" s="1"/>
  <c r="P32" i="1"/>
  <c r="AD32" i="1" s="1"/>
  <c r="AI32" i="1" s="1"/>
  <c r="P25" i="1"/>
  <c r="AD25" i="1" s="1"/>
  <c r="AI25" i="1" s="1"/>
  <c r="P20" i="1"/>
  <c r="M73" i="1"/>
  <c r="M72" i="1" s="1"/>
  <c r="M69" i="1"/>
  <c r="M68" i="1" s="1"/>
  <c r="M58" i="1"/>
  <c r="M48" i="1"/>
  <c r="M41" i="1"/>
  <c r="M40" i="1" s="1"/>
  <c r="M36" i="1"/>
  <c r="M32" i="1"/>
  <c r="M25" i="1"/>
  <c r="M20" i="1"/>
  <c r="M16" i="1" l="1"/>
  <c r="P16" i="1"/>
  <c r="AD20" i="1"/>
  <c r="AI20" i="1" s="1"/>
  <c r="AE32" i="1"/>
  <c r="AB20" i="1"/>
  <c r="AB76" i="1" s="1"/>
  <c r="M57" i="1"/>
  <c r="AE36" i="1"/>
  <c r="M47" i="1"/>
  <c r="P57" i="1"/>
  <c r="AD57" i="1" s="1"/>
  <c r="AI57" i="1" s="1"/>
  <c r="AD58" i="1"/>
  <c r="AI58" i="1" s="1"/>
  <c r="P40" i="1"/>
  <c r="AD40" i="1" s="1"/>
  <c r="AI40" i="1" s="1"/>
  <c r="AD41" i="1"/>
  <c r="AI41" i="1" s="1"/>
  <c r="AE62" i="1"/>
  <c r="AE25" i="1"/>
  <c r="P47" i="1"/>
  <c r="AD47" i="1" s="1"/>
  <c r="AI47" i="1" s="1"/>
  <c r="AD48" i="1"/>
  <c r="AI48" i="1" s="1"/>
  <c r="P68" i="1"/>
  <c r="AD69" i="1"/>
  <c r="AI69" i="1" s="1"/>
  <c r="AE52" i="1"/>
  <c r="P72" i="1"/>
  <c r="AD72" i="1" s="1"/>
  <c r="AI72" i="1" s="1"/>
  <c r="AD73" i="1"/>
  <c r="AI73" i="1" s="1"/>
  <c r="AD16" i="1"/>
  <c r="AI16" i="1" s="1"/>
  <c r="AD68" i="1" l="1"/>
  <c r="AI68" i="1" s="1"/>
  <c r="AE20" i="1"/>
  <c r="AE72" i="1"/>
  <c r="AE68" i="1"/>
  <c r="AE48" i="1"/>
  <c r="AE41" i="1"/>
  <c r="AE40" i="1"/>
  <c r="AE73" i="1"/>
  <c r="AE69" i="1"/>
  <c r="AE58" i="1"/>
  <c r="AE16" i="1"/>
  <c r="AE47" i="1"/>
  <c r="AE57" i="1"/>
  <c r="AP24" i="1"/>
  <c r="AP23" i="1"/>
  <c r="AP22" i="1"/>
  <c r="AP21" i="1"/>
  <c r="AP16" i="1"/>
  <c r="AE76" i="1" l="1"/>
  <c r="AE77" i="1" s="1"/>
  <c r="AB77" i="1" l="1"/>
</calcChain>
</file>

<file path=xl/comments1.xml><?xml version="1.0" encoding="utf-8"?>
<comments xmlns="http://schemas.openxmlformats.org/spreadsheetml/2006/main">
  <authors>
    <author>W10 PRO</author>
    <author>USER</author>
  </authors>
  <commentList>
    <comment ref="K40" authorId="0" shapeId="0">
      <text>
        <r>
          <rPr>
            <b/>
            <sz val="12"/>
            <color indexed="81"/>
            <rFont val="Tahoma"/>
            <family val="2"/>
          </rPr>
          <t>Jumlah PSKS yang Memiliki Kompetensi dibagi Jumlah PSKS yang terdatax100</t>
        </r>
      </text>
    </comment>
    <comment ref="H41" authorId="0" shapeId="0">
      <text>
        <r>
          <rPr>
            <b/>
            <sz val="12"/>
            <color indexed="81"/>
            <rFont val="Tahoma"/>
            <family val="2"/>
          </rPr>
          <t>Lembaga/Orsos/Relawan/Petugas Sosial yg aktif dibagi Jumlah embaga/Orsos/Relawan/Petugas Sosial yang terdatax100</t>
        </r>
      </text>
    </comment>
    <comment ref="K41" authorId="0" shapeId="0">
      <text>
        <r>
          <rPr>
            <b/>
            <sz val="12"/>
            <color indexed="81"/>
            <rFont val="Tahoma"/>
            <family val="2"/>
          </rPr>
          <t>Jumlah PSKS yang Mengikuti Pengembangan Kompetensi dibagi Jumlah PSKS yang terdatax100</t>
        </r>
      </text>
    </comment>
    <comment ref="N41" authorId="0" shapeId="0">
      <text>
        <r>
          <rPr>
            <b/>
            <sz val="12"/>
            <color indexed="81"/>
            <rFont val="Tahoma"/>
            <family val="2"/>
          </rPr>
          <t>Jumlah PSKS yang Mengikuti Pengembangan Kompetensi dibagi Jumlah PSKS yang terdatax100</t>
        </r>
      </text>
    </comment>
    <comment ref="Q41" authorId="0" shapeId="0">
      <text>
        <r>
          <rPr>
            <b/>
            <sz val="12"/>
            <color indexed="81"/>
            <rFont val="Tahoma"/>
            <family val="2"/>
          </rPr>
          <t>Jumlah PSKS yang Mengikuti Pengembangan Kompetensi dibagi Jumlah PSKS yang terdatax100</t>
        </r>
      </text>
    </comment>
    <comment ref="T41" authorId="0" shapeId="0">
      <text>
        <r>
          <rPr>
            <b/>
            <sz val="12"/>
            <color indexed="81"/>
            <rFont val="Tahoma"/>
            <family val="2"/>
          </rPr>
          <t>Jumlah PSKS yang Mengikuti Pengembangan Kompetensi dibagi Jumlah PSKS yang terdatax100</t>
        </r>
      </text>
    </comment>
    <comment ref="W41" authorId="0" shapeId="0">
      <text>
        <r>
          <rPr>
            <b/>
            <sz val="12"/>
            <color indexed="81"/>
            <rFont val="Tahoma"/>
            <family val="2"/>
          </rPr>
          <t>Jumlah PSKS yang Mengikuti Pengembangan Kompetensi dibagi Jumlah PSKS yang terdatax100</t>
        </r>
      </text>
    </comment>
    <comment ref="E44" authorId="0" shapeId="0">
      <text>
        <r>
          <rPr>
            <sz val="12"/>
            <color indexed="81"/>
            <rFont val="Tahoma"/>
            <family val="2"/>
          </rPr>
          <t>44 Buah
224 Org</t>
        </r>
      </text>
    </comment>
    <comment ref="K44" authorId="0" shapeId="0">
      <text>
        <r>
          <rPr>
            <b/>
            <sz val="12"/>
            <color indexed="81"/>
            <rFont val="Tahoma"/>
            <family val="2"/>
          </rPr>
          <t>17 adalah jumlah lembaga</t>
        </r>
      </text>
    </comment>
    <comment ref="E45" authorId="0" shapeId="0">
      <text>
        <r>
          <rPr>
            <sz val="12"/>
            <color indexed="81"/>
            <rFont val="Tahoma"/>
            <family val="2"/>
          </rPr>
          <t>44 Buah
224 Org</t>
        </r>
      </text>
    </comment>
    <comment ref="K45" authorId="0" shapeId="0">
      <text>
        <r>
          <rPr>
            <b/>
            <sz val="12"/>
            <color indexed="81"/>
            <rFont val="Tahoma"/>
            <family val="2"/>
          </rPr>
          <t>17 adalah jumlah lembaga</t>
        </r>
      </text>
    </comment>
    <comment ref="K47" authorId="0" shapeId="0">
      <text>
        <r>
          <rPr>
            <b/>
            <sz val="12"/>
            <color indexed="81"/>
            <rFont val="Tahoma"/>
            <family val="2"/>
          </rPr>
          <t>Jumlah Disabilitas Anak Terlantar dan Perempuan Rawan Sosial Ekonomi Yang Mandiri/jumlah PMKS yang terdatax100</t>
        </r>
      </text>
    </comment>
    <comment ref="K48" authorId="0" shapeId="0">
      <text>
        <r>
          <rPr>
            <b/>
            <sz val="12"/>
            <color indexed="81"/>
            <rFont val="Tahoma"/>
            <family val="2"/>
          </rPr>
          <t>Jumlah PMKS yang mendapat rehabilitasi sosial dasar/Jumlah PMKS yang terdatax100</t>
        </r>
      </text>
    </comment>
    <comment ref="N48" authorId="0" shapeId="0">
      <text>
        <r>
          <rPr>
            <b/>
            <sz val="12"/>
            <color indexed="81"/>
            <rFont val="Tahoma"/>
            <family val="2"/>
          </rPr>
          <t>Jumlah PMKS yang mendapat rehabilitasi sosial dasar/Jumlah PMKS yang terdatax100</t>
        </r>
      </text>
    </comment>
    <comment ref="Q48" authorId="0" shapeId="0">
      <text>
        <r>
          <rPr>
            <b/>
            <sz val="12"/>
            <color indexed="81"/>
            <rFont val="Tahoma"/>
            <family val="2"/>
          </rPr>
          <t>Jumlah PMKS yang mendapat rehabilitasi sosial dasar/Jumlah PMKS yang terdatax100</t>
        </r>
      </text>
    </comment>
    <comment ref="T48" authorId="0" shapeId="0">
      <text>
        <r>
          <rPr>
            <b/>
            <sz val="12"/>
            <color indexed="81"/>
            <rFont val="Tahoma"/>
            <family val="2"/>
          </rPr>
          <t>Jumlah PMKS yang mendapat rehabilitasi sosial dasar/Jumlah PMKS yang terdatax100</t>
        </r>
      </text>
    </comment>
    <comment ref="W48" authorId="0" shapeId="0">
      <text>
        <r>
          <rPr>
            <b/>
            <sz val="12"/>
            <color indexed="81"/>
            <rFont val="Tahoma"/>
            <family val="2"/>
          </rPr>
          <t>Jumlah PMKS yang mendapat rehabilitasi sosial dasar/Jumlah PMKS yang terdatax100</t>
        </r>
      </text>
    </comment>
    <comment ref="K52" authorId="1" shapeId="0">
      <text>
        <r>
          <rPr>
            <b/>
            <sz val="12"/>
            <color indexed="81"/>
            <rFont val="Tahoma"/>
            <family val="2"/>
          </rPr>
          <t>Jumlah tuna sosial yang mendapatkan rehabilitasi sosial/jumlah PMKS yang terdata x 100</t>
        </r>
      </text>
    </comment>
    <comment ref="N52" authorId="1" shapeId="0">
      <text>
        <r>
          <rPr>
            <b/>
            <sz val="12"/>
            <color indexed="81"/>
            <rFont val="Tahoma"/>
            <family val="2"/>
          </rPr>
          <t>Jumlah tuna sosial yang mendapatkan rehabilitasi sosial/jumlah PMKS yang terdata x 100</t>
        </r>
      </text>
    </comment>
    <comment ref="Q52" authorId="1" shapeId="0">
      <text>
        <r>
          <rPr>
            <b/>
            <sz val="12"/>
            <color indexed="81"/>
            <rFont val="Tahoma"/>
            <family val="2"/>
          </rPr>
          <t>Jumlah tuna sosial yang mendapatkan rehabilitasi sosial/jumlah PMKS yang terdata x 100</t>
        </r>
      </text>
    </comment>
    <comment ref="T52" authorId="1" shapeId="0">
      <text>
        <r>
          <rPr>
            <b/>
            <sz val="12"/>
            <color indexed="81"/>
            <rFont val="Tahoma"/>
            <family val="2"/>
          </rPr>
          <t>Jumlah tuna sosial yang mendapatkan rehabilitasi sosial/jumlah PMKS yang terdata x 100</t>
        </r>
      </text>
    </comment>
    <comment ref="W52" authorId="1" shapeId="0">
      <text>
        <r>
          <rPr>
            <b/>
            <sz val="12"/>
            <color indexed="81"/>
            <rFont val="Tahoma"/>
            <family val="2"/>
          </rPr>
          <t>Jumlah tuna sosial yang mendapatkan rehabilitasi sosial/jumlah PMKS yang terdata x 100</t>
        </r>
      </text>
    </comment>
    <comment ref="K57" authorId="0" shapeId="0">
      <text>
        <r>
          <rPr>
            <b/>
            <sz val="12"/>
            <color indexed="81"/>
            <rFont val="Tahoma"/>
            <family val="2"/>
          </rPr>
          <t>Jumlah Fakir Miskin yang Mandiri/jumlah PMKS yg terdatax100</t>
        </r>
      </text>
    </comment>
    <comment ref="N57" authorId="0" shapeId="0">
      <text>
        <r>
          <rPr>
            <b/>
            <sz val="12"/>
            <color indexed="81"/>
            <rFont val="Tahoma"/>
            <family val="2"/>
          </rPr>
          <t>Jumlah Fakir Miskin yang Mandiri/jumlah PMKS yg terdatax100</t>
        </r>
      </text>
    </comment>
    <comment ref="Q57" authorId="0" shapeId="0">
      <text>
        <r>
          <rPr>
            <b/>
            <sz val="12"/>
            <color indexed="81"/>
            <rFont val="Tahoma"/>
            <family val="2"/>
          </rPr>
          <t>Jumlah Fakir Miskin yang Mandiri/jumlah PMKS yg terdatax100</t>
        </r>
      </text>
    </comment>
    <comment ref="K68" authorId="0" shapeId="0">
      <text>
        <r>
          <rPr>
            <b/>
            <sz val="12"/>
            <color indexed="81"/>
            <rFont val="Tahoma"/>
            <family val="2"/>
          </rPr>
          <t>Jumlah Fakir Miskin yang Mandiri/jumlah PMKS yg terdatax100</t>
        </r>
      </text>
    </comment>
    <comment ref="N68" authorId="0" shapeId="0">
      <text>
        <r>
          <rPr>
            <b/>
            <sz val="12"/>
            <color indexed="81"/>
            <rFont val="Tahoma"/>
            <family val="2"/>
          </rPr>
          <t>Jumlah Fakir Miskin yang Mandiri/jumlah PMKS yg terdatax100</t>
        </r>
      </text>
    </comment>
    <comment ref="Q68" authorId="0" shapeId="0">
      <text>
        <r>
          <rPr>
            <b/>
            <sz val="12"/>
            <color indexed="81"/>
            <rFont val="Tahoma"/>
            <family val="2"/>
          </rPr>
          <t>Jumlah Fakir Miskin yang Mandiri/jumlah PMKS yg terdatax100</t>
        </r>
      </text>
    </comment>
    <comment ref="T70" authorId="1" shapeId="0">
      <text>
        <r>
          <rPr>
            <b/>
            <sz val="12"/>
            <color indexed="81"/>
            <rFont val="Tahoma"/>
            <family val="2"/>
          </rPr>
          <t>s.d juli</t>
        </r>
      </text>
    </comment>
    <comment ref="W70" authorId="1" shapeId="0">
      <text>
        <r>
          <rPr>
            <b/>
            <sz val="12"/>
            <color indexed="81"/>
            <rFont val="Tahoma"/>
            <family val="2"/>
          </rPr>
          <t>s.d juli</t>
        </r>
      </text>
    </comment>
    <comment ref="K72" authorId="0" shapeId="0">
      <text>
        <r>
          <rPr>
            <b/>
            <sz val="12"/>
            <color indexed="81"/>
            <rFont val="Tahoma"/>
            <family val="2"/>
          </rPr>
          <t>Jumlah PSKS yang Memiliki Kompetensi dibagi Jumlah PSKS yang terdatax100</t>
        </r>
      </text>
    </comment>
  </commentList>
</comments>
</file>

<file path=xl/sharedStrings.xml><?xml version="1.0" encoding="utf-8"?>
<sst xmlns="http://schemas.openxmlformats.org/spreadsheetml/2006/main" count="581" uniqueCount="205">
  <si>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</si>
  <si>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</si>
  <si>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</si>
  <si>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</si>
  <si>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</si>
  <si>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</si>
  <si>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</si>
  <si>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</si>
  <si>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Kinerja Pada Triwulan</t>
  </si>
  <si>
    <t>SKPD Penanggung Jawab</t>
  </si>
  <si>
    <t>I</t>
  </si>
  <si>
    <t>II</t>
  </si>
  <si>
    <t>III</t>
  </si>
  <si>
    <t>IV</t>
  </si>
  <si>
    <t>K</t>
  </si>
  <si>
    <t>Rp</t>
  </si>
  <si>
    <t>[kolom (8-11)(K)]</t>
  </si>
  <si>
    <t>[kolom (8-11)(Rp)]</t>
  </si>
  <si>
    <t>[kolom (6)(K) + kolom (12)(K)]</t>
  </si>
  <si>
    <t>[kolom (6)(Rp) + kolom (12)(Rp)]</t>
  </si>
  <si>
    <t>[kolom (13)(K) : kolom (5)(K)] x 100%</t>
  </si>
  <si>
    <t>[Kolom (13)(Rp) : Kolom (5)(Rp)] x 100%</t>
  </si>
  <si>
    <t>tabel 5.2 rpjmd, misi 5, hal 207</t>
  </si>
  <si>
    <t>tabel  6,1 renstra kolom 5</t>
  </si>
  <si>
    <t>tabel  6,1 renstra kolom 6</t>
  </si>
  <si>
    <t>tabel  6,1 renstra kolom 9</t>
  </si>
  <si>
    <t>tabel  6,1 renstra kolom 18</t>
  </si>
  <si>
    <t>tabel  6,1 Renstra kolom 19</t>
  </si>
  <si>
    <t>tabel  6,1 Renstra kolom 10</t>
  </si>
  <si>
    <t>tabel  6,1 renstra kolom 11</t>
  </si>
  <si>
    <t>sistem emonev triwulan II</t>
  </si>
  <si>
    <t>Meningkatnya akuntabilitas Instansi Pemerintah dan Kualitas Pelayanan Publik</t>
  </si>
  <si>
    <t>Meningkatnya Kinerja Keuangan dan Kinerja Birokrasi</t>
  </si>
  <si>
    <t>Rata-rata Capaian Kinerja (%)</t>
  </si>
  <si>
    <t>Predikat Kinerja</t>
  </si>
  <si>
    <t>Faktor pendorong keberhasilan pencapaian:</t>
  </si>
  <si>
    <t>Faktor penghambat pencapaian kinerja: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</si>
  <si>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</si>
  <si>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</si>
  <si>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</si>
  <si>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</si>
  <si>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</si>
  <si>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</si>
  <si>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</si>
  <si>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</si>
  <si>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</si>
  <si>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</si>
  <si>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</si>
  <si>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</si>
  <si>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</si>
  <si>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</si>
  <si>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</si>
  <si>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</si>
  <si>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</si>
  <si>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</si>
  <si>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Dok</t>
  </si>
  <si>
    <t>Bln</t>
  </si>
  <si>
    <t>%</t>
  </si>
  <si>
    <t>DINAS SOSIAL</t>
  </si>
  <si>
    <t>Dinas Sosial</t>
  </si>
  <si>
    <t>Meningkatnya Perlindungan Sosial dan Masyarakat</t>
  </si>
  <si>
    <t>[kolom (12)(K) : kolom (7)(K)] x 100%</t>
  </si>
  <si>
    <t>[kolom (12)(Rp) : kolom (7)(Rp)] x 100%</t>
  </si>
  <si>
    <t>Realisasi dan Tingkat Capaian Kinerja dan Anggaran Renja Perangkat Daerah yang Dievaluasi</t>
  </si>
  <si>
    <t>Disusun</t>
  </si>
  <si>
    <t>Dievaluasi</t>
  </si>
  <si>
    <t>Kepala Bappelitbangda</t>
  </si>
  <si>
    <t>Kabupaten Hulu Sungai Selatan</t>
  </si>
  <si>
    <t>M. ARLIYAN SYAHRIAL, M.Pd</t>
  </si>
  <si>
    <t>NIP. 19700423 199303 1 006</t>
  </si>
  <si>
    <t>Kepala Dinas Sosial</t>
  </si>
  <si>
    <t>program</t>
  </si>
  <si>
    <t>NORDIANSYAH, S.Sos, M.Si</t>
  </si>
  <si>
    <t>NIP. 19681010 199603 1 004</t>
  </si>
  <si>
    <t>Tindak lanjut yang diperlukan dalam Renja Perangkat Daerah Kabupaten berikutnya*): Masih melanjutakan program dan kegiatan sesuai dengan rencana yang sudah ditetapkan dan mengevaluasi setiap kegiatan sebagai bahan perbaikan.</t>
  </si>
  <si>
    <t>Realisasi Capaian Kinerja Renstra Perangkat Daerah sampai dengan Renja Perangkat Daerah Tahun Lalu (2020)</t>
  </si>
  <si>
    <t>Realisasi Kinerja dan Anggaran Renstra Perangkat Daerah s/d Tahun 2021</t>
  </si>
  <si>
    <t>Tingkat Capaian Kinerja dan Realisasi Anggaran Renstra Perangkat Daerah s/d Tahun 2021 (%)</t>
  </si>
  <si>
    <t>Program Penunjang Urusan Pemerintahan Daerah Kabupaten/Kota</t>
  </si>
  <si>
    <t>Penyusunan Dokumen Perencanaan Perangkat Daerah</t>
  </si>
  <si>
    <t>Evaluasi Kinerja Perangkat Daerah</t>
  </si>
  <si>
    <t>Administrasi Keuangan Perangkat Daerah</t>
  </si>
  <si>
    <t>Penyediaan Gaji dan Tunjangan ASN</t>
  </si>
  <si>
    <t>Koordinasi dan Penyusunan Laporan Keuangan Akhir Tahun SKPD</t>
  </si>
  <si>
    <t>Koordinasi dan Penyusunan Laporan Keuangan Bulanan/Triwulanan/Semesteran SKPD</t>
  </si>
  <si>
    <t>Penyusunan Pelaporan dan Analisis Prognosis Realisasi Anggaran</t>
  </si>
  <si>
    <t>Administrasi Umum Perangkat Daerah</t>
  </si>
  <si>
    <t>Penyediaan Komponen Instalasi Listrik/Penerangan Bangunan Kantor</t>
  </si>
  <si>
    <t>Penyediaan Peralatan dan Perlengkapan Kantor</t>
  </si>
  <si>
    <t>Penyediaan Bahan Logistik Kantor</t>
  </si>
  <si>
    <t>Penyediaan Barang Cetakan dan Penggandaan</t>
  </si>
  <si>
    <t>Penyediaan Bahan Bacaan dan Peraturan Perundang‑undangan</t>
  </si>
  <si>
    <t>Penyelenggaraan Rapat Koordinasi dan Konsultasi SKPD</t>
  </si>
  <si>
    <t>Penyediaan Jasa Penunjang Urusan Pemerintahan Daerah</t>
  </si>
  <si>
    <t>Penyediaan Jasa Surat Menyurat</t>
  </si>
  <si>
    <t>Penyediaan Jasa Komunikasi, Sumber Daya Air dan Listrik</t>
  </si>
  <si>
    <t>Penyediaan Jasa Pelayanan Umum Kantor</t>
  </si>
  <si>
    <t>Penyediaan Jasa Pemeliharaan, Biaya Pemeliharaan, Pajak dan Perizinan Kendaraan Dinas Operasional atau Lapangan</t>
  </si>
  <si>
    <t>Pemeliharaan Barang Milik Daerah Penunjang Urusan Pemerintahan Daerah</t>
  </si>
  <si>
    <t>Program Pemberdayaan Sosial</t>
  </si>
  <si>
    <t>Pengembangan Potensi Sumber Kesejahteraan Sosial Daerah Kabupaten/Kota</t>
  </si>
  <si>
    <t>Peningkatan Kemampuan Potensi Pekerja Sosial Masyarakat Kewenangan Kabupaten/Kota</t>
  </si>
  <si>
    <t>Peningkatan Kemampuan Potensi Tenaga Kesejahteraan Sosial Kecamatan Kewenangan Kabupaten/Kota</t>
  </si>
  <si>
    <t>Peningkatan Kemampuan Potensi Sumber Kesejahteraan Sosial Kelembagaan Masyarakat Kewenangan Kabupaten/Kota</t>
  </si>
  <si>
    <t>Peningkatan Kemampuan Sumber Daya Manusia dan Penguatan Lembaga Konsultasi Kesejahteraan Keluarga (LK3)</t>
  </si>
  <si>
    <t>Program Rehabilitasi Sosial</t>
  </si>
  <si>
    <t>Rehabilitasi Sosial Dasar Penyandang Disabilitas Terlantar, Anak Terlantar, Lanjut Usia Terlantar, serta Gelandangan Pengemis di Luar Panti Sosial</t>
  </si>
  <si>
    <t>Penyediaan Permakanan</t>
  </si>
  <si>
    <t>Pemberian Bimbingan Sosial kepada Keluarga Penyandang Disabilitas Terlantar, Anak Terlantar, Lanjut Usia Terlantar, serta Gelandangan Pengemis dan Masyarakat</t>
  </si>
  <si>
    <t>Pemberian Akses ke Layanan Pendidikan dan Kesehatan Dasar</t>
  </si>
  <si>
    <t>Rehabilitasi Sosial Penyandang Masalah Kesejahteraan Sosial (PMKS) Lainnya Bukan Korban HIV/AIDS dan NAPZA di Luar Panti Sosial</t>
  </si>
  <si>
    <t>Pemberian Layanan Kedaruratan</t>
  </si>
  <si>
    <t>Penyediaan Alat Bantu</t>
  </si>
  <si>
    <t>Pemberian Bimbingan Fisik, Mental, Spiritual, dan Sosial</t>
  </si>
  <si>
    <t>Pemberian Bimbingan Sosial kepada Keluarga Penyandang Masalah Kesejahteraan Sosial (PMKS) Lainnya Bukan Korban HIV/AIDS dan NAPZA</t>
  </si>
  <si>
    <t>Program Perlindungan Dan Jaminan Sosial</t>
  </si>
  <si>
    <t>Pemeliharaan Anak‑Anak Terlantar</t>
  </si>
  <si>
    <t>Penjangkauan Anak‑Anak Terlantar</t>
  </si>
  <si>
    <t>Rujukan Anak‑Anak Terlantar</t>
  </si>
  <si>
    <t>Pemantauan terhadap Pelaksanaan Pemeliharaan Anak Terlantar</t>
  </si>
  <si>
    <t>Pengelolaan Data Fakir Miskin Cakupan Daerah Kabupaten/Kota</t>
  </si>
  <si>
    <t>Pendataan Fakir Miskin Cakupan Daerah Kabupaten/Kota</t>
  </si>
  <si>
    <t>Program Penanganan Bencana</t>
  </si>
  <si>
    <t>Penyelenggaraan Pemberdayaan Masyarakat terhadap Kesiapsiagaan Bencana Kabupaten/Kota</t>
  </si>
  <si>
    <t>Koordinasi, Sosialisasi dan Pelaksanaan Kampung Siaga Bencana</t>
  </si>
  <si>
    <t>Program Pengelolaan Taman Makam Pahlawan</t>
  </si>
  <si>
    <t>Pemeliharaan Taman Makam Pahlawan Nasional Kabupaten/Kota</t>
  </si>
  <si>
    <t>Rehabilitasi Sarana dan Prasarana Taman Makam Pahlawan Nasional Kabupaten/Kota</t>
  </si>
  <si>
    <t xml:space="preserve">Laporan Keuangan Yang Memenuhi Aspek Kualitas </t>
  </si>
  <si>
    <t>Lap</t>
  </si>
  <si>
    <t>Target Kinerja dan Anggaran Renja Perangkat Daerah Tahun Berjalan (Tahun 2021) yang Dievaluasi</t>
  </si>
  <si>
    <t>Tingkat kepuasan pelayanan</t>
  </si>
  <si>
    <t>Org</t>
  </si>
  <si>
    <t>Lembaga</t>
  </si>
  <si>
    <t>Persentase Korban Bencana yang mendapatkan bantuan tanggap darurat korban bencana</t>
  </si>
  <si>
    <t>Lokasi</t>
  </si>
  <si>
    <t>Perencanaan, Pengangnggaran dan Evaluasi Kinerja Perangkat Daerah</t>
  </si>
  <si>
    <t>Jumlah Pekerja Sosial Masyarakat (PSM) yang memiliki kemampuan dalam menangani PMKS</t>
  </si>
  <si>
    <t>Jumlah Potensi Tenaga Kesejahteraan Sosial Kecamatan yang memiliki kemampuan dalam menangani PMKS</t>
  </si>
  <si>
    <t>Persentase Rehabilitasi Sosial Dasar</t>
  </si>
  <si>
    <t>Jumlah penerima manfaat penyediaan makanan</t>
  </si>
  <si>
    <t>Jumlah PMKS yang menerima bimbingan Sosial</t>
  </si>
  <si>
    <t>Jumlah penerima manfaat akses layanan pendidikan dan kesehatan dasar</t>
  </si>
  <si>
    <t>Jumlah Tuna Sosial yang mendapatkan layanan Rumah Singgah</t>
  </si>
  <si>
    <t>Jumlah penerima manfaat alat Bantu</t>
  </si>
  <si>
    <t>Jumlah tuna Sosial yang mendapatkan pelatihan dan Bimbingan Kewirausahaan</t>
  </si>
  <si>
    <t>Pencapaian SPM bidang Sosial Penanganan Bencana</t>
  </si>
  <si>
    <t>Dokumen perencanaan dan evaluasi kinerja Dissos yg berkualitas</t>
  </si>
  <si>
    <t>Jumlah Dokumen Perencanaan Kinerja Dissos yang berkualitas</t>
  </si>
  <si>
    <t>Jumlah Dokumen Evaluasi Kinerja Dissos yang berkualitas</t>
  </si>
  <si>
    <t>Pelayanan Administrasi Keuangan Sesuai Standar</t>
  </si>
  <si>
    <t>Jumlah PNS yang Menerima Gaji dan Tunjangan</t>
  </si>
  <si>
    <t>Jumlah Dokumen Laporan Akhir Tahun</t>
  </si>
  <si>
    <t>Laporan Keuangan sesuai Kabutuhan</t>
  </si>
  <si>
    <t>Persentase pelayanan administrasi umum sesuai kebutuhan</t>
  </si>
  <si>
    <t>Jumlah Komponen Instalasi Litrik/ Penerangan Bangunan Kantor sesuai Kebutuhan</t>
  </si>
  <si>
    <t>Jumlah Penyediaan Peralatan dan Perlengkapan Kantor sesuai Kebutuhan</t>
  </si>
  <si>
    <t>Jumlah Penyediaan Bahan Logistik Kantor sesuai Kebutuhan</t>
  </si>
  <si>
    <t>Jumlah Barang Cetakan dan Penggandaan sesuai Kebutuhan</t>
  </si>
  <si>
    <t>Jumlah Penyediaan bahan Bacaan dan Peraturan Perundang-undangan sesuai Kebutuhan</t>
  </si>
  <si>
    <t>Jumlah Rapat Koordinasi dan Konsultasi SKPD yang diikuti sesuai kebutuhan</t>
  </si>
  <si>
    <t>Persentase jasa penunjang urusan pemerintahan daerah sesuai kebutuhan</t>
  </si>
  <si>
    <t>Jumlah Penyediaan Jasa Surat Menyurat sesuai Kebutuhan</t>
  </si>
  <si>
    <t>Jumlah Penyediaan Jasa Komunikasi, Sumber Daya Air dan Listrik sesuai Kebutuhan</t>
  </si>
  <si>
    <t>Jumlah Penyediaan Jasa Pelayanan Umum Kantor sesuai Kebutuhan</t>
  </si>
  <si>
    <t>Jumlah Jasa Pemeliharaan, Biaya Pemeliharaan, Pajak, dan Perizinan Kendaraan Dinas Operasional atau Lapangan</t>
  </si>
  <si>
    <t>Jumlah Pemeliharaan/ Rehabilitasi Gedung Kantor dan Bangunan Lainnya</t>
  </si>
  <si>
    <t>Pemeliharaan/ Rehabilitasi Sarana dan Prasarana Gedung Kantor atau Bangunan Lainnya</t>
  </si>
  <si>
    <t>Orang</t>
  </si>
  <si>
    <t>Bulan</t>
  </si>
  <si>
    <t>Jumlah Pemeliharaan/ Rehabilitasi Sarana dan Prasarana Gedung Kantor atau Bangunan Lainnya</t>
  </si>
  <si>
    <t>Pemeliharaan/ Rehabilitasi Gedung Kantor dan Bangunan Lainnya</t>
  </si>
  <si>
    <t>91,16</t>
  </si>
  <si>
    <t xml:space="preserve"> </t>
  </si>
  <si>
    <t>Persentase Taman Makam Pahlawan Nasional Kabupaten yang dikelola dengan baik</t>
  </si>
  <si>
    <t>-</t>
  </si>
  <si>
    <t>Faktor pendorong keberhasilan pencapaian: Ketersediaan potensi sosial sangat mendukung terhadap pelaksanaan kegiatan dilapangan baik dalam kegiatan pendataan, monev dan pelaksanaan penyaluran bantuan sosial.</t>
  </si>
  <si>
    <t>Faktor penghambat pencapaian kinerja: Pembatasan Kegiatan karna adanya penerapan Protokol Kesehatan Covid-19 dalam pelaksanaan kegiatan yang melibatkan orang banyak membuat penjadwalan penyaluran bantuan sosial harus dipertimbangkan dengan baik sesuai situasi dan kondisi, update data untuk bantuan orang miskin masih secara manual sehingga memerlukan waktu yang lama serta penyesuaian dengan peraturan bupati terbaru terkait bantuan sosial.</t>
  </si>
  <si>
    <t>Tindak lanjut yang diperlukan dalam triwulan berikutnya*): Tetap menjalankan rencana kegiatan dengan menyesuaikan penerapan protokol Kesehatan dengan mengatur waktu dan tempat pelaksanaan, dan memaksimalkan Potensi dalam update data dan pelaksanaan kegiatan dilapangan</t>
  </si>
  <si>
    <t>Jumlah lembaga / organisasi sosial yang dibina dan aktif</t>
  </si>
  <si>
    <t>Jumlah Potensi Sarjana Pendamping Desa yang memiliki kemampuan dalam menangani PMKS</t>
  </si>
  <si>
    <t>Buah</t>
  </si>
  <si>
    <t>Jumlah Lembaga Konsultasi Kesejahteraan Keluarga Yang Mendapatkan Peningkatan Kemampuan SDM</t>
  </si>
  <si>
    <t>Persentase Potensi dan Sumber Kesejahteraan Sosial (PSKS) yang mengikuti Pengembangan Kompetensi</t>
  </si>
  <si>
    <t>Persentase Potensi dan Sumber Kesejahteraan Sosial (PSKS) yang memiliki keterampilan</t>
  </si>
  <si>
    <t>Persentase Disabilitas Anak Terlantar dan Perempuan Rawan Sosial Ekonomi Yang Mandiri</t>
  </si>
  <si>
    <t>Jumlah Tuna Sosial yang Mendapatkan Rujukan untuk Mengikuti Pelatihan Keterampilan</t>
  </si>
  <si>
    <t>Persentase Tuna Sosial  yang mendapatkan Rehabilitasi Sosial</t>
  </si>
  <si>
    <t>Persentase Tindak Lanjut Penyelesaian Kasus Anak</t>
  </si>
  <si>
    <t>Jumlah Anak Terlantar yang Mendapat Bantuan Sosial Sesuai dengan Ketentuan</t>
  </si>
  <si>
    <t>Jumlah Dokumen Verifikasi, Validasi, Monitoring, dan Evaluasi Bantuan Sosial Bagi Anak Terlantar</t>
  </si>
  <si>
    <t>Persentase Fakir Miskin yang Mendapatkan Bantuan Sosial</t>
  </si>
  <si>
    <t>Persentase Fakir Miskin yang Mandiri</t>
  </si>
  <si>
    <t>Jumlah Penerima Bantuan Usaha Ekonomi Produktif (UEP) sesuai dengan ketentuan</t>
  </si>
  <si>
    <t>Jumlah Keluarga Penerima Manfaat (KPM) yang memperoleh bantuan rehab rumah tidak layak huni</t>
  </si>
  <si>
    <t>Jumlah Keluarga Penerima Manfaat (KPM) yang mendapatkan bantuan beras sejahtera dari Daerah</t>
  </si>
  <si>
    <t>Jumlah Dokumen Pemutakhiran DTKS</t>
  </si>
  <si>
    <t>Jumlah Pemutakhiran DTKS yang Akurat dan Tepat Waktu</t>
  </si>
  <si>
    <t>Periode</t>
  </si>
  <si>
    <t>Persentase Taruna Siaga Bencana yang Berpartisipasi Aktif dalam Penanggulangan Bencana</t>
  </si>
  <si>
    <t>Persentase Fakir Miskin Yang Mandiri</t>
  </si>
  <si>
    <t>Jumlah Taman Makam Pahlawan yang direhabilitasi</t>
  </si>
  <si>
    <t>Jumlah Taman Makam Pahlawan yang dipelihara</t>
  </si>
  <si>
    <t>PERIODE PELAKSANAAN TRIWULAN IV TAHUN 2021</t>
  </si>
  <si>
    <t>Kandangan,           Desember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</si>
</sst>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_(* #,##0.00_);_(* \(#,##0.00\);_(* &quot;-&quot;??_);_(@_)"/>
    <numFmt numFmtId="166" formatCode="_(* #,##0_);_(* \(#,##0\);_(* &quot;-&quot;??_);_(@_)"/>
  </numFmts>
  <fonts count="17" x14ac:knownFonts="1">
    <font>
      <sz val="11"/>
      <color theme="1"/>
      <name val="Calibri"/>
      <family val="2"/>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u/>
      <sz val="12"/>
      <color theme="1"/>
      <name val="Arial"/>
      <family val="2"/>
    </font>
    <font>
      <b/>
      <sz val="12"/>
      <color indexed="81"/>
      <name val="Tahoma"/>
      <family val="2"/>
    </font>
    <font>
      <b/>
      <sz val="11"/>
      <color theme="1"/>
      <name val="Arial"/>
      <family val="2"/>
    </font>
    <font>
      <sz val="12"/>
      <color indexed="81"/>
      <name val="Tahoma"/>
      <family val="2"/>
    </font>
  </fonts>
  <fills count="7">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9" fillId="0" borderId="0"/>
  </cellStyleXfs>
  <cellXfs count="211">
    <xf numFmtId="0" fontId="0" fillId="0" borderId="0" xfId="0"/>
    <xf numFmtId="0" fontId="3" fillId="0" borderId="0" xfId="0" applyFont="1" applyFill="1"/>
    <xf numFmtId="0" fontId="4" fillId="0" borderId="0" xfId="0" applyFont="1" applyFill="1"/>
    <xf numFmtId="0" fontId="2" fillId="0" borderId="0" xfId="0" applyFont="1" applyFill="1" applyAlignment="1"/>
    <xf numFmtId="0" fontId="4" fillId="0" borderId="0" xfId="0" applyFont="1" applyFill="1" applyAlignment="1">
      <alignment horizontal="center"/>
    </xf>
    <xf numFmtId="0" fontId="6" fillId="2" borderId="15" xfId="0" applyFont="1" applyFill="1" applyBorder="1" applyAlignment="1">
      <alignment vertical="top" wrapText="1"/>
    </xf>
    <xf numFmtId="0" fontId="6" fillId="3" borderId="2" xfId="0" applyFont="1" applyFill="1" applyBorder="1" applyAlignment="1">
      <alignment horizontal="center"/>
    </xf>
    <xf numFmtId="0" fontId="4" fillId="3" borderId="0" xfId="0" applyFont="1" applyFill="1"/>
    <xf numFmtId="0" fontId="6" fillId="3" borderId="2" xfId="0" applyFont="1" applyFill="1" applyBorder="1" applyAlignment="1">
      <alignment horizontal="center" vertical="top" wrapText="1"/>
    </xf>
    <xf numFmtId="0" fontId="4" fillId="3" borderId="11" xfId="0" applyFont="1" applyFill="1" applyBorder="1"/>
    <xf numFmtId="0" fontId="6" fillId="3" borderId="2" xfId="0" applyFont="1" applyFill="1" applyBorder="1" applyAlignment="1">
      <alignment horizontal="center" vertical="center"/>
    </xf>
    <xf numFmtId="0" fontId="8" fillId="0" borderId="6" xfId="0" applyFont="1" applyFill="1" applyBorder="1"/>
    <xf numFmtId="0" fontId="8" fillId="0" borderId="6" xfId="0" applyFont="1" applyFill="1" applyBorder="1" applyAlignment="1">
      <alignment horizontal="center"/>
    </xf>
    <xf numFmtId="0" fontId="4" fillId="0" borderId="11" xfId="0" applyFont="1" applyFill="1" applyBorder="1"/>
    <xf numFmtId="0" fontId="8" fillId="0" borderId="11" xfId="0" applyFont="1" applyFill="1" applyBorder="1"/>
    <xf numFmtId="0" fontId="8" fillId="0" borderId="11" xfId="0" applyFont="1" applyFill="1" applyBorder="1" applyAlignment="1">
      <alignment horizontal="center"/>
    </xf>
    <xf numFmtId="0" fontId="8" fillId="0" borderId="15" xfId="0" applyFont="1" applyFill="1" applyBorder="1"/>
    <xf numFmtId="0" fontId="8" fillId="0" borderId="15" xfId="0" applyFont="1" applyFill="1" applyBorder="1" applyAlignment="1">
      <alignment horizontal="center"/>
    </xf>
    <xf numFmtId="0" fontId="6" fillId="0" borderId="11" xfId="0" applyFont="1" applyFill="1" applyBorder="1" applyAlignment="1">
      <alignment horizontal="center" vertical="top"/>
    </xf>
    <xf numFmtId="0" fontId="6" fillId="0" borderId="11" xfId="0" applyFont="1" applyFill="1" applyBorder="1" applyAlignment="1">
      <alignment horizontal="left" vertical="top" wrapText="1"/>
    </xf>
    <xf numFmtId="0" fontId="6" fillId="0" borderId="2" xfId="0" applyFont="1" applyFill="1" applyBorder="1" applyAlignment="1">
      <alignment horizontal="left" vertical="top" wrapText="1"/>
    </xf>
    <xf numFmtId="0" fontId="8" fillId="0" borderId="2" xfId="0" applyFont="1" applyFill="1" applyBorder="1" applyAlignment="1">
      <alignment horizontal="center" vertical="top" wrapText="1"/>
    </xf>
    <xf numFmtId="9" fontId="8" fillId="0" borderId="2" xfId="0" applyNumberFormat="1" applyFont="1" applyFill="1" applyBorder="1" applyAlignment="1">
      <alignment horizontal="center" vertical="top"/>
    </xf>
    <xf numFmtId="166" fontId="8" fillId="0" borderId="2" xfId="1" applyNumberFormat="1" applyFont="1" applyFill="1" applyBorder="1" applyAlignment="1">
      <alignment vertical="top"/>
    </xf>
    <xf numFmtId="166" fontId="8" fillId="0" borderId="2" xfId="1" quotePrefix="1" applyNumberFormat="1" applyFont="1" applyFill="1" applyBorder="1" applyAlignment="1">
      <alignment vertical="top"/>
    </xf>
    <xf numFmtId="0" fontId="6" fillId="0" borderId="11" xfId="0" applyFont="1" applyFill="1" applyBorder="1" applyAlignment="1">
      <alignment horizontal="center" vertical="top" wrapText="1"/>
    </xf>
    <xf numFmtId="166" fontId="8" fillId="0" borderId="0" xfId="1" quotePrefix="1" applyNumberFormat="1" applyFont="1" applyFill="1" applyBorder="1" applyAlignment="1">
      <alignment vertical="top"/>
    </xf>
    <xf numFmtId="0" fontId="8" fillId="0" borderId="2" xfId="0" applyFont="1" applyFill="1" applyBorder="1" applyAlignment="1">
      <alignment horizontal="left" vertical="top" wrapText="1"/>
    </xf>
    <xf numFmtId="0" fontId="8" fillId="0" borderId="11" xfId="0" applyFont="1" applyFill="1" applyBorder="1" applyAlignment="1">
      <alignment horizontal="center" vertical="top" wrapText="1"/>
    </xf>
    <xf numFmtId="0" fontId="8" fillId="4" borderId="2" xfId="0" applyFont="1" applyFill="1" applyBorder="1" applyAlignment="1">
      <alignment horizontal="left"/>
    </xf>
    <xf numFmtId="0" fontId="4" fillId="0" borderId="15" xfId="0" applyFont="1" applyFill="1" applyBorder="1"/>
    <xf numFmtId="0" fontId="8" fillId="0" borderId="0" xfId="0" applyFont="1" applyFill="1"/>
    <xf numFmtId="0" fontId="8" fillId="0" borderId="0" xfId="0" applyFont="1" applyFill="1" applyAlignment="1">
      <alignment horizontal="center"/>
    </xf>
    <xf numFmtId="0" fontId="8" fillId="0" borderId="2" xfId="0" applyFont="1" applyFill="1" applyBorder="1" applyAlignment="1">
      <alignment horizontal="center" vertical="top"/>
    </xf>
    <xf numFmtId="0" fontId="10" fillId="5" borderId="16" xfId="3" applyFont="1" applyFill="1" applyBorder="1" applyAlignment="1">
      <alignment horizontal="center" vertical="center" wrapText="1"/>
    </xf>
    <xf numFmtId="0" fontId="10" fillId="0" borderId="16" xfId="3" applyFont="1" applyFill="1" applyBorder="1" applyAlignment="1">
      <alignment horizontal="center" vertical="center" wrapText="1"/>
    </xf>
    <xf numFmtId="0" fontId="12" fillId="0" borderId="16" xfId="3" applyFont="1" applyFill="1" applyBorder="1" applyAlignment="1">
      <alignment horizontal="center" vertical="center" wrapText="1"/>
    </xf>
    <xf numFmtId="0" fontId="6" fillId="0" borderId="0" xfId="0" applyFont="1" applyFill="1" applyBorder="1"/>
    <xf numFmtId="0" fontId="8" fillId="0" borderId="0" xfId="0" applyFont="1" applyFill="1" applyBorder="1"/>
    <xf numFmtId="166" fontId="6" fillId="0" borderId="2" xfId="1" quotePrefix="1" applyNumberFormat="1" applyFont="1" applyFill="1" applyBorder="1" applyAlignment="1">
      <alignment vertical="top"/>
    </xf>
    <xf numFmtId="1" fontId="8" fillId="0" borderId="2"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9" fontId="6" fillId="0" borderId="2" xfId="0" applyNumberFormat="1" applyFont="1" applyFill="1" applyBorder="1" applyAlignment="1">
      <alignment horizontal="center" vertical="top"/>
    </xf>
    <xf numFmtId="2" fontId="6" fillId="0" borderId="2" xfId="0" applyNumberFormat="1" applyFont="1" applyFill="1" applyBorder="1" applyAlignment="1">
      <alignment horizontal="center" vertical="top" wrapText="1"/>
    </xf>
    <xf numFmtId="3" fontId="8" fillId="0" borderId="2" xfId="0" applyNumberFormat="1" applyFont="1" applyFill="1" applyBorder="1" applyAlignment="1">
      <alignment horizontal="center" vertical="top" wrapText="1"/>
    </xf>
    <xf numFmtId="9" fontId="8" fillId="0" borderId="2" xfId="0" applyNumberFormat="1" applyFont="1" applyFill="1" applyBorder="1" applyAlignment="1">
      <alignment horizontal="center" vertical="top" wrapText="1"/>
    </xf>
    <xf numFmtId="0" fontId="6" fillId="0" borderId="6" xfId="0" applyFont="1" applyFill="1" applyBorder="1" applyAlignment="1">
      <alignment horizontal="center" vertical="top"/>
    </xf>
    <xf numFmtId="0" fontId="6" fillId="0" borderId="6" xfId="0" applyFont="1" applyFill="1" applyBorder="1" applyAlignment="1">
      <alignment horizontal="left" vertical="top" wrapText="1"/>
    </xf>
    <xf numFmtId="164" fontId="8" fillId="0" borderId="2" xfId="2" applyFont="1" applyFill="1" applyBorder="1" applyAlignment="1">
      <alignment vertical="top"/>
    </xf>
    <xf numFmtId="2" fontId="8" fillId="0" borderId="2" xfId="0" applyNumberFormat="1" applyFont="1" applyFill="1" applyBorder="1" applyAlignment="1">
      <alignment horizontal="center" vertical="top"/>
    </xf>
    <xf numFmtId="164" fontId="8" fillId="0" borderId="2" xfId="0" applyNumberFormat="1" applyFont="1" applyFill="1" applyBorder="1" applyAlignment="1">
      <alignment horizontal="center" vertical="top"/>
    </xf>
    <xf numFmtId="1" fontId="8" fillId="0" borderId="2" xfId="2" applyNumberFormat="1" applyFont="1" applyFill="1" applyBorder="1" applyAlignment="1">
      <alignment horizontal="center" vertical="top"/>
    </xf>
    <xf numFmtId="1" fontId="8" fillId="0" borderId="2" xfId="2" applyNumberFormat="1" applyFont="1" applyFill="1" applyBorder="1" applyAlignment="1">
      <alignment horizontal="center" vertical="top" wrapText="1"/>
    </xf>
    <xf numFmtId="2"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xf>
    <xf numFmtId="1" fontId="6" fillId="0" borderId="2" xfId="0" applyNumberFormat="1" applyFont="1" applyFill="1" applyBorder="1" applyAlignment="1">
      <alignment horizontal="center" vertical="top"/>
    </xf>
    <xf numFmtId="1" fontId="8" fillId="0" borderId="2" xfId="0" applyNumberFormat="1" applyFont="1" applyFill="1" applyBorder="1" applyAlignment="1">
      <alignment horizontal="center" vertical="top"/>
    </xf>
    <xf numFmtId="164" fontId="6" fillId="0" borderId="2" xfId="0" applyNumberFormat="1" applyFont="1" applyFill="1" applyBorder="1" applyAlignment="1">
      <alignment horizontal="center" vertical="top"/>
    </xf>
    <xf numFmtId="2" fontId="8" fillId="4" borderId="12" xfId="0" applyNumberFormat="1" applyFont="1" applyFill="1" applyBorder="1" applyAlignment="1">
      <alignment horizontal="right"/>
    </xf>
    <xf numFmtId="2" fontId="8" fillId="4" borderId="13" xfId="0" applyNumberFormat="1" applyFont="1" applyFill="1" applyBorder="1" applyAlignment="1">
      <alignment horizontal="right"/>
    </xf>
    <xf numFmtId="0" fontId="8" fillId="4" borderId="13" xfId="0" applyFont="1" applyFill="1" applyBorder="1" applyAlignment="1">
      <alignment horizontal="center"/>
    </xf>
    <xf numFmtId="2" fontId="8" fillId="4" borderId="14" xfId="0" applyNumberFormat="1" applyFont="1" applyFill="1" applyBorder="1" applyAlignment="1">
      <alignment horizontal="right"/>
    </xf>
    <xf numFmtId="0" fontId="8" fillId="4" borderId="12" xfId="0" applyFont="1" applyFill="1" applyBorder="1"/>
    <xf numFmtId="0" fontId="8" fillId="4" borderId="13" xfId="0" applyFont="1" applyFill="1" applyBorder="1" applyAlignment="1">
      <alignment horizontal="left"/>
    </xf>
    <xf numFmtId="0" fontId="8" fillId="4" borderId="13" xfId="0" applyFont="1" applyFill="1" applyBorder="1"/>
    <xf numFmtId="0" fontId="8" fillId="4" borderId="14" xfId="0" applyFont="1" applyFill="1" applyBorder="1"/>
    <xf numFmtId="0" fontId="8" fillId="0" borderId="6" xfId="0" applyFont="1" applyFill="1" applyBorder="1" applyAlignment="1">
      <alignment horizontal="center"/>
    </xf>
    <xf numFmtId="0" fontId="8" fillId="0" borderId="11" xfId="0" applyFont="1" applyFill="1" applyBorder="1" applyAlignment="1">
      <alignment horizontal="center"/>
    </xf>
    <xf numFmtId="0" fontId="8" fillId="0" borderId="15" xfId="0" applyFont="1" applyFill="1" applyBorder="1" applyAlignment="1">
      <alignment horizontal="center"/>
    </xf>
    <xf numFmtId="0" fontId="4" fillId="3" borderId="15" xfId="0" applyFont="1" applyFill="1" applyBorder="1"/>
    <xf numFmtId="0" fontId="0" fillId="0" borderId="0" xfId="0" applyAlignment="1">
      <alignment wrapText="1"/>
    </xf>
    <xf numFmtId="0" fontId="0" fillId="0" borderId="0" xfId="0" applyAlignment="1">
      <alignment vertical="top"/>
    </xf>
    <xf numFmtId="0" fontId="0" fillId="0" borderId="0" xfId="0" applyAlignment="1">
      <alignment vertical="top" wrapText="1"/>
    </xf>
    <xf numFmtId="2" fontId="8" fillId="4" borderId="2" xfId="0" applyNumberFormat="1" applyFont="1" applyFill="1" applyBorder="1" applyAlignment="1">
      <alignment horizontal="center" vertical="center"/>
    </xf>
    <xf numFmtId="166" fontId="6" fillId="0" borderId="2" xfId="1" applyNumberFormat="1" applyFont="1" applyFill="1" applyBorder="1" applyAlignment="1">
      <alignment vertical="top"/>
    </xf>
    <xf numFmtId="3" fontId="6" fillId="0" borderId="0" xfId="0" applyNumberFormat="1" applyFont="1" applyFill="1" applyAlignment="1">
      <alignment horizontal="right" vertical="top" wrapText="1"/>
    </xf>
    <xf numFmtId="9" fontId="6" fillId="0" borderId="15" xfId="0" applyNumberFormat="1" applyFont="1" applyFill="1" applyBorder="1" applyAlignment="1">
      <alignment horizontal="center" vertical="top"/>
    </xf>
    <xf numFmtId="1" fontId="6" fillId="0" borderId="15"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xf>
    <xf numFmtId="9" fontId="6" fillId="0" borderId="2" xfId="0" applyNumberFormat="1" applyFont="1" applyFill="1" applyBorder="1" applyAlignment="1">
      <alignment horizontal="center" vertical="top" wrapText="1"/>
    </xf>
    <xf numFmtId="0" fontId="8" fillId="0" borderId="2" xfId="0" applyNumberFormat="1" applyFont="1" applyFill="1" applyBorder="1" applyAlignment="1">
      <alignment horizontal="center" vertical="top"/>
    </xf>
    <xf numFmtId="0" fontId="8"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wrapText="1"/>
    </xf>
    <xf numFmtId="0" fontId="6" fillId="0" borderId="2" xfId="0" applyFont="1" applyBorder="1" applyAlignment="1">
      <alignment vertical="top" wrapText="1"/>
    </xf>
    <xf numFmtId="3" fontId="6" fillId="0" borderId="0" xfId="0" applyNumberFormat="1" applyFont="1" applyFill="1" applyAlignment="1">
      <alignment vertical="top" wrapText="1"/>
    </xf>
    <xf numFmtId="1" fontId="6" fillId="0" borderId="2" xfId="0" applyNumberFormat="1" applyFont="1" applyFill="1" applyBorder="1" applyAlignment="1">
      <alignment horizontal="center" vertical="top" wrapText="1"/>
    </xf>
    <xf numFmtId="0" fontId="6" fillId="0" borderId="15" xfId="0" applyFont="1" applyFill="1" applyBorder="1" applyAlignment="1">
      <alignment horizontal="left" vertical="top" wrapText="1"/>
    </xf>
    <xf numFmtId="164" fontId="6" fillId="0" borderId="6" xfId="0" applyNumberFormat="1" applyFont="1" applyFill="1" applyBorder="1" applyAlignment="1">
      <alignment vertical="top"/>
    </xf>
    <xf numFmtId="2" fontId="6" fillId="0" borderId="6" xfId="0" applyNumberFormat="1" applyFont="1" applyFill="1" applyBorder="1" applyAlignment="1">
      <alignment horizontal="center" vertical="top"/>
    </xf>
    <xf numFmtId="164" fontId="6" fillId="0" borderId="2" xfId="0" applyNumberFormat="1" applyFont="1" applyFill="1" applyBorder="1" applyAlignment="1">
      <alignment vertical="top"/>
    </xf>
    <xf numFmtId="0" fontId="15" fillId="0" borderId="11" xfId="0" applyFont="1" applyFill="1" applyBorder="1"/>
    <xf numFmtId="0" fontId="15" fillId="0" borderId="0" xfId="0" applyFont="1" applyFill="1"/>
    <xf numFmtId="166" fontId="6" fillId="0" borderId="0" xfId="1" quotePrefix="1" applyNumberFormat="1" applyFont="1" applyFill="1" applyBorder="1" applyAlignment="1">
      <alignment vertical="top"/>
    </xf>
    <xf numFmtId="164" fontId="8" fillId="0" borderId="2" xfId="0" applyNumberFormat="1" applyFont="1" applyFill="1" applyBorder="1" applyAlignment="1">
      <alignment vertical="top"/>
    </xf>
    <xf numFmtId="3" fontId="8" fillId="0" borderId="2" xfId="0" applyNumberFormat="1" applyFont="1" applyFill="1" applyBorder="1" applyAlignment="1">
      <alignment horizontal="center" vertical="top"/>
    </xf>
    <xf numFmtId="0" fontId="8" fillId="0" borderId="2" xfId="2" applyNumberFormat="1" applyFont="1" applyFill="1" applyBorder="1" applyAlignment="1">
      <alignment horizontal="center" vertical="top"/>
    </xf>
    <xf numFmtId="0" fontId="8" fillId="0" borderId="2" xfId="2" applyNumberFormat="1" applyFont="1" applyFill="1" applyBorder="1" applyAlignment="1">
      <alignment horizontal="center" vertical="top" wrapText="1"/>
    </xf>
    <xf numFmtId="0" fontId="8" fillId="0" borderId="2" xfId="2" quotePrefix="1"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2" fontId="6" fillId="0" borderId="2" xfId="0" quotePrefix="1" applyNumberFormat="1" applyFont="1" applyFill="1" applyBorder="1" applyAlignment="1">
      <alignment horizontal="center" vertical="top" wrapText="1"/>
    </xf>
    <xf numFmtId="164" fontId="6" fillId="0" borderId="2" xfId="2" applyFont="1" applyFill="1" applyBorder="1" applyAlignment="1">
      <alignment vertical="top"/>
    </xf>
    <xf numFmtId="0" fontId="8" fillId="0" borderId="2" xfId="0" quotePrefix="1" applyFont="1" applyFill="1" applyBorder="1" applyAlignment="1">
      <alignment horizontal="center" vertical="top" wrapText="1"/>
    </xf>
    <xf numFmtId="166" fontId="8" fillId="0" borderId="2" xfId="1" applyNumberFormat="1" applyFont="1" applyFill="1" applyBorder="1" applyAlignment="1">
      <alignment horizontal="right" vertical="top"/>
    </xf>
    <xf numFmtId="166" fontId="8" fillId="6" borderId="6" xfId="1" applyNumberFormat="1" applyFont="1" applyFill="1" applyBorder="1" applyAlignment="1">
      <alignment vertical="top" wrapText="1"/>
    </xf>
    <xf numFmtId="0" fontId="8" fillId="0" borderId="14" xfId="0" applyFont="1" applyFill="1" applyBorder="1" applyAlignment="1">
      <alignment vertical="top" wrapText="1"/>
    </xf>
    <xf numFmtId="0" fontId="8" fillId="0" borderId="2" xfId="0" applyFont="1" applyFill="1" applyBorder="1" applyAlignment="1">
      <alignment vertical="top" wrapText="1"/>
    </xf>
    <xf numFmtId="1" fontId="8" fillId="0" borderId="2" xfId="0" quotePrefix="1" applyNumberFormat="1" applyFont="1" applyFill="1" applyBorder="1" applyAlignment="1">
      <alignment horizontal="center" vertical="top" wrapText="1"/>
    </xf>
    <xf numFmtId="165" fontId="6" fillId="0" borderId="2" xfId="1" quotePrefix="1" applyNumberFormat="1" applyFont="1" applyFill="1" applyBorder="1" applyAlignment="1">
      <alignment vertical="top"/>
    </xf>
    <xf numFmtId="165" fontId="8" fillId="0" borderId="2" xfId="1" applyNumberFormat="1" applyFont="1" applyFill="1" applyBorder="1" applyAlignment="1">
      <alignment vertical="top"/>
    </xf>
    <xf numFmtId="2" fontId="6" fillId="0" borderId="2" xfId="2" applyNumberFormat="1" applyFont="1" applyFill="1" applyBorder="1" applyAlignment="1">
      <alignment horizontal="center" vertical="top" wrapText="1"/>
    </xf>
    <xf numFmtId="2" fontId="6" fillId="0" borderId="2" xfId="2" applyNumberFormat="1" applyFont="1" applyFill="1" applyBorder="1" applyAlignment="1">
      <alignment horizontal="center" vertical="top"/>
    </xf>
    <xf numFmtId="164" fontId="8" fillId="0" borderId="6" xfId="2" applyFont="1" applyFill="1" applyBorder="1" applyAlignment="1">
      <alignment vertical="top"/>
    </xf>
    <xf numFmtId="164" fontId="8" fillId="0" borderId="15" xfId="2" applyFont="1" applyFill="1" applyBorder="1" applyAlignment="1">
      <alignment vertical="top"/>
    </xf>
    <xf numFmtId="166" fontId="8" fillId="0" borderId="6" xfId="1" quotePrefix="1" applyNumberFormat="1" applyFont="1" applyFill="1" applyBorder="1" applyAlignment="1">
      <alignment vertical="top"/>
    </xf>
    <xf numFmtId="166" fontId="8" fillId="0" borderId="15" xfId="1" quotePrefix="1" applyNumberFormat="1" applyFont="1" applyFill="1" applyBorder="1" applyAlignment="1">
      <alignment vertical="top"/>
    </xf>
    <xf numFmtId="164" fontId="8" fillId="0" borderId="6" xfId="0" applyNumberFormat="1" applyFont="1" applyFill="1" applyBorder="1" applyAlignment="1">
      <alignment horizontal="center" vertical="top"/>
    </xf>
    <xf numFmtId="164" fontId="8" fillId="0" borderId="15" xfId="0" applyNumberFormat="1" applyFont="1" applyFill="1" applyBorder="1" applyAlignment="1">
      <alignment horizontal="center" vertical="top"/>
    </xf>
    <xf numFmtId="2" fontId="8" fillId="0" borderId="6" xfId="0" applyNumberFormat="1" applyFont="1" applyFill="1" applyBorder="1" applyAlignment="1">
      <alignment horizontal="center" vertical="top"/>
    </xf>
    <xf numFmtId="2" fontId="8" fillId="0" borderId="15" xfId="0" applyNumberFormat="1" applyFont="1" applyFill="1" applyBorder="1" applyAlignment="1">
      <alignment horizontal="center" vertical="top"/>
    </xf>
    <xf numFmtId="0" fontId="8" fillId="0" borderId="6" xfId="0" applyFont="1" applyFill="1" applyBorder="1" applyAlignment="1">
      <alignment horizontal="center" vertical="top"/>
    </xf>
    <xf numFmtId="0" fontId="8" fillId="0" borderId="15" xfId="0" applyFont="1" applyFill="1" applyBorder="1" applyAlignment="1">
      <alignment horizontal="center" vertical="top"/>
    </xf>
    <xf numFmtId="164" fontId="8" fillId="0" borderId="6" xfId="0" applyNumberFormat="1" applyFont="1" applyFill="1" applyBorder="1" applyAlignment="1">
      <alignment vertical="top"/>
    </xf>
    <xf numFmtId="164" fontId="8" fillId="0" borderId="15" xfId="0" applyNumberFormat="1" applyFont="1" applyFill="1" applyBorder="1" applyAlignment="1">
      <alignment vertical="top"/>
    </xf>
    <xf numFmtId="0" fontId="8" fillId="0" borderId="6"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5" xfId="0" applyFont="1" applyFill="1" applyBorder="1" applyAlignment="1">
      <alignment horizontal="left" vertical="top" wrapText="1"/>
    </xf>
    <xf numFmtId="164" fontId="8" fillId="0" borderId="11" xfId="2" applyFont="1" applyFill="1" applyBorder="1" applyAlignment="1">
      <alignment vertical="top"/>
    </xf>
    <xf numFmtId="166" fontId="8" fillId="0" borderId="15" xfId="1" applyNumberFormat="1" applyFont="1" applyFill="1" applyBorder="1" applyAlignment="1">
      <alignment vertical="top"/>
    </xf>
    <xf numFmtId="166" fontId="8" fillId="0" borderId="11" xfId="1" quotePrefix="1" applyNumberFormat="1" applyFont="1" applyFill="1" applyBorder="1" applyAlignment="1">
      <alignment vertical="top"/>
    </xf>
    <xf numFmtId="164" fontId="8" fillId="0" borderId="11" xfId="0" applyNumberFormat="1" applyFont="1" applyFill="1" applyBorder="1" applyAlignment="1">
      <alignment horizontal="center" vertical="top"/>
    </xf>
    <xf numFmtId="164" fontId="8" fillId="0" borderId="11" xfId="0" applyNumberFormat="1" applyFont="1" applyFill="1" applyBorder="1" applyAlignment="1">
      <alignment vertical="top"/>
    </xf>
    <xf numFmtId="2" fontId="8" fillId="0" borderId="11" xfId="0" applyNumberFormat="1" applyFont="1" applyFill="1" applyBorder="1" applyAlignment="1">
      <alignment horizontal="center" vertical="top"/>
    </xf>
    <xf numFmtId="166" fontId="8" fillId="0" borderId="6" xfId="1" applyNumberFormat="1" applyFont="1" applyFill="1" applyBorder="1" applyAlignment="1">
      <alignment vertical="top"/>
    </xf>
    <xf numFmtId="3" fontId="8" fillId="0" borderId="2" xfId="2" applyNumberFormat="1" applyFont="1" applyFill="1" applyBorder="1" applyAlignment="1">
      <alignment horizontal="center" vertical="top"/>
    </xf>
    <xf numFmtId="166" fontId="8" fillId="0" borderId="11" xfId="1" applyNumberFormat="1" applyFont="1" applyFill="1" applyBorder="1" applyAlignment="1">
      <alignment vertical="top"/>
    </xf>
    <xf numFmtId="166" fontId="6" fillId="0" borderId="6" xfId="1" quotePrefix="1" applyNumberFormat="1" applyFont="1" applyFill="1" applyBorder="1" applyAlignment="1">
      <alignment vertical="top"/>
    </xf>
    <xf numFmtId="164" fontId="6" fillId="0" borderId="6" xfId="0" applyNumberFormat="1" applyFont="1" applyFill="1" applyBorder="1" applyAlignment="1">
      <alignment horizontal="center" vertical="top"/>
    </xf>
    <xf numFmtId="164" fontId="6" fillId="0" borderId="15" xfId="2" applyFont="1" applyFill="1" applyBorder="1" applyAlignment="1">
      <alignment vertical="top"/>
    </xf>
    <xf numFmtId="166" fontId="6" fillId="0" borderId="15" xfId="1" quotePrefix="1" applyNumberFormat="1" applyFont="1" applyFill="1" applyBorder="1" applyAlignment="1">
      <alignment vertical="top"/>
    </xf>
    <xf numFmtId="164" fontId="6" fillId="0" borderId="15" xfId="0" applyNumberFormat="1" applyFont="1" applyFill="1" applyBorder="1" applyAlignment="1">
      <alignment horizontal="center" vertical="top"/>
    </xf>
    <xf numFmtId="164" fontId="6" fillId="0" borderId="15" xfId="0" applyNumberFormat="1" applyFont="1" applyFill="1" applyBorder="1" applyAlignment="1">
      <alignment vertical="top"/>
    </xf>
    <xf numFmtId="1" fontId="6" fillId="0" borderId="15" xfId="0" applyNumberFormat="1" applyFont="1" applyFill="1" applyBorder="1" applyAlignment="1">
      <alignment horizontal="center" vertical="top"/>
    </xf>
    <xf numFmtId="0" fontId="6" fillId="0" borderId="15" xfId="0" applyFont="1" applyFill="1" applyBorder="1" applyAlignment="1">
      <alignment horizontal="center" vertical="top"/>
    </xf>
    <xf numFmtId="0" fontId="5" fillId="0" borderId="1" xfId="0" applyFont="1" applyFill="1" applyBorder="1" applyAlignment="1">
      <alignment horizontal="left"/>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2" fillId="0" borderId="0" xfId="0" applyFont="1" applyFill="1" applyAlignment="1">
      <alignment horizontal="center"/>
    </xf>
    <xf numFmtId="0" fontId="2" fillId="0" borderId="0" xfId="0" applyFont="1" applyFill="1" applyAlignment="1">
      <alignment horizontal="center" vertical="top"/>
    </xf>
    <xf numFmtId="0" fontId="5" fillId="0" borderId="0" xfId="0" applyFont="1" applyFill="1" applyAlignment="1">
      <alignment horizontal="left" vertical="top"/>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0" fontId="6" fillId="3" borderId="14" xfId="0" applyFont="1" applyFill="1" applyBorder="1" applyAlignment="1">
      <alignment horizontal="center" vertical="top"/>
    </xf>
    <xf numFmtId="0" fontId="6" fillId="3" borderId="2" xfId="0" applyFont="1" applyFill="1" applyBorder="1" applyAlignment="1">
      <alignment horizontal="center" vertical="center"/>
    </xf>
    <xf numFmtId="0" fontId="8" fillId="4" borderId="2" xfId="0" applyFont="1" applyFill="1" applyBorder="1" applyAlignment="1">
      <alignment horizontal="left" vertical="top"/>
    </xf>
    <xf numFmtId="0" fontId="8" fillId="0" borderId="6" xfId="0" applyFont="1" applyFill="1" applyBorder="1" applyAlignment="1">
      <alignment horizontal="center" wrapText="1"/>
    </xf>
    <xf numFmtId="0" fontId="8" fillId="0" borderId="11" xfId="0" applyFont="1" applyFill="1" applyBorder="1" applyAlignment="1">
      <alignment horizontal="center" wrapText="1"/>
    </xf>
    <xf numFmtId="0" fontId="8" fillId="0" borderId="15" xfId="0" applyFont="1" applyFill="1" applyBorder="1" applyAlignment="1">
      <alignment horizontal="center" wrapText="1"/>
    </xf>
    <xf numFmtId="0" fontId="8" fillId="0" borderId="3" xfId="0" applyFont="1" applyFill="1" applyBorder="1" applyAlignment="1">
      <alignment horizontal="center" wrapText="1"/>
    </xf>
    <xf numFmtId="0" fontId="8" fillId="0" borderId="5"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10" xfId="0" applyFont="1" applyFill="1" applyBorder="1" applyAlignment="1">
      <alignment horizontal="center" wrapText="1"/>
    </xf>
    <xf numFmtId="0" fontId="8" fillId="0" borderId="6" xfId="0" applyFont="1" applyFill="1" applyBorder="1" applyAlignment="1">
      <alignment horizontal="center"/>
    </xf>
    <xf numFmtId="0" fontId="8" fillId="0" borderId="11" xfId="0" applyFont="1" applyFill="1" applyBorder="1" applyAlignment="1">
      <alignment horizontal="center"/>
    </xf>
    <xf numFmtId="0" fontId="8" fillId="0" borderId="15" xfId="0" applyFont="1" applyFill="1" applyBorder="1" applyAlignment="1">
      <alignment horizontal="center"/>
    </xf>
    <xf numFmtId="0" fontId="8" fillId="0" borderId="6" xfId="0"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8" fillId="4" borderId="12" xfId="0" applyFont="1" applyFill="1" applyBorder="1" applyAlignment="1">
      <alignment horizontal="right"/>
    </xf>
    <xf numFmtId="0" fontId="8" fillId="4" borderId="13" xfId="0" applyFont="1" applyFill="1" applyBorder="1" applyAlignment="1">
      <alignment horizontal="right"/>
    </xf>
    <xf numFmtId="0" fontId="8" fillId="4" borderId="14" xfId="0" applyFont="1" applyFill="1" applyBorder="1" applyAlignment="1">
      <alignment horizontal="right"/>
    </xf>
    <xf numFmtId="0" fontId="6" fillId="3" borderId="11" xfId="0" applyFont="1" applyFill="1" applyBorder="1" applyAlignment="1">
      <alignment horizontal="center" vertical="center"/>
    </xf>
    <xf numFmtId="0" fontId="8" fillId="0" borderId="0" xfId="0" applyFont="1" applyFill="1" applyAlignment="1">
      <alignment horizontal="center"/>
    </xf>
    <xf numFmtId="0" fontId="13" fillId="0" borderId="0" xfId="0" applyFont="1" applyFill="1" applyAlignment="1">
      <alignment horizontal="center"/>
    </xf>
    <xf numFmtId="0" fontId="8" fillId="0" borderId="0" xfId="0" applyFont="1" applyFill="1" applyAlignment="1">
      <alignment horizontal="center" vertical="top"/>
    </xf>
  </cellXfs>
  <cellStyles count="4">
    <cellStyle name="Comma" xfId="1" builtinId="3"/>
    <cellStyle name="Comma [0]" xfId="2" builtinId="6"/>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217715</xdr:colOff>
      <xdr:row>96</xdr:row>
      <xdr:rowOff>88446</xdr:rowOff>
    </xdr:from>
    <xdr:to>
      <xdr:col>22</xdr:col>
      <xdr:colOff>542443</xdr:colOff>
      <xdr:row>109</xdr:row>
      <xdr:rowOff>37044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573501" y="90072482"/>
          <a:ext cx="2597121" cy="22482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S92"/>
  <sheetViews>
    <sheetView tabSelected="1" showRuler="0" view="pageBreakPreview" topLeftCell="C1" zoomScale="70" zoomScaleNormal="40" zoomScaleSheetLayoutView="70" zoomScalePageLayoutView="55" workbookViewId="0">
      <selection activeCell="AD75" sqref="AD75"/>
    </sheetView>
  </sheetViews>
  <sheetFormatPr defaultColWidth="9.140625" defaultRowHeight="14.25" x14ac:dyDescent="0.2"/>
  <cols>
    <col min="1" max="1" width="6.42578125" style="2" customWidth="1"/>
    <col min="2" max="2" width="18" style="2" customWidth="1"/>
    <col min="3" max="3" width="18.42578125" style="2" customWidth="1"/>
    <col min="4" max="4" width="18.140625" style="2" customWidth="1"/>
    <col min="5" max="5" width="9" style="2" customWidth="1"/>
    <col min="6" max="6" width="8.7109375" style="2" customWidth="1"/>
    <col min="7" max="7" width="18.140625" style="2" customWidth="1"/>
    <col min="8" max="8" width="9.42578125" style="2" customWidth="1"/>
    <col min="9" max="9" width="8.140625" style="2" customWidth="1"/>
    <col min="10" max="10" width="21.42578125" style="2" customWidth="1"/>
    <col min="11" max="11" width="9" style="2" customWidth="1"/>
    <col min="12" max="12" width="7.5703125" style="2" customWidth="1"/>
    <col min="13" max="13" width="20.85546875" style="2" customWidth="1"/>
    <col min="14" max="14" width="9.42578125" style="2" customWidth="1"/>
    <col min="15" max="15" width="8" style="2" customWidth="1"/>
    <col min="16" max="16" width="18.28515625" style="2" customWidth="1"/>
    <col min="17" max="17" width="9.7109375" style="2" customWidth="1"/>
    <col min="18" max="18" width="7.7109375" style="2" customWidth="1"/>
    <col min="19" max="19" width="18.7109375" style="2" customWidth="1"/>
    <col min="20" max="20" width="7.7109375" style="2" customWidth="1"/>
    <col min="21" max="21" width="8" style="2" customWidth="1"/>
    <col min="22" max="22" width="18.28515625" style="2" customWidth="1"/>
    <col min="23" max="23" width="9" style="2" customWidth="1"/>
    <col min="24" max="24" width="7.5703125" style="2" customWidth="1"/>
    <col min="25" max="25" width="17.85546875" style="2" customWidth="1"/>
    <col min="26" max="26" width="9.28515625" style="2" customWidth="1"/>
    <col min="27" max="27" width="5.5703125" style="4" customWidth="1"/>
    <col min="28" max="28" width="8" style="2" customWidth="1"/>
    <col min="29" max="29" width="5.5703125" style="4" customWidth="1"/>
    <col min="30" max="30" width="21.7109375" style="2" bestFit="1" customWidth="1"/>
    <col min="31" max="31" width="9" style="2" bestFit="1" customWidth="1"/>
    <col min="32" max="32" width="5.5703125" style="4" customWidth="1"/>
    <col min="33" max="33" width="9.5703125" style="2" customWidth="1"/>
    <col min="34" max="34" width="5.5703125" style="4" customWidth="1"/>
    <col min="35" max="35" width="16.7109375" style="2" customWidth="1"/>
    <col min="36" max="36" width="8" style="2" customWidth="1"/>
    <col min="37" max="37" width="5.5703125" style="4" customWidth="1"/>
    <col min="38" max="38" width="10.85546875" style="2" customWidth="1"/>
    <col min="39" max="39" width="15" style="2" customWidth="1"/>
    <col min="40" max="40" width="9.140625" style="2"/>
    <col min="41" max="45" width="19.5703125" style="2" customWidth="1"/>
    <col min="46" max="16384" width="9.140625" style="2"/>
  </cols>
  <sheetData>
    <row r="1" spans="1:45" ht="23.25" x14ac:dyDescent="0.35">
      <c r="A1" s="147"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
    </row>
    <row r="2" spans="1:45" ht="23.25" x14ac:dyDescent="0.35">
      <c r="A2" s="147" t="s">
        <v>1</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3"/>
    </row>
    <row r="3" spans="1:45" ht="23.25" x14ac:dyDescent="0.35">
      <c r="A3" s="147" t="s">
        <v>58</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3"/>
    </row>
    <row r="4" spans="1:45" ht="23.25" x14ac:dyDescent="0.35">
      <c r="A4" s="148" t="s">
        <v>203</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
    </row>
    <row r="5" spans="1:45" ht="18" x14ac:dyDescent="0.2">
      <c r="A5" s="149" t="s">
        <v>2</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1:45" ht="18" x14ac:dyDescent="0.25">
      <c r="A6" s="143" t="s">
        <v>58</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row>
    <row r="7" spans="1:45" ht="81" customHeight="1" x14ac:dyDescent="0.2">
      <c r="A7" s="150" t="s">
        <v>3</v>
      </c>
      <c r="B7" s="150" t="s">
        <v>4</v>
      </c>
      <c r="C7" s="151" t="s">
        <v>5</v>
      </c>
      <c r="D7" s="151" t="s">
        <v>6</v>
      </c>
      <c r="E7" s="152" t="s">
        <v>7</v>
      </c>
      <c r="F7" s="153"/>
      <c r="G7" s="154"/>
      <c r="H7" s="152" t="s">
        <v>75</v>
      </c>
      <c r="I7" s="153"/>
      <c r="J7" s="154"/>
      <c r="K7" s="152" t="s">
        <v>130</v>
      </c>
      <c r="L7" s="153"/>
      <c r="M7" s="153"/>
      <c r="N7" s="152" t="s">
        <v>8</v>
      </c>
      <c r="O7" s="153"/>
      <c r="P7" s="153"/>
      <c r="Q7" s="153"/>
      <c r="R7" s="153"/>
      <c r="S7" s="153"/>
      <c r="T7" s="153"/>
      <c r="U7" s="153"/>
      <c r="V7" s="153"/>
      <c r="W7" s="153"/>
      <c r="X7" s="153"/>
      <c r="Y7" s="154"/>
      <c r="Z7" s="152" t="s">
        <v>63</v>
      </c>
      <c r="AA7" s="153"/>
      <c r="AB7" s="153"/>
      <c r="AC7" s="153"/>
      <c r="AD7" s="153"/>
      <c r="AE7" s="153"/>
      <c r="AF7" s="154"/>
      <c r="AG7" s="152" t="s">
        <v>76</v>
      </c>
      <c r="AH7" s="153"/>
      <c r="AI7" s="154"/>
      <c r="AJ7" s="152" t="s">
        <v>77</v>
      </c>
      <c r="AK7" s="153"/>
      <c r="AL7" s="153"/>
      <c r="AM7" s="164" t="s">
        <v>9</v>
      </c>
      <c r="AO7" s="4"/>
      <c r="AP7" s="4"/>
      <c r="AQ7" s="4"/>
      <c r="AR7" s="4"/>
      <c r="AS7" s="4"/>
    </row>
    <row r="8" spans="1:45" ht="18" customHeight="1" x14ac:dyDescent="0.2">
      <c r="A8" s="150"/>
      <c r="B8" s="150"/>
      <c r="C8" s="151"/>
      <c r="D8" s="151"/>
      <c r="E8" s="155"/>
      <c r="F8" s="156"/>
      <c r="G8" s="157"/>
      <c r="H8" s="155"/>
      <c r="I8" s="156"/>
      <c r="J8" s="157"/>
      <c r="K8" s="158"/>
      <c r="L8" s="159"/>
      <c r="M8" s="159"/>
      <c r="N8" s="158"/>
      <c r="O8" s="159"/>
      <c r="P8" s="159"/>
      <c r="Q8" s="159"/>
      <c r="R8" s="159"/>
      <c r="S8" s="159"/>
      <c r="T8" s="159"/>
      <c r="U8" s="159"/>
      <c r="V8" s="159"/>
      <c r="W8" s="159"/>
      <c r="X8" s="159"/>
      <c r="Y8" s="160"/>
      <c r="Z8" s="158"/>
      <c r="AA8" s="159"/>
      <c r="AB8" s="159"/>
      <c r="AC8" s="159"/>
      <c r="AD8" s="159"/>
      <c r="AE8" s="159"/>
      <c r="AF8" s="160"/>
      <c r="AG8" s="158"/>
      <c r="AH8" s="159"/>
      <c r="AI8" s="160"/>
      <c r="AJ8" s="158"/>
      <c r="AK8" s="159"/>
      <c r="AL8" s="159"/>
      <c r="AM8" s="165"/>
    </row>
    <row r="9" spans="1:45" ht="15.75" customHeight="1" x14ac:dyDescent="0.2">
      <c r="A9" s="150"/>
      <c r="B9" s="150"/>
      <c r="C9" s="151"/>
      <c r="D9" s="151"/>
      <c r="E9" s="158"/>
      <c r="F9" s="159"/>
      <c r="G9" s="160"/>
      <c r="H9" s="158"/>
      <c r="I9" s="159"/>
      <c r="J9" s="160"/>
      <c r="K9" s="166">
        <v>2021</v>
      </c>
      <c r="L9" s="167"/>
      <c r="M9" s="168"/>
      <c r="N9" s="144" t="s">
        <v>10</v>
      </c>
      <c r="O9" s="145"/>
      <c r="P9" s="146"/>
      <c r="Q9" s="144" t="s">
        <v>11</v>
      </c>
      <c r="R9" s="145"/>
      <c r="S9" s="146"/>
      <c r="T9" s="144" t="s">
        <v>12</v>
      </c>
      <c r="U9" s="145"/>
      <c r="V9" s="146"/>
      <c r="W9" s="144" t="s">
        <v>13</v>
      </c>
      <c r="X9" s="145"/>
      <c r="Y9" s="146"/>
      <c r="Z9" s="144">
        <v>2021</v>
      </c>
      <c r="AA9" s="145"/>
      <c r="AB9" s="145"/>
      <c r="AC9" s="145"/>
      <c r="AD9" s="145"/>
      <c r="AE9" s="145"/>
      <c r="AF9" s="146"/>
      <c r="AG9" s="144">
        <v>2021</v>
      </c>
      <c r="AH9" s="145"/>
      <c r="AI9" s="146"/>
      <c r="AJ9" s="144">
        <v>2021</v>
      </c>
      <c r="AK9" s="145"/>
      <c r="AL9" s="146"/>
      <c r="AM9" s="5"/>
    </row>
    <row r="10" spans="1:45" s="7" customFormat="1" ht="15.75" x14ac:dyDescent="0.25">
      <c r="A10" s="169">
        <v>1</v>
      </c>
      <c r="B10" s="169">
        <v>2</v>
      </c>
      <c r="C10" s="169">
        <v>3</v>
      </c>
      <c r="D10" s="169">
        <v>4</v>
      </c>
      <c r="E10" s="161">
        <v>5</v>
      </c>
      <c r="F10" s="162"/>
      <c r="G10" s="163"/>
      <c r="H10" s="161">
        <v>6</v>
      </c>
      <c r="I10" s="162"/>
      <c r="J10" s="163"/>
      <c r="K10" s="178">
        <v>7</v>
      </c>
      <c r="L10" s="179"/>
      <c r="M10" s="180"/>
      <c r="N10" s="178">
        <v>8</v>
      </c>
      <c r="O10" s="179"/>
      <c r="P10" s="180"/>
      <c r="Q10" s="178">
        <v>9</v>
      </c>
      <c r="R10" s="179"/>
      <c r="S10" s="180"/>
      <c r="T10" s="178">
        <v>10</v>
      </c>
      <c r="U10" s="179"/>
      <c r="V10" s="180"/>
      <c r="W10" s="178">
        <v>11</v>
      </c>
      <c r="X10" s="179"/>
      <c r="Y10" s="180"/>
      <c r="Z10" s="175">
        <v>12</v>
      </c>
      <c r="AA10" s="176"/>
      <c r="AB10" s="176"/>
      <c r="AC10" s="176"/>
      <c r="AD10" s="176"/>
      <c r="AE10" s="176"/>
      <c r="AF10" s="177"/>
      <c r="AG10" s="175">
        <v>13</v>
      </c>
      <c r="AH10" s="176"/>
      <c r="AI10" s="177"/>
      <c r="AJ10" s="175">
        <v>14</v>
      </c>
      <c r="AK10" s="176"/>
      <c r="AL10" s="177"/>
      <c r="AM10" s="6">
        <v>15</v>
      </c>
    </row>
    <row r="11" spans="1:45" s="7" customFormat="1" ht="87" customHeight="1" x14ac:dyDescent="0.2">
      <c r="A11" s="207"/>
      <c r="B11" s="207"/>
      <c r="C11" s="207"/>
      <c r="D11" s="207"/>
      <c r="E11" s="171" t="s">
        <v>14</v>
      </c>
      <c r="F11" s="172"/>
      <c r="G11" s="170" t="s">
        <v>15</v>
      </c>
      <c r="H11" s="171" t="s">
        <v>14</v>
      </c>
      <c r="I11" s="172"/>
      <c r="J11" s="170" t="s">
        <v>15</v>
      </c>
      <c r="K11" s="171" t="s">
        <v>14</v>
      </c>
      <c r="L11" s="172"/>
      <c r="M11" s="169" t="s">
        <v>15</v>
      </c>
      <c r="N11" s="171" t="s">
        <v>14</v>
      </c>
      <c r="O11" s="172"/>
      <c r="P11" s="169" t="s">
        <v>15</v>
      </c>
      <c r="Q11" s="171" t="s">
        <v>14</v>
      </c>
      <c r="R11" s="172"/>
      <c r="S11" s="169" t="s">
        <v>15</v>
      </c>
      <c r="T11" s="171" t="s">
        <v>14</v>
      </c>
      <c r="U11" s="172"/>
      <c r="V11" s="169" t="s">
        <v>15</v>
      </c>
      <c r="W11" s="171" t="s">
        <v>14</v>
      </c>
      <c r="X11" s="172"/>
      <c r="Y11" s="169" t="s">
        <v>15</v>
      </c>
      <c r="Z11" s="161" t="s">
        <v>16</v>
      </c>
      <c r="AA11" s="163"/>
      <c r="AB11" s="161" t="s">
        <v>61</v>
      </c>
      <c r="AC11" s="163"/>
      <c r="AD11" s="8" t="s">
        <v>17</v>
      </c>
      <c r="AE11" s="161" t="s">
        <v>62</v>
      </c>
      <c r="AF11" s="163"/>
      <c r="AG11" s="161" t="s">
        <v>18</v>
      </c>
      <c r="AH11" s="163"/>
      <c r="AI11" s="8" t="s">
        <v>19</v>
      </c>
      <c r="AJ11" s="161" t="s">
        <v>20</v>
      </c>
      <c r="AK11" s="163"/>
      <c r="AL11" s="8" t="s">
        <v>21</v>
      </c>
      <c r="AM11" s="9"/>
    </row>
    <row r="12" spans="1:45" s="7" customFormat="1" ht="15.75" x14ac:dyDescent="0.2">
      <c r="A12" s="170"/>
      <c r="B12" s="170"/>
      <c r="C12" s="170"/>
      <c r="D12" s="170"/>
      <c r="E12" s="173"/>
      <c r="F12" s="174"/>
      <c r="G12" s="181"/>
      <c r="H12" s="173"/>
      <c r="I12" s="174"/>
      <c r="J12" s="181"/>
      <c r="K12" s="173"/>
      <c r="L12" s="174"/>
      <c r="M12" s="170"/>
      <c r="N12" s="173"/>
      <c r="O12" s="174"/>
      <c r="P12" s="170"/>
      <c r="Q12" s="173"/>
      <c r="R12" s="174"/>
      <c r="S12" s="170"/>
      <c r="T12" s="173"/>
      <c r="U12" s="174"/>
      <c r="V12" s="170"/>
      <c r="W12" s="173"/>
      <c r="X12" s="174"/>
      <c r="Y12" s="170"/>
      <c r="Z12" s="173" t="s">
        <v>14</v>
      </c>
      <c r="AA12" s="174"/>
      <c r="AB12" s="173" t="s">
        <v>14</v>
      </c>
      <c r="AC12" s="174"/>
      <c r="AD12" s="10" t="s">
        <v>15</v>
      </c>
      <c r="AE12" s="173" t="s">
        <v>15</v>
      </c>
      <c r="AF12" s="174"/>
      <c r="AG12" s="173" t="s">
        <v>14</v>
      </c>
      <c r="AH12" s="174"/>
      <c r="AI12" s="10" t="s">
        <v>15</v>
      </c>
      <c r="AJ12" s="173" t="s">
        <v>14</v>
      </c>
      <c r="AK12" s="174"/>
      <c r="AL12" s="10" t="s">
        <v>15</v>
      </c>
      <c r="AM12" s="69"/>
    </row>
    <row r="13" spans="1:45" ht="15" hidden="1" customHeight="1" x14ac:dyDescent="0.2">
      <c r="A13" s="192"/>
      <c r="B13" s="195" t="s">
        <v>22</v>
      </c>
      <c r="C13" s="183" t="s">
        <v>23</v>
      </c>
      <c r="D13" s="195" t="s">
        <v>24</v>
      </c>
      <c r="E13" s="198" t="s">
        <v>25</v>
      </c>
      <c r="F13" s="199"/>
      <c r="G13" s="192"/>
      <c r="H13" s="198" t="s">
        <v>26</v>
      </c>
      <c r="I13" s="199"/>
      <c r="J13" s="183" t="s">
        <v>27</v>
      </c>
      <c r="K13" s="186" t="s">
        <v>28</v>
      </c>
      <c r="L13" s="187"/>
      <c r="M13" s="183" t="s">
        <v>29</v>
      </c>
      <c r="N13" s="186" t="s">
        <v>30</v>
      </c>
      <c r="O13" s="187"/>
      <c r="P13" s="11"/>
      <c r="Q13" s="11"/>
      <c r="R13" s="11"/>
      <c r="S13" s="11"/>
      <c r="T13" s="11"/>
      <c r="U13" s="11"/>
      <c r="V13" s="11"/>
      <c r="W13" s="11"/>
      <c r="X13" s="11"/>
      <c r="Y13" s="11"/>
      <c r="Z13" s="11"/>
      <c r="AA13" s="12"/>
      <c r="AB13" s="11"/>
      <c r="AC13" s="66"/>
      <c r="AD13" s="11"/>
      <c r="AE13" s="11"/>
      <c r="AF13" s="66"/>
      <c r="AG13" s="11"/>
      <c r="AH13" s="12"/>
      <c r="AI13" s="11"/>
      <c r="AJ13" s="11"/>
      <c r="AK13" s="12"/>
      <c r="AL13" s="11"/>
      <c r="AM13" s="13"/>
    </row>
    <row r="14" spans="1:45" ht="15" hidden="1" customHeight="1" x14ac:dyDescent="0.2">
      <c r="A14" s="193"/>
      <c r="B14" s="196"/>
      <c r="C14" s="184"/>
      <c r="D14" s="196"/>
      <c r="E14" s="200"/>
      <c r="F14" s="201"/>
      <c r="G14" s="193"/>
      <c r="H14" s="200"/>
      <c r="I14" s="201"/>
      <c r="J14" s="184"/>
      <c r="K14" s="188"/>
      <c r="L14" s="189"/>
      <c r="M14" s="184"/>
      <c r="N14" s="188"/>
      <c r="O14" s="189"/>
      <c r="P14" s="14"/>
      <c r="Q14" s="14"/>
      <c r="R14" s="14"/>
      <c r="S14" s="14"/>
      <c r="T14" s="14"/>
      <c r="U14" s="14"/>
      <c r="V14" s="14"/>
      <c r="W14" s="14"/>
      <c r="X14" s="14"/>
      <c r="Y14" s="14"/>
      <c r="Z14" s="14"/>
      <c r="AA14" s="15"/>
      <c r="AB14" s="14"/>
      <c r="AC14" s="67"/>
      <c r="AD14" s="14"/>
      <c r="AE14" s="14"/>
      <c r="AF14" s="67"/>
      <c r="AG14" s="14"/>
      <c r="AH14" s="15"/>
      <c r="AI14" s="14"/>
      <c r="AJ14" s="14"/>
      <c r="AK14" s="15"/>
      <c r="AL14" s="14"/>
      <c r="AM14" s="13"/>
    </row>
    <row r="15" spans="1:45" ht="15" hidden="1" customHeight="1" x14ac:dyDescent="0.2">
      <c r="A15" s="194"/>
      <c r="B15" s="197"/>
      <c r="C15" s="185"/>
      <c r="D15" s="197"/>
      <c r="E15" s="202"/>
      <c r="F15" s="203"/>
      <c r="G15" s="194"/>
      <c r="H15" s="202"/>
      <c r="I15" s="203"/>
      <c r="J15" s="185"/>
      <c r="K15" s="190"/>
      <c r="L15" s="191"/>
      <c r="M15" s="185"/>
      <c r="N15" s="190"/>
      <c r="O15" s="191"/>
      <c r="P15" s="16"/>
      <c r="Q15" s="16"/>
      <c r="R15" s="16"/>
      <c r="S15" s="16"/>
      <c r="T15" s="16"/>
      <c r="U15" s="16"/>
      <c r="V15" s="16"/>
      <c r="W15" s="16"/>
      <c r="X15" s="16"/>
      <c r="Y15" s="16"/>
      <c r="Z15" s="16"/>
      <c r="AA15" s="17"/>
      <c r="AB15" s="16"/>
      <c r="AC15" s="68"/>
      <c r="AD15" s="16"/>
      <c r="AE15" s="16"/>
      <c r="AF15" s="68"/>
      <c r="AG15" s="16"/>
      <c r="AH15" s="17"/>
      <c r="AI15" s="16"/>
      <c r="AJ15" s="16"/>
      <c r="AK15" s="17"/>
      <c r="AL15" s="16"/>
      <c r="AM15" s="13"/>
    </row>
    <row r="16" spans="1:45" ht="110.25" x14ac:dyDescent="0.2">
      <c r="A16" s="46">
        <v>1</v>
      </c>
      <c r="B16" s="19" t="s">
        <v>31</v>
      </c>
      <c r="C16" s="20" t="s">
        <v>78</v>
      </c>
      <c r="D16" s="83" t="s">
        <v>131</v>
      </c>
      <c r="E16" s="41">
        <v>100</v>
      </c>
      <c r="F16" s="42" t="s">
        <v>57</v>
      </c>
      <c r="G16" s="39">
        <f>G17+G20+G25+G32+G36</f>
        <v>14625212102</v>
      </c>
      <c r="H16" s="41">
        <v>100</v>
      </c>
      <c r="I16" s="42" t="s">
        <v>57</v>
      </c>
      <c r="J16" s="39"/>
      <c r="K16" s="41">
        <v>100</v>
      </c>
      <c r="L16" s="42" t="s">
        <v>57</v>
      </c>
      <c r="M16" s="39">
        <f>SUM(M17,M20,M25,M32,M36)</f>
        <v>4762822526</v>
      </c>
      <c r="N16" s="85">
        <v>25</v>
      </c>
      <c r="O16" s="42" t="str">
        <f>L16</f>
        <v>%</v>
      </c>
      <c r="P16" s="39">
        <f>SUM(P17,P20,P25,P32,P36)</f>
        <v>658761389</v>
      </c>
      <c r="Q16" s="85">
        <v>25</v>
      </c>
      <c r="R16" s="42" t="str">
        <f>L16</f>
        <v>%</v>
      </c>
      <c r="S16" s="39">
        <f>SUM(S17,S20,S25,S32,S36)</f>
        <v>1137401282</v>
      </c>
      <c r="T16" s="85">
        <v>25</v>
      </c>
      <c r="U16" s="42" t="str">
        <f>O16</f>
        <v>%</v>
      </c>
      <c r="V16" s="39">
        <f>SUM(V17,V20,V25,V32,V36)</f>
        <v>988131985</v>
      </c>
      <c r="W16" s="85">
        <v>25</v>
      </c>
      <c r="X16" s="42" t="str">
        <f>R16</f>
        <v>%</v>
      </c>
      <c r="Y16" s="39">
        <f>SUM(Y17,Y20,Y25,Y32,Y36)</f>
        <v>1227453378</v>
      </c>
      <c r="Z16" s="55">
        <f>SUM(N16,Q16,T16,W16)</f>
        <v>100</v>
      </c>
      <c r="AA16" s="78" t="str">
        <f>L16</f>
        <v>%</v>
      </c>
      <c r="AB16" s="53">
        <f>Z16/K16*100</f>
        <v>100</v>
      </c>
      <c r="AC16" s="54" t="s">
        <v>57</v>
      </c>
      <c r="AD16" s="57">
        <f>SUM(P16,S16,V16,Y16)</f>
        <v>4011748034</v>
      </c>
      <c r="AE16" s="53">
        <f>AD16/M16*100</f>
        <v>84.230474935819601</v>
      </c>
      <c r="AF16" s="54" t="s">
        <v>57</v>
      </c>
      <c r="AG16" s="55">
        <f>SUM(H16,Z16)</f>
        <v>200</v>
      </c>
      <c r="AH16" s="42" t="str">
        <f t="shared" ref="AH16" si="0">O16</f>
        <v>%</v>
      </c>
      <c r="AI16" s="89">
        <f>SUM(J16,AD16)</f>
        <v>4011748034</v>
      </c>
      <c r="AJ16" s="53"/>
      <c r="AK16" s="42" t="s">
        <v>57</v>
      </c>
      <c r="AL16" s="53"/>
      <c r="AM16" s="25" t="s">
        <v>59</v>
      </c>
      <c r="AP16" s="26">
        <f t="shared" ref="AP16:AP24" si="1">P16+S16+V16+Y16</f>
        <v>4011748034</v>
      </c>
    </row>
    <row r="17" spans="1:42" s="91" customFormat="1" ht="120" customHeight="1" x14ac:dyDescent="0.25">
      <c r="A17" s="18"/>
      <c r="B17" s="19"/>
      <c r="C17" s="86" t="s">
        <v>136</v>
      </c>
      <c r="D17" s="20" t="s">
        <v>147</v>
      </c>
      <c r="E17" s="41">
        <v>100</v>
      </c>
      <c r="F17" s="42" t="s">
        <v>57</v>
      </c>
      <c r="G17" s="39">
        <f>G18+G19</f>
        <v>21379200</v>
      </c>
      <c r="H17" s="41">
        <v>100</v>
      </c>
      <c r="I17" s="42" t="s">
        <v>57</v>
      </c>
      <c r="J17" s="39"/>
      <c r="K17" s="41">
        <f>SUM(K18:K19)</f>
        <v>15</v>
      </c>
      <c r="L17" s="42" t="s">
        <v>55</v>
      </c>
      <c r="M17" s="39">
        <f>SUM(M18:M19)</f>
        <v>7624800</v>
      </c>
      <c r="N17" s="41">
        <f>SUM(N18:N19)</f>
        <v>1</v>
      </c>
      <c r="O17" s="42" t="str">
        <f t="shared" ref="O17:O75" si="2">L17</f>
        <v>Dok</v>
      </c>
      <c r="P17" s="39">
        <f>SUM(P18:P19)</f>
        <v>0</v>
      </c>
      <c r="Q17" s="41">
        <f>SUM(Q18:Q19)</f>
        <v>3</v>
      </c>
      <c r="R17" s="42" t="str">
        <f t="shared" ref="R17:R75" si="3">L17</f>
        <v>Dok</v>
      </c>
      <c r="S17" s="39">
        <f>SUM(S18:S19)</f>
        <v>712250</v>
      </c>
      <c r="T17" s="41">
        <f>SUM(T18:T19)</f>
        <v>3</v>
      </c>
      <c r="U17" s="42" t="str">
        <f t="shared" ref="U17:U75" si="4">O17</f>
        <v>Dok</v>
      </c>
      <c r="V17" s="39">
        <f>SUM(V18:V19)</f>
        <v>581100</v>
      </c>
      <c r="W17" s="41">
        <f>SUM(W18:W19)</f>
        <v>8</v>
      </c>
      <c r="X17" s="42" t="str">
        <f t="shared" ref="X17:X75" si="5">R17</f>
        <v>Dok</v>
      </c>
      <c r="Y17" s="39">
        <f>SUM(Y18:Y19)</f>
        <v>2277200</v>
      </c>
      <c r="Z17" s="55">
        <f t="shared" ref="Z17" si="6">SUM(N17,Q17,T17,W17)</f>
        <v>15</v>
      </c>
      <c r="AA17" s="42" t="str">
        <f t="shared" ref="AA17" si="7">L17</f>
        <v>Dok</v>
      </c>
      <c r="AB17" s="78">
        <f t="shared" ref="AB17" si="8">Z17/K17*100</f>
        <v>100</v>
      </c>
      <c r="AC17" s="42" t="s">
        <v>57</v>
      </c>
      <c r="AD17" s="87">
        <f t="shared" ref="AD17" si="9">SUM(P17,S17,V17,Y17)</f>
        <v>3570550</v>
      </c>
      <c r="AE17" s="88">
        <f t="shared" ref="AE17" si="10">AD17/M17*100</f>
        <v>46.828113524289158</v>
      </c>
      <c r="AF17" s="42" t="s">
        <v>57</v>
      </c>
      <c r="AG17" s="55">
        <f t="shared" ref="AG17:AG18" si="11">SUM(H17,Z17)</f>
        <v>115</v>
      </c>
      <c r="AH17" s="42" t="str">
        <f t="shared" ref="AH17:AH18" si="12">O17</f>
        <v>Dok</v>
      </c>
      <c r="AI17" s="89">
        <f t="shared" ref="AI17:AI18" si="13">SUM(J17,AD17)</f>
        <v>3570550</v>
      </c>
      <c r="AJ17" s="53"/>
      <c r="AK17" s="42" t="s">
        <v>57</v>
      </c>
      <c r="AL17" s="53"/>
      <c r="AM17" s="90"/>
      <c r="AP17" s="92"/>
    </row>
    <row r="18" spans="1:42" ht="93" customHeight="1" x14ac:dyDescent="0.2">
      <c r="A18" s="18"/>
      <c r="B18" s="19"/>
      <c r="C18" s="27" t="s">
        <v>79</v>
      </c>
      <c r="D18" s="27" t="s">
        <v>148</v>
      </c>
      <c r="E18" s="21">
        <v>15</v>
      </c>
      <c r="F18" s="22" t="s">
        <v>55</v>
      </c>
      <c r="G18" s="48">
        <v>18177000</v>
      </c>
      <c r="H18" s="21">
        <v>5</v>
      </c>
      <c r="I18" s="22" t="s">
        <v>55</v>
      </c>
      <c r="J18" s="23"/>
      <c r="K18" s="21">
        <v>5</v>
      </c>
      <c r="L18" s="22" t="s">
        <v>55</v>
      </c>
      <c r="M18" s="24">
        <v>6499800</v>
      </c>
      <c r="N18" s="21">
        <v>0</v>
      </c>
      <c r="O18" s="22" t="str">
        <f t="shared" si="2"/>
        <v>Dok</v>
      </c>
      <c r="P18" s="24">
        <v>0</v>
      </c>
      <c r="Q18" s="21">
        <v>1</v>
      </c>
      <c r="R18" s="22" t="str">
        <f t="shared" si="3"/>
        <v>Dok</v>
      </c>
      <c r="S18" s="24">
        <v>712250</v>
      </c>
      <c r="T18" s="21">
        <v>1</v>
      </c>
      <c r="U18" s="22" t="str">
        <f t="shared" si="4"/>
        <v>Dok</v>
      </c>
      <c r="V18" s="24">
        <v>262500</v>
      </c>
      <c r="W18" s="21">
        <v>3</v>
      </c>
      <c r="X18" s="22" t="str">
        <f t="shared" si="5"/>
        <v>Dok</v>
      </c>
      <c r="Y18" s="24">
        <v>1884700</v>
      </c>
      <c r="Z18" s="56">
        <f t="shared" ref="Z18:Z75" si="14">SUM(N18,Q18,T18,W18)</f>
        <v>5</v>
      </c>
      <c r="AA18" s="22" t="str">
        <f t="shared" ref="AA18:AA75" si="15">L18</f>
        <v>Dok</v>
      </c>
      <c r="AB18" s="49">
        <f t="shared" ref="AB18:AB75" si="16">Z18/K18*100</f>
        <v>100</v>
      </c>
      <c r="AC18" s="33" t="s">
        <v>57</v>
      </c>
      <c r="AD18" s="50">
        <f t="shared" ref="AD18:AD75" si="17">SUM(P18,S18,V18,Y18)</f>
        <v>2859450</v>
      </c>
      <c r="AE18" s="49">
        <f t="shared" ref="AE18:AE75" si="18">AD18/M18*100</f>
        <v>43.992892088987354</v>
      </c>
      <c r="AF18" s="33" t="s">
        <v>57</v>
      </c>
      <c r="AG18" s="56">
        <f t="shared" si="11"/>
        <v>10</v>
      </c>
      <c r="AH18" s="22" t="str">
        <f t="shared" si="12"/>
        <v>Dok</v>
      </c>
      <c r="AI18" s="93">
        <f t="shared" si="13"/>
        <v>2859450</v>
      </c>
      <c r="AJ18" s="49"/>
      <c r="AK18" s="22" t="s">
        <v>57</v>
      </c>
      <c r="AL18" s="49"/>
      <c r="AM18" s="13"/>
      <c r="AP18" s="26"/>
    </row>
    <row r="19" spans="1:42" ht="78" customHeight="1" x14ac:dyDescent="0.2">
      <c r="A19" s="18"/>
      <c r="B19" s="19"/>
      <c r="C19" s="27" t="s">
        <v>80</v>
      </c>
      <c r="D19" s="27" t="s">
        <v>149</v>
      </c>
      <c r="E19" s="21">
        <v>30</v>
      </c>
      <c r="F19" s="22" t="s">
        <v>55</v>
      </c>
      <c r="G19" s="48">
        <v>3202200</v>
      </c>
      <c r="H19" s="21">
        <v>10</v>
      </c>
      <c r="I19" s="22" t="s">
        <v>55</v>
      </c>
      <c r="J19" s="23"/>
      <c r="K19" s="21">
        <v>10</v>
      </c>
      <c r="L19" s="22" t="s">
        <v>55</v>
      </c>
      <c r="M19" s="24">
        <v>1125000</v>
      </c>
      <c r="N19" s="21">
        <v>1</v>
      </c>
      <c r="O19" s="22" t="str">
        <f t="shared" si="2"/>
        <v>Dok</v>
      </c>
      <c r="P19" s="24">
        <v>0</v>
      </c>
      <c r="Q19" s="21">
        <v>2</v>
      </c>
      <c r="R19" s="22" t="str">
        <f t="shared" si="3"/>
        <v>Dok</v>
      </c>
      <c r="S19" s="24">
        <v>0</v>
      </c>
      <c r="T19" s="21">
        <v>2</v>
      </c>
      <c r="U19" s="22" t="str">
        <f t="shared" si="4"/>
        <v>Dok</v>
      </c>
      <c r="V19" s="24">
        <v>318600</v>
      </c>
      <c r="W19" s="21">
        <v>5</v>
      </c>
      <c r="X19" s="22" t="str">
        <f t="shared" si="5"/>
        <v>Dok</v>
      </c>
      <c r="Y19" s="24">
        <v>392500</v>
      </c>
      <c r="Z19" s="56">
        <f t="shared" si="14"/>
        <v>10</v>
      </c>
      <c r="AA19" s="22" t="str">
        <f t="shared" si="15"/>
        <v>Dok</v>
      </c>
      <c r="AB19" s="49">
        <f t="shared" si="16"/>
        <v>100</v>
      </c>
      <c r="AC19" s="33" t="s">
        <v>57</v>
      </c>
      <c r="AD19" s="50">
        <f t="shared" si="17"/>
        <v>711100</v>
      </c>
      <c r="AE19" s="49">
        <f t="shared" si="18"/>
        <v>63.208888888888893</v>
      </c>
      <c r="AF19" s="33" t="s">
        <v>57</v>
      </c>
      <c r="AG19" s="56">
        <f t="shared" ref="AG19:AG75" si="19">SUM(H19,Z19)</f>
        <v>20</v>
      </c>
      <c r="AH19" s="22" t="str">
        <f t="shared" ref="AH19:AH75" si="20">O19</f>
        <v>Dok</v>
      </c>
      <c r="AI19" s="93">
        <f t="shared" ref="AI19:AI75" si="21">SUM(J19,AD19)</f>
        <v>711100</v>
      </c>
      <c r="AJ19" s="49"/>
      <c r="AK19" s="22" t="s">
        <v>57</v>
      </c>
      <c r="AL19" s="49"/>
      <c r="AM19" s="13"/>
      <c r="AP19" s="26"/>
    </row>
    <row r="20" spans="1:42" ht="78.75" x14ac:dyDescent="0.2">
      <c r="A20" s="46">
        <v>2</v>
      </c>
      <c r="B20" s="47" t="s">
        <v>32</v>
      </c>
      <c r="C20" s="20" t="s">
        <v>81</v>
      </c>
      <c r="D20" s="20" t="s">
        <v>150</v>
      </c>
      <c r="E20" s="41">
        <v>100</v>
      </c>
      <c r="F20" s="42" t="s">
        <v>57</v>
      </c>
      <c r="G20" s="39">
        <f>G21+G22+G23+G24</f>
        <v>10000239500</v>
      </c>
      <c r="H20" s="41">
        <v>100</v>
      </c>
      <c r="I20" s="42" t="s">
        <v>57</v>
      </c>
      <c r="J20" s="39"/>
      <c r="K20" s="41">
        <f>14/14*100</f>
        <v>100</v>
      </c>
      <c r="L20" s="42" t="s">
        <v>57</v>
      </c>
      <c r="M20" s="75">
        <f>SUM(M21:M24)</f>
        <v>3332811290</v>
      </c>
      <c r="N20" s="77">
        <f>3/14*100</f>
        <v>21.428571428571427</v>
      </c>
      <c r="O20" s="76" t="str">
        <f t="shared" si="2"/>
        <v>%</v>
      </c>
      <c r="P20" s="75">
        <f>SUM(P21:P24)</f>
        <v>622761389</v>
      </c>
      <c r="Q20" s="77">
        <f>3/14*100</f>
        <v>21.428571428571427</v>
      </c>
      <c r="R20" s="76" t="str">
        <f t="shared" si="3"/>
        <v>%</v>
      </c>
      <c r="S20" s="75">
        <f>SUM(S21:S24)</f>
        <v>998976224</v>
      </c>
      <c r="T20" s="77">
        <f>3/14*100</f>
        <v>21.428571428571427</v>
      </c>
      <c r="U20" s="76" t="str">
        <f t="shared" si="4"/>
        <v>%</v>
      </c>
      <c r="V20" s="75">
        <f>SUM(V21:V24)</f>
        <v>641679788</v>
      </c>
      <c r="W20" s="77">
        <f>3/14*100</f>
        <v>21.428571428571427</v>
      </c>
      <c r="X20" s="76" t="str">
        <f t="shared" si="5"/>
        <v>%</v>
      </c>
      <c r="Y20" s="75">
        <f>SUM(Y21:Y24)</f>
        <v>542277037</v>
      </c>
      <c r="Z20" s="55">
        <f t="shared" si="14"/>
        <v>85.714285714285708</v>
      </c>
      <c r="AA20" s="42" t="str">
        <f t="shared" si="15"/>
        <v>%</v>
      </c>
      <c r="AB20" s="53">
        <f t="shared" si="16"/>
        <v>85.714285714285708</v>
      </c>
      <c r="AC20" s="54" t="s">
        <v>57</v>
      </c>
      <c r="AD20" s="57">
        <f t="shared" si="17"/>
        <v>2805694438</v>
      </c>
      <c r="AE20" s="53">
        <f t="shared" si="18"/>
        <v>84.184017451525136</v>
      </c>
      <c r="AF20" s="54" t="s">
        <v>57</v>
      </c>
      <c r="AG20" s="55">
        <f t="shared" si="19"/>
        <v>185.71428571428572</v>
      </c>
      <c r="AH20" s="42" t="str">
        <f t="shared" si="20"/>
        <v>%</v>
      </c>
      <c r="AI20" s="89">
        <f t="shared" si="21"/>
        <v>2805694438</v>
      </c>
      <c r="AJ20" s="53"/>
      <c r="AK20" s="42" t="s">
        <v>57</v>
      </c>
      <c r="AL20" s="53"/>
      <c r="AM20" s="13"/>
      <c r="AP20" s="26"/>
    </row>
    <row r="21" spans="1:42" ht="60" x14ac:dyDescent="0.2">
      <c r="A21" s="18"/>
      <c r="B21" s="19"/>
      <c r="C21" s="27" t="s">
        <v>82</v>
      </c>
      <c r="D21" s="27" t="s">
        <v>151</v>
      </c>
      <c r="E21" s="21">
        <v>26</v>
      </c>
      <c r="F21" s="22" t="s">
        <v>168</v>
      </c>
      <c r="G21" s="48">
        <v>9987659600</v>
      </c>
      <c r="H21" s="21">
        <v>26</v>
      </c>
      <c r="I21" s="22" t="s">
        <v>168</v>
      </c>
      <c r="J21" s="23"/>
      <c r="K21" s="40">
        <v>26</v>
      </c>
      <c r="L21" s="22" t="s">
        <v>168</v>
      </c>
      <c r="M21" s="24">
        <v>3328686390</v>
      </c>
      <c r="N21" s="40">
        <v>26</v>
      </c>
      <c r="O21" s="22" t="str">
        <f t="shared" si="2"/>
        <v>Orang</v>
      </c>
      <c r="P21" s="24">
        <v>622761389</v>
      </c>
      <c r="Q21" s="40">
        <v>26</v>
      </c>
      <c r="R21" s="22" t="str">
        <f t="shared" si="3"/>
        <v>Orang</v>
      </c>
      <c r="S21" s="24">
        <v>998278124</v>
      </c>
      <c r="T21" s="40">
        <v>26</v>
      </c>
      <c r="U21" s="22" t="str">
        <f t="shared" si="4"/>
        <v>Orang</v>
      </c>
      <c r="V21" s="24">
        <v>640370788</v>
      </c>
      <c r="W21" s="40">
        <v>26</v>
      </c>
      <c r="X21" s="22" t="str">
        <f t="shared" si="5"/>
        <v>Orang</v>
      </c>
      <c r="Y21" s="24">
        <v>541079537</v>
      </c>
      <c r="Z21" s="56">
        <f>AVERAGE(N21,Q21,T21,W21)</f>
        <v>26</v>
      </c>
      <c r="AA21" s="45" t="str">
        <f t="shared" si="15"/>
        <v>Orang</v>
      </c>
      <c r="AB21" s="56">
        <f t="shared" si="16"/>
        <v>100</v>
      </c>
      <c r="AC21" s="33" t="s">
        <v>57</v>
      </c>
      <c r="AD21" s="50">
        <f t="shared" si="17"/>
        <v>2802489838</v>
      </c>
      <c r="AE21" s="49">
        <f t="shared" si="18"/>
        <v>84.19206586776113</v>
      </c>
      <c r="AF21" s="33" t="s">
        <v>57</v>
      </c>
      <c r="AG21" s="56">
        <f t="shared" si="19"/>
        <v>52</v>
      </c>
      <c r="AH21" s="22" t="str">
        <f t="shared" si="20"/>
        <v>Orang</v>
      </c>
      <c r="AI21" s="93">
        <f t="shared" si="21"/>
        <v>2802489838</v>
      </c>
      <c r="AJ21" s="49"/>
      <c r="AK21" s="22" t="s">
        <v>57</v>
      </c>
      <c r="AL21" s="49"/>
      <c r="AM21" s="28"/>
      <c r="AP21" s="26">
        <f t="shared" si="1"/>
        <v>2802489838</v>
      </c>
    </row>
    <row r="22" spans="1:42" ht="75" x14ac:dyDescent="0.2">
      <c r="A22" s="18"/>
      <c r="B22" s="19"/>
      <c r="C22" s="27" t="s">
        <v>83</v>
      </c>
      <c r="D22" s="27" t="s">
        <v>152</v>
      </c>
      <c r="E22" s="21">
        <v>3</v>
      </c>
      <c r="F22" s="22" t="s">
        <v>55</v>
      </c>
      <c r="G22" s="48">
        <v>4174900</v>
      </c>
      <c r="H22" s="21">
        <v>1</v>
      </c>
      <c r="I22" s="22" t="s">
        <v>55</v>
      </c>
      <c r="J22" s="23"/>
      <c r="K22" s="40">
        <v>1</v>
      </c>
      <c r="L22" s="22" t="s">
        <v>55</v>
      </c>
      <c r="M22" s="24">
        <v>1499900</v>
      </c>
      <c r="N22" s="40">
        <v>0</v>
      </c>
      <c r="O22" s="22" t="str">
        <f t="shared" si="2"/>
        <v>Dok</v>
      </c>
      <c r="P22" s="24">
        <v>0</v>
      </c>
      <c r="Q22" s="40">
        <v>0</v>
      </c>
      <c r="R22" s="22" t="str">
        <f t="shared" si="3"/>
        <v>Dok</v>
      </c>
      <c r="S22" s="24">
        <v>333300</v>
      </c>
      <c r="T22" s="40">
        <v>0</v>
      </c>
      <c r="U22" s="22" t="str">
        <f t="shared" si="4"/>
        <v>Dok</v>
      </c>
      <c r="V22" s="24">
        <v>300000</v>
      </c>
      <c r="W22" s="40">
        <v>1</v>
      </c>
      <c r="X22" s="22" t="str">
        <f t="shared" si="5"/>
        <v>Dok</v>
      </c>
      <c r="Y22" s="24">
        <v>0</v>
      </c>
      <c r="Z22" s="56">
        <f t="shared" si="14"/>
        <v>1</v>
      </c>
      <c r="AA22" s="22" t="str">
        <f t="shared" si="15"/>
        <v>Dok</v>
      </c>
      <c r="AB22" s="56">
        <f t="shared" si="16"/>
        <v>100</v>
      </c>
      <c r="AC22" s="33" t="s">
        <v>57</v>
      </c>
      <c r="AD22" s="50">
        <f t="shared" si="17"/>
        <v>633300</v>
      </c>
      <c r="AE22" s="49">
        <f t="shared" si="18"/>
        <v>42.222814854323623</v>
      </c>
      <c r="AF22" s="33" t="s">
        <v>57</v>
      </c>
      <c r="AG22" s="56">
        <f t="shared" si="19"/>
        <v>2</v>
      </c>
      <c r="AH22" s="22" t="str">
        <f t="shared" si="20"/>
        <v>Dok</v>
      </c>
      <c r="AI22" s="93">
        <f t="shared" si="21"/>
        <v>633300</v>
      </c>
      <c r="AJ22" s="49"/>
      <c r="AK22" s="22" t="s">
        <v>57</v>
      </c>
      <c r="AL22" s="49"/>
      <c r="AM22" s="13"/>
      <c r="AP22" s="26">
        <f t="shared" si="1"/>
        <v>633300</v>
      </c>
    </row>
    <row r="23" spans="1:42" ht="105" x14ac:dyDescent="0.2">
      <c r="A23" s="18"/>
      <c r="B23" s="19"/>
      <c r="C23" s="27" t="s">
        <v>84</v>
      </c>
      <c r="D23" s="27" t="s">
        <v>153</v>
      </c>
      <c r="E23" s="21">
        <v>36</v>
      </c>
      <c r="F23" s="22" t="s">
        <v>129</v>
      </c>
      <c r="G23" s="48">
        <v>6155000</v>
      </c>
      <c r="H23" s="21">
        <v>12</v>
      </c>
      <c r="I23" s="22" t="s">
        <v>129</v>
      </c>
      <c r="J23" s="23"/>
      <c r="K23" s="21">
        <v>12</v>
      </c>
      <c r="L23" s="22" t="s">
        <v>129</v>
      </c>
      <c r="M23" s="24">
        <v>1500000</v>
      </c>
      <c r="N23" s="40">
        <v>3</v>
      </c>
      <c r="O23" s="22" t="str">
        <f t="shared" si="2"/>
        <v>Lap</v>
      </c>
      <c r="P23" s="24">
        <v>0</v>
      </c>
      <c r="Q23" s="40">
        <v>3</v>
      </c>
      <c r="R23" s="22" t="str">
        <f t="shared" si="3"/>
        <v>Lap</v>
      </c>
      <c r="S23" s="24">
        <v>364800</v>
      </c>
      <c r="T23" s="40">
        <v>3</v>
      </c>
      <c r="U23" s="22" t="str">
        <f t="shared" si="4"/>
        <v>Lap</v>
      </c>
      <c r="V23" s="24">
        <v>330000</v>
      </c>
      <c r="W23" s="40">
        <v>3</v>
      </c>
      <c r="X23" s="22" t="str">
        <f t="shared" si="5"/>
        <v>Lap</v>
      </c>
      <c r="Y23" s="24">
        <v>805000</v>
      </c>
      <c r="Z23" s="56">
        <f t="shared" si="14"/>
        <v>12</v>
      </c>
      <c r="AA23" s="22" t="str">
        <f t="shared" si="15"/>
        <v>Lap</v>
      </c>
      <c r="AB23" s="56">
        <f t="shared" si="16"/>
        <v>100</v>
      </c>
      <c r="AC23" s="33" t="s">
        <v>57</v>
      </c>
      <c r="AD23" s="50">
        <f t="shared" si="17"/>
        <v>1499800</v>
      </c>
      <c r="AE23" s="49">
        <f t="shared" si="18"/>
        <v>99.986666666666665</v>
      </c>
      <c r="AF23" s="33" t="s">
        <v>57</v>
      </c>
      <c r="AG23" s="56">
        <f t="shared" si="19"/>
        <v>24</v>
      </c>
      <c r="AH23" s="22" t="str">
        <f t="shared" si="20"/>
        <v>Lap</v>
      </c>
      <c r="AI23" s="93">
        <f t="shared" si="21"/>
        <v>1499800</v>
      </c>
      <c r="AJ23" s="49"/>
      <c r="AK23" s="22" t="s">
        <v>57</v>
      </c>
      <c r="AL23" s="49"/>
      <c r="AM23" s="13"/>
      <c r="AP23" s="26">
        <f t="shared" si="1"/>
        <v>1499800</v>
      </c>
    </row>
    <row r="24" spans="1:42" ht="96.75" customHeight="1" x14ac:dyDescent="0.2">
      <c r="A24" s="18"/>
      <c r="B24" s="19"/>
      <c r="C24" s="27" t="s">
        <v>85</v>
      </c>
      <c r="D24" s="27" t="s">
        <v>128</v>
      </c>
      <c r="E24" s="21">
        <v>2</v>
      </c>
      <c r="F24" s="22" t="s">
        <v>129</v>
      </c>
      <c r="G24" s="48">
        <v>2250000</v>
      </c>
      <c r="H24" s="21">
        <v>1</v>
      </c>
      <c r="I24" s="22" t="s">
        <v>129</v>
      </c>
      <c r="J24" s="23"/>
      <c r="K24" s="40">
        <v>1</v>
      </c>
      <c r="L24" s="22" t="s">
        <v>129</v>
      </c>
      <c r="M24" s="24">
        <v>1125000</v>
      </c>
      <c r="N24" s="40">
        <v>0</v>
      </c>
      <c r="O24" s="22" t="str">
        <f t="shared" si="2"/>
        <v>Lap</v>
      </c>
      <c r="P24" s="24">
        <v>0</v>
      </c>
      <c r="Q24" s="40">
        <v>1</v>
      </c>
      <c r="R24" s="22" t="str">
        <f t="shared" si="3"/>
        <v>Lap</v>
      </c>
      <c r="S24" s="24">
        <v>0</v>
      </c>
      <c r="T24" s="40">
        <v>0</v>
      </c>
      <c r="U24" s="22" t="str">
        <f t="shared" si="4"/>
        <v>Lap</v>
      </c>
      <c r="V24" s="24">
        <v>679000</v>
      </c>
      <c r="W24" s="40">
        <v>0</v>
      </c>
      <c r="X24" s="22" t="str">
        <f t="shared" si="5"/>
        <v>Lap</v>
      </c>
      <c r="Y24" s="24">
        <v>392500</v>
      </c>
      <c r="Z24" s="56">
        <f t="shared" si="14"/>
        <v>1</v>
      </c>
      <c r="AA24" s="22" t="str">
        <f t="shared" si="15"/>
        <v>Lap</v>
      </c>
      <c r="AB24" s="56">
        <f t="shared" si="16"/>
        <v>100</v>
      </c>
      <c r="AC24" s="33" t="s">
        <v>57</v>
      </c>
      <c r="AD24" s="50">
        <f t="shared" si="17"/>
        <v>1071500</v>
      </c>
      <c r="AE24" s="49">
        <f t="shared" si="18"/>
        <v>95.24444444444444</v>
      </c>
      <c r="AF24" s="33" t="s">
        <v>57</v>
      </c>
      <c r="AG24" s="56">
        <f t="shared" si="19"/>
        <v>2</v>
      </c>
      <c r="AH24" s="22" t="str">
        <f t="shared" si="20"/>
        <v>Lap</v>
      </c>
      <c r="AI24" s="93">
        <f t="shared" si="21"/>
        <v>1071500</v>
      </c>
      <c r="AJ24" s="49"/>
      <c r="AK24" s="22" t="s">
        <v>57</v>
      </c>
      <c r="AL24" s="49"/>
      <c r="AM24" s="13"/>
      <c r="AP24" s="26">
        <f t="shared" si="1"/>
        <v>1071500</v>
      </c>
    </row>
    <row r="25" spans="1:42" ht="87.75" customHeight="1" x14ac:dyDescent="0.2">
      <c r="A25" s="18"/>
      <c r="B25" s="19"/>
      <c r="C25" s="20" t="s">
        <v>86</v>
      </c>
      <c r="D25" s="20" t="s">
        <v>154</v>
      </c>
      <c r="E25" s="41">
        <v>100</v>
      </c>
      <c r="F25" s="42" t="s">
        <v>57</v>
      </c>
      <c r="G25" s="100">
        <f>G26+G27+G28+G29+G30+G31</f>
        <v>1414259876</v>
      </c>
      <c r="H25" s="41">
        <v>100</v>
      </c>
      <c r="I25" s="42" t="s">
        <v>57</v>
      </c>
      <c r="J25" s="23"/>
      <c r="K25" s="41">
        <v>100</v>
      </c>
      <c r="L25" s="42" t="s">
        <v>57</v>
      </c>
      <c r="M25" s="39">
        <f>SUM(M26:M31)</f>
        <v>582384626</v>
      </c>
      <c r="N25" s="77">
        <v>25</v>
      </c>
      <c r="O25" s="76" t="str">
        <f t="shared" si="2"/>
        <v>%</v>
      </c>
      <c r="P25" s="39">
        <f>SUM(P26:P31)</f>
        <v>18000000</v>
      </c>
      <c r="Q25" s="77">
        <v>25</v>
      </c>
      <c r="R25" s="76" t="str">
        <f t="shared" si="3"/>
        <v>%</v>
      </c>
      <c r="S25" s="39">
        <f>SUM(S26:S31)</f>
        <v>31890000</v>
      </c>
      <c r="T25" s="77">
        <v>25</v>
      </c>
      <c r="U25" s="76" t="str">
        <f t="shared" si="4"/>
        <v>%</v>
      </c>
      <c r="V25" s="39">
        <f>SUM(V26:V31)</f>
        <v>103755125</v>
      </c>
      <c r="W25" s="77">
        <v>25</v>
      </c>
      <c r="X25" s="76" t="str">
        <f t="shared" si="5"/>
        <v>%</v>
      </c>
      <c r="Y25" s="39">
        <f>SUM(Y26:Y31)</f>
        <v>345127777</v>
      </c>
      <c r="Z25" s="55">
        <f t="shared" si="14"/>
        <v>100</v>
      </c>
      <c r="AA25" s="42" t="str">
        <f t="shared" si="15"/>
        <v>%</v>
      </c>
      <c r="AB25" s="53">
        <f t="shared" si="16"/>
        <v>100</v>
      </c>
      <c r="AC25" s="54" t="s">
        <v>57</v>
      </c>
      <c r="AD25" s="57">
        <f t="shared" si="17"/>
        <v>498772902</v>
      </c>
      <c r="AE25" s="53">
        <f t="shared" si="18"/>
        <v>85.643212360485634</v>
      </c>
      <c r="AF25" s="54" t="s">
        <v>57</v>
      </c>
      <c r="AG25" s="55">
        <f t="shared" si="19"/>
        <v>200</v>
      </c>
      <c r="AH25" s="42" t="str">
        <f t="shared" si="20"/>
        <v>%</v>
      </c>
      <c r="AI25" s="89">
        <f t="shared" si="21"/>
        <v>498772902</v>
      </c>
      <c r="AJ25" s="53"/>
      <c r="AK25" s="42" t="s">
        <v>57</v>
      </c>
      <c r="AL25" s="53"/>
      <c r="AM25" s="13"/>
      <c r="AP25" s="26"/>
    </row>
    <row r="26" spans="1:42" ht="105" x14ac:dyDescent="0.2">
      <c r="A26" s="18"/>
      <c r="B26" s="19"/>
      <c r="C26" s="27" t="s">
        <v>87</v>
      </c>
      <c r="D26" s="27" t="s">
        <v>155</v>
      </c>
      <c r="E26" s="21">
        <v>36</v>
      </c>
      <c r="F26" s="22" t="s">
        <v>169</v>
      </c>
      <c r="G26" s="48">
        <v>14041168</v>
      </c>
      <c r="H26" s="21">
        <v>12</v>
      </c>
      <c r="I26" s="22" t="s">
        <v>169</v>
      </c>
      <c r="J26" s="23"/>
      <c r="K26" s="21">
        <v>12</v>
      </c>
      <c r="L26" s="22" t="s">
        <v>56</v>
      </c>
      <c r="M26" s="24">
        <v>3167844</v>
      </c>
      <c r="N26" s="40">
        <v>3</v>
      </c>
      <c r="O26" s="22" t="str">
        <f t="shared" si="2"/>
        <v>Bln</v>
      </c>
      <c r="P26" s="24">
        <v>0</v>
      </c>
      <c r="Q26" s="40">
        <v>3</v>
      </c>
      <c r="R26" s="22" t="str">
        <f t="shared" si="3"/>
        <v>Bln</v>
      </c>
      <c r="S26" s="24">
        <v>235000</v>
      </c>
      <c r="T26" s="40">
        <v>3</v>
      </c>
      <c r="U26" s="22" t="str">
        <f t="shared" si="4"/>
        <v>Bln</v>
      </c>
      <c r="V26" s="24">
        <v>0</v>
      </c>
      <c r="W26" s="40">
        <v>3</v>
      </c>
      <c r="X26" s="22" t="str">
        <f t="shared" si="5"/>
        <v>Bln</v>
      </c>
      <c r="Y26" s="24">
        <v>2929844</v>
      </c>
      <c r="Z26" s="56">
        <f t="shared" si="14"/>
        <v>12</v>
      </c>
      <c r="AA26" s="22" t="str">
        <f t="shared" si="15"/>
        <v>Bln</v>
      </c>
      <c r="AB26" s="49">
        <f t="shared" si="16"/>
        <v>100</v>
      </c>
      <c r="AC26" s="33" t="s">
        <v>57</v>
      </c>
      <c r="AD26" s="50">
        <f t="shared" si="17"/>
        <v>3164844</v>
      </c>
      <c r="AE26" s="49">
        <f t="shared" si="18"/>
        <v>99.905298366965042</v>
      </c>
      <c r="AF26" s="33" t="s">
        <v>57</v>
      </c>
      <c r="AG26" s="56">
        <f t="shared" si="19"/>
        <v>24</v>
      </c>
      <c r="AH26" s="22" t="str">
        <f t="shared" si="20"/>
        <v>Bln</v>
      </c>
      <c r="AI26" s="93">
        <f t="shared" si="21"/>
        <v>3164844</v>
      </c>
      <c r="AJ26" s="49"/>
      <c r="AK26" s="22" t="s">
        <v>57</v>
      </c>
      <c r="AL26" s="49"/>
      <c r="AM26" s="13"/>
      <c r="AP26" s="26"/>
    </row>
    <row r="27" spans="1:42" ht="90" x14ac:dyDescent="0.2">
      <c r="A27" s="18"/>
      <c r="B27" s="19"/>
      <c r="C27" s="27" t="s">
        <v>88</v>
      </c>
      <c r="D27" s="27" t="s">
        <v>156</v>
      </c>
      <c r="E27" s="21">
        <v>36</v>
      </c>
      <c r="F27" s="22" t="s">
        <v>169</v>
      </c>
      <c r="G27" s="24">
        <v>502363308</v>
      </c>
      <c r="H27" s="21">
        <v>12</v>
      </c>
      <c r="I27" s="22" t="s">
        <v>169</v>
      </c>
      <c r="J27" s="24"/>
      <c r="K27" s="21">
        <v>12</v>
      </c>
      <c r="L27" s="22" t="s">
        <v>56</v>
      </c>
      <c r="M27" s="24">
        <v>294921482</v>
      </c>
      <c r="N27" s="40">
        <v>3</v>
      </c>
      <c r="O27" s="22" t="str">
        <f t="shared" si="2"/>
        <v>Bln</v>
      </c>
      <c r="P27" s="24">
        <v>18000000</v>
      </c>
      <c r="Q27" s="40">
        <v>3</v>
      </c>
      <c r="R27" s="22" t="str">
        <f t="shared" si="3"/>
        <v>Bln</v>
      </c>
      <c r="S27" s="24">
        <v>13575000</v>
      </c>
      <c r="T27" s="40">
        <v>3</v>
      </c>
      <c r="U27" s="22" t="str">
        <f t="shared" si="4"/>
        <v>Bln</v>
      </c>
      <c r="V27" s="24">
        <v>61674875</v>
      </c>
      <c r="W27" s="40">
        <v>3</v>
      </c>
      <c r="X27" s="22" t="str">
        <f t="shared" si="5"/>
        <v>Bln</v>
      </c>
      <c r="Y27" s="24">
        <v>196961150</v>
      </c>
      <c r="Z27" s="56">
        <f t="shared" si="14"/>
        <v>12</v>
      </c>
      <c r="AA27" s="22" t="str">
        <f t="shared" si="15"/>
        <v>Bln</v>
      </c>
      <c r="AB27" s="49">
        <f t="shared" si="16"/>
        <v>100</v>
      </c>
      <c r="AC27" s="33" t="s">
        <v>57</v>
      </c>
      <c r="AD27" s="50">
        <f t="shared" si="17"/>
        <v>290211025</v>
      </c>
      <c r="AE27" s="49">
        <f t="shared" si="18"/>
        <v>98.402809802779984</v>
      </c>
      <c r="AF27" s="33" t="s">
        <v>57</v>
      </c>
      <c r="AG27" s="56">
        <f t="shared" si="19"/>
        <v>24</v>
      </c>
      <c r="AH27" s="22" t="str">
        <f t="shared" si="20"/>
        <v>Bln</v>
      </c>
      <c r="AI27" s="93">
        <f t="shared" si="21"/>
        <v>290211025</v>
      </c>
      <c r="AJ27" s="49"/>
      <c r="AK27" s="22" t="s">
        <v>57</v>
      </c>
      <c r="AL27" s="49"/>
      <c r="AM27" s="13"/>
      <c r="AP27" s="26"/>
    </row>
    <row r="28" spans="1:42" ht="75" x14ac:dyDescent="0.2">
      <c r="A28" s="18"/>
      <c r="B28" s="19"/>
      <c r="C28" s="27" t="s">
        <v>89</v>
      </c>
      <c r="D28" s="27" t="s">
        <v>157</v>
      </c>
      <c r="E28" s="21">
        <v>36</v>
      </c>
      <c r="F28" s="22" t="s">
        <v>169</v>
      </c>
      <c r="G28" s="48">
        <v>148640500</v>
      </c>
      <c r="H28" s="21">
        <v>12</v>
      </c>
      <c r="I28" s="22" t="s">
        <v>169</v>
      </c>
      <c r="J28" s="23"/>
      <c r="K28" s="21">
        <v>12</v>
      </c>
      <c r="L28" s="22" t="s">
        <v>56</v>
      </c>
      <c r="M28" s="24">
        <v>39832000</v>
      </c>
      <c r="N28" s="40">
        <v>3</v>
      </c>
      <c r="O28" s="22" t="str">
        <f t="shared" si="2"/>
        <v>Bln</v>
      </c>
      <c r="P28" s="24">
        <v>0</v>
      </c>
      <c r="Q28" s="40">
        <v>3</v>
      </c>
      <c r="R28" s="22" t="str">
        <f t="shared" si="3"/>
        <v>Bln</v>
      </c>
      <c r="S28" s="24">
        <v>900000</v>
      </c>
      <c r="T28" s="40">
        <v>3</v>
      </c>
      <c r="U28" s="22" t="str">
        <f t="shared" si="4"/>
        <v>Bln</v>
      </c>
      <c r="V28" s="24">
        <v>5185250</v>
      </c>
      <c r="W28" s="40">
        <v>3</v>
      </c>
      <c r="X28" s="22" t="str">
        <f t="shared" si="5"/>
        <v>Bln</v>
      </c>
      <c r="Y28" s="24">
        <v>16764000</v>
      </c>
      <c r="Z28" s="56">
        <f t="shared" si="14"/>
        <v>12</v>
      </c>
      <c r="AA28" s="22" t="str">
        <f t="shared" si="15"/>
        <v>Bln</v>
      </c>
      <c r="AB28" s="49">
        <f t="shared" si="16"/>
        <v>100</v>
      </c>
      <c r="AC28" s="33" t="s">
        <v>57</v>
      </c>
      <c r="AD28" s="50">
        <f t="shared" si="17"/>
        <v>22849250</v>
      </c>
      <c r="AE28" s="49">
        <f t="shared" si="18"/>
        <v>57.364054026913038</v>
      </c>
      <c r="AF28" s="33" t="s">
        <v>57</v>
      </c>
      <c r="AG28" s="56">
        <f t="shared" si="19"/>
        <v>24</v>
      </c>
      <c r="AH28" s="22" t="str">
        <f t="shared" si="20"/>
        <v>Bln</v>
      </c>
      <c r="AI28" s="93">
        <f t="shared" si="21"/>
        <v>22849250</v>
      </c>
      <c r="AJ28" s="49"/>
      <c r="AK28" s="22" t="s">
        <v>57</v>
      </c>
      <c r="AL28" s="49"/>
      <c r="AM28" s="13"/>
      <c r="AP28" s="26"/>
    </row>
    <row r="29" spans="1:42" ht="75" x14ac:dyDescent="0.2">
      <c r="A29" s="18"/>
      <c r="B29" s="19"/>
      <c r="C29" s="27" t="s">
        <v>90</v>
      </c>
      <c r="D29" s="27" t="s">
        <v>158</v>
      </c>
      <c r="E29" s="21">
        <v>36</v>
      </c>
      <c r="F29" s="22" t="s">
        <v>169</v>
      </c>
      <c r="G29" s="48">
        <v>44814900</v>
      </c>
      <c r="H29" s="21">
        <v>12</v>
      </c>
      <c r="I29" s="22" t="s">
        <v>169</v>
      </c>
      <c r="J29" s="23"/>
      <c r="K29" s="21">
        <v>12</v>
      </c>
      <c r="L29" s="22" t="s">
        <v>56</v>
      </c>
      <c r="M29" s="24">
        <v>14663300</v>
      </c>
      <c r="N29" s="40">
        <v>3</v>
      </c>
      <c r="O29" s="22" t="str">
        <f t="shared" si="2"/>
        <v>Bln</v>
      </c>
      <c r="P29" s="24">
        <v>0</v>
      </c>
      <c r="Q29" s="40">
        <v>3</v>
      </c>
      <c r="R29" s="22" t="str">
        <f t="shared" si="3"/>
        <v>Bln</v>
      </c>
      <c r="S29" s="24">
        <v>2780000</v>
      </c>
      <c r="T29" s="40">
        <v>3</v>
      </c>
      <c r="U29" s="22" t="str">
        <f t="shared" si="4"/>
        <v>Bln</v>
      </c>
      <c r="V29" s="24">
        <v>2265000</v>
      </c>
      <c r="W29" s="40">
        <v>3</v>
      </c>
      <c r="X29" s="22" t="str">
        <f t="shared" si="5"/>
        <v>Bln</v>
      </c>
      <c r="Y29" s="24">
        <v>8925300</v>
      </c>
      <c r="Z29" s="56">
        <f t="shared" si="14"/>
        <v>12</v>
      </c>
      <c r="AA29" s="22" t="str">
        <f t="shared" si="15"/>
        <v>Bln</v>
      </c>
      <c r="AB29" s="49">
        <f t="shared" si="16"/>
        <v>100</v>
      </c>
      <c r="AC29" s="33" t="s">
        <v>57</v>
      </c>
      <c r="AD29" s="50">
        <f t="shared" si="17"/>
        <v>13970300</v>
      </c>
      <c r="AE29" s="49">
        <f t="shared" si="18"/>
        <v>95.273915148704589</v>
      </c>
      <c r="AF29" s="33" t="s">
        <v>57</v>
      </c>
      <c r="AG29" s="56">
        <f t="shared" si="19"/>
        <v>24</v>
      </c>
      <c r="AH29" s="22" t="str">
        <f t="shared" si="20"/>
        <v>Bln</v>
      </c>
      <c r="AI29" s="93">
        <f t="shared" si="21"/>
        <v>13970300</v>
      </c>
      <c r="AJ29" s="49"/>
      <c r="AK29" s="22" t="s">
        <v>57</v>
      </c>
      <c r="AL29" s="49"/>
      <c r="AM29" s="13"/>
      <c r="AP29" s="26"/>
    </row>
    <row r="30" spans="1:42" ht="120" x14ac:dyDescent="0.2">
      <c r="A30" s="18"/>
      <c r="B30" s="19"/>
      <c r="C30" s="27" t="s">
        <v>91</v>
      </c>
      <c r="D30" s="27" t="s">
        <v>159</v>
      </c>
      <c r="E30" s="21">
        <v>36</v>
      </c>
      <c r="F30" s="22" t="s">
        <v>169</v>
      </c>
      <c r="G30" s="48">
        <v>14400000</v>
      </c>
      <c r="H30" s="21">
        <v>12</v>
      </c>
      <c r="I30" s="22" t="s">
        <v>169</v>
      </c>
      <c r="J30" s="23"/>
      <c r="K30" s="21">
        <v>12</v>
      </c>
      <c r="L30" s="22" t="s">
        <v>56</v>
      </c>
      <c r="M30" s="24">
        <v>4800000</v>
      </c>
      <c r="N30" s="40">
        <v>3</v>
      </c>
      <c r="O30" s="22" t="str">
        <f t="shared" si="2"/>
        <v>Bln</v>
      </c>
      <c r="P30" s="24">
        <v>0</v>
      </c>
      <c r="Q30" s="40">
        <v>3</v>
      </c>
      <c r="R30" s="22" t="str">
        <f t="shared" si="3"/>
        <v>Bln</v>
      </c>
      <c r="S30" s="24">
        <v>290000</v>
      </c>
      <c r="T30" s="40">
        <v>3</v>
      </c>
      <c r="U30" s="22" t="str">
        <f t="shared" si="4"/>
        <v>Bln</v>
      </c>
      <c r="V30" s="24">
        <v>1450000</v>
      </c>
      <c r="W30" s="40">
        <v>3</v>
      </c>
      <c r="X30" s="22" t="str">
        <f t="shared" si="5"/>
        <v>Bln</v>
      </c>
      <c r="Y30" s="24">
        <v>1160000</v>
      </c>
      <c r="Z30" s="56">
        <f t="shared" si="14"/>
        <v>12</v>
      </c>
      <c r="AA30" s="22" t="str">
        <f t="shared" si="15"/>
        <v>Bln</v>
      </c>
      <c r="AB30" s="49">
        <f t="shared" si="16"/>
        <v>100</v>
      </c>
      <c r="AC30" s="33" t="s">
        <v>57</v>
      </c>
      <c r="AD30" s="50">
        <f t="shared" si="17"/>
        <v>2900000</v>
      </c>
      <c r="AE30" s="49">
        <f t="shared" si="18"/>
        <v>60.416666666666664</v>
      </c>
      <c r="AF30" s="33" t="s">
        <v>57</v>
      </c>
      <c r="AG30" s="56">
        <f t="shared" si="19"/>
        <v>24</v>
      </c>
      <c r="AH30" s="22" t="str">
        <f t="shared" si="20"/>
        <v>Bln</v>
      </c>
      <c r="AI30" s="93">
        <f t="shared" si="21"/>
        <v>2900000</v>
      </c>
      <c r="AJ30" s="49"/>
      <c r="AK30" s="22" t="s">
        <v>57</v>
      </c>
      <c r="AL30" s="49"/>
      <c r="AM30" s="13"/>
      <c r="AP30" s="26"/>
    </row>
    <row r="31" spans="1:42" ht="90" x14ac:dyDescent="0.2">
      <c r="A31" s="18"/>
      <c r="B31" s="19"/>
      <c r="C31" s="27" t="s">
        <v>92</v>
      </c>
      <c r="D31" s="27" t="s">
        <v>160</v>
      </c>
      <c r="E31" s="21">
        <v>36</v>
      </c>
      <c r="F31" s="22" t="s">
        <v>169</v>
      </c>
      <c r="G31" s="48">
        <v>690000000</v>
      </c>
      <c r="H31" s="21">
        <v>12</v>
      </c>
      <c r="I31" s="22" t="s">
        <v>169</v>
      </c>
      <c r="J31" s="23"/>
      <c r="K31" s="21">
        <v>12</v>
      </c>
      <c r="L31" s="22" t="s">
        <v>56</v>
      </c>
      <c r="M31" s="24">
        <v>225000000</v>
      </c>
      <c r="N31" s="40">
        <v>3</v>
      </c>
      <c r="O31" s="22" t="str">
        <f t="shared" si="2"/>
        <v>Bln</v>
      </c>
      <c r="P31" s="24">
        <v>0</v>
      </c>
      <c r="Q31" s="40">
        <v>3</v>
      </c>
      <c r="R31" s="22" t="str">
        <f t="shared" si="3"/>
        <v>Bln</v>
      </c>
      <c r="S31" s="24">
        <v>14110000</v>
      </c>
      <c r="T31" s="40">
        <v>3</v>
      </c>
      <c r="U31" s="22" t="str">
        <f t="shared" si="4"/>
        <v>Bln</v>
      </c>
      <c r="V31" s="24">
        <v>33180000</v>
      </c>
      <c r="W31" s="40">
        <v>3</v>
      </c>
      <c r="X31" s="22" t="str">
        <f t="shared" si="5"/>
        <v>Bln</v>
      </c>
      <c r="Y31" s="24">
        <v>118387483</v>
      </c>
      <c r="Z31" s="56">
        <f t="shared" si="14"/>
        <v>12</v>
      </c>
      <c r="AA31" s="22" t="str">
        <f t="shared" si="15"/>
        <v>Bln</v>
      </c>
      <c r="AB31" s="49">
        <f t="shared" si="16"/>
        <v>100</v>
      </c>
      <c r="AC31" s="33" t="s">
        <v>57</v>
      </c>
      <c r="AD31" s="50">
        <f t="shared" si="17"/>
        <v>165677483</v>
      </c>
      <c r="AE31" s="49">
        <f t="shared" si="18"/>
        <v>73.634436888888885</v>
      </c>
      <c r="AF31" s="33" t="s">
        <v>57</v>
      </c>
      <c r="AG31" s="56">
        <f t="shared" si="19"/>
        <v>24</v>
      </c>
      <c r="AH31" s="22" t="str">
        <f t="shared" si="20"/>
        <v>Bln</v>
      </c>
      <c r="AI31" s="93">
        <f t="shared" si="21"/>
        <v>165677483</v>
      </c>
      <c r="AJ31" s="49"/>
      <c r="AK31" s="22" t="s">
        <v>57</v>
      </c>
      <c r="AL31" s="49"/>
      <c r="AM31" s="13"/>
      <c r="AP31" s="26"/>
    </row>
    <row r="32" spans="1:42" ht="105.75" customHeight="1" x14ac:dyDescent="0.2">
      <c r="A32" s="18"/>
      <c r="B32" s="19"/>
      <c r="C32" s="20" t="s">
        <v>93</v>
      </c>
      <c r="D32" s="20" t="s">
        <v>161</v>
      </c>
      <c r="E32" s="41">
        <v>100</v>
      </c>
      <c r="F32" s="42" t="s">
        <v>57</v>
      </c>
      <c r="G32" s="39">
        <f>G33+G34+G35</f>
        <v>339593800</v>
      </c>
      <c r="H32" s="41">
        <v>100</v>
      </c>
      <c r="I32" s="42" t="s">
        <v>57</v>
      </c>
      <c r="J32" s="39"/>
      <c r="K32" s="77">
        <v>100</v>
      </c>
      <c r="L32" s="76" t="s">
        <v>57</v>
      </c>
      <c r="M32" s="39">
        <f>SUM(M33:M35)</f>
        <v>139298000</v>
      </c>
      <c r="N32" s="77">
        <v>25</v>
      </c>
      <c r="O32" s="76" t="str">
        <f t="shared" si="2"/>
        <v>%</v>
      </c>
      <c r="P32" s="39">
        <f>SUM(P33:P35)</f>
        <v>12000000</v>
      </c>
      <c r="Q32" s="77">
        <v>25</v>
      </c>
      <c r="R32" s="76" t="str">
        <f t="shared" si="3"/>
        <v>%</v>
      </c>
      <c r="S32" s="39">
        <f>SUM(S33:S35)</f>
        <v>28952817</v>
      </c>
      <c r="T32" s="77">
        <v>25</v>
      </c>
      <c r="U32" s="76" t="str">
        <f t="shared" si="4"/>
        <v>%</v>
      </c>
      <c r="V32" s="39">
        <f>SUM(V33:V35)</f>
        <v>28806150</v>
      </c>
      <c r="W32" s="77">
        <v>25</v>
      </c>
      <c r="X32" s="76" t="str">
        <f t="shared" si="5"/>
        <v>%</v>
      </c>
      <c r="Y32" s="39">
        <f>SUM(Y33:Y35)</f>
        <v>36998012</v>
      </c>
      <c r="Z32" s="55">
        <f t="shared" si="14"/>
        <v>100</v>
      </c>
      <c r="AA32" s="42" t="str">
        <f t="shared" si="15"/>
        <v>%</v>
      </c>
      <c r="AB32" s="53">
        <f t="shared" si="16"/>
        <v>100</v>
      </c>
      <c r="AC32" s="54" t="s">
        <v>57</v>
      </c>
      <c r="AD32" s="57">
        <f t="shared" si="17"/>
        <v>106756979</v>
      </c>
      <c r="AE32" s="53">
        <f t="shared" si="18"/>
        <v>76.639276227942972</v>
      </c>
      <c r="AF32" s="54" t="s">
        <v>57</v>
      </c>
      <c r="AG32" s="55">
        <f t="shared" si="19"/>
        <v>200</v>
      </c>
      <c r="AH32" s="42" t="str">
        <f t="shared" si="20"/>
        <v>%</v>
      </c>
      <c r="AI32" s="89">
        <f t="shared" si="21"/>
        <v>106756979</v>
      </c>
      <c r="AJ32" s="53"/>
      <c r="AK32" s="42" t="s">
        <v>57</v>
      </c>
      <c r="AL32" s="53"/>
      <c r="AM32" s="13"/>
      <c r="AP32" s="26"/>
    </row>
    <row r="33" spans="1:42" ht="75" x14ac:dyDescent="0.2">
      <c r="A33" s="18"/>
      <c r="B33" s="19"/>
      <c r="C33" s="27" t="s">
        <v>94</v>
      </c>
      <c r="D33" s="27" t="s">
        <v>162</v>
      </c>
      <c r="E33" s="21">
        <v>36</v>
      </c>
      <c r="F33" s="22" t="s">
        <v>169</v>
      </c>
      <c r="G33" s="48">
        <v>11100000</v>
      </c>
      <c r="H33" s="21">
        <v>12</v>
      </c>
      <c r="I33" s="22" t="s">
        <v>169</v>
      </c>
      <c r="J33" s="23"/>
      <c r="K33" s="40">
        <v>12</v>
      </c>
      <c r="L33" s="22" t="s">
        <v>56</v>
      </c>
      <c r="M33" s="24">
        <v>3700000</v>
      </c>
      <c r="N33" s="40">
        <v>3</v>
      </c>
      <c r="O33" s="22" t="str">
        <f t="shared" si="2"/>
        <v>Bln</v>
      </c>
      <c r="P33" s="24">
        <v>0</v>
      </c>
      <c r="Q33" s="40">
        <v>3</v>
      </c>
      <c r="R33" s="22" t="str">
        <f t="shared" si="3"/>
        <v>Bln</v>
      </c>
      <c r="S33" s="24">
        <v>0</v>
      </c>
      <c r="T33" s="40">
        <v>3</v>
      </c>
      <c r="U33" s="22" t="str">
        <f t="shared" si="4"/>
        <v>Bln</v>
      </c>
      <c r="V33" s="24">
        <v>0</v>
      </c>
      <c r="W33" s="40">
        <v>3</v>
      </c>
      <c r="X33" s="22" t="str">
        <f t="shared" si="5"/>
        <v>Bln</v>
      </c>
      <c r="Y33" s="24">
        <v>2190000</v>
      </c>
      <c r="Z33" s="56">
        <f t="shared" si="14"/>
        <v>12</v>
      </c>
      <c r="AA33" s="45" t="str">
        <f t="shared" si="15"/>
        <v>Bln</v>
      </c>
      <c r="AB33" s="49">
        <f t="shared" si="16"/>
        <v>100</v>
      </c>
      <c r="AC33" s="33" t="s">
        <v>57</v>
      </c>
      <c r="AD33" s="50">
        <f t="shared" si="17"/>
        <v>2190000</v>
      </c>
      <c r="AE33" s="49">
        <f t="shared" si="18"/>
        <v>59.189189189189186</v>
      </c>
      <c r="AF33" s="33" t="s">
        <v>57</v>
      </c>
      <c r="AG33" s="56">
        <f t="shared" si="19"/>
        <v>24</v>
      </c>
      <c r="AH33" s="22" t="str">
        <f t="shared" si="20"/>
        <v>Bln</v>
      </c>
      <c r="AI33" s="93">
        <f t="shared" si="21"/>
        <v>2190000</v>
      </c>
      <c r="AJ33" s="49"/>
      <c r="AK33" s="22" t="s">
        <v>57</v>
      </c>
      <c r="AL33" s="49"/>
      <c r="AM33" s="13"/>
      <c r="AP33" s="26"/>
    </row>
    <row r="34" spans="1:42" ht="120" x14ac:dyDescent="0.2">
      <c r="A34" s="18"/>
      <c r="B34" s="19"/>
      <c r="C34" s="27" t="s">
        <v>95</v>
      </c>
      <c r="D34" s="27" t="s">
        <v>163</v>
      </c>
      <c r="E34" s="21">
        <v>36</v>
      </c>
      <c r="F34" s="22" t="s">
        <v>169</v>
      </c>
      <c r="G34" s="48">
        <v>119277800</v>
      </c>
      <c r="H34" s="21">
        <v>12</v>
      </c>
      <c r="I34" s="22" t="s">
        <v>169</v>
      </c>
      <c r="J34" s="23"/>
      <c r="K34" s="40">
        <v>12</v>
      </c>
      <c r="L34" s="22" t="s">
        <v>56</v>
      </c>
      <c r="M34" s="24">
        <v>92784000</v>
      </c>
      <c r="N34" s="40">
        <v>3</v>
      </c>
      <c r="O34" s="22" t="str">
        <f t="shared" si="2"/>
        <v>Bln</v>
      </c>
      <c r="P34" s="24">
        <v>0</v>
      </c>
      <c r="Q34" s="40">
        <v>3</v>
      </c>
      <c r="R34" s="22" t="str">
        <f t="shared" si="3"/>
        <v>Bln</v>
      </c>
      <c r="S34" s="24">
        <v>19057017</v>
      </c>
      <c r="T34" s="40">
        <v>3</v>
      </c>
      <c r="U34" s="22" t="str">
        <f t="shared" si="4"/>
        <v>Bln</v>
      </c>
      <c r="V34" s="24">
        <v>21411750</v>
      </c>
      <c r="W34" s="40">
        <v>3</v>
      </c>
      <c r="X34" s="22" t="str">
        <f t="shared" si="5"/>
        <v>Bln</v>
      </c>
      <c r="Y34" s="24">
        <v>22713612</v>
      </c>
      <c r="Z34" s="56">
        <f t="shared" si="14"/>
        <v>12</v>
      </c>
      <c r="AA34" s="45" t="str">
        <f t="shared" si="15"/>
        <v>Bln</v>
      </c>
      <c r="AB34" s="49">
        <f t="shared" si="16"/>
        <v>100</v>
      </c>
      <c r="AC34" s="33" t="s">
        <v>57</v>
      </c>
      <c r="AD34" s="50">
        <f t="shared" si="17"/>
        <v>63182379</v>
      </c>
      <c r="AE34" s="49">
        <f t="shared" si="18"/>
        <v>68.096200853595448</v>
      </c>
      <c r="AF34" s="33" t="s">
        <v>57</v>
      </c>
      <c r="AG34" s="56">
        <f t="shared" si="19"/>
        <v>24</v>
      </c>
      <c r="AH34" s="22" t="str">
        <f t="shared" si="20"/>
        <v>Bln</v>
      </c>
      <c r="AI34" s="93">
        <f t="shared" si="21"/>
        <v>63182379</v>
      </c>
      <c r="AJ34" s="49"/>
      <c r="AK34" s="22" t="s">
        <v>57</v>
      </c>
      <c r="AL34" s="49"/>
      <c r="AM34" s="13"/>
      <c r="AP34" s="26"/>
    </row>
    <row r="35" spans="1:42" ht="90" x14ac:dyDescent="0.2">
      <c r="A35" s="18"/>
      <c r="B35" s="19"/>
      <c r="C35" s="27" t="s">
        <v>96</v>
      </c>
      <c r="D35" s="27" t="s">
        <v>164</v>
      </c>
      <c r="E35" s="21">
        <v>36</v>
      </c>
      <c r="F35" s="22" t="s">
        <v>169</v>
      </c>
      <c r="G35" s="48">
        <v>209216000</v>
      </c>
      <c r="H35" s="21">
        <v>12</v>
      </c>
      <c r="I35" s="22" t="s">
        <v>169</v>
      </c>
      <c r="J35" s="23"/>
      <c r="K35" s="40">
        <v>12</v>
      </c>
      <c r="L35" s="22" t="s">
        <v>56</v>
      </c>
      <c r="M35" s="24">
        <v>42814000</v>
      </c>
      <c r="N35" s="40">
        <v>3</v>
      </c>
      <c r="O35" s="22" t="str">
        <f t="shared" si="2"/>
        <v>Bln</v>
      </c>
      <c r="P35" s="24">
        <v>12000000</v>
      </c>
      <c r="Q35" s="40">
        <v>3</v>
      </c>
      <c r="R35" s="22" t="str">
        <f t="shared" si="3"/>
        <v>Bln</v>
      </c>
      <c r="S35" s="24">
        <v>9895800</v>
      </c>
      <c r="T35" s="40">
        <v>3</v>
      </c>
      <c r="U35" s="22" t="str">
        <f t="shared" si="4"/>
        <v>Bln</v>
      </c>
      <c r="V35" s="24">
        <v>7394400</v>
      </c>
      <c r="W35" s="40">
        <v>3</v>
      </c>
      <c r="X35" s="22" t="str">
        <f t="shared" si="5"/>
        <v>Bln</v>
      </c>
      <c r="Y35" s="24">
        <v>12094400</v>
      </c>
      <c r="Z35" s="56">
        <f t="shared" si="14"/>
        <v>12</v>
      </c>
      <c r="AA35" s="45" t="str">
        <f t="shared" si="15"/>
        <v>Bln</v>
      </c>
      <c r="AB35" s="49">
        <f t="shared" si="16"/>
        <v>100</v>
      </c>
      <c r="AC35" s="33" t="s">
        <v>57</v>
      </c>
      <c r="AD35" s="50">
        <f t="shared" si="17"/>
        <v>41384600</v>
      </c>
      <c r="AE35" s="49">
        <f t="shared" si="18"/>
        <v>96.661372448264586</v>
      </c>
      <c r="AF35" s="33" t="s">
        <v>57</v>
      </c>
      <c r="AG35" s="56">
        <f t="shared" si="19"/>
        <v>24</v>
      </c>
      <c r="AH35" s="22" t="str">
        <f t="shared" si="20"/>
        <v>Bln</v>
      </c>
      <c r="AI35" s="93">
        <f t="shared" si="21"/>
        <v>41384600</v>
      </c>
      <c r="AJ35" s="49"/>
      <c r="AK35" s="22" t="s">
        <v>57</v>
      </c>
      <c r="AL35" s="49"/>
      <c r="AM35" s="13"/>
      <c r="AP35" s="26"/>
    </row>
    <row r="36" spans="1:42" ht="110.25" x14ac:dyDescent="0.2">
      <c r="A36" s="18"/>
      <c r="B36" s="19"/>
      <c r="C36" s="20" t="s">
        <v>98</v>
      </c>
      <c r="D36" s="20" t="s">
        <v>154</v>
      </c>
      <c r="E36" s="41">
        <v>100</v>
      </c>
      <c r="F36" s="42" t="s">
        <v>57</v>
      </c>
      <c r="G36" s="39">
        <f>G37+G38+G39</f>
        <v>2849739726</v>
      </c>
      <c r="H36" s="41">
        <v>100</v>
      </c>
      <c r="I36" s="42" t="s">
        <v>57</v>
      </c>
      <c r="J36" s="39"/>
      <c r="K36" s="77">
        <v>100</v>
      </c>
      <c r="L36" s="76" t="s">
        <v>57</v>
      </c>
      <c r="M36" s="39">
        <f>SUM(M37:M39)</f>
        <v>700703810</v>
      </c>
      <c r="N36" s="77">
        <v>25</v>
      </c>
      <c r="O36" s="76" t="str">
        <f t="shared" si="2"/>
        <v>%</v>
      </c>
      <c r="P36" s="39">
        <f>SUM(P37:P39)</f>
        <v>6000000</v>
      </c>
      <c r="Q36" s="77">
        <v>25</v>
      </c>
      <c r="R36" s="76" t="str">
        <f t="shared" si="3"/>
        <v>%</v>
      </c>
      <c r="S36" s="39">
        <f>SUM(S37:S39)</f>
        <v>76869991</v>
      </c>
      <c r="T36" s="77">
        <v>25</v>
      </c>
      <c r="U36" s="76" t="str">
        <f t="shared" si="4"/>
        <v>%</v>
      </c>
      <c r="V36" s="39">
        <f>SUM(V37:V39)</f>
        <v>213309822</v>
      </c>
      <c r="W36" s="77">
        <v>25</v>
      </c>
      <c r="X36" s="76" t="str">
        <f t="shared" si="5"/>
        <v>%</v>
      </c>
      <c r="Y36" s="39">
        <f>SUM(Y37:Y39)</f>
        <v>300773352</v>
      </c>
      <c r="Z36" s="55">
        <f t="shared" si="14"/>
        <v>100</v>
      </c>
      <c r="AA36" s="79" t="str">
        <f t="shared" si="15"/>
        <v>%</v>
      </c>
      <c r="AB36" s="53">
        <f t="shared" si="16"/>
        <v>100</v>
      </c>
      <c r="AC36" s="54" t="s">
        <v>57</v>
      </c>
      <c r="AD36" s="57">
        <f t="shared" si="17"/>
        <v>596953165</v>
      </c>
      <c r="AE36" s="53">
        <f t="shared" si="18"/>
        <v>85.193366509595549</v>
      </c>
      <c r="AF36" s="54" t="s">
        <v>57</v>
      </c>
      <c r="AG36" s="55">
        <f t="shared" si="19"/>
        <v>200</v>
      </c>
      <c r="AH36" s="42" t="str">
        <f t="shared" si="20"/>
        <v>%</v>
      </c>
      <c r="AI36" s="89">
        <f t="shared" si="21"/>
        <v>596953165</v>
      </c>
      <c r="AJ36" s="53"/>
      <c r="AK36" s="42" t="s">
        <v>57</v>
      </c>
      <c r="AL36" s="53"/>
      <c r="AM36" s="13"/>
      <c r="AP36" s="26"/>
    </row>
    <row r="37" spans="1:42" ht="165" x14ac:dyDescent="0.2">
      <c r="A37" s="18"/>
      <c r="B37" s="19"/>
      <c r="C37" s="27" t="s">
        <v>97</v>
      </c>
      <c r="D37" s="27" t="s">
        <v>165</v>
      </c>
      <c r="E37" s="21">
        <v>36</v>
      </c>
      <c r="F37" s="22" t="s">
        <v>169</v>
      </c>
      <c r="G37" s="48">
        <v>628500000</v>
      </c>
      <c r="H37" s="21">
        <v>12</v>
      </c>
      <c r="I37" s="22" t="s">
        <v>169</v>
      </c>
      <c r="J37" s="23"/>
      <c r="K37" s="21">
        <v>12</v>
      </c>
      <c r="L37" s="22" t="s">
        <v>56</v>
      </c>
      <c r="M37" s="24">
        <v>256900000</v>
      </c>
      <c r="N37" s="44">
        <v>3</v>
      </c>
      <c r="O37" s="22" t="str">
        <f t="shared" si="2"/>
        <v>Bln</v>
      </c>
      <c r="P37" s="24">
        <v>6000000</v>
      </c>
      <c r="Q37" s="44">
        <v>3</v>
      </c>
      <c r="R37" s="22" t="str">
        <f t="shared" si="3"/>
        <v>Bln</v>
      </c>
      <c r="S37" s="24">
        <v>17349837</v>
      </c>
      <c r="T37" s="44">
        <v>3</v>
      </c>
      <c r="U37" s="22" t="str">
        <f t="shared" si="4"/>
        <v>Bln</v>
      </c>
      <c r="V37" s="24">
        <v>18659470</v>
      </c>
      <c r="W37" s="44">
        <v>3</v>
      </c>
      <c r="X37" s="22" t="str">
        <f t="shared" si="5"/>
        <v>Bln</v>
      </c>
      <c r="Y37" s="24">
        <v>113222326</v>
      </c>
      <c r="Z37" s="56">
        <f t="shared" si="14"/>
        <v>12</v>
      </c>
      <c r="AA37" s="22" t="str">
        <f t="shared" si="15"/>
        <v>Bln</v>
      </c>
      <c r="AB37" s="49">
        <f t="shared" si="16"/>
        <v>100</v>
      </c>
      <c r="AC37" s="33" t="s">
        <v>57</v>
      </c>
      <c r="AD37" s="50">
        <f t="shared" si="17"/>
        <v>155231633</v>
      </c>
      <c r="AE37" s="49">
        <f t="shared" si="18"/>
        <v>60.424925262748154</v>
      </c>
      <c r="AF37" s="33" t="s">
        <v>57</v>
      </c>
      <c r="AG37" s="56">
        <f t="shared" si="19"/>
        <v>24</v>
      </c>
      <c r="AH37" s="22" t="str">
        <f t="shared" si="20"/>
        <v>Bln</v>
      </c>
      <c r="AI37" s="93">
        <f t="shared" si="21"/>
        <v>155231633</v>
      </c>
      <c r="AJ37" s="49"/>
      <c r="AK37" s="22" t="s">
        <v>57</v>
      </c>
      <c r="AL37" s="49"/>
      <c r="AM37" s="13"/>
      <c r="AP37" s="26"/>
    </row>
    <row r="38" spans="1:42" ht="90" x14ac:dyDescent="0.2">
      <c r="A38" s="18"/>
      <c r="B38" s="19"/>
      <c r="C38" s="27" t="s">
        <v>171</v>
      </c>
      <c r="D38" s="27" t="s">
        <v>166</v>
      </c>
      <c r="E38" s="21">
        <v>36</v>
      </c>
      <c r="F38" s="45" t="s">
        <v>169</v>
      </c>
      <c r="G38" s="48">
        <v>2144374726</v>
      </c>
      <c r="H38" s="21">
        <v>12</v>
      </c>
      <c r="I38" s="45" t="s">
        <v>169</v>
      </c>
      <c r="J38" s="23"/>
      <c r="K38" s="21">
        <v>12</v>
      </c>
      <c r="L38" s="45" t="s">
        <v>56</v>
      </c>
      <c r="M38" s="24">
        <v>423753810</v>
      </c>
      <c r="N38" s="44">
        <v>3</v>
      </c>
      <c r="O38" s="22" t="str">
        <f t="shared" si="2"/>
        <v>Bln</v>
      </c>
      <c r="P38" s="24">
        <v>0</v>
      </c>
      <c r="Q38" s="44">
        <v>3</v>
      </c>
      <c r="R38" s="22" t="str">
        <f t="shared" si="3"/>
        <v>Bln</v>
      </c>
      <c r="S38" s="24">
        <v>56720154</v>
      </c>
      <c r="T38" s="44">
        <v>3</v>
      </c>
      <c r="U38" s="22" t="str">
        <f t="shared" si="4"/>
        <v>Bln</v>
      </c>
      <c r="V38" s="24">
        <v>191150352</v>
      </c>
      <c r="W38" s="44">
        <v>3</v>
      </c>
      <c r="X38" s="22" t="str">
        <f t="shared" si="5"/>
        <v>Bln</v>
      </c>
      <c r="Y38" s="24">
        <v>174101026</v>
      </c>
      <c r="Z38" s="56">
        <f t="shared" si="14"/>
        <v>12</v>
      </c>
      <c r="AA38" s="45" t="str">
        <f t="shared" si="15"/>
        <v>Bln</v>
      </c>
      <c r="AB38" s="49">
        <f t="shared" si="16"/>
        <v>100</v>
      </c>
      <c r="AC38" s="33" t="s">
        <v>57</v>
      </c>
      <c r="AD38" s="50">
        <f t="shared" si="17"/>
        <v>421971532</v>
      </c>
      <c r="AE38" s="49">
        <f t="shared" si="18"/>
        <v>99.579407203442017</v>
      </c>
      <c r="AF38" s="33" t="s">
        <v>57</v>
      </c>
      <c r="AG38" s="56">
        <f t="shared" si="19"/>
        <v>24</v>
      </c>
      <c r="AH38" s="22" t="str">
        <f t="shared" si="20"/>
        <v>Bln</v>
      </c>
      <c r="AI38" s="93">
        <f t="shared" si="21"/>
        <v>421971532</v>
      </c>
      <c r="AJ38" s="49"/>
      <c r="AK38" s="22" t="s">
        <v>57</v>
      </c>
      <c r="AL38" s="49"/>
      <c r="AM38" s="13"/>
      <c r="AP38" s="26"/>
    </row>
    <row r="39" spans="1:42" ht="120" x14ac:dyDescent="0.2">
      <c r="A39" s="18"/>
      <c r="B39" s="19"/>
      <c r="C39" s="27" t="s">
        <v>167</v>
      </c>
      <c r="D39" s="27" t="s">
        <v>170</v>
      </c>
      <c r="E39" s="21">
        <v>36</v>
      </c>
      <c r="F39" s="45" t="s">
        <v>169</v>
      </c>
      <c r="G39" s="48">
        <v>76865000</v>
      </c>
      <c r="H39" s="21">
        <v>12</v>
      </c>
      <c r="I39" s="45" t="s">
        <v>169</v>
      </c>
      <c r="J39" s="23"/>
      <c r="K39" s="21">
        <v>12</v>
      </c>
      <c r="L39" s="45" t="s">
        <v>56</v>
      </c>
      <c r="M39" s="24">
        <v>20050000</v>
      </c>
      <c r="N39" s="44">
        <v>3</v>
      </c>
      <c r="O39" s="22" t="str">
        <f t="shared" si="2"/>
        <v>Bln</v>
      </c>
      <c r="P39" s="24">
        <v>0</v>
      </c>
      <c r="Q39" s="44">
        <v>3</v>
      </c>
      <c r="R39" s="22" t="str">
        <f t="shared" si="3"/>
        <v>Bln</v>
      </c>
      <c r="S39" s="24">
        <v>2800000</v>
      </c>
      <c r="T39" s="44">
        <v>3</v>
      </c>
      <c r="U39" s="22" t="str">
        <f t="shared" si="4"/>
        <v>Bln</v>
      </c>
      <c r="V39" s="24">
        <v>3500000</v>
      </c>
      <c r="W39" s="44">
        <v>3</v>
      </c>
      <c r="X39" s="22" t="str">
        <f t="shared" si="5"/>
        <v>Bln</v>
      </c>
      <c r="Y39" s="24">
        <v>13450000</v>
      </c>
      <c r="Z39" s="56">
        <f t="shared" si="14"/>
        <v>12</v>
      </c>
      <c r="AA39" s="45" t="str">
        <f t="shared" si="15"/>
        <v>Bln</v>
      </c>
      <c r="AB39" s="49">
        <f t="shared" si="16"/>
        <v>100</v>
      </c>
      <c r="AC39" s="33" t="s">
        <v>57</v>
      </c>
      <c r="AD39" s="50">
        <f t="shared" si="17"/>
        <v>19750000</v>
      </c>
      <c r="AE39" s="49">
        <f t="shared" si="18"/>
        <v>98.503740648379051</v>
      </c>
      <c r="AF39" s="33" t="s">
        <v>57</v>
      </c>
      <c r="AG39" s="56">
        <f t="shared" si="19"/>
        <v>24</v>
      </c>
      <c r="AH39" s="22" t="str">
        <f t="shared" si="20"/>
        <v>Bln</v>
      </c>
      <c r="AI39" s="93">
        <f t="shared" si="21"/>
        <v>19750000</v>
      </c>
      <c r="AJ39" s="49"/>
      <c r="AK39" s="22" t="s">
        <v>57</v>
      </c>
      <c r="AL39" s="49"/>
      <c r="AM39" s="13"/>
      <c r="AP39" s="26"/>
    </row>
    <row r="40" spans="1:42" ht="110.25" x14ac:dyDescent="0.2">
      <c r="A40" s="46">
        <v>13</v>
      </c>
      <c r="B40" s="47" t="s">
        <v>60</v>
      </c>
      <c r="C40" s="20" t="s">
        <v>99</v>
      </c>
      <c r="D40" s="20" t="s">
        <v>184</v>
      </c>
      <c r="E40" s="43" t="s">
        <v>172</v>
      </c>
      <c r="F40" s="42" t="s">
        <v>57</v>
      </c>
      <c r="G40" s="39">
        <f>G41</f>
        <v>958361850</v>
      </c>
      <c r="H40" s="43">
        <f>155/573*100</f>
        <v>27.05061082024433</v>
      </c>
      <c r="I40" s="42" t="s">
        <v>57</v>
      </c>
      <c r="J40" s="107"/>
      <c r="K40" s="43">
        <f>155/478*100</f>
        <v>32.42677824267782</v>
      </c>
      <c r="L40" s="42" t="s">
        <v>57</v>
      </c>
      <c r="M40" s="39">
        <f>SUM(M41)</f>
        <v>4674681700</v>
      </c>
      <c r="N40" s="43">
        <v>5.38</v>
      </c>
      <c r="O40" s="42" t="str">
        <f t="shared" si="2"/>
        <v>%</v>
      </c>
      <c r="P40" s="39">
        <f>SUM(P41)</f>
        <v>1407950000</v>
      </c>
      <c r="Q40" s="43">
        <v>0</v>
      </c>
      <c r="R40" s="42" t="str">
        <f t="shared" si="3"/>
        <v>%</v>
      </c>
      <c r="S40" s="39">
        <f>SUM(S41)</f>
        <v>1087603000</v>
      </c>
      <c r="T40" s="43">
        <v>0</v>
      </c>
      <c r="U40" s="42" t="str">
        <f t="shared" si="4"/>
        <v>%</v>
      </c>
      <c r="V40" s="39">
        <f>SUM(V41)</f>
        <v>789578242</v>
      </c>
      <c r="W40" s="43">
        <v>0</v>
      </c>
      <c r="X40" s="42" t="str">
        <f t="shared" si="5"/>
        <v>%</v>
      </c>
      <c r="Y40" s="39">
        <f>SUM(Y41)</f>
        <v>1160455542</v>
      </c>
      <c r="Z40" s="53">
        <f t="shared" si="14"/>
        <v>5.38</v>
      </c>
      <c r="AA40" s="78" t="str">
        <f t="shared" si="15"/>
        <v>%</v>
      </c>
      <c r="AB40" s="55">
        <f>AG40/K40*100</f>
        <v>100.01181917468899</v>
      </c>
      <c r="AC40" s="54" t="s">
        <v>57</v>
      </c>
      <c r="AD40" s="57">
        <f t="shared" si="17"/>
        <v>4445586784</v>
      </c>
      <c r="AE40" s="53">
        <f t="shared" si="18"/>
        <v>95.099240318330118</v>
      </c>
      <c r="AF40" s="54" t="s">
        <v>57</v>
      </c>
      <c r="AG40" s="53">
        <f t="shared" si="19"/>
        <v>32.430610820244333</v>
      </c>
      <c r="AH40" s="42" t="str">
        <f t="shared" si="20"/>
        <v>%</v>
      </c>
      <c r="AI40" s="89">
        <f t="shared" si="21"/>
        <v>4445586784</v>
      </c>
      <c r="AJ40" s="53"/>
      <c r="AK40" s="42" t="s">
        <v>57</v>
      </c>
      <c r="AL40" s="53"/>
      <c r="AM40" s="13"/>
      <c r="AP40" s="26"/>
    </row>
    <row r="41" spans="1:42" ht="146.25" customHeight="1" x14ac:dyDescent="0.2">
      <c r="A41" s="18"/>
      <c r="B41" s="19"/>
      <c r="C41" s="20" t="s">
        <v>100</v>
      </c>
      <c r="D41" s="20" t="s">
        <v>183</v>
      </c>
      <c r="E41" s="85">
        <v>100</v>
      </c>
      <c r="F41" s="42" t="s">
        <v>57</v>
      </c>
      <c r="G41" s="39">
        <f>G42+G43+G45+G46</f>
        <v>958361850</v>
      </c>
      <c r="H41" s="43">
        <f>SUM(H42:H45)/573*100</f>
        <v>48.167539267015705</v>
      </c>
      <c r="I41" s="42" t="s">
        <v>57</v>
      </c>
      <c r="J41" s="39"/>
      <c r="K41" s="43">
        <f>SUM(K42:K46)/478*100</f>
        <v>63.807531380753133</v>
      </c>
      <c r="L41" s="42" t="s">
        <v>57</v>
      </c>
      <c r="M41" s="39">
        <f>SUM(M42:M46)</f>
        <v>4674681700</v>
      </c>
      <c r="N41" s="43">
        <f>SUM(N42:N46)/478*100</f>
        <v>38.493723849372387</v>
      </c>
      <c r="O41" s="42" t="str">
        <f t="shared" si="2"/>
        <v>%</v>
      </c>
      <c r="P41" s="39">
        <f>SUM(P42:P46)</f>
        <v>1407950000</v>
      </c>
      <c r="Q41" s="43">
        <f>SUM(Q42:Q46)/478*100</f>
        <v>8.99581589958159</v>
      </c>
      <c r="R41" s="42" t="str">
        <f t="shared" si="3"/>
        <v>%</v>
      </c>
      <c r="S41" s="39">
        <f>SUM(S42:S46)</f>
        <v>1087603000</v>
      </c>
      <c r="T41" s="43">
        <f>SUM(T42:T46)/478*100</f>
        <v>3.3472803347280333</v>
      </c>
      <c r="U41" s="42" t="str">
        <f t="shared" si="4"/>
        <v>%</v>
      </c>
      <c r="V41" s="39">
        <f>SUM(V42:V46)</f>
        <v>789578242</v>
      </c>
      <c r="W41" s="43">
        <f>SUM(W42:W46)/478*100</f>
        <v>3.3472803347280333</v>
      </c>
      <c r="X41" s="42" t="str">
        <f t="shared" si="5"/>
        <v>%</v>
      </c>
      <c r="Y41" s="39">
        <f>SUM(Y42:Y46)</f>
        <v>1160455542</v>
      </c>
      <c r="Z41" s="53">
        <f t="shared" si="14"/>
        <v>54.18410041841004</v>
      </c>
      <c r="AA41" s="78" t="str">
        <f t="shared" si="15"/>
        <v>%</v>
      </c>
      <c r="AB41" s="53">
        <f t="shared" si="16"/>
        <v>84.918032786885249</v>
      </c>
      <c r="AC41" s="54" t="s">
        <v>57</v>
      </c>
      <c r="AD41" s="57">
        <f t="shared" si="17"/>
        <v>4445586784</v>
      </c>
      <c r="AE41" s="53">
        <f t="shared" si="18"/>
        <v>95.099240318330118</v>
      </c>
      <c r="AF41" s="54" t="s">
        <v>57</v>
      </c>
      <c r="AG41" s="55">
        <f t="shared" si="19"/>
        <v>102.35163968542574</v>
      </c>
      <c r="AH41" s="42" t="str">
        <f t="shared" si="20"/>
        <v>%</v>
      </c>
      <c r="AI41" s="89">
        <f t="shared" si="21"/>
        <v>4445586784</v>
      </c>
      <c r="AJ41" s="53"/>
      <c r="AK41" s="42" t="s">
        <v>57</v>
      </c>
      <c r="AL41" s="53"/>
      <c r="AM41" s="13"/>
      <c r="AP41" s="26"/>
    </row>
    <row r="42" spans="1:42" ht="120" customHeight="1" x14ac:dyDescent="0.2">
      <c r="A42" s="18"/>
      <c r="B42" s="19"/>
      <c r="C42" s="27" t="s">
        <v>101</v>
      </c>
      <c r="D42" s="27" t="s">
        <v>137</v>
      </c>
      <c r="E42" s="21">
        <v>35</v>
      </c>
      <c r="F42" s="22" t="s">
        <v>168</v>
      </c>
      <c r="G42" s="48">
        <f>M42+99200000+M42</f>
        <v>339949800</v>
      </c>
      <c r="H42" s="40">
        <v>25</v>
      </c>
      <c r="I42" s="22" t="s">
        <v>168</v>
      </c>
      <c r="J42" s="23"/>
      <c r="K42" s="21">
        <v>25</v>
      </c>
      <c r="L42" s="22" t="s">
        <v>132</v>
      </c>
      <c r="M42" s="24">
        <v>120374900</v>
      </c>
      <c r="N42" s="21">
        <v>25</v>
      </c>
      <c r="O42" s="22" t="str">
        <f t="shared" si="2"/>
        <v>Org</v>
      </c>
      <c r="P42" s="24">
        <v>30000000</v>
      </c>
      <c r="Q42" s="21">
        <v>0</v>
      </c>
      <c r="R42" s="22" t="str">
        <f t="shared" si="3"/>
        <v>Org</v>
      </c>
      <c r="S42" s="24">
        <v>22500000</v>
      </c>
      <c r="T42" s="21">
        <v>0</v>
      </c>
      <c r="U42" s="22" t="str">
        <f t="shared" si="4"/>
        <v>Org</v>
      </c>
      <c r="V42" s="24">
        <v>19750000</v>
      </c>
      <c r="W42" s="21">
        <v>0</v>
      </c>
      <c r="X42" s="22" t="str">
        <f t="shared" si="5"/>
        <v>Org</v>
      </c>
      <c r="Y42" s="24">
        <v>27500000</v>
      </c>
      <c r="Z42" s="56">
        <f t="shared" si="14"/>
        <v>25</v>
      </c>
      <c r="AA42" s="80" t="str">
        <f t="shared" si="15"/>
        <v>Org</v>
      </c>
      <c r="AB42" s="56">
        <f t="shared" si="16"/>
        <v>100</v>
      </c>
      <c r="AC42" s="33" t="s">
        <v>57</v>
      </c>
      <c r="AD42" s="50">
        <f t="shared" si="17"/>
        <v>99750000</v>
      </c>
      <c r="AE42" s="49">
        <f t="shared" si="18"/>
        <v>82.866112453675981</v>
      </c>
      <c r="AF42" s="33" t="s">
        <v>57</v>
      </c>
      <c r="AG42" s="56">
        <f t="shared" si="19"/>
        <v>50</v>
      </c>
      <c r="AH42" s="22" t="str">
        <f t="shared" si="20"/>
        <v>Org</v>
      </c>
      <c r="AI42" s="93">
        <f t="shared" si="21"/>
        <v>99750000</v>
      </c>
      <c r="AJ42" s="49"/>
      <c r="AK42" s="22" t="s">
        <v>57</v>
      </c>
      <c r="AL42" s="49"/>
      <c r="AM42" s="13"/>
      <c r="AP42" s="26"/>
    </row>
    <row r="43" spans="1:42" ht="150" x14ac:dyDescent="0.2">
      <c r="A43" s="18"/>
      <c r="B43" s="19"/>
      <c r="C43" s="27" t="s">
        <v>102</v>
      </c>
      <c r="D43" s="103" t="s">
        <v>138</v>
      </c>
      <c r="E43" s="21">
        <v>11</v>
      </c>
      <c r="F43" s="22" t="s">
        <v>132</v>
      </c>
      <c r="G43" s="48">
        <f>M43+174387500+M43</f>
        <v>562757100</v>
      </c>
      <c r="H43" s="40">
        <v>11</v>
      </c>
      <c r="I43" s="22" t="s">
        <v>132</v>
      </c>
      <c r="J43" s="23"/>
      <c r="K43" s="21">
        <v>11</v>
      </c>
      <c r="L43" s="22" t="s">
        <v>132</v>
      </c>
      <c r="M43" s="24">
        <v>194184800</v>
      </c>
      <c r="N43" s="21">
        <v>11</v>
      </c>
      <c r="O43" s="22" t="str">
        <f t="shared" si="2"/>
        <v>Org</v>
      </c>
      <c r="P43" s="24">
        <v>57200000</v>
      </c>
      <c r="Q43" s="21">
        <v>0</v>
      </c>
      <c r="R43" s="22" t="str">
        <f t="shared" si="3"/>
        <v>Org</v>
      </c>
      <c r="S43" s="24">
        <v>42900000</v>
      </c>
      <c r="T43" s="21">
        <v>0</v>
      </c>
      <c r="U43" s="22" t="str">
        <f t="shared" si="4"/>
        <v>Org</v>
      </c>
      <c r="V43" s="24">
        <v>28600000</v>
      </c>
      <c r="W43" s="21">
        <v>0</v>
      </c>
      <c r="X43" s="22" t="str">
        <f t="shared" si="5"/>
        <v>Org</v>
      </c>
      <c r="Y43" s="24">
        <v>48827300</v>
      </c>
      <c r="Z43" s="56">
        <f t="shared" si="14"/>
        <v>11</v>
      </c>
      <c r="AA43" s="80" t="str">
        <f t="shared" si="15"/>
        <v>Org</v>
      </c>
      <c r="AB43" s="56">
        <f t="shared" si="16"/>
        <v>100</v>
      </c>
      <c r="AC43" s="33" t="s">
        <v>57</v>
      </c>
      <c r="AD43" s="50">
        <f t="shared" si="17"/>
        <v>177527300</v>
      </c>
      <c r="AE43" s="49">
        <f t="shared" si="18"/>
        <v>91.421831162892246</v>
      </c>
      <c r="AF43" s="33" t="s">
        <v>57</v>
      </c>
      <c r="AG43" s="56">
        <f t="shared" si="19"/>
        <v>22</v>
      </c>
      <c r="AH43" s="22" t="str">
        <f t="shared" si="20"/>
        <v>Org</v>
      </c>
      <c r="AI43" s="93">
        <f t="shared" si="21"/>
        <v>177527300</v>
      </c>
      <c r="AJ43" s="49"/>
      <c r="AK43" s="22" t="s">
        <v>57</v>
      </c>
      <c r="AL43" s="49"/>
      <c r="AM43" s="13"/>
      <c r="AP43" s="26"/>
    </row>
    <row r="44" spans="1:42" ht="135" x14ac:dyDescent="0.2">
      <c r="A44" s="18"/>
      <c r="B44" s="19"/>
      <c r="C44" s="27" t="s">
        <v>103</v>
      </c>
      <c r="D44" s="27" t="s">
        <v>179</v>
      </c>
      <c r="E44" s="21">
        <v>268</v>
      </c>
      <c r="F44" s="45" t="s">
        <v>181</v>
      </c>
      <c r="G44" s="102">
        <f>M44+4622874100*2</f>
        <v>13585068500</v>
      </c>
      <c r="H44" s="21">
        <v>16</v>
      </c>
      <c r="I44" s="45" t="s">
        <v>181</v>
      </c>
      <c r="J44" s="23"/>
      <c r="K44" s="21">
        <v>44</v>
      </c>
      <c r="L44" s="45" t="s">
        <v>181</v>
      </c>
      <c r="M44" s="24">
        <v>4339320300</v>
      </c>
      <c r="N44" s="21">
        <v>0</v>
      </c>
      <c r="O44" s="45" t="str">
        <f t="shared" ref="O44" si="22">L44</f>
        <v>Buah</v>
      </c>
      <c r="P44" s="24">
        <v>1320750000</v>
      </c>
      <c r="Q44" s="21">
        <v>0</v>
      </c>
      <c r="R44" s="45" t="str">
        <f t="shared" ref="R44" si="23">L44</f>
        <v>Buah</v>
      </c>
      <c r="S44" s="24">
        <v>1022203000</v>
      </c>
      <c r="T44" s="21">
        <v>16</v>
      </c>
      <c r="U44" s="45" t="str">
        <f t="shared" ref="U44" si="24">O44</f>
        <v>Buah</v>
      </c>
      <c r="V44" s="24">
        <v>732228242</v>
      </c>
      <c r="W44" s="21">
        <v>16</v>
      </c>
      <c r="X44" s="45" t="str">
        <f t="shared" si="5"/>
        <v>Buah</v>
      </c>
      <c r="Y44" s="24">
        <v>1082328242</v>
      </c>
      <c r="Z44" s="56">
        <f>SUM(N44,Q44,T44,W44)</f>
        <v>32</v>
      </c>
      <c r="AA44" s="81" t="str">
        <f t="shared" ref="AA44" si="25">L44</f>
        <v>Buah</v>
      </c>
      <c r="AB44" s="49">
        <f t="shared" ref="AB44" si="26">Z44/K44*100</f>
        <v>72.727272727272734</v>
      </c>
      <c r="AC44" s="33" t="s">
        <v>57</v>
      </c>
      <c r="AD44" s="50">
        <f t="shared" ref="AD44" si="27">SUM(P44,S44,V44,Y44)</f>
        <v>4157509484</v>
      </c>
      <c r="AE44" s="49">
        <f t="shared" ref="AE44" si="28">AD44/M44*100</f>
        <v>95.810154507377575</v>
      </c>
      <c r="AF44" s="33" t="s">
        <v>57</v>
      </c>
      <c r="AG44" s="56">
        <f t="shared" ref="AG44" si="29">SUM(H44,Z44)</f>
        <v>48</v>
      </c>
      <c r="AH44" s="22" t="str">
        <f t="shared" ref="AH44" si="30">O44</f>
        <v>Buah</v>
      </c>
      <c r="AI44" s="93">
        <f t="shared" ref="AI44" si="31">SUM(J44,AD44)</f>
        <v>4157509484</v>
      </c>
      <c r="AJ44" s="49"/>
      <c r="AK44" s="22" t="s">
        <v>57</v>
      </c>
      <c r="AL44" s="49"/>
      <c r="AM44" s="13"/>
      <c r="AP44" s="26"/>
    </row>
    <row r="45" spans="1:42" ht="135" x14ac:dyDescent="0.2">
      <c r="A45" s="18"/>
      <c r="B45" s="19"/>
      <c r="C45" s="27"/>
      <c r="D45" s="27" t="s">
        <v>180</v>
      </c>
      <c r="E45" s="21">
        <v>268</v>
      </c>
      <c r="F45" s="45" t="s">
        <v>132</v>
      </c>
      <c r="G45" s="102"/>
      <c r="H45" s="21">
        <f>148+76</f>
        <v>224</v>
      </c>
      <c r="I45" s="45" t="s">
        <v>132</v>
      </c>
      <c r="J45" s="23"/>
      <c r="K45" s="21">
        <f>148+76</f>
        <v>224</v>
      </c>
      <c r="L45" s="45" t="s">
        <v>132</v>
      </c>
      <c r="M45" s="24"/>
      <c r="N45" s="21">
        <v>148</v>
      </c>
      <c r="O45" s="45" t="str">
        <f t="shared" si="2"/>
        <v>Org</v>
      </c>
      <c r="P45" s="24"/>
      <c r="Q45" s="21">
        <v>42</v>
      </c>
      <c r="R45" s="45" t="str">
        <f t="shared" si="3"/>
        <v>Org</v>
      </c>
      <c r="S45" s="24"/>
      <c r="T45" s="21">
        <v>0</v>
      </c>
      <c r="U45" s="45" t="str">
        <f t="shared" si="4"/>
        <v>Org</v>
      </c>
      <c r="V45" s="24"/>
      <c r="W45" s="21">
        <v>0</v>
      </c>
      <c r="X45" s="45" t="str">
        <f t="shared" si="5"/>
        <v>Org</v>
      </c>
      <c r="Y45" s="24"/>
      <c r="Z45" s="56">
        <f>SUM(N45,Q45,T45,W45)</f>
        <v>190</v>
      </c>
      <c r="AA45" s="81" t="str">
        <f t="shared" si="15"/>
        <v>Org</v>
      </c>
      <c r="AB45" s="49">
        <f t="shared" si="16"/>
        <v>84.821428571428569</v>
      </c>
      <c r="AC45" s="33" t="s">
        <v>57</v>
      </c>
      <c r="AD45" s="50"/>
      <c r="AE45" s="49"/>
      <c r="AF45" s="33"/>
      <c r="AG45" s="56">
        <f t="shared" si="19"/>
        <v>414</v>
      </c>
      <c r="AH45" s="22" t="str">
        <f t="shared" si="20"/>
        <v>Org</v>
      </c>
      <c r="AI45" s="93"/>
      <c r="AJ45" s="49"/>
      <c r="AK45" s="22" t="s">
        <v>57</v>
      </c>
      <c r="AL45" s="49"/>
      <c r="AM45" s="13"/>
      <c r="AP45" s="26"/>
    </row>
    <row r="46" spans="1:42" ht="137.25" customHeight="1" x14ac:dyDescent="0.2">
      <c r="A46" s="18"/>
      <c r="B46" s="19"/>
      <c r="C46" s="27" t="s">
        <v>104</v>
      </c>
      <c r="D46" s="27" t="s">
        <v>182</v>
      </c>
      <c r="E46" s="21">
        <f>K46*3</f>
        <v>3</v>
      </c>
      <c r="F46" s="45" t="s">
        <v>133</v>
      </c>
      <c r="G46" s="48">
        <f>M46+14051550+M46</f>
        <v>55654950</v>
      </c>
      <c r="H46" s="40">
        <v>1</v>
      </c>
      <c r="I46" s="45" t="s">
        <v>133</v>
      </c>
      <c r="J46" s="23"/>
      <c r="K46" s="21">
        <v>1</v>
      </c>
      <c r="L46" s="45" t="s">
        <v>133</v>
      </c>
      <c r="M46" s="24">
        <v>20801700</v>
      </c>
      <c r="N46" s="21">
        <v>0</v>
      </c>
      <c r="O46" s="45" t="str">
        <f t="shared" si="2"/>
        <v>Lembaga</v>
      </c>
      <c r="P46" s="24">
        <v>0</v>
      </c>
      <c r="Q46" s="21">
        <v>1</v>
      </c>
      <c r="R46" s="45" t="str">
        <f t="shared" si="3"/>
        <v>Lembaga</v>
      </c>
      <c r="S46" s="24">
        <v>0</v>
      </c>
      <c r="T46" s="21">
        <v>0</v>
      </c>
      <c r="U46" s="45" t="str">
        <f t="shared" si="4"/>
        <v>Lembaga</v>
      </c>
      <c r="V46" s="24">
        <v>9000000</v>
      </c>
      <c r="W46" s="21">
        <v>0</v>
      </c>
      <c r="X46" s="45" t="str">
        <f t="shared" si="5"/>
        <v>Lembaga</v>
      </c>
      <c r="Y46" s="24">
        <v>1800000</v>
      </c>
      <c r="Z46" s="56">
        <f t="shared" si="14"/>
        <v>1</v>
      </c>
      <c r="AA46" s="81" t="str">
        <f t="shared" si="15"/>
        <v>Lembaga</v>
      </c>
      <c r="AB46" s="49">
        <f t="shared" si="16"/>
        <v>100</v>
      </c>
      <c r="AC46" s="33" t="s">
        <v>57</v>
      </c>
      <c r="AD46" s="50">
        <f t="shared" si="17"/>
        <v>10800000</v>
      </c>
      <c r="AE46" s="49">
        <f t="shared" si="18"/>
        <v>51.918833556872755</v>
      </c>
      <c r="AF46" s="33" t="s">
        <v>57</v>
      </c>
      <c r="AG46" s="56">
        <f t="shared" si="19"/>
        <v>2</v>
      </c>
      <c r="AH46" s="45" t="str">
        <f t="shared" si="20"/>
        <v>Lembaga</v>
      </c>
      <c r="AI46" s="93">
        <f t="shared" si="21"/>
        <v>10800000</v>
      </c>
      <c r="AJ46" s="49"/>
      <c r="AK46" s="22" t="s">
        <v>57</v>
      </c>
      <c r="AL46" s="49"/>
      <c r="AM46" s="13"/>
      <c r="AP46" s="26"/>
    </row>
    <row r="47" spans="1:42" ht="126" x14ac:dyDescent="0.2">
      <c r="A47" s="18"/>
      <c r="B47" s="19"/>
      <c r="C47" s="20" t="s">
        <v>105</v>
      </c>
      <c r="D47" s="83" t="s">
        <v>185</v>
      </c>
      <c r="E47" s="41">
        <v>100</v>
      </c>
      <c r="F47" s="42" t="s">
        <v>57</v>
      </c>
      <c r="G47" s="100">
        <f>G48+G52</f>
        <v>38719446040</v>
      </c>
      <c r="H47" s="43">
        <f>305/9963*100</f>
        <v>3.0613269095653921</v>
      </c>
      <c r="I47" s="42" t="s">
        <v>57</v>
      </c>
      <c r="J47" s="108"/>
      <c r="K47" s="43">
        <f>385/7660*100</f>
        <v>5.0261096605744129</v>
      </c>
      <c r="L47" s="42" t="s">
        <v>57</v>
      </c>
      <c r="M47" s="39">
        <f>SUM(M48,M52)</f>
        <v>20165138345</v>
      </c>
      <c r="N47" s="43">
        <v>0.91867309043460788</v>
      </c>
      <c r="O47" s="42" t="str">
        <f t="shared" si="2"/>
        <v>%</v>
      </c>
      <c r="P47" s="39">
        <f>SUM(P48,P52)</f>
        <v>0</v>
      </c>
      <c r="Q47" s="43">
        <v>0.39000000000000012</v>
      </c>
      <c r="R47" s="42" t="str">
        <f t="shared" si="3"/>
        <v>%</v>
      </c>
      <c r="S47" s="39">
        <f>SUM(S48,S52)</f>
        <v>9101483400</v>
      </c>
      <c r="T47" s="43">
        <v>0</v>
      </c>
      <c r="U47" s="42" t="str">
        <f t="shared" si="4"/>
        <v>%</v>
      </c>
      <c r="V47" s="39">
        <f>SUM(V48,V52)</f>
        <v>693510350</v>
      </c>
      <c r="W47" s="43">
        <v>0</v>
      </c>
      <c r="X47" s="42" t="str">
        <f t="shared" si="5"/>
        <v>%</v>
      </c>
      <c r="Y47" s="39">
        <f>SUM(Y48,Y52)</f>
        <v>7526493375</v>
      </c>
      <c r="Z47" s="53">
        <f t="shared" si="14"/>
        <v>1.308673090434608</v>
      </c>
      <c r="AA47" s="78" t="str">
        <f t="shared" si="15"/>
        <v>%</v>
      </c>
      <c r="AB47" s="53">
        <f>AG47/K47*100</f>
        <v>86.945974025974024</v>
      </c>
      <c r="AC47" s="54" t="s">
        <v>57</v>
      </c>
      <c r="AD47" s="57">
        <f t="shared" si="17"/>
        <v>17321487125</v>
      </c>
      <c r="AE47" s="53">
        <f t="shared" si="18"/>
        <v>85.898181448851346</v>
      </c>
      <c r="AF47" s="54" t="s">
        <v>57</v>
      </c>
      <c r="AG47" s="53">
        <f t="shared" si="19"/>
        <v>4.37</v>
      </c>
      <c r="AH47" s="42" t="str">
        <f t="shared" si="20"/>
        <v>%</v>
      </c>
      <c r="AI47" s="89">
        <f t="shared" si="21"/>
        <v>17321487125</v>
      </c>
      <c r="AJ47" s="53"/>
      <c r="AK47" s="42" t="s">
        <v>57</v>
      </c>
      <c r="AL47" s="53"/>
      <c r="AM47" s="13"/>
      <c r="AP47" s="26"/>
    </row>
    <row r="48" spans="1:42" ht="201" customHeight="1" x14ac:dyDescent="0.2">
      <c r="A48" s="18"/>
      <c r="B48" s="19"/>
      <c r="C48" s="20" t="s">
        <v>106</v>
      </c>
      <c r="D48" s="20" t="s">
        <v>139</v>
      </c>
      <c r="E48" s="41">
        <v>100</v>
      </c>
      <c r="F48" s="42" t="s">
        <v>57</v>
      </c>
      <c r="G48" s="100">
        <f>G49+G50+G51</f>
        <v>26204623445</v>
      </c>
      <c r="H48" s="41">
        <f>2773/7521*100</f>
        <v>36.870097061560962</v>
      </c>
      <c r="I48" s="42" t="s">
        <v>57</v>
      </c>
      <c r="J48" s="23"/>
      <c r="K48" s="43">
        <f>SUM(K49:K51)/5632*100</f>
        <v>51.11860795454546</v>
      </c>
      <c r="L48" s="42" t="s">
        <v>57</v>
      </c>
      <c r="M48" s="39">
        <f>SUM(M49:M51)</f>
        <v>8563360500</v>
      </c>
      <c r="N48" s="43">
        <f>SUM(N49:N51)/5632*100</f>
        <v>0.63920454545454553</v>
      </c>
      <c r="O48" s="42" t="str">
        <f t="shared" si="2"/>
        <v>%</v>
      </c>
      <c r="P48" s="39">
        <f>SUM(P49:P51)</f>
        <v>0</v>
      </c>
      <c r="Q48" s="43">
        <f>SUM(Q49:Q51)/5632*100</f>
        <v>32.723721590909086</v>
      </c>
      <c r="R48" s="42" t="str">
        <f t="shared" si="3"/>
        <v>%</v>
      </c>
      <c r="S48" s="39">
        <f>SUM(S49:S51)</f>
        <v>3994029300</v>
      </c>
      <c r="T48" s="43">
        <f>SUM(T49:T51)/5632*100</f>
        <v>0.35511363636363635</v>
      </c>
      <c r="U48" s="42" t="str">
        <f t="shared" si="4"/>
        <v>%</v>
      </c>
      <c r="V48" s="39">
        <f>SUM(V49:V51)</f>
        <v>456497100</v>
      </c>
      <c r="W48" s="43">
        <f>SUM(W49:W51)/5632*100</f>
        <v>0.35511363636363635</v>
      </c>
      <c r="X48" s="42" t="str">
        <f t="shared" si="5"/>
        <v>%</v>
      </c>
      <c r="Y48" s="39">
        <f>SUM(Y49:Y51)</f>
        <v>2595318400</v>
      </c>
      <c r="Z48" s="53">
        <f t="shared" si="14"/>
        <v>34.073153409090899</v>
      </c>
      <c r="AA48" s="78" t="str">
        <f t="shared" si="15"/>
        <v>%</v>
      </c>
      <c r="AB48" s="53">
        <f t="shared" si="16"/>
        <v>66.655088572420951</v>
      </c>
      <c r="AC48" s="54" t="s">
        <v>57</v>
      </c>
      <c r="AD48" s="57">
        <f t="shared" si="17"/>
        <v>7045844800</v>
      </c>
      <c r="AE48" s="53">
        <f t="shared" si="18"/>
        <v>82.278969803968891</v>
      </c>
      <c r="AF48" s="54" t="s">
        <v>57</v>
      </c>
      <c r="AG48" s="55">
        <f t="shared" si="19"/>
        <v>70.943250470651861</v>
      </c>
      <c r="AH48" s="42" t="str">
        <f t="shared" si="20"/>
        <v>%</v>
      </c>
      <c r="AI48" s="89">
        <f t="shared" si="21"/>
        <v>7045844800</v>
      </c>
      <c r="AJ48" s="53"/>
      <c r="AK48" s="42" t="s">
        <v>57</v>
      </c>
      <c r="AL48" s="53"/>
      <c r="AM48" s="13"/>
      <c r="AP48" s="26"/>
    </row>
    <row r="49" spans="1:42" ht="75" x14ac:dyDescent="0.2">
      <c r="A49" s="18"/>
      <c r="B49" s="19"/>
      <c r="C49" s="27" t="s">
        <v>107</v>
      </c>
      <c r="D49" s="104" t="s">
        <v>140</v>
      </c>
      <c r="E49" s="44">
        <f>K49+1890+K49</f>
        <v>7248</v>
      </c>
      <c r="F49" s="22" t="s">
        <v>168</v>
      </c>
      <c r="G49" s="48">
        <f>M49+6808666300+9651014295</f>
        <v>24774156095</v>
      </c>
      <c r="H49" s="44">
        <v>2671</v>
      </c>
      <c r="I49" s="22" t="s">
        <v>168</v>
      </c>
      <c r="J49" s="23"/>
      <c r="K49" s="44">
        <v>2679</v>
      </c>
      <c r="L49" s="22" t="s">
        <v>132</v>
      </c>
      <c r="M49" s="24">
        <v>8314475500</v>
      </c>
      <c r="N49" s="44">
        <v>0</v>
      </c>
      <c r="O49" s="22" t="str">
        <f t="shared" si="2"/>
        <v>Org</v>
      </c>
      <c r="P49" s="24">
        <v>0</v>
      </c>
      <c r="Q49" s="44">
        <v>1728</v>
      </c>
      <c r="R49" s="22" t="str">
        <f t="shared" si="3"/>
        <v>Org</v>
      </c>
      <c r="S49" s="24">
        <v>3951929300</v>
      </c>
      <c r="T49" s="44">
        <v>0</v>
      </c>
      <c r="U49" s="22" t="str">
        <f t="shared" si="4"/>
        <v>Org</v>
      </c>
      <c r="V49" s="24">
        <v>388519600</v>
      </c>
      <c r="W49" s="44">
        <v>0</v>
      </c>
      <c r="X49" s="22" t="str">
        <f t="shared" si="5"/>
        <v>Org</v>
      </c>
      <c r="Y49" s="24">
        <v>2533010900</v>
      </c>
      <c r="Z49" s="94">
        <f t="shared" si="14"/>
        <v>1728</v>
      </c>
      <c r="AA49" s="80" t="str">
        <f t="shared" si="15"/>
        <v>Org</v>
      </c>
      <c r="AB49" s="49">
        <f t="shared" si="16"/>
        <v>64.501679731243001</v>
      </c>
      <c r="AC49" s="33" t="s">
        <v>57</v>
      </c>
      <c r="AD49" s="50">
        <f t="shared" si="17"/>
        <v>6873459800</v>
      </c>
      <c r="AE49" s="49">
        <f t="shared" si="18"/>
        <v>82.668591662817462</v>
      </c>
      <c r="AF49" s="33" t="s">
        <v>57</v>
      </c>
      <c r="AG49" s="94">
        <f t="shared" si="19"/>
        <v>4399</v>
      </c>
      <c r="AH49" s="22" t="str">
        <f t="shared" si="20"/>
        <v>Org</v>
      </c>
      <c r="AI49" s="93">
        <f t="shared" si="21"/>
        <v>6873459800</v>
      </c>
      <c r="AJ49" s="49"/>
      <c r="AK49" s="22" t="s">
        <v>57</v>
      </c>
      <c r="AL49" s="49"/>
      <c r="AM49" s="13"/>
      <c r="AP49" s="26"/>
    </row>
    <row r="50" spans="1:42" ht="195" x14ac:dyDescent="0.2">
      <c r="A50" s="18"/>
      <c r="B50" s="19" t="s">
        <v>173</v>
      </c>
      <c r="C50" s="27" t="s">
        <v>108</v>
      </c>
      <c r="D50" s="104" t="s">
        <v>141</v>
      </c>
      <c r="E50" s="40">
        <v>300</v>
      </c>
      <c r="F50" s="22" t="s">
        <v>168</v>
      </c>
      <c r="G50" s="24">
        <f>M50+20584750*2</f>
        <v>50079500</v>
      </c>
      <c r="H50" s="99" t="s">
        <v>175</v>
      </c>
      <c r="I50" s="22" t="s">
        <v>168</v>
      </c>
      <c r="J50" s="39"/>
      <c r="K50" s="21">
        <v>100</v>
      </c>
      <c r="L50" s="22" t="s">
        <v>132</v>
      </c>
      <c r="M50" s="24">
        <v>8910000</v>
      </c>
      <c r="N50" s="21">
        <v>0</v>
      </c>
      <c r="O50" s="22" t="str">
        <f t="shared" si="2"/>
        <v>Org</v>
      </c>
      <c r="P50" s="24">
        <v>0</v>
      </c>
      <c r="Q50" s="21">
        <v>100</v>
      </c>
      <c r="R50" s="22" t="str">
        <f t="shared" si="3"/>
        <v>Org</v>
      </c>
      <c r="S50" s="24">
        <v>1500000</v>
      </c>
      <c r="T50" s="21">
        <v>0</v>
      </c>
      <c r="U50" s="22" t="str">
        <f t="shared" si="4"/>
        <v>Org</v>
      </c>
      <c r="V50" s="24">
        <v>7410000</v>
      </c>
      <c r="W50" s="21">
        <v>0</v>
      </c>
      <c r="X50" s="22" t="str">
        <f t="shared" si="5"/>
        <v>Org</v>
      </c>
      <c r="Y50" s="24">
        <v>0</v>
      </c>
      <c r="Z50" s="56">
        <f t="shared" si="14"/>
        <v>100</v>
      </c>
      <c r="AA50" s="80" t="str">
        <f t="shared" si="15"/>
        <v>Org</v>
      </c>
      <c r="AB50" s="49">
        <f t="shared" si="16"/>
        <v>100</v>
      </c>
      <c r="AC50" s="33" t="s">
        <v>57</v>
      </c>
      <c r="AD50" s="50">
        <f t="shared" si="17"/>
        <v>8910000</v>
      </c>
      <c r="AE50" s="49">
        <f t="shared" si="18"/>
        <v>100</v>
      </c>
      <c r="AF50" s="33" t="s">
        <v>57</v>
      </c>
      <c r="AG50" s="56">
        <f t="shared" si="19"/>
        <v>100</v>
      </c>
      <c r="AH50" s="22" t="str">
        <f t="shared" si="20"/>
        <v>Org</v>
      </c>
      <c r="AI50" s="93">
        <f t="shared" si="21"/>
        <v>8910000</v>
      </c>
      <c r="AJ50" s="49"/>
      <c r="AK50" s="22" t="s">
        <v>57</v>
      </c>
      <c r="AL50" s="49"/>
      <c r="AM50" s="13"/>
      <c r="AP50" s="26"/>
    </row>
    <row r="51" spans="1:42" ht="90" x14ac:dyDescent="0.2">
      <c r="A51" s="18"/>
      <c r="B51" s="19"/>
      <c r="C51" s="27" t="s">
        <v>109</v>
      </c>
      <c r="D51" s="104" t="s">
        <v>142</v>
      </c>
      <c r="E51" s="97">
        <v>436</v>
      </c>
      <c r="F51" s="22" t="s">
        <v>168</v>
      </c>
      <c r="G51" s="48">
        <f>M51+504239650+636173200</f>
        <v>1380387850</v>
      </c>
      <c r="H51" s="52">
        <v>329</v>
      </c>
      <c r="I51" s="22" t="s">
        <v>168</v>
      </c>
      <c r="J51" s="23"/>
      <c r="K51" s="44">
        <v>100</v>
      </c>
      <c r="L51" s="22" t="s">
        <v>132</v>
      </c>
      <c r="M51" s="24">
        <v>239975000</v>
      </c>
      <c r="N51" s="44">
        <v>36</v>
      </c>
      <c r="O51" s="22" t="str">
        <f t="shared" si="2"/>
        <v>Org</v>
      </c>
      <c r="P51" s="24">
        <v>0</v>
      </c>
      <c r="Q51" s="44">
        <v>15</v>
      </c>
      <c r="R51" s="22" t="str">
        <f t="shared" si="3"/>
        <v>Org</v>
      </c>
      <c r="S51" s="24">
        <v>40600000</v>
      </c>
      <c r="T51" s="44">
        <v>20</v>
      </c>
      <c r="U51" s="22" t="str">
        <f t="shared" si="4"/>
        <v>Org</v>
      </c>
      <c r="V51" s="24">
        <v>60567500</v>
      </c>
      <c r="W51" s="44">
        <v>20</v>
      </c>
      <c r="X51" s="22" t="str">
        <f t="shared" si="5"/>
        <v>Org</v>
      </c>
      <c r="Y51" s="24">
        <v>62307500</v>
      </c>
      <c r="Z51" s="95">
        <f t="shared" si="14"/>
        <v>91</v>
      </c>
      <c r="AA51" s="80" t="str">
        <f t="shared" si="15"/>
        <v>Org</v>
      </c>
      <c r="AB51" s="49">
        <f t="shared" si="16"/>
        <v>91</v>
      </c>
      <c r="AC51" s="33" t="s">
        <v>57</v>
      </c>
      <c r="AD51" s="50">
        <f t="shared" si="17"/>
        <v>163475000</v>
      </c>
      <c r="AE51" s="49">
        <f t="shared" si="18"/>
        <v>68.121679341598082</v>
      </c>
      <c r="AF51" s="33" t="s">
        <v>57</v>
      </c>
      <c r="AG51" s="56">
        <f t="shared" si="19"/>
        <v>420</v>
      </c>
      <c r="AH51" s="22" t="str">
        <f t="shared" si="20"/>
        <v>Org</v>
      </c>
      <c r="AI51" s="93">
        <f t="shared" si="21"/>
        <v>163475000</v>
      </c>
      <c r="AJ51" s="49"/>
      <c r="AK51" s="22" t="s">
        <v>57</v>
      </c>
      <c r="AL51" s="49"/>
      <c r="AM51" s="13"/>
      <c r="AP51" s="26"/>
    </row>
    <row r="52" spans="1:42" ht="202.5" customHeight="1" x14ac:dyDescent="0.2">
      <c r="A52" s="18"/>
      <c r="B52" s="19"/>
      <c r="C52" s="20" t="s">
        <v>110</v>
      </c>
      <c r="D52" s="47" t="s">
        <v>187</v>
      </c>
      <c r="E52" s="41">
        <v>100</v>
      </c>
      <c r="F52" s="42" t="s">
        <v>57</v>
      </c>
      <c r="G52" s="100">
        <f>G53+G54+G55+G56</f>
        <v>12514822595</v>
      </c>
      <c r="H52" s="43">
        <f>160/2442*100</f>
        <v>6.552006552006552</v>
      </c>
      <c r="I52" s="42" t="s">
        <v>57</v>
      </c>
      <c r="J52" s="24"/>
      <c r="K52" s="43">
        <f>SUM(K53:K56)/2028*100</f>
        <v>9.9605522682445748</v>
      </c>
      <c r="L52" s="42" t="s">
        <v>57</v>
      </c>
      <c r="M52" s="84">
        <f>SUM(M53:M56)</f>
        <v>11601777845</v>
      </c>
      <c r="N52" s="43">
        <f>SUM(N53:N56)/2028*100</f>
        <v>0.78895463510848129</v>
      </c>
      <c r="O52" s="42" t="str">
        <f t="shared" si="2"/>
        <v>%</v>
      </c>
      <c r="P52" s="84">
        <f>SUM(P53:P56)</f>
        <v>0</v>
      </c>
      <c r="Q52" s="43">
        <f>SUM(Q53:Q56)/2028*100</f>
        <v>1.9723865877712032</v>
      </c>
      <c r="R52" s="42" t="str">
        <f t="shared" si="3"/>
        <v>%</v>
      </c>
      <c r="S52" s="84">
        <f>SUM(S53:S56)</f>
        <v>5107454100</v>
      </c>
      <c r="T52" s="43">
        <f>SUM(T53:T56)/2028*100</f>
        <v>0.34516765285996054</v>
      </c>
      <c r="U52" s="42" t="str">
        <f t="shared" si="4"/>
        <v>%</v>
      </c>
      <c r="V52" s="84">
        <f>SUM(V53:V56)</f>
        <v>237013250</v>
      </c>
      <c r="W52" s="43">
        <f>SUM(W53:W56)/2028*100</f>
        <v>0.34516765285996054</v>
      </c>
      <c r="X52" s="42" t="str">
        <f t="shared" si="5"/>
        <v>%</v>
      </c>
      <c r="Y52" s="84">
        <f>SUM(Y53:Y56)</f>
        <v>4931174975</v>
      </c>
      <c r="Z52" s="53">
        <f t="shared" si="14"/>
        <v>3.4516765285996058</v>
      </c>
      <c r="AA52" s="78" t="str">
        <f t="shared" si="15"/>
        <v>%</v>
      </c>
      <c r="AB52" s="53">
        <f>Z52/K52*100</f>
        <v>34.653465346534659</v>
      </c>
      <c r="AC52" s="54" t="s">
        <v>57</v>
      </c>
      <c r="AD52" s="57">
        <f t="shared" si="17"/>
        <v>10275642325</v>
      </c>
      <c r="AE52" s="53">
        <f t="shared" si="18"/>
        <v>88.569549100860229</v>
      </c>
      <c r="AF52" s="54" t="s">
        <v>57</v>
      </c>
      <c r="AG52" s="55">
        <f t="shared" si="19"/>
        <v>10.003683080606159</v>
      </c>
      <c r="AH52" s="42" t="str">
        <f t="shared" si="20"/>
        <v>%</v>
      </c>
      <c r="AI52" s="89">
        <f t="shared" si="21"/>
        <v>10275642325</v>
      </c>
      <c r="AJ52" s="53"/>
      <c r="AK52" s="42" t="s">
        <v>57</v>
      </c>
      <c r="AL52" s="53"/>
      <c r="AM52" s="13"/>
      <c r="AP52" s="26"/>
    </row>
    <row r="53" spans="1:42" ht="81.75" customHeight="1" x14ac:dyDescent="0.2">
      <c r="A53" s="18"/>
      <c r="B53" s="19"/>
      <c r="C53" s="27" t="s">
        <v>111</v>
      </c>
      <c r="D53" s="105" t="s">
        <v>143</v>
      </c>
      <c r="E53" s="21">
        <v>97</v>
      </c>
      <c r="F53" s="22" t="s">
        <v>168</v>
      </c>
      <c r="G53" s="102">
        <f>M53+386316900*2</f>
        <v>11665977100</v>
      </c>
      <c r="H53" s="106">
        <v>0</v>
      </c>
      <c r="I53" s="101" t="s">
        <v>168</v>
      </c>
      <c r="J53" s="23"/>
      <c r="K53" s="21">
        <v>97</v>
      </c>
      <c r="L53" s="22" t="s">
        <v>132</v>
      </c>
      <c r="M53" s="24">
        <v>10893343300</v>
      </c>
      <c r="N53" s="21">
        <v>11</v>
      </c>
      <c r="O53" s="22" t="str">
        <f t="shared" si="2"/>
        <v>Org</v>
      </c>
      <c r="P53" s="24">
        <v>0</v>
      </c>
      <c r="Q53" s="21">
        <v>5</v>
      </c>
      <c r="R53" s="22" t="str">
        <f t="shared" si="3"/>
        <v>Org</v>
      </c>
      <c r="S53" s="24">
        <v>4937803500</v>
      </c>
      <c r="T53" s="21">
        <v>7</v>
      </c>
      <c r="U53" s="22" t="str">
        <f t="shared" si="4"/>
        <v>Org</v>
      </c>
      <c r="V53" s="24">
        <v>37232500</v>
      </c>
      <c r="W53" s="21">
        <v>7</v>
      </c>
      <c r="X53" s="22" t="str">
        <f t="shared" si="5"/>
        <v>Org</v>
      </c>
      <c r="Y53" s="24">
        <v>4780183200</v>
      </c>
      <c r="Z53" s="56">
        <f t="shared" si="14"/>
        <v>30</v>
      </c>
      <c r="AA53" s="80" t="str">
        <f t="shared" si="15"/>
        <v>Org</v>
      </c>
      <c r="AB53" s="49">
        <f t="shared" si="16"/>
        <v>30.927835051546392</v>
      </c>
      <c r="AC53" s="33" t="s">
        <v>57</v>
      </c>
      <c r="AD53" s="50">
        <f t="shared" si="17"/>
        <v>9755219200</v>
      </c>
      <c r="AE53" s="49">
        <f t="shared" si="18"/>
        <v>89.552113904277675</v>
      </c>
      <c r="AF53" s="33" t="s">
        <v>57</v>
      </c>
      <c r="AG53" s="56">
        <f t="shared" si="19"/>
        <v>30</v>
      </c>
      <c r="AH53" s="22" t="str">
        <f t="shared" si="20"/>
        <v>Org</v>
      </c>
      <c r="AI53" s="93">
        <f t="shared" si="21"/>
        <v>9755219200</v>
      </c>
      <c r="AJ53" s="49"/>
      <c r="AK53" s="22" t="s">
        <v>57</v>
      </c>
      <c r="AL53" s="49"/>
      <c r="AM53" s="13"/>
      <c r="AP53" s="26"/>
    </row>
    <row r="54" spans="1:42" ht="48" customHeight="1" x14ac:dyDescent="0.2">
      <c r="A54" s="18"/>
      <c r="B54" s="19"/>
      <c r="C54" s="27" t="s">
        <v>112</v>
      </c>
      <c r="D54" s="104" t="s">
        <v>144</v>
      </c>
      <c r="E54" s="96">
        <v>15</v>
      </c>
      <c r="F54" s="22" t="s">
        <v>168</v>
      </c>
      <c r="G54" s="48">
        <f>M54</f>
        <v>46600000</v>
      </c>
      <c r="H54" s="96">
        <v>15</v>
      </c>
      <c r="I54" s="22" t="s">
        <v>168</v>
      </c>
      <c r="J54" s="23"/>
      <c r="K54" s="44">
        <v>15</v>
      </c>
      <c r="L54" s="22" t="s">
        <v>132</v>
      </c>
      <c r="M54" s="24">
        <v>46600000</v>
      </c>
      <c r="N54" s="21">
        <v>0</v>
      </c>
      <c r="O54" s="22" t="str">
        <f t="shared" si="2"/>
        <v>Org</v>
      </c>
      <c r="P54" s="24">
        <v>0</v>
      </c>
      <c r="Q54" s="21">
        <v>15</v>
      </c>
      <c r="R54" s="22" t="str">
        <f t="shared" si="3"/>
        <v>Org</v>
      </c>
      <c r="S54" s="24">
        <v>46375000</v>
      </c>
      <c r="T54" s="21">
        <v>0</v>
      </c>
      <c r="U54" s="22" t="str">
        <f t="shared" si="4"/>
        <v>Org</v>
      </c>
      <c r="V54" s="24">
        <v>0</v>
      </c>
      <c r="W54" s="21">
        <v>0</v>
      </c>
      <c r="X54" s="22" t="str">
        <f t="shared" si="5"/>
        <v>Org</v>
      </c>
      <c r="Y54" s="24">
        <v>0</v>
      </c>
      <c r="Z54" s="51">
        <f t="shared" si="14"/>
        <v>15</v>
      </c>
      <c r="AA54" s="80" t="str">
        <f t="shared" si="15"/>
        <v>Org</v>
      </c>
      <c r="AB54" s="56">
        <f t="shared" si="16"/>
        <v>100</v>
      </c>
      <c r="AC54" s="33" t="s">
        <v>57</v>
      </c>
      <c r="AD54" s="50">
        <f t="shared" si="17"/>
        <v>46375000</v>
      </c>
      <c r="AE54" s="49">
        <f t="shared" si="18"/>
        <v>99.517167381974247</v>
      </c>
      <c r="AF54" s="33" t="s">
        <v>57</v>
      </c>
      <c r="AG54" s="56">
        <f t="shared" si="19"/>
        <v>30</v>
      </c>
      <c r="AH54" s="22" t="str">
        <f t="shared" si="20"/>
        <v>Org</v>
      </c>
      <c r="AI54" s="93">
        <f t="shared" si="21"/>
        <v>46375000</v>
      </c>
      <c r="AJ54" s="49"/>
      <c r="AK54" s="22" t="s">
        <v>57</v>
      </c>
      <c r="AL54" s="49"/>
      <c r="AM54" s="13"/>
      <c r="AP54" s="26"/>
    </row>
    <row r="55" spans="1:42" ht="90" x14ac:dyDescent="0.2">
      <c r="A55" s="18"/>
      <c r="B55" s="19"/>
      <c r="C55" s="27" t="s">
        <v>113</v>
      </c>
      <c r="D55" s="105" t="s">
        <v>145</v>
      </c>
      <c r="E55" s="21">
        <v>70</v>
      </c>
      <c r="F55" s="45" t="s">
        <v>168</v>
      </c>
      <c r="G55" s="48">
        <f>M55+59680350+80730600</f>
        <v>244291150</v>
      </c>
      <c r="H55" s="101">
        <v>0</v>
      </c>
      <c r="I55" s="101" t="s">
        <v>168</v>
      </c>
      <c r="J55" s="23"/>
      <c r="K55" s="21">
        <v>70</v>
      </c>
      <c r="L55" s="45" t="s">
        <v>132</v>
      </c>
      <c r="M55" s="24">
        <v>103880200</v>
      </c>
      <c r="N55" s="21">
        <v>5</v>
      </c>
      <c r="O55" s="45" t="str">
        <f t="shared" si="2"/>
        <v>Org</v>
      </c>
      <c r="P55" s="24">
        <v>0</v>
      </c>
      <c r="Q55" s="21">
        <v>20</v>
      </c>
      <c r="R55" s="45" t="str">
        <f t="shared" si="3"/>
        <v>Org</v>
      </c>
      <c r="S55" s="24">
        <v>9540600</v>
      </c>
      <c r="T55" s="21">
        <v>0</v>
      </c>
      <c r="U55" s="45" t="str">
        <f t="shared" si="4"/>
        <v>Org</v>
      </c>
      <c r="V55" s="24">
        <v>49175000</v>
      </c>
      <c r="W55" s="21">
        <v>0</v>
      </c>
      <c r="X55" s="45" t="str">
        <f t="shared" si="5"/>
        <v>Org</v>
      </c>
      <c r="Y55" s="24">
        <v>14525000</v>
      </c>
      <c r="Z55" s="56">
        <f t="shared" si="14"/>
        <v>25</v>
      </c>
      <c r="AA55" s="81" t="str">
        <f t="shared" si="15"/>
        <v>Org</v>
      </c>
      <c r="AB55" s="49">
        <f t="shared" si="16"/>
        <v>35.714285714285715</v>
      </c>
      <c r="AC55" s="33" t="s">
        <v>57</v>
      </c>
      <c r="AD55" s="50">
        <f t="shared" si="17"/>
        <v>73240600</v>
      </c>
      <c r="AE55" s="49">
        <f t="shared" si="18"/>
        <v>70.504870032980293</v>
      </c>
      <c r="AF55" s="33" t="s">
        <v>57</v>
      </c>
      <c r="AG55" s="56">
        <f t="shared" si="19"/>
        <v>25</v>
      </c>
      <c r="AH55" s="22" t="str">
        <f t="shared" si="20"/>
        <v>Org</v>
      </c>
      <c r="AI55" s="93">
        <f t="shared" si="21"/>
        <v>73240600</v>
      </c>
      <c r="AJ55" s="49"/>
      <c r="AK55" s="22" t="s">
        <v>57</v>
      </c>
      <c r="AL55" s="49"/>
      <c r="AM55" s="13"/>
      <c r="AP55" s="26"/>
    </row>
    <row r="56" spans="1:42" ht="152.25" customHeight="1" x14ac:dyDescent="0.2">
      <c r="A56" s="18"/>
      <c r="B56" s="19"/>
      <c r="C56" s="27" t="s">
        <v>114</v>
      </c>
      <c r="D56" s="104" t="s">
        <v>186</v>
      </c>
      <c r="E56" s="52">
        <v>20</v>
      </c>
      <c r="F56" s="22" t="s">
        <v>168</v>
      </c>
      <c r="G56" s="24">
        <f>M56</f>
        <v>557954345</v>
      </c>
      <c r="H56" s="40">
        <v>20</v>
      </c>
      <c r="I56" s="22" t="s">
        <v>168</v>
      </c>
      <c r="J56" s="23"/>
      <c r="K56" s="44">
        <v>20</v>
      </c>
      <c r="L56" s="22" t="s">
        <v>132</v>
      </c>
      <c r="M56" s="24">
        <v>557954345</v>
      </c>
      <c r="N56" s="21">
        <v>0</v>
      </c>
      <c r="O56" s="22" t="str">
        <f t="shared" si="2"/>
        <v>Org</v>
      </c>
      <c r="P56" s="24">
        <v>0</v>
      </c>
      <c r="Q56" s="21">
        <v>0</v>
      </c>
      <c r="R56" s="22" t="str">
        <f t="shared" si="3"/>
        <v>Org</v>
      </c>
      <c r="S56" s="24">
        <v>113735000</v>
      </c>
      <c r="T56" s="21">
        <v>0</v>
      </c>
      <c r="U56" s="22" t="str">
        <f t="shared" si="4"/>
        <v>Org</v>
      </c>
      <c r="V56" s="24">
        <v>150605750</v>
      </c>
      <c r="W56" s="21">
        <v>0</v>
      </c>
      <c r="X56" s="22" t="str">
        <f t="shared" si="5"/>
        <v>Org</v>
      </c>
      <c r="Y56" s="24">
        <v>136466775</v>
      </c>
      <c r="Z56" s="56">
        <f t="shared" si="14"/>
        <v>0</v>
      </c>
      <c r="AA56" s="80" t="str">
        <f t="shared" si="15"/>
        <v>Org</v>
      </c>
      <c r="AB56" s="49">
        <f t="shared" si="16"/>
        <v>0</v>
      </c>
      <c r="AC56" s="33" t="s">
        <v>57</v>
      </c>
      <c r="AD56" s="50">
        <f t="shared" si="17"/>
        <v>400807525</v>
      </c>
      <c r="AE56" s="49">
        <f t="shared" si="18"/>
        <v>71.835183038139078</v>
      </c>
      <c r="AF56" s="33" t="s">
        <v>57</v>
      </c>
      <c r="AG56" s="56">
        <f t="shared" si="19"/>
        <v>20</v>
      </c>
      <c r="AH56" s="22" t="str">
        <f t="shared" si="20"/>
        <v>Org</v>
      </c>
      <c r="AI56" s="93">
        <f t="shared" si="21"/>
        <v>400807525</v>
      </c>
      <c r="AJ56" s="49"/>
      <c r="AK56" s="22" t="s">
        <v>57</v>
      </c>
      <c r="AL56" s="49"/>
      <c r="AM56" s="13"/>
      <c r="AP56" s="26"/>
    </row>
    <row r="57" spans="1:42" ht="63" x14ac:dyDescent="0.2">
      <c r="A57" s="18"/>
      <c r="B57" s="19"/>
      <c r="C57" s="20" t="s">
        <v>115</v>
      </c>
      <c r="D57" s="83" t="s">
        <v>192</v>
      </c>
      <c r="E57" s="110">
        <f>1255/8766*100</f>
        <v>14.316678074378281</v>
      </c>
      <c r="F57" s="79" t="s">
        <v>57</v>
      </c>
      <c r="G57" s="100">
        <f>G58+G62</f>
        <v>2878770900</v>
      </c>
      <c r="H57" s="109">
        <f>560/7438*100</f>
        <v>7.5289056197902662</v>
      </c>
      <c r="I57" s="79" t="s">
        <v>57</v>
      </c>
      <c r="J57" s="23"/>
      <c r="K57" s="43">
        <f>780/8766*100</f>
        <v>8.8980150581793289</v>
      </c>
      <c r="L57" s="79" t="s">
        <v>57</v>
      </c>
      <c r="M57" s="39">
        <f>SUM(M58,M62)</f>
        <v>1982611900</v>
      </c>
      <c r="N57" s="43">
        <f>560/8766*100</f>
        <v>6.3883185033082368</v>
      </c>
      <c r="O57" s="79" t="str">
        <f t="shared" si="2"/>
        <v>%</v>
      </c>
      <c r="P57" s="39">
        <f>SUM(P58,P62)</f>
        <v>12000000</v>
      </c>
      <c r="Q57" s="43">
        <f>106/8766*100</f>
        <v>1.2092174309833448</v>
      </c>
      <c r="R57" s="79" t="str">
        <f t="shared" si="3"/>
        <v>%</v>
      </c>
      <c r="S57" s="39">
        <f>SUM(S58,S62)</f>
        <v>568061500</v>
      </c>
      <c r="T57" s="43">
        <v>0</v>
      </c>
      <c r="U57" s="79" t="str">
        <f t="shared" si="4"/>
        <v>%</v>
      </c>
      <c r="V57" s="39">
        <f>SUM(V58,V62)</f>
        <v>281455500</v>
      </c>
      <c r="W57" s="43">
        <v>0</v>
      </c>
      <c r="X57" s="79" t="str">
        <f t="shared" si="5"/>
        <v>%</v>
      </c>
      <c r="Y57" s="39">
        <f>SUM(Y58,Y62)</f>
        <v>592597600</v>
      </c>
      <c r="Z57" s="53">
        <f t="shared" si="14"/>
        <v>7.5975359342915816</v>
      </c>
      <c r="AA57" s="82" t="str">
        <f t="shared" si="15"/>
        <v>%</v>
      </c>
      <c r="AB57" s="53">
        <f>Z57/K57*100</f>
        <v>85.384615384615387</v>
      </c>
      <c r="AC57" s="54" t="s">
        <v>57</v>
      </c>
      <c r="AD57" s="57">
        <f t="shared" si="17"/>
        <v>1454114600</v>
      </c>
      <c r="AE57" s="53">
        <f t="shared" si="18"/>
        <v>73.343381021772331</v>
      </c>
      <c r="AF57" s="54" t="s">
        <v>57</v>
      </c>
      <c r="AG57" s="55">
        <f t="shared" si="19"/>
        <v>15.126441554081847</v>
      </c>
      <c r="AH57" s="42" t="str">
        <f t="shared" si="20"/>
        <v>%</v>
      </c>
      <c r="AI57" s="89">
        <f t="shared" si="21"/>
        <v>1454114600</v>
      </c>
      <c r="AJ57" s="53"/>
      <c r="AK57" s="42" t="s">
        <v>57</v>
      </c>
      <c r="AL57" s="53"/>
      <c r="AM57" s="13"/>
      <c r="AP57" s="26"/>
    </row>
    <row r="58" spans="1:42" ht="78.75" x14ac:dyDescent="0.2">
      <c r="A58" s="18"/>
      <c r="B58" s="19"/>
      <c r="C58" s="20" t="s">
        <v>116</v>
      </c>
      <c r="D58" s="20" t="s">
        <v>191</v>
      </c>
      <c r="E58" s="43">
        <f>7230/9533*100</f>
        <v>75.841812650791979</v>
      </c>
      <c r="F58" s="42" t="s">
        <v>57</v>
      </c>
      <c r="G58" s="39">
        <f>G59+G60+G61</f>
        <v>672473000</v>
      </c>
      <c r="H58" s="43">
        <f>7125/8352*100</f>
        <v>85.30890804597702</v>
      </c>
      <c r="I58" s="99" t="s">
        <v>57</v>
      </c>
      <c r="J58" s="39"/>
      <c r="K58" s="43">
        <f>SUM(K60,K64,K65,K66)/9533*100</f>
        <v>75.632015105423264</v>
      </c>
      <c r="L58" s="42" t="s">
        <v>57</v>
      </c>
      <c r="M58" s="39">
        <f>SUM(M59:M61)</f>
        <v>672473000</v>
      </c>
      <c r="N58" s="43">
        <f>SUM(N60,N64,N65,N66)/9533*100</f>
        <v>0</v>
      </c>
      <c r="O58" s="42" t="str">
        <f t="shared" si="2"/>
        <v>%</v>
      </c>
      <c r="P58" s="39">
        <f>SUM(P59:P61)</f>
        <v>0</v>
      </c>
      <c r="Q58" s="43">
        <f>SUM(Q60,Q64,Q65,Q66)/9533*100</f>
        <v>2.7798174761355292</v>
      </c>
      <c r="R58" s="42" t="str">
        <f t="shared" si="3"/>
        <v>%</v>
      </c>
      <c r="S58" s="39">
        <f>SUM(S59:S61)</f>
        <v>95400400</v>
      </c>
      <c r="T58" s="43">
        <f>SUM(T60,T64,T65,T66)/9533*100</f>
        <v>22.836462813385083</v>
      </c>
      <c r="U58" s="42" t="str">
        <f t="shared" si="4"/>
        <v>%</v>
      </c>
      <c r="V58" s="39">
        <f>SUM(V59:V61)</f>
        <v>6416100</v>
      </c>
      <c r="W58" s="43">
        <f>SUM(W60,W64,W65,W66)/9533*100</f>
        <v>22.836462813385083</v>
      </c>
      <c r="X58" s="42" t="str">
        <f t="shared" si="5"/>
        <v>%</v>
      </c>
      <c r="Y58" s="39">
        <f>SUM(Y59:Y61)</f>
        <v>223074900</v>
      </c>
      <c r="Z58" s="55">
        <f t="shared" si="14"/>
        <v>48.4527431029057</v>
      </c>
      <c r="AA58" s="78" t="str">
        <f t="shared" si="15"/>
        <v>%</v>
      </c>
      <c r="AB58" s="53">
        <f t="shared" si="16"/>
        <v>64.063800277392517</v>
      </c>
      <c r="AC58" s="54" t="s">
        <v>57</v>
      </c>
      <c r="AD58" s="57">
        <f t="shared" si="17"/>
        <v>324891400</v>
      </c>
      <c r="AE58" s="53">
        <f t="shared" si="18"/>
        <v>48.312928548804187</v>
      </c>
      <c r="AF58" s="54" t="s">
        <v>57</v>
      </c>
      <c r="AG58" s="55">
        <f t="shared" si="19"/>
        <v>133.76165114888272</v>
      </c>
      <c r="AH58" s="42" t="str">
        <f t="shared" si="20"/>
        <v>%</v>
      </c>
      <c r="AI58" s="89">
        <f t="shared" si="21"/>
        <v>324891400</v>
      </c>
      <c r="AJ58" s="53"/>
      <c r="AK58" s="42" t="s">
        <v>57</v>
      </c>
      <c r="AL58" s="53"/>
      <c r="AM58" s="13"/>
      <c r="AP58" s="26"/>
    </row>
    <row r="59" spans="1:42" ht="60" x14ac:dyDescent="0.2">
      <c r="A59" s="18"/>
      <c r="B59" s="19"/>
      <c r="C59" s="27" t="s">
        <v>117</v>
      </c>
      <c r="D59" s="27" t="s">
        <v>188</v>
      </c>
      <c r="E59" s="21">
        <v>100</v>
      </c>
      <c r="F59" s="22" t="s">
        <v>57</v>
      </c>
      <c r="G59" s="24">
        <v>14100000</v>
      </c>
      <c r="H59" s="99" t="s">
        <v>175</v>
      </c>
      <c r="I59" s="99" t="s">
        <v>175</v>
      </c>
      <c r="J59" s="74"/>
      <c r="K59" s="21">
        <v>100</v>
      </c>
      <c r="L59" s="22" t="s">
        <v>57</v>
      </c>
      <c r="M59" s="24">
        <v>14100000</v>
      </c>
      <c r="N59" s="21">
        <v>0</v>
      </c>
      <c r="O59" s="22" t="str">
        <f t="shared" si="2"/>
        <v>%</v>
      </c>
      <c r="P59" s="24">
        <v>0</v>
      </c>
      <c r="Q59" s="21">
        <f>2/2*100</f>
        <v>100</v>
      </c>
      <c r="R59" s="22" t="str">
        <f t="shared" si="3"/>
        <v>%</v>
      </c>
      <c r="S59" s="24">
        <v>0</v>
      </c>
      <c r="T59" s="21">
        <v>0</v>
      </c>
      <c r="U59" s="22" t="str">
        <f t="shared" si="4"/>
        <v>%</v>
      </c>
      <c r="V59" s="24">
        <v>0</v>
      </c>
      <c r="W59" s="21">
        <v>0</v>
      </c>
      <c r="X59" s="22" t="str">
        <f t="shared" si="5"/>
        <v>%</v>
      </c>
      <c r="Y59" s="24">
        <v>0</v>
      </c>
      <c r="Z59" s="56">
        <f t="shared" si="14"/>
        <v>100</v>
      </c>
      <c r="AA59" s="80" t="str">
        <f t="shared" si="15"/>
        <v>%</v>
      </c>
      <c r="AB59" s="49">
        <f t="shared" si="16"/>
        <v>100</v>
      </c>
      <c r="AC59" s="33" t="s">
        <v>57</v>
      </c>
      <c r="AD59" s="50">
        <f t="shared" si="17"/>
        <v>0</v>
      </c>
      <c r="AE59" s="49">
        <f t="shared" si="18"/>
        <v>0</v>
      </c>
      <c r="AF59" s="33" t="s">
        <v>57</v>
      </c>
      <c r="AG59" s="56">
        <f t="shared" si="19"/>
        <v>100</v>
      </c>
      <c r="AH59" s="22" t="str">
        <f t="shared" si="20"/>
        <v>%</v>
      </c>
      <c r="AI59" s="93">
        <f t="shared" si="21"/>
        <v>0</v>
      </c>
      <c r="AJ59" s="49"/>
      <c r="AK59" s="22" t="s">
        <v>57</v>
      </c>
      <c r="AL59" s="49"/>
      <c r="AM59" s="13"/>
      <c r="AP59" s="26"/>
    </row>
    <row r="60" spans="1:42" ht="90" x14ac:dyDescent="0.2">
      <c r="A60" s="18"/>
      <c r="B60" s="19"/>
      <c r="C60" s="27" t="s">
        <v>118</v>
      </c>
      <c r="D60" s="27" t="s">
        <v>189</v>
      </c>
      <c r="E60" s="21">
        <v>436</v>
      </c>
      <c r="F60" s="45" t="s">
        <v>132</v>
      </c>
      <c r="G60" s="24">
        <v>636173200</v>
      </c>
      <c r="H60" s="99" t="s">
        <v>175</v>
      </c>
      <c r="I60" s="99" t="s">
        <v>175</v>
      </c>
      <c r="J60" s="23"/>
      <c r="K60" s="21">
        <v>436</v>
      </c>
      <c r="L60" s="45" t="s">
        <v>132</v>
      </c>
      <c r="M60" s="24">
        <v>636173200</v>
      </c>
      <c r="N60" s="21">
        <v>0</v>
      </c>
      <c r="O60" s="22" t="str">
        <f t="shared" si="2"/>
        <v>Org</v>
      </c>
      <c r="P60" s="24">
        <v>0</v>
      </c>
      <c r="Q60" s="21">
        <v>159</v>
      </c>
      <c r="R60" s="22" t="str">
        <f t="shared" si="3"/>
        <v>Org</v>
      </c>
      <c r="S60" s="24">
        <v>95098000</v>
      </c>
      <c r="T60" s="21">
        <v>0</v>
      </c>
      <c r="U60" s="22" t="str">
        <f t="shared" si="4"/>
        <v>Org</v>
      </c>
      <c r="V60" s="24">
        <v>6416100</v>
      </c>
      <c r="W60" s="21">
        <v>0</v>
      </c>
      <c r="X60" s="22" t="str">
        <f t="shared" si="5"/>
        <v>Org</v>
      </c>
      <c r="Y60" s="24">
        <v>201177500</v>
      </c>
      <c r="Z60" s="56">
        <f t="shared" si="14"/>
        <v>159</v>
      </c>
      <c r="AA60" s="81" t="str">
        <f t="shared" si="15"/>
        <v>Org</v>
      </c>
      <c r="AB60" s="49">
        <f t="shared" si="16"/>
        <v>36.467889908256879</v>
      </c>
      <c r="AC60" s="33" t="s">
        <v>57</v>
      </c>
      <c r="AD60" s="50">
        <f t="shared" si="17"/>
        <v>302691600</v>
      </c>
      <c r="AE60" s="49">
        <f t="shared" si="18"/>
        <v>47.580061530413417</v>
      </c>
      <c r="AF60" s="33" t="s">
        <v>57</v>
      </c>
      <c r="AG60" s="56">
        <f t="shared" si="19"/>
        <v>159</v>
      </c>
      <c r="AH60" s="22" t="str">
        <f t="shared" si="20"/>
        <v>Org</v>
      </c>
      <c r="AI60" s="93">
        <f t="shared" si="21"/>
        <v>302691600</v>
      </c>
      <c r="AJ60" s="49"/>
      <c r="AK60" s="22" t="s">
        <v>57</v>
      </c>
      <c r="AL60" s="49"/>
      <c r="AM60" s="13"/>
      <c r="AP60" s="26"/>
    </row>
    <row r="61" spans="1:42" ht="88.5" customHeight="1" x14ac:dyDescent="0.2">
      <c r="A61" s="18"/>
      <c r="B61" s="19"/>
      <c r="C61" s="27" t="s">
        <v>119</v>
      </c>
      <c r="D61" s="27" t="s">
        <v>190</v>
      </c>
      <c r="E61" s="21">
        <v>2</v>
      </c>
      <c r="F61" s="45" t="s">
        <v>55</v>
      </c>
      <c r="G61" s="24">
        <v>22199800</v>
      </c>
      <c r="H61" s="99" t="s">
        <v>175</v>
      </c>
      <c r="I61" s="99" t="s">
        <v>175</v>
      </c>
      <c r="J61" s="23"/>
      <c r="K61" s="21">
        <v>2</v>
      </c>
      <c r="L61" s="45" t="s">
        <v>55</v>
      </c>
      <c r="M61" s="24">
        <v>22199800</v>
      </c>
      <c r="N61" s="21">
        <v>0</v>
      </c>
      <c r="O61" s="22" t="str">
        <f t="shared" si="2"/>
        <v>Dok</v>
      </c>
      <c r="P61" s="24">
        <v>0</v>
      </c>
      <c r="Q61" s="21">
        <v>1</v>
      </c>
      <c r="R61" s="22" t="str">
        <f t="shared" si="3"/>
        <v>Dok</v>
      </c>
      <c r="S61" s="24">
        <v>302400</v>
      </c>
      <c r="T61" s="21">
        <v>0</v>
      </c>
      <c r="U61" s="22" t="str">
        <f t="shared" si="4"/>
        <v>Dok</v>
      </c>
      <c r="V61" s="24">
        <v>0</v>
      </c>
      <c r="W61" s="21">
        <v>0</v>
      </c>
      <c r="X61" s="22" t="str">
        <f t="shared" si="5"/>
        <v>Dok</v>
      </c>
      <c r="Y61" s="24">
        <v>21897400</v>
      </c>
      <c r="Z61" s="56">
        <f t="shared" si="14"/>
        <v>1</v>
      </c>
      <c r="AA61" s="81" t="str">
        <f t="shared" si="15"/>
        <v>Dok</v>
      </c>
      <c r="AB61" s="49">
        <f t="shared" si="16"/>
        <v>50</v>
      </c>
      <c r="AC61" s="33" t="s">
        <v>57</v>
      </c>
      <c r="AD61" s="50">
        <f t="shared" si="17"/>
        <v>22199800</v>
      </c>
      <c r="AE61" s="49">
        <f t="shared" si="18"/>
        <v>100</v>
      </c>
      <c r="AF61" s="33" t="s">
        <v>57</v>
      </c>
      <c r="AG61" s="56">
        <f t="shared" si="19"/>
        <v>1</v>
      </c>
      <c r="AH61" s="22" t="str">
        <f t="shared" si="20"/>
        <v>Dok</v>
      </c>
      <c r="AI61" s="93">
        <f t="shared" si="21"/>
        <v>22199800</v>
      </c>
      <c r="AJ61" s="49"/>
      <c r="AK61" s="22" t="s">
        <v>57</v>
      </c>
      <c r="AL61" s="49"/>
      <c r="AM61" s="13"/>
      <c r="AP61" s="26"/>
    </row>
    <row r="62" spans="1:42" ht="110.25" x14ac:dyDescent="0.2">
      <c r="A62" s="18"/>
      <c r="B62" s="19"/>
      <c r="C62" s="47" t="s">
        <v>120</v>
      </c>
      <c r="D62" s="20" t="s">
        <v>191</v>
      </c>
      <c r="E62" s="43">
        <f>7230/9533*100</f>
        <v>75.841812650791979</v>
      </c>
      <c r="F62" s="42" t="s">
        <v>57</v>
      </c>
      <c r="G62" s="135">
        <f>SUM(G64:G67)</f>
        <v>2206297900</v>
      </c>
      <c r="H62" s="43">
        <f>7125/8352*100</f>
        <v>85.30890804597702</v>
      </c>
      <c r="I62" s="99" t="s">
        <v>57</v>
      </c>
      <c r="J62" s="132"/>
      <c r="K62" s="43">
        <f>K58</f>
        <v>75.632015105423264</v>
      </c>
      <c r="L62" s="42" t="s">
        <v>57</v>
      </c>
      <c r="M62" s="135">
        <f>SUM(M64:M67)</f>
        <v>1310138900</v>
      </c>
      <c r="N62" s="43">
        <f>N58</f>
        <v>0</v>
      </c>
      <c r="O62" s="79" t="str">
        <f t="shared" si="2"/>
        <v>%</v>
      </c>
      <c r="P62" s="135">
        <f>SUM(P64:P67)</f>
        <v>12000000</v>
      </c>
      <c r="Q62" s="43">
        <f>Q58</f>
        <v>2.7798174761355292</v>
      </c>
      <c r="R62" s="79" t="str">
        <f t="shared" si="3"/>
        <v>%</v>
      </c>
      <c r="S62" s="135">
        <f>SUM(S64:S67)</f>
        <v>472661100</v>
      </c>
      <c r="T62" s="43">
        <f>T58</f>
        <v>22.836462813385083</v>
      </c>
      <c r="U62" s="79" t="str">
        <f t="shared" si="4"/>
        <v>%</v>
      </c>
      <c r="V62" s="135">
        <f>SUM(V64:V67)</f>
        <v>275039400</v>
      </c>
      <c r="W62" s="43">
        <f>W58</f>
        <v>22.836462813385083</v>
      </c>
      <c r="X62" s="79" t="str">
        <f t="shared" si="5"/>
        <v>%</v>
      </c>
      <c r="Y62" s="135">
        <f>SUM(Y64:Y67)</f>
        <v>369522700</v>
      </c>
      <c r="Z62" s="55">
        <f t="shared" si="14"/>
        <v>48.4527431029057</v>
      </c>
      <c r="AA62" s="82" t="str">
        <f t="shared" si="15"/>
        <v>%</v>
      </c>
      <c r="AB62" s="55">
        <f t="shared" si="16"/>
        <v>64.063800277392517</v>
      </c>
      <c r="AC62" s="54" t="s">
        <v>57</v>
      </c>
      <c r="AD62" s="136">
        <f t="shared" si="17"/>
        <v>1129223200</v>
      </c>
      <c r="AE62" s="88">
        <f t="shared" si="18"/>
        <v>86.191105385848786</v>
      </c>
      <c r="AF62" s="46" t="s">
        <v>57</v>
      </c>
      <c r="AG62" s="55">
        <f t="shared" si="19"/>
        <v>133.76165114888272</v>
      </c>
      <c r="AH62" s="42" t="str">
        <f t="shared" si="20"/>
        <v>%</v>
      </c>
      <c r="AI62" s="87">
        <f t="shared" si="21"/>
        <v>1129223200</v>
      </c>
      <c r="AJ62" s="53"/>
      <c r="AK62" s="42" t="s">
        <v>57</v>
      </c>
      <c r="AL62" s="53"/>
      <c r="AM62" s="13"/>
      <c r="AP62" s="26"/>
    </row>
    <row r="63" spans="1:42" ht="78.75" x14ac:dyDescent="0.2">
      <c r="A63" s="18"/>
      <c r="B63" s="19"/>
      <c r="C63" s="86"/>
      <c r="D63" s="20" t="s">
        <v>197</v>
      </c>
      <c r="E63" s="43">
        <f>7230/9533*100</f>
        <v>75.841812650791979</v>
      </c>
      <c r="F63" s="42" t="s">
        <v>57</v>
      </c>
      <c r="G63" s="137"/>
      <c r="H63" s="43">
        <f>7125/8352*100</f>
        <v>85.30890804597702</v>
      </c>
      <c r="I63" s="99" t="s">
        <v>57</v>
      </c>
      <c r="J63" s="127"/>
      <c r="K63" s="85">
        <v>2</v>
      </c>
      <c r="L63" s="79" t="s">
        <v>198</v>
      </c>
      <c r="M63" s="138"/>
      <c r="N63" s="41">
        <f>N67</f>
        <v>1</v>
      </c>
      <c r="O63" s="79" t="str">
        <f t="shared" ref="O63" si="32">L63</f>
        <v>Periode</v>
      </c>
      <c r="P63" s="138"/>
      <c r="Q63" s="41">
        <f>Q67</f>
        <v>0</v>
      </c>
      <c r="R63" s="79" t="str">
        <f t="shared" ref="R63" si="33">L63</f>
        <v>Periode</v>
      </c>
      <c r="S63" s="138"/>
      <c r="T63" s="41">
        <f>T67</f>
        <v>0</v>
      </c>
      <c r="U63" s="79" t="str">
        <f t="shared" ref="U63" si="34">O63</f>
        <v>Periode</v>
      </c>
      <c r="V63" s="138"/>
      <c r="W63" s="41">
        <f>W67</f>
        <v>0</v>
      </c>
      <c r="X63" s="79" t="str">
        <f t="shared" si="5"/>
        <v>Periode</v>
      </c>
      <c r="Y63" s="138"/>
      <c r="Z63" s="55">
        <f t="shared" ref="Z63" si="35">SUM(N63,Q63,T63,W63)</f>
        <v>1</v>
      </c>
      <c r="AA63" s="82" t="str">
        <f t="shared" ref="AA63" si="36">L63</f>
        <v>Periode</v>
      </c>
      <c r="AB63" s="55">
        <f t="shared" ref="AB63" si="37">Z63/K63*100</f>
        <v>50</v>
      </c>
      <c r="AC63" s="54" t="s">
        <v>57</v>
      </c>
      <c r="AD63" s="139"/>
      <c r="AE63" s="141"/>
      <c r="AF63" s="142"/>
      <c r="AG63" s="55">
        <f t="shared" ref="AG63" si="38">SUM(H63,Z63)</f>
        <v>86.30890804597702</v>
      </c>
      <c r="AH63" s="79" t="str">
        <f t="shared" ref="AH63" si="39">O63</f>
        <v>Periode</v>
      </c>
      <c r="AI63" s="140"/>
      <c r="AJ63" s="53"/>
      <c r="AK63" s="42" t="s">
        <v>57</v>
      </c>
      <c r="AL63" s="53"/>
      <c r="AM63" s="13"/>
      <c r="AP63" s="26"/>
    </row>
    <row r="64" spans="1:42" ht="105" x14ac:dyDescent="0.2">
      <c r="A64" s="18"/>
      <c r="B64" s="19"/>
      <c r="C64" s="123" t="s">
        <v>121</v>
      </c>
      <c r="D64" s="27" t="s">
        <v>193</v>
      </c>
      <c r="E64" s="51">
        <f>220+235+240</f>
        <v>695</v>
      </c>
      <c r="F64" s="45" t="s">
        <v>132</v>
      </c>
      <c r="G64" s="111">
        <f>M64+115739000+131198000</f>
        <v>1097597300</v>
      </c>
      <c r="H64" s="51">
        <v>165</v>
      </c>
      <c r="I64" s="45" t="s">
        <v>132</v>
      </c>
      <c r="J64" s="132"/>
      <c r="K64" s="21">
        <v>220</v>
      </c>
      <c r="L64" s="45" t="s">
        <v>132</v>
      </c>
      <c r="M64" s="113">
        <v>850660300</v>
      </c>
      <c r="N64" s="21">
        <v>0</v>
      </c>
      <c r="O64" s="22" t="str">
        <f t="shared" si="2"/>
        <v>Org</v>
      </c>
      <c r="P64" s="113">
        <v>0</v>
      </c>
      <c r="Q64" s="21">
        <v>106</v>
      </c>
      <c r="R64" s="22" t="str">
        <f t="shared" si="3"/>
        <v>Org</v>
      </c>
      <c r="S64" s="113">
        <v>300100000</v>
      </c>
      <c r="T64" s="21">
        <v>0</v>
      </c>
      <c r="U64" s="22" t="str">
        <f t="shared" si="4"/>
        <v>Org</v>
      </c>
      <c r="V64" s="113">
        <v>131357500</v>
      </c>
      <c r="W64" s="21">
        <v>0</v>
      </c>
      <c r="X64" s="22" t="str">
        <f t="shared" si="5"/>
        <v>Org</v>
      </c>
      <c r="Y64" s="113">
        <v>241226500</v>
      </c>
      <c r="Z64" s="56">
        <f t="shared" si="14"/>
        <v>106</v>
      </c>
      <c r="AA64" s="81" t="str">
        <f t="shared" si="15"/>
        <v>Org</v>
      </c>
      <c r="AB64" s="49">
        <f t="shared" si="16"/>
        <v>48.18181818181818</v>
      </c>
      <c r="AC64" s="33" t="s">
        <v>57</v>
      </c>
      <c r="AD64" s="115">
        <f t="shared" si="17"/>
        <v>672684000</v>
      </c>
      <c r="AE64" s="49">
        <f t="shared" si="18"/>
        <v>79.077864571792063</v>
      </c>
      <c r="AF64" s="33" t="s">
        <v>57</v>
      </c>
      <c r="AG64" s="56">
        <f t="shared" si="19"/>
        <v>271</v>
      </c>
      <c r="AH64" s="22" t="str">
        <f t="shared" si="20"/>
        <v>Org</v>
      </c>
      <c r="AI64" s="121">
        <f t="shared" si="21"/>
        <v>672684000</v>
      </c>
      <c r="AJ64" s="49"/>
      <c r="AK64" s="22" t="s">
        <v>57</v>
      </c>
      <c r="AL64" s="117"/>
      <c r="AM64" s="13"/>
      <c r="AP64" s="26"/>
    </row>
    <row r="65" spans="1:42" ht="120" x14ac:dyDescent="0.2">
      <c r="A65" s="18"/>
      <c r="B65" s="19"/>
      <c r="C65" s="124"/>
      <c r="D65" s="27" t="s">
        <v>194</v>
      </c>
      <c r="E65" s="133">
        <f>500+222+500</f>
        <v>1222</v>
      </c>
      <c r="F65" s="45" t="s">
        <v>132</v>
      </c>
      <c r="G65" s="126"/>
      <c r="H65" s="51">
        <v>579</v>
      </c>
      <c r="I65" s="45" t="s">
        <v>132</v>
      </c>
      <c r="J65" s="134"/>
      <c r="K65" s="21">
        <v>500</v>
      </c>
      <c r="L65" s="45" t="s">
        <v>132</v>
      </c>
      <c r="M65" s="128"/>
      <c r="N65" s="21">
        <v>0</v>
      </c>
      <c r="O65" s="22" t="str">
        <f t="shared" si="2"/>
        <v>Org</v>
      </c>
      <c r="P65" s="128"/>
      <c r="Q65" s="21">
        <v>0</v>
      </c>
      <c r="R65" s="22" t="str">
        <f t="shared" si="3"/>
        <v>Org</v>
      </c>
      <c r="S65" s="128"/>
      <c r="T65" s="21">
        <v>347</v>
      </c>
      <c r="U65" s="22" t="str">
        <f t="shared" si="4"/>
        <v>Org</v>
      </c>
      <c r="V65" s="128"/>
      <c r="W65" s="21">
        <v>347</v>
      </c>
      <c r="X65" s="22" t="str">
        <f t="shared" si="5"/>
        <v>Org</v>
      </c>
      <c r="Y65" s="128"/>
      <c r="Z65" s="56">
        <f t="shared" si="14"/>
        <v>694</v>
      </c>
      <c r="AA65" s="81" t="str">
        <f t="shared" si="15"/>
        <v>Org</v>
      </c>
      <c r="AB65" s="49">
        <f t="shared" si="16"/>
        <v>138.79999999999998</v>
      </c>
      <c r="AC65" s="33" t="s">
        <v>57</v>
      </c>
      <c r="AD65" s="129"/>
      <c r="AE65" s="117"/>
      <c r="AF65" s="119"/>
      <c r="AG65" s="56">
        <f t="shared" si="19"/>
        <v>1273</v>
      </c>
      <c r="AH65" s="22" t="str">
        <f t="shared" si="20"/>
        <v>Org</v>
      </c>
      <c r="AI65" s="130"/>
      <c r="AJ65" s="49"/>
      <c r="AK65" s="22" t="s">
        <v>57</v>
      </c>
      <c r="AL65" s="131"/>
      <c r="AM65" s="13"/>
      <c r="AP65" s="26"/>
    </row>
    <row r="66" spans="1:42" ht="120" x14ac:dyDescent="0.2">
      <c r="A66" s="18"/>
      <c r="B66" s="19"/>
      <c r="C66" s="125"/>
      <c r="D66" s="27" t="s">
        <v>195</v>
      </c>
      <c r="E66" s="133">
        <f>K66*3</f>
        <v>18162</v>
      </c>
      <c r="F66" s="45" t="s">
        <v>132</v>
      </c>
      <c r="G66" s="112"/>
      <c r="H66" s="133">
        <v>6052</v>
      </c>
      <c r="I66" s="45" t="s">
        <v>132</v>
      </c>
      <c r="J66" s="127"/>
      <c r="K66" s="44">
        <v>6054</v>
      </c>
      <c r="L66" s="45" t="s">
        <v>132</v>
      </c>
      <c r="M66" s="114"/>
      <c r="N66" s="21">
        <v>0</v>
      </c>
      <c r="O66" s="22" t="str">
        <f t="shared" ref="O66" si="40">L66</f>
        <v>Org</v>
      </c>
      <c r="P66" s="114"/>
      <c r="Q66" s="21">
        <v>0</v>
      </c>
      <c r="R66" s="22" t="str">
        <f t="shared" ref="R66" si="41">L66</f>
        <v>Org</v>
      </c>
      <c r="S66" s="114"/>
      <c r="T66" s="44">
        <v>1830</v>
      </c>
      <c r="U66" s="22" t="str">
        <f t="shared" ref="U66" si="42">O66</f>
        <v>Org</v>
      </c>
      <c r="V66" s="114"/>
      <c r="W66" s="44">
        <v>1830</v>
      </c>
      <c r="X66" s="22" t="str">
        <f t="shared" si="5"/>
        <v>Org</v>
      </c>
      <c r="Y66" s="114"/>
      <c r="Z66" s="94">
        <f t="shared" ref="Z66" si="43">SUM(N66,Q66,T66,W66)</f>
        <v>3660</v>
      </c>
      <c r="AA66" s="81" t="str">
        <f t="shared" ref="AA66" si="44">L66</f>
        <v>Org</v>
      </c>
      <c r="AB66" s="49">
        <f t="shared" ref="AB66" si="45">Z66/K66*100</f>
        <v>60.455896927651139</v>
      </c>
      <c r="AC66" s="33" t="s">
        <v>57</v>
      </c>
      <c r="AD66" s="116"/>
      <c r="AE66" s="118"/>
      <c r="AF66" s="120"/>
      <c r="AG66" s="56">
        <f t="shared" ref="AG66" si="46">SUM(H66,Z66)</f>
        <v>9712</v>
      </c>
      <c r="AH66" s="22" t="str">
        <f t="shared" ref="AH66" si="47">O66</f>
        <v>Org</v>
      </c>
      <c r="AI66" s="122"/>
      <c r="AJ66" s="49"/>
      <c r="AK66" s="22" t="s">
        <v>57</v>
      </c>
      <c r="AL66" s="118"/>
      <c r="AM66" s="13"/>
      <c r="AP66" s="26"/>
    </row>
    <row r="67" spans="1:42" ht="75" x14ac:dyDescent="0.2">
      <c r="A67" s="18"/>
      <c r="B67" s="19"/>
      <c r="C67" s="27" t="s">
        <v>120</v>
      </c>
      <c r="D67" s="27" t="s">
        <v>196</v>
      </c>
      <c r="E67" s="51">
        <f>2*3</f>
        <v>6</v>
      </c>
      <c r="F67" s="45" t="s">
        <v>55</v>
      </c>
      <c r="G67" s="48">
        <f>M67+322511000+326711000</f>
        <v>1108700600</v>
      </c>
      <c r="H67" s="51">
        <v>2</v>
      </c>
      <c r="I67" s="45" t="s">
        <v>55</v>
      </c>
      <c r="J67" s="23"/>
      <c r="K67" s="21">
        <v>2</v>
      </c>
      <c r="L67" s="45" t="s">
        <v>55</v>
      </c>
      <c r="M67" s="24">
        <v>459478600</v>
      </c>
      <c r="N67" s="21">
        <v>1</v>
      </c>
      <c r="O67" s="45" t="str">
        <f t="shared" si="2"/>
        <v>Dok</v>
      </c>
      <c r="P67" s="24">
        <v>12000000</v>
      </c>
      <c r="Q67" s="21">
        <v>0</v>
      </c>
      <c r="R67" s="45" t="str">
        <f t="shared" si="3"/>
        <v>Dok</v>
      </c>
      <c r="S67" s="24">
        <v>172561100</v>
      </c>
      <c r="T67" s="21">
        <v>0</v>
      </c>
      <c r="U67" s="45" t="str">
        <f t="shared" si="4"/>
        <v>Dok</v>
      </c>
      <c r="V67" s="24">
        <v>143681900</v>
      </c>
      <c r="W67" s="21">
        <v>0</v>
      </c>
      <c r="X67" s="45" t="str">
        <f t="shared" si="5"/>
        <v>Dok</v>
      </c>
      <c r="Y67" s="24">
        <v>128296200</v>
      </c>
      <c r="Z67" s="56">
        <f t="shared" si="14"/>
        <v>1</v>
      </c>
      <c r="AA67" s="81" t="str">
        <f t="shared" si="15"/>
        <v>Dok</v>
      </c>
      <c r="AB67" s="56">
        <f t="shared" si="16"/>
        <v>50</v>
      </c>
      <c r="AC67" s="33" t="s">
        <v>57</v>
      </c>
      <c r="AD67" s="50">
        <f t="shared" si="17"/>
        <v>456539200</v>
      </c>
      <c r="AE67" s="49">
        <f t="shared" si="18"/>
        <v>99.360274885489773</v>
      </c>
      <c r="AF67" s="33" t="s">
        <v>57</v>
      </c>
      <c r="AG67" s="56">
        <f t="shared" si="19"/>
        <v>3</v>
      </c>
      <c r="AH67" s="22" t="str">
        <f t="shared" si="20"/>
        <v>Dok</v>
      </c>
      <c r="AI67" s="93">
        <f t="shared" si="21"/>
        <v>456539200</v>
      </c>
      <c r="AJ67" s="49"/>
      <c r="AK67" s="22" t="s">
        <v>57</v>
      </c>
      <c r="AL67" s="49"/>
      <c r="AM67" s="13"/>
      <c r="AP67" s="26"/>
    </row>
    <row r="68" spans="1:42" ht="47.25" x14ac:dyDescent="0.2">
      <c r="A68" s="18"/>
      <c r="B68" s="19"/>
      <c r="C68" s="20" t="s">
        <v>122</v>
      </c>
      <c r="D68" s="83" t="s">
        <v>200</v>
      </c>
      <c r="E68" s="41">
        <v>100</v>
      </c>
      <c r="F68" s="79" t="s">
        <v>57</v>
      </c>
      <c r="G68" s="100">
        <f>G69</f>
        <v>484449800</v>
      </c>
      <c r="H68" s="41">
        <v>100</v>
      </c>
      <c r="I68" s="79" t="s">
        <v>57</v>
      </c>
      <c r="J68" s="23"/>
      <c r="K68" s="43">
        <f>780/8766*100</f>
        <v>8.8980150581793289</v>
      </c>
      <c r="L68" s="79" t="s">
        <v>57</v>
      </c>
      <c r="M68" s="39">
        <f>SUM(M69)</f>
        <v>484449800</v>
      </c>
      <c r="N68" s="43">
        <f>560/8766*100</f>
        <v>6.3883185033082368</v>
      </c>
      <c r="O68" s="79" t="str">
        <f t="shared" si="2"/>
        <v>%</v>
      </c>
      <c r="P68" s="39">
        <f>SUM(P69)</f>
        <v>29400000</v>
      </c>
      <c r="Q68" s="43">
        <f>106/8766*100</f>
        <v>1.2092174309833448</v>
      </c>
      <c r="R68" s="79" t="str">
        <f t="shared" si="3"/>
        <v>%</v>
      </c>
      <c r="S68" s="39">
        <f>SUM(S69)</f>
        <v>129800000</v>
      </c>
      <c r="T68" s="41">
        <v>0</v>
      </c>
      <c r="U68" s="79" t="str">
        <f t="shared" si="4"/>
        <v>%</v>
      </c>
      <c r="V68" s="39">
        <f>SUM(V69)</f>
        <v>70549000</v>
      </c>
      <c r="W68" s="41">
        <v>0</v>
      </c>
      <c r="X68" s="79" t="str">
        <f t="shared" si="5"/>
        <v>%</v>
      </c>
      <c r="Y68" s="39">
        <f>SUM(Y69)</f>
        <v>228665000</v>
      </c>
      <c r="Z68" s="53">
        <f t="shared" si="14"/>
        <v>7.5975359342915816</v>
      </c>
      <c r="AA68" s="82" t="str">
        <f t="shared" si="15"/>
        <v>%</v>
      </c>
      <c r="AB68" s="55">
        <f t="shared" si="16"/>
        <v>85.384615384615387</v>
      </c>
      <c r="AC68" s="54" t="s">
        <v>57</v>
      </c>
      <c r="AD68" s="57">
        <f t="shared" si="17"/>
        <v>458414000</v>
      </c>
      <c r="AE68" s="53">
        <f t="shared" si="18"/>
        <v>94.62569702784478</v>
      </c>
      <c r="AF68" s="54" t="s">
        <v>57</v>
      </c>
      <c r="AG68" s="55">
        <f t="shared" si="19"/>
        <v>107.59753593429159</v>
      </c>
      <c r="AH68" s="42" t="str">
        <f t="shared" si="20"/>
        <v>%</v>
      </c>
      <c r="AI68" s="89">
        <f t="shared" si="21"/>
        <v>458414000</v>
      </c>
      <c r="AJ68" s="53"/>
      <c r="AK68" s="42" t="s">
        <v>57</v>
      </c>
      <c r="AL68" s="53"/>
      <c r="AM68" s="13"/>
      <c r="AP68" s="26"/>
    </row>
    <row r="69" spans="1:42" ht="135" customHeight="1" x14ac:dyDescent="0.2">
      <c r="A69" s="18"/>
      <c r="B69" s="19"/>
      <c r="C69" s="20" t="s">
        <v>123</v>
      </c>
      <c r="D69" s="83" t="s">
        <v>146</v>
      </c>
      <c r="E69" s="98">
        <v>100</v>
      </c>
      <c r="F69" s="79" t="s">
        <v>57</v>
      </c>
      <c r="G69" s="100">
        <f>G70</f>
        <v>484449800</v>
      </c>
      <c r="H69" s="98">
        <v>100</v>
      </c>
      <c r="I69" s="79" t="s">
        <v>57</v>
      </c>
      <c r="J69" s="23"/>
      <c r="K69" s="41">
        <f>K70</f>
        <v>100</v>
      </c>
      <c r="L69" s="79" t="s">
        <v>57</v>
      </c>
      <c r="M69" s="39">
        <f>SUM(M70)</f>
        <v>484449800</v>
      </c>
      <c r="N69" s="41">
        <f>N70</f>
        <v>100</v>
      </c>
      <c r="O69" s="79" t="str">
        <f t="shared" si="2"/>
        <v>%</v>
      </c>
      <c r="P69" s="39">
        <f>SUM(P70)</f>
        <v>29400000</v>
      </c>
      <c r="Q69" s="41">
        <f>Q70</f>
        <v>100</v>
      </c>
      <c r="R69" s="79" t="str">
        <f t="shared" si="3"/>
        <v>%</v>
      </c>
      <c r="S69" s="39">
        <f>SUM(S70)</f>
        <v>129800000</v>
      </c>
      <c r="T69" s="41">
        <f>T70</f>
        <v>100</v>
      </c>
      <c r="U69" s="79" t="str">
        <f t="shared" si="4"/>
        <v>%</v>
      </c>
      <c r="V69" s="39">
        <f>SUM(V70)</f>
        <v>70549000</v>
      </c>
      <c r="W69" s="41">
        <f>W70</f>
        <v>100</v>
      </c>
      <c r="X69" s="79" t="str">
        <f t="shared" si="5"/>
        <v>%</v>
      </c>
      <c r="Y69" s="39">
        <f>SUM(Y70)</f>
        <v>228665000</v>
      </c>
      <c r="Z69" s="55">
        <f>AVERAGE(N69,Q69,T69,W69)</f>
        <v>100</v>
      </c>
      <c r="AA69" s="82" t="str">
        <f t="shared" si="15"/>
        <v>%</v>
      </c>
      <c r="AB69" s="55">
        <f t="shared" si="16"/>
        <v>100</v>
      </c>
      <c r="AC69" s="54" t="s">
        <v>57</v>
      </c>
      <c r="AD69" s="57">
        <f t="shared" si="17"/>
        <v>458414000</v>
      </c>
      <c r="AE69" s="53">
        <f t="shared" si="18"/>
        <v>94.62569702784478</v>
      </c>
      <c r="AF69" s="54" t="s">
        <v>57</v>
      </c>
      <c r="AG69" s="55">
        <f t="shared" si="19"/>
        <v>200</v>
      </c>
      <c r="AH69" s="42" t="str">
        <f t="shared" si="20"/>
        <v>%</v>
      </c>
      <c r="AI69" s="89">
        <f t="shared" si="21"/>
        <v>458414000</v>
      </c>
      <c r="AJ69" s="53"/>
      <c r="AK69" s="42" t="s">
        <v>57</v>
      </c>
      <c r="AL69" s="53"/>
      <c r="AM69" s="13"/>
      <c r="AP69" s="26"/>
    </row>
    <row r="70" spans="1:42" ht="105" x14ac:dyDescent="0.2">
      <c r="A70" s="18"/>
      <c r="B70" s="19"/>
      <c r="C70" s="123" t="s">
        <v>124</v>
      </c>
      <c r="D70" s="27" t="s">
        <v>134</v>
      </c>
      <c r="E70" s="51">
        <v>100</v>
      </c>
      <c r="F70" s="45" t="s">
        <v>57</v>
      </c>
      <c r="G70" s="113">
        <v>484449800</v>
      </c>
      <c r="H70" s="51">
        <f>167/167*100</f>
        <v>100</v>
      </c>
      <c r="I70" s="45" t="s">
        <v>57</v>
      </c>
      <c r="J70" s="132"/>
      <c r="K70" s="51">
        <v>100</v>
      </c>
      <c r="L70" s="45" t="s">
        <v>57</v>
      </c>
      <c r="M70" s="113">
        <v>484449800</v>
      </c>
      <c r="N70" s="21">
        <f>4145/4145*100</f>
        <v>100</v>
      </c>
      <c r="O70" s="45" t="str">
        <f t="shared" si="2"/>
        <v>%</v>
      </c>
      <c r="P70" s="113">
        <v>29400000</v>
      </c>
      <c r="Q70" s="21">
        <f>48/48*100</f>
        <v>100</v>
      </c>
      <c r="R70" s="45" t="str">
        <f t="shared" si="3"/>
        <v>%</v>
      </c>
      <c r="S70" s="113">
        <v>129800000</v>
      </c>
      <c r="T70" s="21">
        <f>13/13*100</f>
        <v>100</v>
      </c>
      <c r="U70" s="45" t="str">
        <f t="shared" si="4"/>
        <v>%</v>
      </c>
      <c r="V70" s="113">
        <v>70549000</v>
      </c>
      <c r="W70" s="21">
        <f>13/13*100</f>
        <v>100</v>
      </c>
      <c r="X70" s="45" t="str">
        <f t="shared" si="5"/>
        <v>%</v>
      </c>
      <c r="Y70" s="113">
        <v>228665000</v>
      </c>
      <c r="Z70" s="56">
        <f>AVERAGE(N70,Q70,T70,W70)</f>
        <v>100</v>
      </c>
      <c r="AA70" s="81" t="str">
        <f t="shared" si="15"/>
        <v>%</v>
      </c>
      <c r="AB70" s="56">
        <f t="shared" si="16"/>
        <v>100</v>
      </c>
      <c r="AC70" s="33" t="s">
        <v>57</v>
      </c>
      <c r="AD70" s="115">
        <f t="shared" si="17"/>
        <v>458414000</v>
      </c>
      <c r="AE70" s="117">
        <f t="shared" si="18"/>
        <v>94.62569702784478</v>
      </c>
      <c r="AF70" s="119" t="s">
        <v>57</v>
      </c>
      <c r="AG70" s="56">
        <f t="shared" si="19"/>
        <v>200</v>
      </c>
      <c r="AH70" s="22" t="str">
        <f t="shared" si="20"/>
        <v>%</v>
      </c>
      <c r="AI70" s="121">
        <f t="shared" si="21"/>
        <v>458414000</v>
      </c>
      <c r="AJ70" s="49"/>
      <c r="AK70" s="22" t="s">
        <v>57</v>
      </c>
      <c r="AL70" s="117"/>
      <c r="AM70" s="13"/>
      <c r="AP70" s="26"/>
    </row>
    <row r="71" spans="1:42" ht="105" x14ac:dyDescent="0.2">
      <c r="A71" s="18"/>
      <c r="B71" s="19"/>
      <c r="C71" s="125"/>
      <c r="D71" s="27" t="s">
        <v>199</v>
      </c>
      <c r="E71" s="51">
        <v>100</v>
      </c>
      <c r="F71" s="45" t="s">
        <v>57</v>
      </c>
      <c r="G71" s="114"/>
      <c r="H71" s="51">
        <f>76/76*100</f>
        <v>100</v>
      </c>
      <c r="I71" s="45" t="s">
        <v>57</v>
      </c>
      <c r="J71" s="127"/>
      <c r="K71" s="51">
        <f>76/76*100</f>
        <v>100</v>
      </c>
      <c r="L71" s="45" t="s">
        <v>57</v>
      </c>
      <c r="M71" s="114"/>
      <c r="N71" s="51">
        <f>76/76*100</f>
        <v>100</v>
      </c>
      <c r="O71" s="45" t="str">
        <f t="shared" ref="O71:O72" si="48">L71</f>
        <v>%</v>
      </c>
      <c r="P71" s="114"/>
      <c r="Q71" s="21">
        <v>0</v>
      </c>
      <c r="R71" s="45" t="str">
        <f t="shared" ref="R71" si="49">L71</f>
        <v>%</v>
      </c>
      <c r="S71" s="114"/>
      <c r="T71" s="21">
        <v>0</v>
      </c>
      <c r="U71" s="45" t="str">
        <f t="shared" ref="U71" si="50">O71</f>
        <v>%</v>
      </c>
      <c r="V71" s="114"/>
      <c r="W71" s="21">
        <v>0</v>
      </c>
      <c r="X71" s="45" t="str">
        <f t="shared" si="5"/>
        <v>%</v>
      </c>
      <c r="Y71" s="114"/>
      <c r="Z71" s="56">
        <f t="shared" ref="Z71" si="51">SUM(N71,Q71,T71,W71)</f>
        <v>100</v>
      </c>
      <c r="AA71" s="81" t="str">
        <f t="shared" ref="AA71" si="52">L71</f>
        <v>%</v>
      </c>
      <c r="AB71" s="56">
        <f t="shared" ref="AB71" si="53">Z71/K71*100</f>
        <v>100</v>
      </c>
      <c r="AC71" s="33" t="s">
        <v>57</v>
      </c>
      <c r="AD71" s="116"/>
      <c r="AE71" s="118"/>
      <c r="AF71" s="120"/>
      <c r="AG71" s="56">
        <f t="shared" ref="AG71" si="54">SUM(H71,Z71)</f>
        <v>200</v>
      </c>
      <c r="AH71" s="22" t="str">
        <f t="shared" ref="AH71" si="55">O71</f>
        <v>%</v>
      </c>
      <c r="AI71" s="122"/>
      <c r="AJ71" s="49"/>
      <c r="AK71" s="22" t="s">
        <v>57</v>
      </c>
      <c r="AL71" s="118"/>
      <c r="AM71" s="13"/>
      <c r="AP71" s="26"/>
    </row>
    <row r="72" spans="1:42" ht="110.25" x14ac:dyDescent="0.2">
      <c r="A72" s="18"/>
      <c r="B72" s="19"/>
      <c r="C72" s="20" t="s">
        <v>125</v>
      </c>
      <c r="D72" s="20" t="s">
        <v>184</v>
      </c>
      <c r="E72" s="43" t="s">
        <v>172</v>
      </c>
      <c r="F72" s="42" t="s">
        <v>57</v>
      </c>
      <c r="G72" s="100">
        <f>G73</f>
        <v>1160910500</v>
      </c>
      <c r="H72" s="43">
        <f>155/573*100</f>
        <v>27.05061082024433</v>
      </c>
      <c r="I72" s="42" t="s">
        <v>57</v>
      </c>
      <c r="J72" s="23"/>
      <c r="K72" s="43">
        <f>155/478*100</f>
        <v>32.42677824267782</v>
      </c>
      <c r="L72" s="42" t="s">
        <v>57</v>
      </c>
      <c r="M72" s="39">
        <f>SUM(M73)</f>
        <v>549534500</v>
      </c>
      <c r="N72" s="43">
        <v>5.38</v>
      </c>
      <c r="O72" s="42" t="str">
        <f t="shared" si="48"/>
        <v>%</v>
      </c>
      <c r="P72" s="39">
        <f>SUM(P73)</f>
        <v>0</v>
      </c>
      <c r="Q72" s="41">
        <v>0</v>
      </c>
      <c r="R72" s="79" t="str">
        <f t="shared" si="3"/>
        <v>%</v>
      </c>
      <c r="S72" s="39">
        <f>SUM(S73)</f>
        <v>125942568</v>
      </c>
      <c r="T72" s="41">
        <v>0</v>
      </c>
      <c r="U72" s="79" t="str">
        <f t="shared" si="4"/>
        <v>%</v>
      </c>
      <c r="V72" s="39">
        <f>SUM(V73)</f>
        <v>189516392</v>
      </c>
      <c r="W72" s="41">
        <v>0</v>
      </c>
      <c r="X72" s="79" t="str">
        <f t="shared" si="5"/>
        <v>%</v>
      </c>
      <c r="Y72" s="39">
        <f>SUM(Y73)</f>
        <v>130593000</v>
      </c>
      <c r="Z72" s="55">
        <f t="shared" si="14"/>
        <v>5.38</v>
      </c>
      <c r="AA72" s="82" t="str">
        <f t="shared" si="15"/>
        <v>%</v>
      </c>
      <c r="AB72" s="55">
        <f t="shared" si="16"/>
        <v>16.591225806451614</v>
      </c>
      <c r="AC72" s="54" t="s">
        <v>57</v>
      </c>
      <c r="AD72" s="57">
        <f t="shared" si="17"/>
        <v>446051960</v>
      </c>
      <c r="AE72" s="53">
        <f t="shared" si="18"/>
        <v>81.169054900101813</v>
      </c>
      <c r="AF72" s="54" t="s">
        <v>57</v>
      </c>
      <c r="AG72" s="55">
        <f t="shared" si="19"/>
        <v>32.430610820244333</v>
      </c>
      <c r="AH72" s="42" t="str">
        <f t="shared" si="20"/>
        <v>%</v>
      </c>
      <c r="AI72" s="89">
        <f t="shared" si="21"/>
        <v>446051960</v>
      </c>
      <c r="AJ72" s="53"/>
      <c r="AK72" s="42" t="s">
        <v>57</v>
      </c>
      <c r="AL72" s="53"/>
      <c r="AM72" s="13"/>
      <c r="AP72" s="26"/>
    </row>
    <row r="73" spans="1:42" ht="122.25" customHeight="1" x14ac:dyDescent="0.2">
      <c r="A73" s="18"/>
      <c r="B73" s="19"/>
      <c r="C73" s="20" t="s">
        <v>126</v>
      </c>
      <c r="D73" s="83" t="s">
        <v>174</v>
      </c>
      <c r="E73" s="41">
        <f>1/1*100</f>
        <v>100</v>
      </c>
      <c r="F73" s="79" t="s">
        <v>57</v>
      </c>
      <c r="G73" s="100">
        <f>G74+G75</f>
        <v>1160910500</v>
      </c>
      <c r="H73" s="41">
        <f>1/1*100</f>
        <v>100</v>
      </c>
      <c r="I73" s="79" t="s">
        <v>57</v>
      </c>
      <c r="J73" s="23"/>
      <c r="K73" s="41">
        <f>1/1*100</f>
        <v>100</v>
      </c>
      <c r="L73" s="79" t="s">
        <v>57</v>
      </c>
      <c r="M73" s="39">
        <f>SUM(M74:M75)</f>
        <v>549534500</v>
      </c>
      <c r="N73" s="41">
        <f>1/1*100</f>
        <v>100</v>
      </c>
      <c r="O73" s="79" t="str">
        <f t="shared" si="2"/>
        <v>%</v>
      </c>
      <c r="P73" s="39">
        <f>SUM(P74:P75)</f>
        <v>0</v>
      </c>
      <c r="Q73" s="41">
        <v>0</v>
      </c>
      <c r="R73" s="79" t="str">
        <f t="shared" si="3"/>
        <v>%</v>
      </c>
      <c r="S73" s="39">
        <f>SUM(S74:S75)</f>
        <v>125942568</v>
      </c>
      <c r="T73" s="41">
        <v>0</v>
      </c>
      <c r="U73" s="79" t="str">
        <f t="shared" si="4"/>
        <v>%</v>
      </c>
      <c r="V73" s="39">
        <f>SUM(V74:V75)</f>
        <v>189516392</v>
      </c>
      <c r="W73" s="41">
        <v>0</v>
      </c>
      <c r="X73" s="79" t="str">
        <f t="shared" si="5"/>
        <v>%</v>
      </c>
      <c r="Y73" s="39">
        <f>SUM(Y74:Y75)</f>
        <v>130593000</v>
      </c>
      <c r="Z73" s="55">
        <f t="shared" si="14"/>
        <v>100</v>
      </c>
      <c r="AA73" s="82" t="str">
        <f t="shared" si="15"/>
        <v>%</v>
      </c>
      <c r="AB73" s="55">
        <f t="shared" si="16"/>
        <v>100</v>
      </c>
      <c r="AC73" s="54" t="s">
        <v>57</v>
      </c>
      <c r="AD73" s="57">
        <f t="shared" si="17"/>
        <v>446051960</v>
      </c>
      <c r="AE73" s="53">
        <f t="shared" si="18"/>
        <v>81.169054900101813</v>
      </c>
      <c r="AF73" s="54" t="s">
        <v>57</v>
      </c>
      <c r="AG73" s="55">
        <f t="shared" si="19"/>
        <v>200</v>
      </c>
      <c r="AH73" s="42" t="str">
        <f t="shared" si="20"/>
        <v>%</v>
      </c>
      <c r="AI73" s="89">
        <f t="shared" si="21"/>
        <v>446051960</v>
      </c>
      <c r="AJ73" s="53"/>
      <c r="AK73" s="42" t="s">
        <v>57</v>
      </c>
      <c r="AL73" s="53"/>
      <c r="AM73" s="13"/>
      <c r="AP73" s="26"/>
    </row>
    <row r="74" spans="1:42" ht="115.5" customHeight="1" x14ac:dyDescent="0.2">
      <c r="A74" s="18"/>
      <c r="B74" s="19"/>
      <c r="C74" s="27" t="s">
        <v>127</v>
      </c>
      <c r="D74" s="27" t="s">
        <v>201</v>
      </c>
      <c r="E74" s="21">
        <v>1</v>
      </c>
      <c r="F74" s="45" t="s">
        <v>135</v>
      </c>
      <c r="G74" s="24">
        <v>289349500</v>
      </c>
      <c r="H74" s="21">
        <v>1</v>
      </c>
      <c r="I74" s="45" t="s">
        <v>135</v>
      </c>
      <c r="J74" s="23"/>
      <c r="K74" s="21">
        <v>1</v>
      </c>
      <c r="L74" s="45" t="s">
        <v>135</v>
      </c>
      <c r="M74" s="24">
        <v>289349500</v>
      </c>
      <c r="N74" s="21">
        <v>1</v>
      </c>
      <c r="O74" s="45" t="str">
        <f t="shared" si="2"/>
        <v>Lokasi</v>
      </c>
      <c r="P74" s="24">
        <v>0</v>
      </c>
      <c r="Q74" s="21">
        <v>0</v>
      </c>
      <c r="R74" s="45" t="str">
        <f t="shared" si="3"/>
        <v>Lokasi</v>
      </c>
      <c r="S74" s="24">
        <v>60310000</v>
      </c>
      <c r="T74" s="21">
        <v>0</v>
      </c>
      <c r="U74" s="45" t="str">
        <f t="shared" si="4"/>
        <v>Lokasi</v>
      </c>
      <c r="V74" s="24">
        <v>49668900</v>
      </c>
      <c r="W74" s="21">
        <v>0</v>
      </c>
      <c r="X74" s="45" t="str">
        <f t="shared" si="5"/>
        <v>Lokasi</v>
      </c>
      <c r="Y74" s="24">
        <v>90593000</v>
      </c>
      <c r="Z74" s="56">
        <f t="shared" si="14"/>
        <v>1</v>
      </c>
      <c r="AA74" s="81" t="str">
        <f t="shared" si="15"/>
        <v>Lokasi</v>
      </c>
      <c r="AB74" s="56">
        <f t="shared" si="16"/>
        <v>100</v>
      </c>
      <c r="AC74" s="33" t="s">
        <v>57</v>
      </c>
      <c r="AD74" s="50">
        <f t="shared" si="17"/>
        <v>200571900</v>
      </c>
      <c r="AE74" s="49">
        <f t="shared" si="18"/>
        <v>69.318212058427605</v>
      </c>
      <c r="AF74" s="33" t="s">
        <v>57</v>
      </c>
      <c r="AG74" s="56">
        <f t="shared" si="19"/>
        <v>2</v>
      </c>
      <c r="AH74" s="22" t="str">
        <f t="shared" si="20"/>
        <v>Lokasi</v>
      </c>
      <c r="AI74" s="93">
        <f t="shared" si="21"/>
        <v>200571900</v>
      </c>
      <c r="AJ74" s="49"/>
      <c r="AK74" s="22" t="s">
        <v>57</v>
      </c>
      <c r="AL74" s="49"/>
      <c r="AM74" s="13"/>
      <c r="AP74" s="26"/>
    </row>
    <row r="75" spans="1:42" ht="78.75" customHeight="1" x14ac:dyDescent="0.2">
      <c r="A75" s="18"/>
      <c r="B75" s="19"/>
      <c r="C75" s="27" t="s">
        <v>126</v>
      </c>
      <c r="D75" s="27" t="s">
        <v>202</v>
      </c>
      <c r="E75" s="52">
        <v>1</v>
      </c>
      <c r="F75" s="45" t="s">
        <v>135</v>
      </c>
      <c r="G75" s="48">
        <f>M75+305688000*2</f>
        <v>871561000</v>
      </c>
      <c r="H75" s="52">
        <v>1</v>
      </c>
      <c r="I75" s="45" t="s">
        <v>135</v>
      </c>
      <c r="J75" s="23"/>
      <c r="K75" s="21">
        <v>1</v>
      </c>
      <c r="L75" s="45" t="s">
        <v>135</v>
      </c>
      <c r="M75" s="24">
        <v>260185000</v>
      </c>
      <c r="N75" s="21">
        <v>1</v>
      </c>
      <c r="O75" s="45" t="str">
        <f t="shared" si="2"/>
        <v>Lokasi</v>
      </c>
      <c r="P75" s="24">
        <v>0</v>
      </c>
      <c r="Q75" s="21">
        <v>0</v>
      </c>
      <c r="R75" s="45" t="str">
        <f t="shared" si="3"/>
        <v>Lokasi</v>
      </c>
      <c r="S75" s="24">
        <v>65632568</v>
      </c>
      <c r="T75" s="21">
        <v>0</v>
      </c>
      <c r="U75" s="45" t="str">
        <f t="shared" si="4"/>
        <v>Lokasi</v>
      </c>
      <c r="V75" s="24">
        <v>139847492</v>
      </c>
      <c r="W75" s="21">
        <v>0</v>
      </c>
      <c r="X75" s="45" t="str">
        <f t="shared" si="5"/>
        <v>Lokasi</v>
      </c>
      <c r="Y75" s="24">
        <v>40000000</v>
      </c>
      <c r="Z75" s="56">
        <f t="shared" si="14"/>
        <v>1</v>
      </c>
      <c r="AA75" s="81" t="str">
        <f t="shared" si="15"/>
        <v>Lokasi</v>
      </c>
      <c r="AB75" s="56">
        <f t="shared" si="16"/>
        <v>100</v>
      </c>
      <c r="AC75" s="33" t="s">
        <v>57</v>
      </c>
      <c r="AD75" s="50">
        <f t="shared" si="17"/>
        <v>245480060</v>
      </c>
      <c r="AE75" s="49">
        <f t="shared" si="18"/>
        <v>94.348275265676335</v>
      </c>
      <c r="AF75" s="33" t="s">
        <v>57</v>
      </c>
      <c r="AG75" s="56">
        <f t="shared" si="19"/>
        <v>2</v>
      </c>
      <c r="AH75" s="22" t="str">
        <f t="shared" si="20"/>
        <v>Lokasi</v>
      </c>
      <c r="AI75" s="93">
        <f t="shared" si="21"/>
        <v>245480060</v>
      </c>
      <c r="AJ75" s="49"/>
      <c r="AK75" s="22" t="s">
        <v>57</v>
      </c>
      <c r="AL75" s="49"/>
      <c r="AM75" s="13"/>
      <c r="AP75" s="26"/>
    </row>
    <row r="76" spans="1:42" ht="15" x14ac:dyDescent="0.2">
      <c r="A76" s="204" t="s">
        <v>33</v>
      </c>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6"/>
      <c r="AB76" s="73">
        <f>AVERAGE(AB16:AB75)</f>
        <v>84.799747159412661</v>
      </c>
      <c r="AC76" s="60"/>
      <c r="AD76" s="58"/>
      <c r="AE76" s="73">
        <f>AVERAGE(AE16,AE40,AE47,AE57,AE68,AE72)</f>
        <v>85.727671608786679</v>
      </c>
      <c r="AF76" s="60"/>
      <c r="AG76" s="59"/>
      <c r="AH76" s="60"/>
      <c r="AI76" s="59"/>
      <c r="AJ76" s="59"/>
      <c r="AK76" s="60"/>
      <c r="AL76" s="61"/>
      <c r="AM76" s="13"/>
    </row>
    <row r="77" spans="1:42" ht="15" x14ac:dyDescent="0.2">
      <c r="A77" s="204" t="s">
        <v>34</v>
      </c>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6"/>
      <c r="AB77" s="29" t="str">
        <f>IF(AB76&gt;=91,"Sangat Tinggi",IF(AB76&gt;=76,"Tinggi",IF(AB76&gt;=66,"Sedang",IF(AB76&gt;=51,"Rendah",IF(AB76&lt;=50,"Sangat Rendah")))))</f>
        <v>Tinggi</v>
      </c>
      <c r="AC77" s="60"/>
      <c r="AD77" s="62"/>
      <c r="AE77" s="29" t="str">
        <f>IF(AE76&gt;=91,"Sangat Tinggi",IF(AE76&gt;=76,"Tinggi",IF(AE76&gt;=66,"Sedang",IF(AE76&gt;=51,"Rendah",IF(AE76&lt;=50,"Sangat Rendah")))))</f>
        <v>Tinggi</v>
      </c>
      <c r="AF77" s="60"/>
      <c r="AG77" s="63"/>
      <c r="AH77" s="60"/>
      <c r="AI77" s="64"/>
      <c r="AJ77" s="63"/>
      <c r="AK77" s="60"/>
      <c r="AL77" s="65"/>
      <c r="AM77" s="13"/>
    </row>
    <row r="78" spans="1:42" ht="15" x14ac:dyDescent="0.2">
      <c r="A78" s="182" t="s">
        <v>176</v>
      </c>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3"/>
    </row>
    <row r="79" spans="1:42" ht="15" x14ac:dyDescent="0.2">
      <c r="A79" s="182" t="s">
        <v>177</v>
      </c>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3"/>
    </row>
    <row r="80" spans="1:42" ht="15" x14ac:dyDescent="0.2">
      <c r="A80" s="182" t="s">
        <v>178</v>
      </c>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3"/>
    </row>
    <row r="81" spans="1:39" ht="15" x14ac:dyDescent="0.2">
      <c r="A81" s="182" t="s">
        <v>74</v>
      </c>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30"/>
    </row>
    <row r="82" spans="1:39" ht="15"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2"/>
      <c r="AB82" s="31"/>
      <c r="AC82" s="32"/>
      <c r="AD82" s="31"/>
      <c r="AE82" s="31"/>
      <c r="AF82" s="32"/>
      <c r="AG82" s="31"/>
      <c r="AH82" s="32"/>
      <c r="AI82" s="31"/>
      <c r="AJ82" s="31"/>
      <c r="AK82" s="32"/>
      <c r="AL82" s="31"/>
    </row>
    <row r="83" spans="1:39" ht="15"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208" t="s">
        <v>64</v>
      </c>
      <c r="AA83" s="208"/>
      <c r="AB83" s="208"/>
      <c r="AC83" s="208"/>
      <c r="AD83" s="208"/>
      <c r="AE83" s="208"/>
      <c r="AF83" s="32"/>
      <c r="AG83" s="31"/>
      <c r="AH83" s="208" t="s">
        <v>65</v>
      </c>
      <c r="AI83" s="208"/>
      <c r="AJ83" s="208"/>
      <c r="AK83" s="208"/>
      <c r="AL83" s="208"/>
      <c r="AM83" s="208"/>
    </row>
    <row r="84" spans="1:39" ht="15.75" x14ac:dyDescent="0.25">
      <c r="A84" s="37"/>
      <c r="B84" s="38"/>
      <c r="C84" s="31"/>
      <c r="D84" s="31"/>
      <c r="E84" s="31"/>
      <c r="F84" s="31"/>
      <c r="G84" s="31"/>
      <c r="H84" s="31"/>
      <c r="I84" s="31"/>
      <c r="J84" s="31"/>
      <c r="K84" s="31"/>
      <c r="L84" s="31"/>
      <c r="M84" s="31"/>
      <c r="N84" s="31"/>
      <c r="O84" s="31"/>
      <c r="P84" s="31"/>
      <c r="Q84" s="31"/>
      <c r="R84" s="31"/>
      <c r="S84" s="31"/>
      <c r="T84" s="31"/>
      <c r="U84" s="31"/>
      <c r="V84" s="31"/>
      <c r="W84" s="31"/>
      <c r="X84" s="31"/>
      <c r="Y84" s="31"/>
      <c r="Z84" s="208" t="s">
        <v>204</v>
      </c>
      <c r="AA84" s="208"/>
      <c r="AB84" s="208"/>
      <c r="AC84" s="208"/>
      <c r="AD84" s="208"/>
      <c r="AE84" s="208"/>
      <c r="AF84" s="32"/>
      <c r="AG84" s="31"/>
      <c r="AH84" s="208" t="s">
        <v>204</v>
      </c>
      <c r="AI84" s="208"/>
      <c r="AJ84" s="208"/>
      <c r="AK84" s="208"/>
      <c r="AL84" s="208"/>
      <c r="AM84" s="208"/>
    </row>
    <row r="85" spans="1:39" ht="15" x14ac:dyDescent="0.2">
      <c r="Z85" s="208" t="s">
        <v>70</v>
      </c>
      <c r="AA85" s="208"/>
      <c r="AB85" s="208"/>
      <c r="AC85" s="208"/>
      <c r="AD85" s="208"/>
      <c r="AE85" s="208"/>
      <c r="AH85" s="208" t="s">
        <v>66</v>
      </c>
      <c r="AI85" s="208"/>
      <c r="AJ85" s="208"/>
      <c r="AK85" s="208"/>
      <c r="AL85" s="208"/>
      <c r="AM85" s="208"/>
    </row>
    <row r="86" spans="1:39" ht="15" x14ac:dyDescent="0.2">
      <c r="Z86" s="208" t="s">
        <v>67</v>
      </c>
      <c r="AA86" s="208"/>
      <c r="AB86" s="208"/>
      <c r="AC86" s="208"/>
      <c r="AD86" s="208"/>
      <c r="AE86" s="208"/>
      <c r="AH86" s="208" t="s">
        <v>67</v>
      </c>
      <c r="AI86" s="208"/>
      <c r="AJ86" s="208"/>
      <c r="AK86" s="208"/>
      <c r="AL86" s="208"/>
      <c r="AM86" s="208"/>
    </row>
    <row r="87" spans="1:39" ht="25.5" x14ac:dyDescent="0.2">
      <c r="A87" s="34" t="s">
        <v>37</v>
      </c>
      <c r="B87" s="34" t="s">
        <v>38</v>
      </c>
      <c r="C87" s="34" t="s">
        <v>39</v>
      </c>
      <c r="Z87" s="31"/>
      <c r="AA87" s="32"/>
      <c r="AB87" s="31"/>
      <c r="AC87" s="32"/>
      <c r="AD87" s="31"/>
      <c r="AH87" s="31"/>
      <c r="AI87" s="32"/>
      <c r="AJ87" s="31"/>
      <c r="AK87" s="32"/>
      <c r="AL87" s="31"/>
    </row>
    <row r="88" spans="1:39" ht="25.5" x14ac:dyDescent="0.25">
      <c r="A88" s="35" t="s">
        <v>40</v>
      </c>
      <c r="B88" s="35" t="s">
        <v>41</v>
      </c>
      <c r="C88" s="35" t="s">
        <v>42</v>
      </c>
      <c r="Z88" s="209" t="s">
        <v>72</v>
      </c>
      <c r="AA88" s="209"/>
      <c r="AB88" s="209"/>
      <c r="AC88" s="209"/>
      <c r="AD88" s="209"/>
      <c r="AE88" s="209"/>
      <c r="AH88" s="209" t="s">
        <v>68</v>
      </c>
      <c r="AI88" s="209"/>
      <c r="AJ88" s="209"/>
      <c r="AK88" s="209"/>
      <c r="AL88" s="209"/>
      <c r="AM88" s="209"/>
    </row>
    <row r="89" spans="1:39" ht="25.5" x14ac:dyDescent="0.2">
      <c r="A89" s="35" t="s">
        <v>43</v>
      </c>
      <c r="B89" s="35" t="s">
        <v>44</v>
      </c>
      <c r="C89" s="35" t="s">
        <v>45</v>
      </c>
      <c r="Z89" s="210" t="s">
        <v>73</v>
      </c>
      <c r="AA89" s="210"/>
      <c r="AB89" s="210"/>
      <c r="AC89" s="210"/>
      <c r="AD89" s="210"/>
      <c r="AE89" s="210"/>
      <c r="AH89" s="210" t="s">
        <v>69</v>
      </c>
      <c r="AI89" s="210"/>
      <c r="AJ89" s="210"/>
      <c r="AK89" s="210"/>
      <c r="AL89" s="210"/>
      <c r="AM89" s="210"/>
    </row>
    <row r="90" spans="1:39" ht="25.5" x14ac:dyDescent="0.2">
      <c r="A90" s="35" t="s">
        <v>46</v>
      </c>
      <c r="B90" s="35" t="s">
        <v>47</v>
      </c>
      <c r="C90" s="35" t="s">
        <v>48</v>
      </c>
    </row>
    <row r="91" spans="1:39" ht="25.5" x14ac:dyDescent="0.2">
      <c r="A91" s="35" t="s">
        <v>49</v>
      </c>
      <c r="B91" s="35" t="s">
        <v>50</v>
      </c>
      <c r="C91" s="35" t="s">
        <v>51</v>
      </c>
    </row>
    <row r="92" spans="1:39" ht="25.5" x14ac:dyDescent="0.2">
      <c r="A92" s="35" t="s">
        <v>52</v>
      </c>
      <c r="B92" s="36" t="s">
        <v>53</v>
      </c>
      <c r="C92" s="35" t="s">
        <v>54</v>
      </c>
    </row>
  </sheetData>
  <mergeCells count="93">
    <mergeCell ref="Z86:AE86"/>
    <mergeCell ref="AH86:AM86"/>
    <mergeCell ref="Z88:AE88"/>
    <mergeCell ref="AH88:AM88"/>
    <mergeCell ref="Z89:AE89"/>
    <mergeCell ref="AH89:AM89"/>
    <mergeCell ref="Z83:AE83"/>
    <mergeCell ref="AH83:AM83"/>
    <mergeCell ref="Z84:AE84"/>
    <mergeCell ref="AH84:AM84"/>
    <mergeCell ref="Z85:AE85"/>
    <mergeCell ref="AH85:AM85"/>
    <mergeCell ref="Z10:AF10"/>
    <mergeCell ref="A76:AA76"/>
    <mergeCell ref="A77:AA77"/>
    <mergeCell ref="A79:AL79"/>
    <mergeCell ref="A80:AL80"/>
    <mergeCell ref="T11:U12"/>
    <mergeCell ref="V11:V12"/>
    <mergeCell ref="W11:X12"/>
    <mergeCell ref="Y11:Y12"/>
    <mergeCell ref="A10:A12"/>
    <mergeCell ref="B10:B12"/>
    <mergeCell ref="C10:C12"/>
    <mergeCell ref="D10:D12"/>
    <mergeCell ref="Q11:R12"/>
    <mergeCell ref="S11:S12"/>
    <mergeCell ref="Z12:AA12"/>
    <mergeCell ref="AB12:AC12"/>
    <mergeCell ref="AE11:AF11"/>
    <mergeCell ref="AE12:AF12"/>
    <mergeCell ref="A81:AL81"/>
    <mergeCell ref="J13:J15"/>
    <mergeCell ref="K13:L15"/>
    <mergeCell ref="M13:M15"/>
    <mergeCell ref="N13:O15"/>
    <mergeCell ref="A78:AL78"/>
    <mergeCell ref="A13:A15"/>
    <mergeCell ref="B13:B15"/>
    <mergeCell ref="C13:C15"/>
    <mergeCell ref="D13:D15"/>
    <mergeCell ref="E13:F15"/>
    <mergeCell ref="G13:G15"/>
    <mergeCell ref="H13:I15"/>
    <mergeCell ref="E11:F12"/>
    <mergeCell ref="G11:G12"/>
    <mergeCell ref="H11:I12"/>
    <mergeCell ref="J11:J12"/>
    <mergeCell ref="K11:L12"/>
    <mergeCell ref="M11:M12"/>
    <mergeCell ref="N11:O12"/>
    <mergeCell ref="P11:P12"/>
    <mergeCell ref="AG10:AI10"/>
    <mergeCell ref="AJ10:AL10"/>
    <mergeCell ref="K10:M10"/>
    <mergeCell ref="N10:P10"/>
    <mergeCell ref="Q10:S10"/>
    <mergeCell ref="T10:V10"/>
    <mergeCell ref="W10:Y10"/>
    <mergeCell ref="AG12:AH12"/>
    <mergeCell ref="AJ12:AK12"/>
    <mergeCell ref="Z11:AA11"/>
    <mergeCell ref="AG11:AH11"/>
    <mergeCell ref="AJ11:AK11"/>
    <mergeCell ref="AB11:AC11"/>
    <mergeCell ref="E10:G10"/>
    <mergeCell ref="H10:J10"/>
    <mergeCell ref="AM7:AM8"/>
    <mergeCell ref="K9:M9"/>
    <mergeCell ref="N9:P9"/>
    <mergeCell ref="Q9:S9"/>
    <mergeCell ref="T9:V9"/>
    <mergeCell ref="W9:Y9"/>
    <mergeCell ref="AG9:AI9"/>
    <mergeCell ref="AJ9:AL9"/>
    <mergeCell ref="K7:M8"/>
    <mergeCell ref="N7:Y8"/>
    <mergeCell ref="AG7:AI8"/>
    <mergeCell ref="AJ7:AL8"/>
    <mergeCell ref="Z7:AF8"/>
    <mergeCell ref="H7:J9"/>
    <mergeCell ref="A6:AL6"/>
    <mergeCell ref="Z9:AF9"/>
    <mergeCell ref="A1:AL1"/>
    <mergeCell ref="A2:AL2"/>
    <mergeCell ref="A3:AL3"/>
    <mergeCell ref="A4:AL4"/>
    <mergeCell ref="A5:AL5"/>
    <mergeCell ref="A7:A9"/>
    <mergeCell ref="B7:B9"/>
    <mergeCell ref="C7:C9"/>
    <mergeCell ref="D7:D9"/>
    <mergeCell ref="E7:G9"/>
  </mergeCells>
  <printOptions horizontalCentered="1"/>
  <pageMargins left="0.23622047244094491" right="0.23622047244094491" top="3.937007874015748E-2" bottom="3.937007874015748E-2" header="0" footer="0"/>
  <pageSetup paperSize="9" scale="32" orientation="landscape"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C1" sqref="C1"/>
    </sheetView>
  </sheetViews>
  <sheetFormatPr defaultRowHeight="15" x14ac:dyDescent="0.25"/>
  <sheetData>
    <row r="1" spans="1:3" ht="105" x14ac:dyDescent="0.25">
      <c r="A1" s="71" t="s">
        <v>71</v>
      </c>
      <c r="B1" s="70" t="s">
        <v>35</v>
      </c>
      <c r="C1" s="7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Dinas Sosial</vt:lpstr>
      <vt:lpstr>Sheet1</vt:lpstr>
      <vt:lpstr>'Dinas Sosial'!Print_Area</vt:lpstr>
      <vt:lpstr>'Dinas Sosial'!Print_Titles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W10 PRO</cp:lastModifiedBy>
  <cp:lastPrinted>2020-04-16T08:01:13Z</cp:lastPrinted>
  <dcterms:created xsi:type="dcterms:W3CDTF">2020-03-18T05:59:44Z</dcterms:created>
  <dcterms:modified xsi:type="dcterms:W3CDTF">2021-12-27T08:27:35Z</dcterms:modified>
</cp:coreProperties>
</file>