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0" yWindow="0" windowWidth="28800" windowHeight="12000"/>
  </bookViews>
  <sheets>
    <sheet name="Dinas PPKBPPPA (cascading baru)" sheetId="2" r:id="rId1"/>
    <sheet name="Dinas PPKBPPPA" sheetId="1" r:id="rId2"/>
  </sheets>
  <definedNames>
    <definedName name="OLE_LINK1" localSheetId="1">'Dinas PPKBPPPA'!$C$14</definedName>
    <definedName name="OLE_LINK1" localSheetId="0">'Dinas PPKBPPPA (cascading baru)'!$C$14</definedName>
    <definedName name="_xlnm.Print_Area" localSheetId="1">'Dinas PPKBPPPA'!$A$1:$AM$107</definedName>
    <definedName name="_xlnm.Print_Area" localSheetId="0">'Dinas PPKBPPPA (cascading baru)'!$A$1:$AN$106</definedName>
    <definedName name="_xlnm.Print_Titles" localSheetId="1">'Dinas PPKBPPPA'!$7:$12</definedName>
    <definedName name="_xlnm.Print_Titles" localSheetId="0">'Dinas PPKBPPPA (cascading baru)'!$7:$12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" i="2" l="1"/>
  <c r="Z75" i="2"/>
  <c r="Z80" i="2"/>
  <c r="Z72" i="2"/>
  <c r="Y71" i="2"/>
  <c r="Y66" i="2"/>
  <c r="AB52" i="2"/>
  <c r="T52" i="2"/>
  <c r="Z18" i="2"/>
  <c r="W14" i="2"/>
  <c r="T14" i="2"/>
  <c r="Q14" i="2"/>
  <c r="N14" i="2"/>
  <c r="Z14" i="2"/>
  <c r="X85" i="2"/>
  <c r="X84" i="2"/>
  <c r="Y83" i="2"/>
  <c r="Y82" i="2" s="1"/>
  <c r="X83" i="2"/>
  <c r="X82" i="2"/>
  <c r="X81" i="2"/>
  <c r="X80" i="2"/>
  <c r="X79" i="2"/>
  <c r="X78" i="2"/>
  <c r="X77" i="2"/>
  <c r="X76" i="2"/>
  <c r="X75" i="2"/>
  <c r="X74" i="2"/>
  <c r="Y73" i="2"/>
  <c r="X73" i="2"/>
  <c r="X72" i="2"/>
  <c r="X71" i="2"/>
  <c r="X70" i="2"/>
  <c r="X69" i="2"/>
  <c r="X68" i="2"/>
  <c r="X67" i="2"/>
  <c r="X66" i="2"/>
  <c r="X65" i="2"/>
  <c r="X64" i="2"/>
  <c r="Y63" i="2"/>
  <c r="X63" i="2"/>
  <c r="X62" i="2"/>
  <c r="Y61" i="2"/>
  <c r="X61" i="2"/>
  <c r="W61" i="2"/>
  <c r="X60" i="2"/>
  <c r="W60" i="2"/>
  <c r="X59" i="2"/>
  <c r="X58" i="2"/>
  <c r="Y57" i="2"/>
  <c r="Y56" i="2" s="1"/>
  <c r="X57" i="2"/>
  <c r="W57" i="2"/>
  <c r="X56" i="2"/>
  <c r="W56" i="2"/>
  <c r="X55" i="2"/>
  <c r="X54" i="2"/>
  <c r="X53" i="2"/>
  <c r="Y52" i="2"/>
  <c r="X52" i="2"/>
  <c r="X51" i="2"/>
  <c r="Y50" i="2"/>
  <c r="X50" i="2"/>
  <c r="W50" i="2"/>
  <c r="X49" i="2"/>
  <c r="X48" i="2"/>
  <c r="Y47" i="2"/>
  <c r="X47" i="2"/>
  <c r="X46" i="2"/>
  <c r="Y45" i="2"/>
  <c r="X45" i="2"/>
  <c r="X44" i="2"/>
  <c r="X43" i="2"/>
  <c r="Y42" i="2"/>
  <c r="Y41" i="2" s="1"/>
  <c r="X42" i="2"/>
  <c r="X41" i="2"/>
  <c r="Y39" i="2"/>
  <c r="Y38" i="2" s="1"/>
  <c r="X39" i="2"/>
  <c r="X38" i="2"/>
  <c r="X37" i="2"/>
  <c r="X36" i="2"/>
  <c r="Y35" i="2"/>
  <c r="X35" i="2"/>
  <c r="X34" i="2"/>
  <c r="X33" i="2"/>
  <c r="X32" i="2"/>
  <c r="Y31" i="2"/>
  <c r="X31" i="2"/>
  <c r="X30" i="2"/>
  <c r="Y29" i="2"/>
  <c r="X29" i="2"/>
  <c r="X28" i="2"/>
  <c r="X27" i="2"/>
  <c r="X26" i="2"/>
  <c r="X25" i="2"/>
  <c r="X24" i="2"/>
  <c r="X23" i="2"/>
  <c r="Y22" i="2"/>
  <c r="X22" i="2"/>
  <c r="X21" i="2"/>
  <c r="X20" i="2"/>
  <c r="X19" i="2"/>
  <c r="X18" i="2"/>
  <c r="Y17" i="2"/>
  <c r="X17" i="2"/>
  <c r="X16" i="2"/>
  <c r="X15" i="2"/>
  <c r="Y14" i="2"/>
  <c r="X14" i="2"/>
  <c r="X13" i="2"/>
  <c r="Y65" i="2" l="1"/>
  <c r="Y60" i="2"/>
  <c r="Y49" i="2"/>
  <c r="Y44" i="2"/>
  <c r="Y13" i="2"/>
  <c r="G85" i="2"/>
  <c r="G84" i="2"/>
  <c r="Z79" i="2"/>
  <c r="T79" i="2"/>
  <c r="G80" i="2"/>
  <c r="G77" i="2"/>
  <c r="Z73" i="2"/>
  <c r="Z74" i="2"/>
  <c r="T73" i="2"/>
  <c r="G78" i="2"/>
  <c r="G75" i="2"/>
  <c r="T66" i="2"/>
  <c r="Q66" i="2"/>
  <c r="N66" i="2"/>
  <c r="V66" i="2"/>
  <c r="S66" i="2"/>
  <c r="P66" i="2"/>
  <c r="M66" i="2"/>
  <c r="J66" i="2"/>
  <c r="G67" i="2"/>
  <c r="K60" i="2"/>
  <c r="T60" i="2"/>
  <c r="G64" i="2"/>
  <c r="T61" i="2"/>
  <c r="G62" i="2"/>
  <c r="T57" i="2"/>
  <c r="T56" i="2"/>
  <c r="Z57" i="2"/>
  <c r="G58" i="2"/>
  <c r="Q52" i="2"/>
  <c r="G55" i="2"/>
  <c r="T50" i="2"/>
  <c r="Q50" i="2"/>
  <c r="N50" i="2"/>
  <c r="K50" i="2"/>
  <c r="H50" i="2"/>
  <c r="E50" i="2"/>
  <c r="G51" i="2"/>
  <c r="Z47" i="2"/>
  <c r="Z48" i="2"/>
  <c r="G48" i="2"/>
  <c r="G46" i="2"/>
  <c r="G40" i="2"/>
  <c r="G37" i="2"/>
  <c r="G36" i="2"/>
  <c r="G34" i="2"/>
  <c r="G33" i="2"/>
  <c r="G32" i="2"/>
  <c r="G30" i="2"/>
  <c r="G28" i="2"/>
  <c r="G27" i="2"/>
  <c r="G26" i="2"/>
  <c r="G25" i="2"/>
  <c r="G24" i="2"/>
  <c r="G23" i="2"/>
  <c r="G21" i="2"/>
  <c r="G20" i="2"/>
  <c r="G19" i="2"/>
  <c r="G18" i="2"/>
  <c r="G16" i="2"/>
  <c r="G15" i="2"/>
  <c r="E15" i="2"/>
  <c r="E16" i="2"/>
  <c r="U85" i="2" l="1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V83" i="2"/>
  <c r="V82" i="2" s="1"/>
  <c r="T82" i="2"/>
  <c r="V73" i="2"/>
  <c r="V71" i="2"/>
  <c r="V63" i="2"/>
  <c r="V61" i="2"/>
  <c r="V60" i="2" s="1"/>
  <c r="V57" i="2"/>
  <c r="V56" i="2" s="1"/>
  <c r="V52" i="2"/>
  <c r="V50" i="2"/>
  <c r="V47" i="2"/>
  <c r="V45" i="2"/>
  <c r="V42" i="2"/>
  <c r="V41" i="2"/>
  <c r="V39" i="2"/>
  <c r="V38" i="2" s="1"/>
  <c r="T38" i="2"/>
  <c r="V35" i="2"/>
  <c r="V31" i="2"/>
  <c r="V29" i="2"/>
  <c r="V22" i="2"/>
  <c r="V17" i="2"/>
  <c r="V14" i="2"/>
  <c r="V49" i="2" l="1"/>
  <c r="V44" i="2"/>
  <c r="V13" i="2"/>
  <c r="K82" i="2"/>
  <c r="AB79" i="2"/>
  <c r="AB75" i="2"/>
  <c r="AB73" i="2"/>
  <c r="AB71" i="2"/>
  <c r="Q63" i="2"/>
  <c r="K63" i="2"/>
  <c r="K61" i="2"/>
  <c r="N45" i="2"/>
  <c r="N44" i="2"/>
  <c r="Z41" i="2"/>
  <c r="AG41" i="2" s="1"/>
  <c r="Q39" i="2"/>
  <c r="Q38" i="2"/>
  <c r="M22" i="2"/>
  <c r="K52" i="2" l="1"/>
  <c r="Z50" i="2"/>
  <c r="H83" i="2"/>
  <c r="E83" i="2"/>
  <c r="J83" i="2"/>
  <c r="J82" i="2" s="1"/>
  <c r="G83" i="2"/>
  <c r="G82" i="2" s="1"/>
  <c r="E82" i="2"/>
  <c r="G79" i="2"/>
  <c r="G73" i="2"/>
  <c r="G71" i="2"/>
  <c r="G66" i="2"/>
  <c r="J79" i="2"/>
  <c r="J73" i="2"/>
  <c r="J71" i="2"/>
  <c r="H63" i="2"/>
  <c r="E63" i="2"/>
  <c r="H61" i="2"/>
  <c r="E61" i="2"/>
  <c r="J63" i="2"/>
  <c r="J61" i="2"/>
  <c r="G63" i="2"/>
  <c r="G61" i="2"/>
  <c r="H60" i="2"/>
  <c r="E60" i="2"/>
  <c r="J57" i="2"/>
  <c r="J56" i="2" s="1"/>
  <c r="G57" i="2"/>
  <c r="G56" i="2" s="1"/>
  <c r="J52" i="2"/>
  <c r="H52" i="2"/>
  <c r="G52" i="2"/>
  <c r="E52" i="2"/>
  <c r="AG50" i="2" l="1"/>
  <c r="AB50" i="2" s="1"/>
  <c r="J65" i="2"/>
  <c r="G65" i="2"/>
  <c r="G60" i="2"/>
  <c r="J60" i="2"/>
  <c r="J50" i="2"/>
  <c r="J49" i="2"/>
  <c r="G50" i="2"/>
  <c r="G49" i="2" s="1"/>
  <c r="J47" i="2"/>
  <c r="G47" i="2"/>
  <c r="J45" i="2"/>
  <c r="J44" i="2" s="1"/>
  <c r="G45" i="2"/>
  <c r="H45" i="2"/>
  <c r="E45" i="2"/>
  <c r="H44" i="2"/>
  <c r="E44" i="2"/>
  <c r="J42" i="2"/>
  <c r="J41" i="2" s="1"/>
  <c r="G42" i="2"/>
  <c r="G41" i="2"/>
  <c r="J39" i="2"/>
  <c r="J38" i="2" s="1"/>
  <c r="G39" i="2"/>
  <c r="G38" i="2" s="1"/>
  <c r="H39" i="2"/>
  <c r="E39" i="2"/>
  <c r="H38" i="2"/>
  <c r="E38" i="2"/>
  <c r="J35" i="2"/>
  <c r="G35" i="2"/>
  <c r="J31" i="2"/>
  <c r="G31" i="2"/>
  <c r="G44" i="2" l="1"/>
  <c r="G29" i="2"/>
  <c r="J22" i="2" l="1"/>
  <c r="G22" i="2"/>
  <c r="J14" i="2"/>
  <c r="J17" i="2"/>
  <c r="G17" i="2"/>
  <c r="G14" i="2"/>
  <c r="G13" i="2" l="1"/>
  <c r="J13" i="2"/>
  <c r="Z71" i="2"/>
  <c r="B80" i="2" l="1"/>
  <c r="B73" i="2"/>
  <c r="B39" i="2"/>
  <c r="Q83" i="2" l="1"/>
  <c r="N73" i="2" l="1"/>
  <c r="Q56" i="2" l="1"/>
  <c r="Z56" i="2" s="1"/>
  <c r="N56" i="2"/>
  <c r="Q57" i="2"/>
  <c r="N57" i="2"/>
  <c r="N48" i="2"/>
  <c r="K48" i="2"/>
  <c r="AB47" i="2" l="1"/>
  <c r="AG47" i="2"/>
  <c r="K45" i="2"/>
  <c r="K44" i="2"/>
  <c r="Q42" i="2"/>
  <c r="Q41" i="2"/>
  <c r="N41" i="2"/>
  <c r="N42" i="2"/>
  <c r="Z42" i="2" s="1"/>
  <c r="AG42" i="2" s="1"/>
  <c r="K38" i="2"/>
  <c r="K39" i="2"/>
  <c r="O39" i="2"/>
  <c r="O38" i="2"/>
  <c r="AA85" i="2" l="1"/>
  <c r="Z85" i="2"/>
  <c r="S85" i="2"/>
  <c r="AD85" i="2" s="1"/>
  <c r="AI85" i="2" s="1"/>
  <c r="R85" i="2"/>
  <c r="O85" i="2"/>
  <c r="AH85" i="2" s="1"/>
  <c r="AD84" i="2"/>
  <c r="AE84" i="2" s="1"/>
  <c r="AA84" i="2"/>
  <c r="Z84" i="2"/>
  <c r="R84" i="2"/>
  <c r="O84" i="2"/>
  <c r="AH84" i="2" s="1"/>
  <c r="K84" i="2"/>
  <c r="AA83" i="2"/>
  <c r="Z83" i="2"/>
  <c r="AG83" i="2" s="1"/>
  <c r="S83" i="2"/>
  <c r="S82" i="2" s="1"/>
  <c r="R83" i="2"/>
  <c r="P83" i="2"/>
  <c r="O83" i="2"/>
  <c r="AH83" i="2" s="1"/>
  <c r="M83" i="2"/>
  <c r="M82" i="2" s="1"/>
  <c r="AA82" i="2"/>
  <c r="R82" i="2"/>
  <c r="Q82" i="2"/>
  <c r="Z82" i="2" s="1"/>
  <c r="P82" i="2"/>
  <c r="O82" i="2"/>
  <c r="AH82" i="2" s="1"/>
  <c r="AD81" i="2"/>
  <c r="AE81" i="2" s="1"/>
  <c r="AA81" i="2"/>
  <c r="Z81" i="2"/>
  <c r="AB81" i="2" s="1"/>
  <c r="R81" i="2"/>
  <c r="O81" i="2"/>
  <c r="AH81" i="2" s="1"/>
  <c r="AD80" i="2"/>
  <c r="AE80" i="2" s="1"/>
  <c r="AA80" i="2"/>
  <c r="AG80" i="2"/>
  <c r="R80" i="2"/>
  <c r="O80" i="2"/>
  <c r="AH80" i="2" s="1"/>
  <c r="AH79" i="2"/>
  <c r="AD79" i="2"/>
  <c r="AI79" i="2" s="1"/>
  <c r="AA79" i="2"/>
  <c r="M79" i="2"/>
  <c r="AD78" i="2"/>
  <c r="AI78" i="2" s="1"/>
  <c r="AA78" i="2"/>
  <c r="Z78" i="2"/>
  <c r="R78" i="2"/>
  <c r="O78" i="2"/>
  <c r="AH78" i="2" s="1"/>
  <c r="K78" i="2"/>
  <c r="AD77" i="2"/>
  <c r="AE77" i="2" s="1"/>
  <c r="AA77" i="2"/>
  <c r="Z77" i="2"/>
  <c r="AB77" i="2" s="1"/>
  <c r="R77" i="2"/>
  <c r="O77" i="2"/>
  <c r="AH77" i="2" s="1"/>
  <c r="AD76" i="2"/>
  <c r="AE76" i="2" s="1"/>
  <c r="AA76" i="2"/>
  <c r="Z76" i="2"/>
  <c r="AG76" i="2" s="1"/>
  <c r="R76" i="2"/>
  <c r="O76" i="2"/>
  <c r="AH76" i="2" s="1"/>
  <c r="AA75" i="2"/>
  <c r="R75" i="2"/>
  <c r="P75" i="2"/>
  <c r="AD75" i="2" s="1"/>
  <c r="O75" i="2"/>
  <c r="AH75" i="2" s="1"/>
  <c r="AD74" i="2"/>
  <c r="AE74" i="2" s="1"/>
  <c r="AA74" i="2"/>
  <c r="AG74" i="2"/>
  <c r="R74" i="2"/>
  <c r="O74" i="2"/>
  <c r="AH74" i="2" s="1"/>
  <c r="AA73" i="2"/>
  <c r="S73" i="2"/>
  <c r="R73" i="2"/>
  <c r="P73" i="2"/>
  <c r="O73" i="2"/>
  <c r="AH73" i="2" s="1"/>
  <c r="M73" i="2"/>
  <c r="AD72" i="2"/>
  <c r="AE72" i="2" s="1"/>
  <c r="AA72" i="2"/>
  <c r="AG72" i="2"/>
  <c r="R72" i="2"/>
  <c r="O72" i="2"/>
  <c r="AH72" i="2" s="1"/>
  <c r="AG71" i="2"/>
  <c r="AA71" i="2"/>
  <c r="S71" i="2"/>
  <c r="R71" i="2"/>
  <c r="P71" i="2"/>
  <c r="O71" i="2"/>
  <c r="AH71" i="2" s="1"/>
  <c r="M71" i="2"/>
  <c r="AD70" i="2"/>
  <c r="AI70" i="2" s="1"/>
  <c r="AA70" i="2"/>
  <c r="Z70" i="2"/>
  <c r="R70" i="2"/>
  <c r="O70" i="2"/>
  <c r="AH70" i="2" s="1"/>
  <c r="AD69" i="2"/>
  <c r="AI69" i="2" s="1"/>
  <c r="AA69" i="2"/>
  <c r="Z69" i="2"/>
  <c r="AG69" i="2" s="1"/>
  <c r="R69" i="2"/>
  <c r="O69" i="2"/>
  <c r="AH69" i="2" s="1"/>
  <c r="AA68" i="2"/>
  <c r="Z68" i="2"/>
  <c r="S68" i="2"/>
  <c r="AD68" i="2" s="1"/>
  <c r="AI68" i="2" s="1"/>
  <c r="R68" i="2"/>
  <c r="O68" i="2"/>
  <c r="AH68" i="2" s="1"/>
  <c r="K68" i="2"/>
  <c r="AD67" i="2"/>
  <c r="AI67" i="2" s="1"/>
  <c r="AA67" i="2"/>
  <c r="Z67" i="2"/>
  <c r="R67" i="2"/>
  <c r="O67" i="2"/>
  <c r="AH67" i="2" s="1"/>
  <c r="AA66" i="2"/>
  <c r="Z66" i="2"/>
  <c r="AG66" i="2" s="1"/>
  <c r="R66" i="2"/>
  <c r="O66" i="2"/>
  <c r="AH66" i="2" s="1"/>
  <c r="AA65" i="2"/>
  <c r="Z65" i="2"/>
  <c r="R65" i="2"/>
  <c r="O65" i="2"/>
  <c r="AH65" i="2" s="1"/>
  <c r="AD64" i="2"/>
  <c r="AI64" i="2" s="1"/>
  <c r="AA64" i="2"/>
  <c r="Z64" i="2"/>
  <c r="AG64" i="2" s="1"/>
  <c r="R64" i="2"/>
  <c r="O64" i="2"/>
  <c r="AH64" i="2" s="1"/>
  <c r="AA63" i="2"/>
  <c r="Z63" i="2"/>
  <c r="AG63" i="2" s="1"/>
  <c r="AB63" i="2" s="1"/>
  <c r="S63" i="2"/>
  <c r="R63" i="2"/>
  <c r="P63" i="2"/>
  <c r="O63" i="2"/>
  <c r="AH63" i="2" s="1"/>
  <c r="M63" i="2"/>
  <c r="AD62" i="2"/>
  <c r="AE62" i="2" s="1"/>
  <c r="AA62" i="2"/>
  <c r="Z62" i="2"/>
  <c r="AB62" i="2" s="1"/>
  <c r="R62" i="2"/>
  <c r="O62" i="2"/>
  <c r="AH62" i="2" s="1"/>
  <c r="AA61" i="2"/>
  <c r="Z61" i="2"/>
  <c r="S61" i="2"/>
  <c r="S60" i="2" s="1"/>
  <c r="R61" i="2"/>
  <c r="P61" i="2"/>
  <c r="O61" i="2"/>
  <c r="AH61" i="2" s="1"/>
  <c r="M61" i="2"/>
  <c r="M60" i="2" s="1"/>
  <c r="AA60" i="2"/>
  <c r="R60" i="2"/>
  <c r="Z60" i="2"/>
  <c r="O60" i="2"/>
  <c r="AH60" i="2" s="1"/>
  <c r="AD59" i="2"/>
  <c r="AE59" i="2" s="1"/>
  <c r="AA59" i="2"/>
  <c r="Z59" i="2"/>
  <c r="AB59" i="2" s="1"/>
  <c r="R59" i="2"/>
  <c r="O59" i="2"/>
  <c r="AH59" i="2" s="1"/>
  <c r="AD58" i="2"/>
  <c r="AE58" i="2" s="1"/>
  <c r="AA58" i="2"/>
  <c r="Z58" i="2"/>
  <c r="AB58" i="2" s="1"/>
  <c r="R58" i="2"/>
  <c r="O58" i="2"/>
  <c r="AH58" i="2" s="1"/>
  <c r="AA57" i="2"/>
  <c r="AB57" i="2"/>
  <c r="S57" i="2"/>
  <c r="S56" i="2" s="1"/>
  <c r="R57" i="2"/>
  <c r="P57" i="2"/>
  <c r="AD57" i="2" s="1"/>
  <c r="O57" i="2"/>
  <c r="AH57" i="2" s="1"/>
  <c r="M57" i="2"/>
  <c r="M56" i="2" s="1"/>
  <c r="AA56" i="2"/>
  <c r="R56" i="2"/>
  <c r="O56" i="2"/>
  <c r="AH56" i="2" s="1"/>
  <c r="AD55" i="2"/>
  <c r="AE55" i="2" s="1"/>
  <c r="AA55" i="2"/>
  <c r="Z55" i="2"/>
  <c r="AG55" i="2" s="1"/>
  <c r="R55" i="2"/>
  <c r="O55" i="2"/>
  <c r="AH55" i="2" s="1"/>
  <c r="AD54" i="2"/>
  <c r="AI54" i="2" s="1"/>
  <c r="AA54" i="2"/>
  <c r="Z54" i="2"/>
  <c r="R54" i="2"/>
  <c r="O54" i="2"/>
  <c r="AH54" i="2" s="1"/>
  <c r="K54" i="2"/>
  <c r="AH53" i="2"/>
  <c r="AA53" i="2"/>
  <c r="Z53" i="2"/>
  <c r="R53" i="2"/>
  <c r="O53" i="2"/>
  <c r="K53" i="2"/>
  <c r="AA52" i="2"/>
  <c r="Z52" i="2"/>
  <c r="S52" i="2"/>
  <c r="R52" i="2"/>
  <c r="O52" i="2"/>
  <c r="AH52" i="2" s="1"/>
  <c r="M52" i="2"/>
  <c r="AA51" i="2"/>
  <c r="Z51" i="2"/>
  <c r="R51" i="2"/>
  <c r="O51" i="2"/>
  <c r="AH51" i="2" s="1"/>
  <c r="AA50" i="2"/>
  <c r="S50" i="2"/>
  <c r="R50" i="2"/>
  <c r="O50" i="2"/>
  <c r="AH50" i="2" s="1"/>
  <c r="M50" i="2"/>
  <c r="AA49" i="2"/>
  <c r="Z49" i="2"/>
  <c r="R49" i="2"/>
  <c r="O49" i="2"/>
  <c r="AH49" i="2" s="1"/>
  <c r="AA48" i="2"/>
  <c r="S48" i="2"/>
  <c r="S47" i="2" s="1"/>
  <c r="R48" i="2"/>
  <c r="O48" i="2"/>
  <c r="AH48" i="2" s="1"/>
  <c r="AA47" i="2"/>
  <c r="R47" i="2"/>
  <c r="P47" i="2"/>
  <c r="O47" i="2"/>
  <c r="AH47" i="2" s="1"/>
  <c r="M47" i="2"/>
  <c r="M44" i="2" s="1"/>
  <c r="AD46" i="2"/>
  <c r="AE46" i="2" s="1"/>
  <c r="AA46" i="2"/>
  <c r="Z46" i="2"/>
  <c r="AG46" i="2" s="1"/>
  <c r="R46" i="2"/>
  <c r="O46" i="2"/>
  <c r="AH46" i="2" s="1"/>
  <c r="AA45" i="2"/>
  <c r="Z45" i="2"/>
  <c r="S45" i="2"/>
  <c r="R45" i="2"/>
  <c r="P45" i="2"/>
  <c r="O45" i="2"/>
  <c r="AH45" i="2" s="1"/>
  <c r="M45" i="2"/>
  <c r="AA44" i="2"/>
  <c r="R44" i="2"/>
  <c r="Z44" i="2"/>
  <c r="AG44" i="2" s="1"/>
  <c r="AB44" i="2" s="1"/>
  <c r="O44" i="2"/>
  <c r="AH44" i="2" s="1"/>
  <c r="AD43" i="2"/>
  <c r="AI43" i="2" s="1"/>
  <c r="AA43" i="2"/>
  <c r="Z43" i="2"/>
  <c r="AB43" i="2" s="1"/>
  <c r="R43" i="2"/>
  <c r="O43" i="2"/>
  <c r="AH43" i="2" s="1"/>
  <c r="AA42" i="2"/>
  <c r="S42" i="2"/>
  <c r="S41" i="2" s="1"/>
  <c r="R42" i="2"/>
  <c r="P42" i="2"/>
  <c r="O42" i="2"/>
  <c r="AH42" i="2" s="1"/>
  <c r="M42" i="2"/>
  <c r="M41" i="2" s="1"/>
  <c r="AA41" i="2"/>
  <c r="R41" i="2"/>
  <c r="P41" i="2"/>
  <c r="O41" i="2"/>
  <c r="AH41" i="2" s="1"/>
  <c r="AD40" i="2"/>
  <c r="AI40" i="2" s="1"/>
  <c r="AA40" i="2"/>
  <c r="Z40" i="2"/>
  <c r="AB40" i="2" s="1"/>
  <c r="R40" i="2"/>
  <c r="AH40" i="2"/>
  <c r="AA39" i="2"/>
  <c r="Z39" i="2"/>
  <c r="AG39" i="2" s="1"/>
  <c r="AB39" i="2" s="1"/>
  <c r="S39" i="2"/>
  <c r="S38" i="2" s="1"/>
  <c r="R39" i="2"/>
  <c r="P39" i="2"/>
  <c r="P38" i="2" s="1"/>
  <c r="AH39" i="2"/>
  <c r="M39" i="2"/>
  <c r="M38" i="2" s="1"/>
  <c r="AA38" i="2"/>
  <c r="Z38" i="2"/>
  <c r="R38" i="2"/>
  <c r="AH38" i="2"/>
  <c r="AA37" i="2"/>
  <c r="Z37" i="2"/>
  <c r="AB37" i="2" s="1"/>
  <c r="S37" i="2"/>
  <c r="AD37" i="2" s="1"/>
  <c r="AI37" i="2" s="1"/>
  <c r="R37" i="2"/>
  <c r="O37" i="2"/>
  <c r="AH37" i="2" s="1"/>
  <c r="AA36" i="2"/>
  <c r="Z36" i="2"/>
  <c r="AB36" i="2" s="1"/>
  <c r="S36" i="2"/>
  <c r="AD36" i="2" s="1"/>
  <c r="R36" i="2"/>
  <c r="O36" i="2"/>
  <c r="AH36" i="2" s="1"/>
  <c r="AA35" i="2"/>
  <c r="Z35" i="2"/>
  <c r="AB35" i="2" s="1"/>
  <c r="R35" i="2"/>
  <c r="P35" i="2"/>
  <c r="O35" i="2"/>
  <c r="AH35" i="2" s="1"/>
  <c r="M35" i="2"/>
  <c r="AA34" i="2"/>
  <c r="Z34" i="2"/>
  <c r="AB34" i="2" s="1"/>
  <c r="S34" i="2"/>
  <c r="AD34" i="2" s="1"/>
  <c r="R34" i="2"/>
  <c r="O34" i="2"/>
  <c r="AH34" i="2" s="1"/>
  <c r="AD33" i="2"/>
  <c r="AI33" i="2" s="1"/>
  <c r="AA33" i="2"/>
  <c r="Z33" i="2"/>
  <c r="AB33" i="2" s="1"/>
  <c r="R33" i="2"/>
  <c r="O33" i="2"/>
  <c r="AH33" i="2" s="1"/>
  <c r="AD32" i="2"/>
  <c r="AE32" i="2" s="1"/>
  <c r="AA32" i="2"/>
  <c r="Z32" i="2"/>
  <c r="AG32" i="2" s="1"/>
  <c r="R32" i="2"/>
  <c r="O32" i="2"/>
  <c r="AH32" i="2" s="1"/>
  <c r="AA31" i="2"/>
  <c r="Z31" i="2"/>
  <c r="AB31" i="2" s="1"/>
  <c r="R31" i="2"/>
  <c r="P31" i="2"/>
  <c r="O31" i="2"/>
  <c r="AH31" i="2" s="1"/>
  <c r="M31" i="2"/>
  <c r="AD30" i="2"/>
  <c r="AI30" i="2" s="1"/>
  <c r="AA30" i="2"/>
  <c r="Z30" i="2"/>
  <c r="AG30" i="2" s="1"/>
  <c r="R30" i="2"/>
  <c r="O30" i="2"/>
  <c r="AH30" i="2" s="1"/>
  <c r="AA29" i="2"/>
  <c r="Z29" i="2"/>
  <c r="AB29" i="2" s="1"/>
  <c r="S29" i="2"/>
  <c r="R29" i="2"/>
  <c r="P29" i="2"/>
  <c r="O29" i="2"/>
  <c r="AH29" i="2" s="1"/>
  <c r="M29" i="2"/>
  <c r="AA28" i="2"/>
  <c r="Z28" i="2"/>
  <c r="AB28" i="2" s="1"/>
  <c r="S28" i="2"/>
  <c r="AD28" i="2" s="1"/>
  <c r="R28" i="2"/>
  <c r="O28" i="2"/>
  <c r="AH28" i="2" s="1"/>
  <c r="AD27" i="2"/>
  <c r="AE27" i="2" s="1"/>
  <c r="AA27" i="2"/>
  <c r="Z27" i="2"/>
  <c r="AB27" i="2" s="1"/>
  <c r="R27" i="2"/>
  <c r="O27" i="2"/>
  <c r="AH27" i="2" s="1"/>
  <c r="AD26" i="2"/>
  <c r="AI26" i="2" s="1"/>
  <c r="AA26" i="2"/>
  <c r="Z26" i="2"/>
  <c r="AB26" i="2" s="1"/>
  <c r="R26" i="2"/>
  <c r="O26" i="2"/>
  <c r="AH26" i="2" s="1"/>
  <c r="AD25" i="2"/>
  <c r="AE25" i="2" s="1"/>
  <c r="AA25" i="2"/>
  <c r="Z25" i="2"/>
  <c r="AB25" i="2" s="1"/>
  <c r="R25" i="2"/>
  <c r="O25" i="2"/>
  <c r="AH25" i="2" s="1"/>
  <c r="AA24" i="2"/>
  <c r="Z24" i="2"/>
  <c r="AG24" i="2" s="1"/>
  <c r="S24" i="2"/>
  <c r="AD24" i="2" s="1"/>
  <c r="R24" i="2"/>
  <c r="O24" i="2"/>
  <c r="AH24" i="2" s="1"/>
  <c r="AD23" i="2"/>
  <c r="AI23" i="2" s="1"/>
  <c r="AA23" i="2"/>
  <c r="Z23" i="2"/>
  <c r="AB23" i="2" s="1"/>
  <c r="R23" i="2"/>
  <c r="O23" i="2"/>
  <c r="AH23" i="2" s="1"/>
  <c r="AA22" i="2"/>
  <c r="Z22" i="2"/>
  <c r="AB22" i="2" s="1"/>
  <c r="R22" i="2"/>
  <c r="P22" i="2"/>
  <c r="O22" i="2"/>
  <c r="AH22" i="2" s="1"/>
  <c r="AP21" i="2"/>
  <c r="AD21" i="2"/>
  <c r="AI21" i="2" s="1"/>
  <c r="AA21" i="2"/>
  <c r="Z21" i="2"/>
  <c r="AB21" i="2" s="1"/>
  <c r="R21" i="2"/>
  <c r="O21" i="2"/>
  <c r="AH21" i="2" s="1"/>
  <c r="AP20" i="2"/>
  <c r="AD20" i="2"/>
  <c r="AE20" i="2" s="1"/>
  <c r="AA20" i="2"/>
  <c r="Z20" i="2"/>
  <c r="AB20" i="2" s="1"/>
  <c r="R20" i="2"/>
  <c r="O20" i="2"/>
  <c r="AH20" i="2" s="1"/>
  <c r="AH19" i="2"/>
  <c r="AA19" i="2"/>
  <c r="Z19" i="2"/>
  <c r="AG19" i="2" s="1"/>
  <c r="S19" i="2"/>
  <c r="AP19" i="2" s="1"/>
  <c r="R19" i="2"/>
  <c r="O19" i="2"/>
  <c r="AA18" i="2"/>
  <c r="AB18" i="2"/>
  <c r="S18" i="2"/>
  <c r="AP18" i="2" s="1"/>
  <c r="R18" i="2"/>
  <c r="O18" i="2"/>
  <c r="AH18" i="2" s="1"/>
  <c r="AA17" i="2"/>
  <c r="R17" i="2"/>
  <c r="P17" i="2"/>
  <c r="O17" i="2"/>
  <c r="AH17" i="2" s="1"/>
  <c r="M17" i="2"/>
  <c r="AD16" i="2"/>
  <c r="AI16" i="2" s="1"/>
  <c r="AA16" i="2"/>
  <c r="Z16" i="2"/>
  <c r="AG16" i="2" s="1"/>
  <c r="R16" i="2"/>
  <c r="O16" i="2"/>
  <c r="AH16" i="2" s="1"/>
  <c r="AD15" i="2"/>
  <c r="AE15" i="2" s="1"/>
  <c r="AA15" i="2"/>
  <c r="Z15" i="2"/>
  <c r="AB15" i="2" s="1"/>
  <c r="R15" i="2"/>
  <c r="O15" i="2"/>
  <c r="AH15" i="2" s="1"/>
  <c r="AA14" i="2"/>
  <c r="S14" i="2"/>
  <c r="R14" i="2"/>
  <c r="P14" i="2"/>
  <c r="O14" i="2"/>
  <c r="AH14" i="2" s="1"/>
  <c r="M14" i="2"/>
  <c r="AA13" i="2"/>
  <c r="Z13" i="2"/>
  <c r="AG13" i="2" s="1"/>
  <c r="R13" i="2"/>
  <c r="O13" i="2"/>
  <c r="AH13" i="2" s="1"/>
  <c r="AE30" i="2" l="1"/>
  <c r="AG26" i="2"/>
  <c r="AB55" i="2"/>
  <c r="AE64" i="2"/>
  <c r="AE57" i="2"/>
  <c r="M13" i="2"/>
  <c r="AB24" i="2"/>
  <c r="AG34" i="2"/>
  <c r="AI59" i="2"/>
  <c r="AG61" i="2"/>
  <c r="AB61" i="2" s="1"/>
  <c r="AB72" i="2"/>
  <c r="AE21" i="2"/>
  <c r="AB54" i="2"/>
  <c r="AG54" i="2"/>
  <c r="AB16" i="2"/>
  <c r="AG18" i="2"/>
  <c r="AB53" i="2"/>
  <c r="AG53" i="2"/>
  <c r="AG48" i="2"/>
  <c r="AB48" i="2"/>
  <c r="AG22" i="2"/>
  <c r="Z17" i="2"/>
  <c r="S31" i="2"/>
  <c r="AB13" i="2"/>
  <c r="S22" i="2"/>
  <c r="AD22" i="2" s="1"/>
  <c r="AI22" i="2" s="1"/>
  <c r="AB30" i="2"/>
  <c r="AG49" i="2"/>
  <c r="AB49" i="2" s="1"/>
  <c r="AG62" i="2"/>
  <c r="AB64" i="2"/>
  <c r="AD71" i="2"/>
  <c r="AE71" i="2" s="1"/>
  <c r="AB76" i="2"/>
  <c r="AI84" i="2"/>
  <c r="AB19" i="2"/>
  <c r="AE23" i="2"/>
  <c r="AD29" i="2"/>
  <c r="AE29" i="2" s="1"/>
  <c r="AD38" i="2"/>
  <c r="AE38" i="2" s="1"/>
  <c r="S44" i="2"/>
  <c r="M49" i="2"/>
  <c r="P56" i="2"/>
  <c r="AG59" i="2"/>
  <c r="AD61" i="2"/>
  <c r="AE61" i="2" s="1"/>
  <c r="P65" i="2"/>
  <c r="AE67" i="2"/>
  <c r="AE78" i="2"/>
  <c r="AG52" i="2"/>
  <c r="AG58" i="2"/>
  <c r="AG57" i="2"/>
  <c r="AB42" i="2"/>
  <c r="AE75" i="2"/>
  <c r="AI75" i="2"/>
  <c r="AE36" i="2"/>
  <c r="AI36" i="2"/>
  <c r="AD31" i="2"/>
  <c r="AI31" i="2" s="1"/>
  <c r="AG45" i="2"/>
  <c r="AB45" i="2" s="1"/>
  <c r="AD73" i="2"/>
  <c r="AI73" i="2" s="1"/>
  <c r="AD14" i="2"/>
  <c r="AE14" i="2" s="1"/>
  <c r="AE16" i="2"/>
  <c r="AB32" i="2"/>
  <c r="AE33" i="2"/>
  <c r="S35" i="2"/>
  <c r="AD35" i="2" s="1"/>
  <c r="AE40" i="2"/>
  <c r="AE43" i="2"/>
  <c r="AB46" i="2"/>
  <c r="S49" i="2"/>
  <c r="P60" i="2"/>
  <c r="AD60" i="2" s="1"/>
  <c r="AD63" i="2"/>
  <c r="AB69" i="2"/>
  <c r="AE70" i="2"/>
  <c r="AB74" i="2"/>
  <c r="AB80" i="2"/>
  <c r="AB83" i="2"/>
  <c r="AB84" i="2"/>
  <c r="AD48" i="2"/>
  <c r="AE48" i="2" s="1"/>
  <c r="AG14" i="2"/>
  <c r="AE26" i="2"/>
  <c r="AD41" i="2"/>
  <c r="AE41" i="2" s="1"/>
  <c r="AI46" i="2"/>
  <c r="AB66" i="2"/>
  <c r="AE68" i="2"/>
  <c r="AE69" i="2"/>
  <c r="AI77" i="2"/>
  <c r="AI28" i="2"/>
  <c r="AE28" i="2"/>
  <c r="AE34" i="2"/>
  <c r="AI34" i="2"/>
  <c r="AE24" i="2"/>
  <c r="AI24" i="2"/>
  <c r="AB17" i="2"/>
  <c r="AG17" i="2"/>
  <c r="AI20" i="2"/>
  <c r="AI27" i="2"/>
  <c r="AG37" i="2"/>
  <c r="AB78" i="2"/>
  <c r="AG78" i="2"/>
  <c r="AG28" i="2"/>
  <c r="AI32" i="2"/>
  <c r="AG33" i="2"/>
  <c r="AG35" i="2"/>
  <c r="AD39" i="2"/>
  <c r="AD42" i="2"/>
  <c r="AB65" i="2"/>
  <c r="AG65" i="2"/>
  <c r="AB70" i="2"/>
  <c r="AG70" i="2"/>
  <c r="AB82" i="2"/>
  <c r="AG82" i="2"/>
  <c r="AI15" i="2"/>
  <c r="AI25" i="2"/>
  <c r="AB41" i="2"/>
  <c r="AB85" i="2"/>
  <c r="AG85" i="2"/>
  <c r="AD18" i="2"/>
  <c r="AD19" i="2"/>
  <c r="AG21" i="2"/>
  <c r="AG23" i="2"/>
  <c r="AG31" i="2"/>
  <c r="AG15" i="2"/>
  <c r="S17" i="2"/>
  <c r="AG20" i="2"/>
  <c r="AG25" i="2"/>
  <c r="AG27" i="2"/>
  <c r="AG29" i="2"/>
  <c r="AG40" i="2"/>
  <c r="AG43" i="2"/>
  <c r="AD45" i="2"/>
  <c r="P44" i="2"/>
  <c r="AG51" i="2"/>
  <c r="AB51" i="2" s="1"/>
  <c r="AE54" i="2"/>
  <c r="AG60" i="2"/>
  <c r="AB60" i="2" s="1"/>
  <c r="M65" i="2"/>
  <c r="AI81" i="2"/>
  <c r="AD82" i="2"/>
  <c r="AE85" i="2"/>
  <c r="P13" i="2"/>
  <c r="AG36" i="2"/>
  <c r="AE37" i="2"/>
  <c r="AG38" i="2"/>
  <c r="AD47" i="2"/>
  <c r="AB56" i="2"/>
  <c r="AG56" i="2"/>
  <c r="AI57" i="2"/>
  <c r="AB67" i="2"/>
  <c r="AG67" i="2"/>
  <c r="AB68" i="2"/>
  <c r="AG68" i="2"/>
  <c r="AG73" i="2"/>
  <c r="AE79" i="2"/>
  <c r="AI74" i="2"/>
  <c r="AD83" i="2"/>
  <c r="AI55" i="2"/>
  <c r="AI58" i="2"/>
  <c r="AI62" i="2"/>
  <c r="AI72" i="2"/>
  <c r="AG75" i="2"/>
  <c r="AI76" i="2"/>
  <c r="AG77" i="2"/>
  <c r="AG79" i="2"/>
  <c r="AI80" i="2"/>
  <c r="AG81" i="2"/>
  <c r="AG84" i="2"/>
  <c r="AI29" i="2" l="1"/>
  <c r="AI71" i="2"/>
  <c r="V65" i="2"/>
  <c r="AI14" i="2"/>
  <c r="AI63" i="2"/>
  <c r="AE63" i="2"/>
  <c r="AE73" i="2"/>
  <c r="AI38" i="2"/>
  <c r="AB14" i="2"/>
  <c r="AB86" i="2" s="1"/>
  <c r="AB87" i="2" s="1"/>
  <c r="AI48" i="2"/>
  <c r="AE22" i="2"/>
  <c r="AI41" i="2"/>
  <c r="AE31" i="2"/>
  <c r="AD56" i="2"/>
  <c r="P53" i="2"/>
  <c r="AI61" i="2"/>
  <c r="AD44" i="2"/>
  <c r="AE44" i="2" s="1"/>
  <c r="AI35" i="2"/>
  <c r="AE35" i="2"/>
  <c r="S65" i="2"/>
  <c r="AI60" i="2"/>
  <c r="AE60" i="2"/>
  <c r="S13" i="2"/>
  <c r="AD17" i="2"/>
  <c r="AE17" i="2" s="1"/>
  <c r="AI82" i="2"/>
  <c r="AE82" i="2"/>
  <c r="AI18" i="2"/>
  <c r="AE18" i="2"/>
  <c r="AE42" i="2"/>
  <c r="AI42" i="2"/>
  <c r="AE83" i="2"/>
  <c r="AI83" i="2"/>
  <c r="AE39" i="2"/>
  <c r="AI39" i="2"/>
  <c r="AE47" i="2"/>
  <c r="AI47" i="2"/>
  <c r="AD13" i="2"/>
  <c r="AP13" i="2"/>
  <c r="AI45" i="2"/>
  <c r="AE45" i="2"/>
  <c r="AI19" i="2"/>
  <c r="AE19" i="2"/>
  <c r="S86" i="1"/>
  <c r="S84" i="1" s="1"/>
  <c r="S83" i="1" s="1"/>
  <c r="S74" i="1"/>
  <c r="S72" i="1"/>
  <c r="S69" i="1"/>
  <c r="S63" i="1"/>
  <c r="S61" i="1"/>
  <c r="S57" i="1"/>
  <c r="S56" i="1" s="1"/>
  <c r="S52" i="1"/>
  <c r="S50" i="1"/>
  <c r="S48" i="1"/>
  <c r="S47" i="1" s="1"/>
  <c r="S45" i="1"/>
  <c r="S42" i="1"/>
  <c r="S41" i="1" s="1"/>
  <c r="S39" i="1"/>
  <c r="S38" i="1" s="1"/>
  <c r="AD65" i="2" l="1"/>
  <c r="AI65" i="2" s="1"/>
  <c r="AI44" i="2"/>
  <c r="P52" i="2"/>
  <c r="AD53" i="2"/>
  <c r="AE53" i="2" s="1"/>
  <c r="AI56" i="2"/>
  <c r="AE56" i="2"/>
  <c r="AI17" i="2"/>
  <c r="AD66" i="2"/>
  <c r="AE66" i="2" s="1"/>
  <c r="AE13" i="2"/>
  <c r="AI13" i="2"/>
  <c r="S60" i="1"/>
  <c r="S49" i="1"/>
  <c r="S44" i="1"/>
  <c r="S37" i="1"/>
  <c r="S36" i="1"/>
  <c r="S34" i="1"/>
  <c r="S31" i="1" s="1"/>
  <c r="S29" i="1"/>
  <c r="AE65" i="2" l="1"/>
  <c r="AI66" i="2"/>
  <c r="AI53" i="2"/>
  <c r="P51" i="2"/>
  <c r="AD52" i="2"/>
  <c r="S35" i="1"/>
  <c r="S28" i="1"/>
  <c r="S24" i="1"/>
  <c r="S22" i="1" s="1"/>
  <c r="S19" i="1"/>
  <c r="S18" i="1"/>
  <c r="S14" i="1"/>
  <c r="Z13" i="1"/>
  <c r="AE52" i="2" l="1"/>
  <c r="AI52" i="2"/>
  <c r="P50" i="2"/>
  <c r="AD51" i="2"/>
  <c r="S17" i="1"/>
  <c r="S13" i="1"/>
  <c r="Q17" i="1"/>
  <c r="Q14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13" i="1"/>
  <c r="AD50" i="2" l="1"/>
  <c r="P49" i="2"/>
  <c r="AD49" i="2" s="1"/>
  <c r="AI51" i="2"/>
  <c r="AE51" i="2"/>
  <c r="Z65" i="1"/>
  <c r="AG65" i="1" s="1"/>
  <c r="AI49" i="2" l="1"/>
  <c r="AE49" i="2"/>
  <c r="AE50" i="2"/>
  <c r="AI50" i="2"/>
  <c r="Q83" i="1"/>
  <c r="K83" i="1"/>
  <c r="K85" i="1"/>
  <c r="K84" i="1"/>
  <c r="Q60" i="1"/>
  <c r="K60" i="1"/>
  <c r="K65" i="1"/>
  <c r="AB65" i="1" s="1"/>
  <c r="K79" i="1"/>
  <c r="R76" i="1"/>
  <c r="P76" i="1"/>
  <c r="O76" i="1"/>
  <c r="K69" i="1"/>
  <c r="K68" i="1"/>
  <c r="K67" i="1"/>
  <c r="O61" i="1"/>
  <c r="K54" i="1"/>
  <c r="R53" i="1"/>
  <c r="O53" i="1"/>
  <c r="K53" i="1"/>
  <c r="K52" i="1"/>
  <c r="R51" i="1"/>
  <c r="O51" i="1"/>
  <c r="K50" i="1"/>
  <c r="Q44" i="1"/>
  <c r="K44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2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7" i="1"/>
  <c r="R78" i="1"/>
  <c r="R79" i="1"/>
  <c r="R81" i="1"/>
  <c r="R82" i="1"/>
  <c r="R83" i="1"/>
  <c r="R84" i="1"/>
  <c r="R85" i="1"/>
  <c r="R86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2" i="1"/>
  <c r="O54" i="1"/>
  <c r="O55" i="1"/>
  <c r="O56" i="1"/>
  <c r="O57" i="1"/>
  <c r="O58" i="1"/>
  <c r="O59" i="1"/>
  <c r="O60" i="1"/>
  <c r="O62" i="1"/>
  <c r="O63" i="1"/>
  <c r="O64" i="1"/>
  <c r="O65" i="1"/>
  <c r="O66" i="1"/>
  <c r="AH66" i="1" s="1"/>
  <c r="O67" i="1"/>
  <c r="O68" i="1"/>
  <c r="O69" i="1"/>
  <c r="O70" i="1"/>
  <c r="O71" i="1"/>
  <c r="O72" i="1"/>
  <c r="O73" i="1"/>
  <c r="O74" i="1"/>
  <c r="O75" i="1"/>
  <c r="O77" i="1"/>
  <c r="O78" i="1"/>
  <c r="O79" i="1"/>
  <c r="O81" i="1"/>
  <c r="O82" i="1"/>
  <c r="O83" i="1"/>
  <c r="O84" i="1"/>
  <c r="O85" i="1"/>
  <c r="O86" i="1"/>
  <c r="AE86" i="2" l="1"/>
  <c r="AE87" i="2" s="1"/>
  <c r="AH86" i="1"/>
  <c r="AD86" i="1"/>
  <c r="AI86" i="1" s="1"/>
  <c r="AA86" i="1"/>
  <c r="Z86" i="1"/>
  <c r="AG86" i="1" s="1"/>
  <c r="AH85" i="1"/>
  <c r="AD85" i="1"/>
  <c r="AI85" i="1" s="1"/>
  <c r="AA85" i="1"/>
  <c r="Z85" i="1"/>
  <c r="AG85" i="1" s="1"/>
  <c r="AH84" i="1"/>
  <c r="AA84" i="1"/>
  <c r="Z84" i="1"/>
  <c r="AG84" i="1" s="1"/>
  <c r="AH83" i="1"/>
  <c r="AA83" i="1"/>
  <c r="Z83" i="1"/>
  <c r="AG83" i="1" s="1"/>
  <c r="AH82" i="1"/>
  <c r="AD82" i="1"/>
  <c r="AI82" i="1" s="1"/>
  <c r="AA82" i="1"/>
  <c r="Z82" i="1"/>
  <c r="AG82" i="1" s="1"/>
  <c r="AH81" i="1"/>
  <c r="AD81" i="1"/>
  <c r="AI81" i="1" s="1"/>
  <c r="AA81" i="1"/>
  <c r="Z81" i="1"/>
  <c r="AG81" i="1" s="1"/>
  <c r="AH80" i="1"/>
  <c r="AA80" i="1"/>
  <c r="Z80" i="1"/>
  <c r="AG80" i="1" s="1"/>
  <c r="AH79" i="1"/>
  <c r="AD79" i="1"/>
  <c r="AI79" i="1" s="1"/>
  <c r="AA79" i="1"/>
  <c r="Z79" i="1"/>
  <c r="AG79" i="1" s="1"/>
  <c r="AH78" i="1"/>
  <c r="AD78" i="1"/>
  <c r="AI78" i="1" s="1"/>
  <c r="AA78" i="1"/>
  <c r="Z78" i="1"/>
  <c r="AG78" i="1" s="1"/>
  <c r="AH77" i="1"/>
  <c r="AD77" i="1"/>
  <c r="AI77" i="1" s="1"/>
  <c r="AA77" i="1"/>
  <c r="Z77" i="1"/>
  <c r="AG77" i="1" s="1"/>
  <c r="AH76" i="1"/>
  <c r="AD76" i="1"/>
  <c r="AI76" i="1" s="1"/>
  <c r="AA76" i="1"/>
  <c r="Z76" i="1"/>
  <c r="AG76" i="1" s="1"/>
  <c r="AH75" i="1"/>
  <c r="AD75" i="1"/>
  <c r="AI75" i="1" s="1"/>
  <c r="AA75" i="1"/>
  <c r="Z75" i="1"/>
  <c r="AG75" i="1" s="1"/>
  <c r="AH74" i="1"/>
  <c r="AA74" i="1"/>
  <c r="Z74" i="1"/>
  <c r="AG74" i="1" s="1"/>
  <c r="AH73" i="1"/>
  <c r="AD73" i="1"/>
  <c r="AI73" i="1" s="1"/>
  <c r="AA73" i="1"/>
  <c r="Z73" i="1"/>
  <c r="AG73" i="1" s="1"/>
  <c r="AH72" i="1"/>
  <c r="AA72" i="1"/>
  <c r="Z72" i="1"/>
  <c r="AG72" i="1" s="1"/>
  <c r="AH71" i="1"/>
  <c r="AD71" i="1"/>
  <c r="AI71" i="1" s="1"/>
  <c r="AA71" i="1"/>
  <c r="Z71" i="1"/>
  <c r="AG71" i="1" s="1"/>
  <c r="AH70" i="1"/>
  <c r="AD70" i="1"/>
  <c r="AI70" i="1" s="1"/>
  <c r="AA70" i="1"/>
  <c r="Z70" i="1"/>
  <c r="AG70" i="1" s="1"/>
  <c r="AH69" i="1"/>
  <c r="AD69" i="1"/>
  <c r="AI69" i="1" s="1"/>
  <c r="AA69" i="1"/>
  <c r="Z69" i="1"/>
  <c r="AG69" i="1" s="1"/>
  <c r="AH68" i="1"/>
  <c r="AD68" i="1"/>
  <c r="AI68" i="1" s="1"/>
  <c r="AA68" i="1"/>
  <c r="Z68" i="1"/>
  <c r="AH67" i="1"/>
  <c r="AA67" i="1"/>
  <c r="Z67" i="1"/>
  <c r="AG67" i="1" s="1"/>
  <c r="AA66" i="1"/>
  <c r="Z66" i="1"/>
  <c r="AG66" i="1" s="1"/>
  <c r="AH65" i="1"/>
  <c r="AA65" i="1"/>
  <c r="AH64" i="1"/>
  <c r="AD64" i="1"/>
  <c r="AI64" i="1" s="1"/>
  <c r="AA64" i="1"/>
  <c r="Z64" i="1"/>
  <c r="AG64" i="1" s="1"/>
  <c r="AH63" i="1"/>
  <c r="AA63" i="1"/>
  <c r="Z63" i="1"/>
  <c r="AG63" i="1" s="1"/>
  <c r="AH62" i="1"/>
  <c r="AD62" i="1"/>
  <c r="AI62" i="1" s="1"/>
  <c r="AA62" i="1"/>
  <c r="Z62" i="1"/>
  <c r="AG62" i="1" s="1"/>
  <c r="AH61" i="1"/>
  <c r="AA61" i="1"/>
  <c r="Z61" i="1"/>
  <c r="AG61" i="1" s="1"/>
  <c r="AH60" i="1"/>
  <c r="AA60" i="1"/>
  <c r="Z60" i="1"/>
  <c r="AG60" i="1" s="1"/>
  <c r="AH59" i="1"/>
  <c r="AD59" i="1"/>
  <c r="AI59" i="1" s="1"/>
  <c r="AA59" i="1"/>
  <c r="Z59" i="1"/>
  <c r="AG59" i="1" s="1"/>
  <c r="AH58" i="1"/>
  <c r="AD58" i="1"/>
  <c r="AI58" i="1" s="1"/>
  <c r="AA58" i="1"/>
  <c r="Z58" i="1"/>
  <c r="AG58" i="1" s="1"/>
  <c r="AH57" i="1"/>
  <c r="AA57" i="1"/>
  <c r="Z57" i="1"/>
  <c r="AG57" i="1" s="1"/>
  <c r="AH56" i="1"/>
  <c r="AA56" i="1"/>
  <c r="Z56" i="1"/>
  <c r="AG56" i="1" s="1"/>
  <c r="AH55" i="1"/>
  <c r="AD55" i="1"/>
  <c r="AI55" i="1" s="1"/>
  <c r="AA55" i="1"/>
  <c r="Z55" i="1"/>
  <c r="AG55" i="1" s="1"/>
  <c r="AH54" i="1"/>
  <c r="AD54" i="1"/>
  <c r="AI54" i="1" s="1"/>
  <c r="AA54" i="1"/>
  <c r="Z54" i="1"/>
  <c r="AG54" i="1" s="1"/>
  <c r="AH53" i="1"/>
  <c r="AA53" i="1"/>
  <c r="Z53" i="1"/>
  <c r="AG53" i="1" s="1"/>
  <c r="AH52" i="1"/>
  <c r="AA52" i="1"/>
  <c r="Z52" i="1"/>
  <c r="AG52" i="1" s="1"/>
  <c r="AH51" i="1"/>
  <c r="AA51" i="1"/>
  <c r="Z51" i="1"/>
  <c r="AG51" i="1" s="1"/>
  <c r="AH50" i="1"/>
  <c r="AA50" i="1"/>
  <c r="Z50" i="1"/>
  <c r="AG50" i="1" s="1"/>
  <c r="AH49" i="1"/>
  <c r="AA49" i="1"/>
  <c r="Z49" i="1"/>
  <c r="AG49" i="1" s="1"/>
  <c r="AH48" i="1"/>
  <c r="AD48" i="1"/>
  <c r="AI48" i="1" s="1"/>
  <c r="AA48" i="1"/>
  <c r="Z48" i="1"/>
  <c r="AG48" i="1" s="1"/>
  <c r="AH47" i="1"/>
  <c r="AA47" i="1"/>
  <c r="Z47" i="1"/>
  <c r="AG47" i="1" s="1"/>
  <c r="AH46" i="1"/>
  <c r="AD46" i="1"/>
  <c r="AI46" i="1" s="1"/>
  <c r="AA46" i="1"/>
  <c r="Z46" i="1"/>
  <c r="AG46" i="1" s="1"/>
  <c r="AH45" i="1"/>
  <c r="AA45" i="1"/>
  <c r="Z45" i="1"/>
  <c r="AG45" i="1" s="1"/>
  <c r="AH44" i="1"/>
  <c r="AA44" i="1"/>
  <c r="Z44" i="1"/>
  <c r="AB44" i="1" s="1"/>
  <c r="AH43" i="1"/>
  <c r="AD43" i="1"/>
  <c r="AE43" i="1" s="1"/>
  <c r="AA43" i="1"/>
  <c r="Z43" i="1"/>
  <c r="AB43" i="1" s="1"/>
  <c r="AH42" i="1"/>
  <c r="AA42" i="1"/>
  <c r="Z42" i="1"/>
  <c r="AB42" i="1" s="1"/>
  <c r="AH41" i="1"/>
  <c r="AA41" i="1"/>
  <c r="Z41" i="1"/>
  <c r="AB41" i="1" s="1"/>
  <c r="AH40" i="1"/>
  <c r="AD40" i="1"/>
  <c r="AE40" i="1" s="1"/>
  <c r="AA40" i="1"/>
  <c r="Z40" i="1"/>
  <c r="AB40" i="1" s="1"/>
  <c r="AH39" i="1"/>
  <c r="AA39" i="1"/>
  <c r="Z39" i="1"/>
  <c r="AB39" i="1" s="1"/>
  <c r="AH38" i="1"/>
  <c r="AA38" i="1"/>
  <c r="Z38" i="1"/>
  <c r="AB38" i="1" s="1"/>
  <c r="AH37" i="1"/>
  <c r="AD37" i="1"/>
  <c r="AE37" i="1" s="1"/>
  <c r="AA37" i="1"/>
  <c r="Z37" i="1"/>
  <c r="AB37" i="1" s="1"/>
  <c r="AH36" i="1"/>
  <c r="AD36" i="1"/>
  <c r="AE36" i="1" s="1"/>
  <c r="AA36" i="1"/>
  <c r="Z36" i="1"/>
  <c r="AB36" i="1" s="1"/>
  <c r="AH35" i="1"/>
  <c r="AA35" i="1"/>
  <c r="Z35" i="1"/>
  <c r="AB35" i="1" s="1"/>
  <c r="AH34" i="1"/>
  <c r="AD34" i="1"/>
  <c r="AE34" i="1" s="1"/>
  <c r="AA34" i="1"/>
  <c r="Z34" i="1"/>
  <c r="AB34" i="1" s="1"/>
  <c r="AH33" i="1"/>
  <c r="AD33" i="1"/>
  <c r="AE33" i="1" s="1"/>
  <c r="AA33" i="1"/>
  <c r="Z33" i="1"/>
  <c r="AB33" i="1" s="1"/>
  <c r="AH32" i="1"/>
  <c r="AD32" i="1"/>
  <c r="AE32" i="1" s="1"/>
  <c r="AA32" i="1"/>
  <c r="Z32" i="1"/>
  <c r="AB32" i="1" s="1"/>
  <c r="AH31" i="1"/>
  <c r="AA31" i="1"/>
  <c r="Z31" i="1"/>
  <c r="AB31" i="1" s="1"/>
  <c r="AH30" i="1"/>
  <c r="AD30" i="1"/>
  <c r="AE30" i="1" s="1"/>
  <c r="AA30" i="1"/>
  <c r="Z30" i="1"/>
  <c r="AB30" i="1" s="1"/>
  <c r="AH29" i="1"/>
  <c r="AA29" i="1"/>
  <c r="Z29" i="1"/>
  <c r="AB29" i="1" s="1"/>
  <c r="AH28" i="1"/>
  <c r="AD28" i="1"/>
  <c r="AE28" i="1" s="1"/>
  <c r="AA28" i="1"/>
  <c r="Z28" i="1"/>
  <c r="AB28" i="1" s="1"/>
  <c r="AH27" i="1"/>
  <c r="AD27" i="1"/>
  <c r="AE27" i="1" s="1"/>
  <c r="AA27" i="1"/>
  <c r="Z27" i="1"/>
  <c r="AB27" i="1" s="1"/>
  <c r="AH26" i="1"/>
  <c r="AD26" i="1"/>
  <c r="AE26" i="1" s="1"/>
  <c r="AA26" i="1"/>
  <c r="Z26" i="1"/>
  <c r="AB26" i="1" s="1"/>
  <c r="AH25" i="1"/>
  <c r="AD25" i="1"/>
  <c r="AE25" i="1" s="1"/>
  <c r="AA25" i="1"/>
  <c r="Z25" i="1"/>
  <c r="AB25" i="1" s="1"/>
  <c r="AH24" i="1"/>
  <c r="AD24" i="1"/>
  <c r="AE24" i="1" s="1"/>
  <c r="AA24" i="1"/>
  <c r="Z24" i="1"/>
  <c r="AB24" i="1" s="1"/>
  <c r="AH23" i="1"/>
  <c r="AD23" i="1"/>
  <c r="AE23" i="1" s="1"/>
  <c r="AA23" i="1"/>
  <c r="Z23" i="1"/>
  <c r="AB23" i="1" s="1"/>
  <c r="AH22" i="1"/>
  <c r="AA22" i="1"/>
  <c r="Z22" i="1"/>
  <c r="AB22" i="1" s="1"/>
  <c r="AH21" i="1"/>
  <c r="AD21" i="1"/>
  <c r="AE21" i="1" s="1"/>
  <c r="AA21" i="1"/>
  <c r="Z21" i="1"/>
  <c r="AB21" i="1" s="1"/>
  <c r="AH20" i="1"/>
  <c r="AD20" i="1"/>
  <c r="AE20" i="1" s="1"/>
  <c r="AA20" i="1"/>
  <c r="Z20" i="1"/>
  <c r="AB20" i="1" s="1"/>
  <c r="AH19" i="1"/>
  <c r="AD19" i="1"/>
  <c r="AE19" i="1" s="1"/>
  <c r="AA19" i="1"/>
  <c r="Z19" i="1"/>
  <c r="AB19" i="1" s="1"/>
  <c r="AH18" i="1"/>
  <c r="AD18" i="1"/>
  <c r="AE18" i="1" s="1"/>
  <c r="AA18" i="1"/>
  <c r="Z18" i="1"/>
  <c r="AB18" i="1" s="1"/>
  <c r="AH17" i="1"/>
  <c r="AA17" i="1"/>
  <c r="AH16" i="1"/>
  <c r="AD16" i="1"/>
  <c r="AE16" i="1" s="1"/>
  <c r="AA16" i="1"/>
  <c r="Z16" i="1"/>
  <c r="AB16" i="1" s="1"/>
  <c r="AH15" i="1"/>
  <c r="AD15" i="1"/>
  <c r="AE15" i="1" s="1"/>
  <c r="AA15" i="1"/>
  <c r="Z15" i="1"/>
  <c r="AB15" i="1" s="1"/>
  <c r="AH14" i="1"/>
  <c r="AA14" i="1"/>
  <c r="AH13" i="1"/>
  <c r="AA13" i="1"/>
  <c r="AG13" i="1"/>
  <c r="AG23" i="1" l="1"/>
  <c r="AG68" i="1"/>
  <c r="AG25" i="1"/>
  <c r="AG33" i="1"/>
  <c r="AG27" i="1"/>
  <c r="AE85" i="1"/>
  <c r="AE81" i="1"/>
  <c r="AE79" i="1"/>
  <c r="AE77" i="1"/>
  <c r="AE75" i="1"/>
  <c r="AE73" i="1"/>
  <c r="AE71" i="1"/>
  <c r="AE69" i="1"/>
  <c r="AE59" i="1"/>
  <c r="AE55" i="1"/>
  <c r="AE48" i="1"/>
  <c r="AE46" i="1"/>
  <c r="AG35" i="1"/>
  <c r="AG37" i="1"/>
  <c r="AG31" i="1"/>
  <c r="AG29" i="1"/>
  <c r="AG21" i="1"/>
  <c r="AG19" i="1"/>
  <c r="AG15" i="1"/>
  <c r="AG16" i="1"/>
  <c r="AG18" i="1"/>
  <c r="AG20" i="1"/>
  <c r="AG22" i="1"/>
  <c r="AG24" i="1"/>
  <c r="AG26" i="1"/>
  <c r="AG28" i="1"/>
  <c r="AG30" i="1"/>
  <c r="AG32" i="1"/>
  <c r="AG34" i="1"/>
  <c r="AG36" i="1"/>
  <c r="AE54" i="1"/>
  <c r="AE58" i="1"/>
  <c r="AE62" i="1"/>
  <c r="AE64" i="1"/>
  <c r="AE68" i="1"/>
  <c r="AE70" i="1"/>
  <c r="AE76" i="1"/>
  <c r="AE78" i="1"/>
  <c r="AE82" i="1"/>
  <c r="AE86" i="1"/>
  <c r="AG43" i="1"/>
  <c r="AG44" i="1"/>
  <c r="AG42" i="1"/>
  <c r="AG41" i="1"/>
  <c r="AG40" i="1"/>
  <c r="AG39" i="1"/>
  <c r="AG38" i="1"/>
  <c r="AI16" i="1"/>
  <c r="AI19" i="1"/>
  <c r="AI20" i="1"/>
  <c r="AI25" i="1"/>
  <c r="AI27" i="1"/>
  <c r="AI28" i="1"/>
  <c r="AI32" i="1"/>
  <c r="AI33" i="1"/>
  <c r="AI34" i="1"/>
  <c r="AI36" i="1"/>
  <c r="AI37" i="1"/>
  <c r="AI40" i="1"/>
  <c r="AI43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6" i="1"/>
  <c r="AB67" i="1"/>
  <c r="AB68" i="1"/>
  <c r="S67" i="1" s="1"/>
  <c r="S65" i="1" s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I15" i="1"/>
  <c r="AI18" i="1"/>
  <c r="AI21" i="1"/>
  <c r="AI23" i="1"/>
  <c r="AI24" i="1"/>
  <c r="AI26" i="1"/>
  <c r="AI30" i="1"/>
  <c r="AB13" i="1"/>
  <c r="AD80" i="1"/>
  <c r="M80" i="1"/>
  <c r="P74" i="1"/>
  <c r="AD74" i="1" s="1"/>
  <c r="M74" i="1"/>
  <c r="M72" i="1"/>
  <c r="P72" i="1"/>
  <c r="AD72" i="1" s="1"/>
  <c r="M67" i="1"/>
  <c r="P67" i="1"/>
  <c r="P84" i="1"/>
  <c r="P63" i="1"/>
  <c r="AD63" i="1" s="1"/>
  <c r="P61" i="1"/>
  <c r="P57" i="1"/>
  <c r="P47" i="1"/>
  <c r="AD47" i="1" s="1"/>
  <c r="P45" i="1"/>
  <c r="AD45" i="1" s="1"/>
  <c r="P42" i="1"/>
  <c r="P39" i="1"/>
  <c r="P35" i="1"/>
  <c r="AD35" i="1" s="1"/>
  <c r="P31" i="1"/>
  <c r="AD31" i="1" s="1"/>
  <c r="AE31" i="1" s="1"/>
  <c r="P29" i="1"/>
  <c r="AD29" i="1" s="1"/>
  <c r="P22" i="1"/>
  <c r="AD22" i="1" s="1"/>
  <c r="P17" i="1"/>
  <c r="AD17" i="1" s="1"/>
  <c r="N17" i="1"/>
  <c r="Z17" i="1" s="1"/>
  <c r="P14" i="1"/>
  <c r="AD14" i="1" s="1"/>
  <c r="N14" i="1"/>
  <c r="Z14" i="1" s="1"/>
  <c r="M84" i="1"/>
  <c r="M83" i="1" s="1"/>
  <c r="M63" i="1"/>
  <c r="M61" i="1"/>
  <c r="M57" i="1"/>
  <c r="M56" i="1" s="1"/>
  <c r="M52" i="1"/>
  <c r="M50" i="1"/>
  <c r="M47" i="1"/>
  <c r="M45" i="1"/>
  <c r="M44" i="1" s="1"/>
  <c r="M42" i="1"/>
  <c r="M41" i="1" s="1"/>
  <c r="M39" i="1"/>
  <c r="M38" i="1" s="1"/>
  <c r="M35" i="1"/>
  <c r="M31" i="1"/>
  <c r="M29" i="1"/>
  <c r="M22" i="1"/>
  <c r="M17" i="1"/>
  <c r="M14" i="1"/>
  <c r="AE22" i="1" l="1"/>
  <c r="AD67" i="1"/>
  <c r="AE67" i="1" s="1"/>
  <c r="AG17" i="1"/>
  <c r="AI45" i="1"/>
  <c r="AE45" i="1"/>
  <c r="P60" i="1"/>
  <c r="AD60" i="1" s="1"/>
  <c r="AD61" i="1"/>
  <c r="P83" i="1"/>
  <c r="AD83" i="1" s="1"/>
  <c r="AD84" i="1"/>
  <c r="AI74" i="1"/>
  <c r="AE74" i="1"/>
  <c r="M49" i="1"/>
  <c r="M60" i="1"/>
  <c r="AE14" i="1"/>
  <c r="AE17" i="1"/>
  <c r="AE29" i="1"/>
  <c r="AE35" i="1"/>
  <c r="P41" i="1"/>
  <c r="AD41" i="1" s="1"/>
  <c r="AD42" i="1"/>
  <c r="AI47" i="1"/>
  <c r="AE47" i="1"/>
  <c r="P56" i="1"/>
  <c r="AD57" i="1"/>
  <c r="AI63" i="1"/>
  <c r="AE63" i="1"/>
  <c r="AI72" i="1"/>
  <c r="AE72" i="1"/>
  <c r="AI22" i="1"/>
  <c r="AI14" i="1"/>
  <c r="AI29" i="1"/>
  <c r="AI17" i="1"/>
  <c r="AG14" i="1"/>
  <c r="P38" i="1"/>
  <c r="AD38" i="1" s="1"/>
  <c r="AD39" i="1"/>
  <c r="AI80" i="1"/>
  <c r="AE80" i="1"/>
  <c r="AI35" i="1"/>
  <c r="AI31" i="1"/>
  <c r="AI67" i="1"/>
  <c r="P65" i="1"/>
  <c r="AD65" i="1" s="1"/>
  <c r="M65" i="1"/>
  <c r="P44" i="1"/>
  <c r="AD44" i="1" s="1"/>
  <c r="P13" i="1"/>
  <c r="AD13" i="1" s="1"/>
  <c r="M13" i="1"/>
  <c r="AI65" i="1" l="1"/>
  <c r="AE65" i="1"/>
  <c r="AI13" i="1"/>
  <c r="AE13" i="1"/>
  <c r="AE39" i="1"/>
  <c r="AI39" i="1"/>
  <c r="AI57" i="1"/>
  <c r="AE57" i="1"/>
  <c r="AE42" i="1"/>
  <c r="AI42" i="1"/>
  <c r="AI84" i="1"/>
  <c r="AE84" i="1"/>
  <c r="AI61" i="1"/>
  <c r="AE61" i="1"/>
  <c r="AI44" i="1"/>
  <c r="AE44" i="1"/>
  <c r="AE38" i="1"/>
  <c r="AI38" i="1"/>
  <c r="P53" i="1"/>
  <c r="AD56" i="1"/>
  <c r="AE41" i="1"/>
  <c r="AI41" i="1"/>
  <c r="AI83" i="1"/>
  <c r="AE83" i="1"/>
  <c r="AI60" i="1"/>
  <c r="AE60" i="1"/>
  <c r="K17" i="1"/>
  <c r="AB17" i="1" s="1"/>
  <c r="K14" i="1"/>
  <c r="AB14" i="1" s="1"/>
  <c r="AB87" i="1" s="1"/>
  <c r="AI56" i="1" l="1"/>
  <c r="AE56" i="1"/>
  <c r="AD53" i="1"/>
  <c r="P52" i="1"/>
  <c r="AP21" i="1"/>
  <c r="AP20" i="1"/>
  <c r="AP19" i="1"/>
  <c r="AP18" i="1"/>
  <c r="AP13" i="1"/>
  <c r="P51" i="1" l="1"/>
  <c r="AD52" i="1"/>
  <c r="AI53" i="1"/>
  <c r="AE53" i="1"/>
  <c r="AI52" i="1" l="1"/>
  <c r="AE52" i="1"/>
  <c r="AD51" i="1"/>
  <c r="P50" i="1"/>
  <c r="AD50" i="1" l="1"/>
  <c r="P49" i="1"/>
  <c r="AD49" i="1" s="1"/>
  <c r="AI51" i="1"/>
  <c r="AE51" i="1"/>
  <c r="AB88" i="1"/>
  <c r="AI49" i="1" l="1"/>
  <c r="AE49" i="1"/>
  <c r="AE87" i="1" s="1"/>
  <c r="AE88" i="1" s="1"/>
  <c r="AI50" i="1"/>
  <c r="AE50" i="1"/>
</calcChain>
</file>

<file path=xl/comments1.xml><?xml version="1.0" encoding="utf-8"?>
<comments xmlns="http://schemas.openxmlformats.org/spreadsheetml/2006/main">
  <authors>
    <author>Ultimate</author>
    <author>ACER</author>
    <author>ASUS</author>
    <author>USER</author>
  </authors>
  <commentList>
    <comment ref="K38" authorId="0" shapeId="0">
      <text>
        <r>
          <rPr>
            <sz val="14"/>
            <color indexed="81"/>
            <rFont val="Tahoma"/>
            <family val="2"/>
          </rPr>
          <t>Jumlah SKPD yang melaksanakan pemberdayaan perempuan dibagi jumlah SKPD dikali 100</t>
        </r>
      </text>
    </comment>
    <comment ref="K39" authorId="1" shapeId="0">
      <text>
        <r>
          <rPr>
            <sz val="12"/>
            <color indexed="81"/>
            <rFont val="Tahoma"/>
            <family val="2"/>
          </rPr>
          <t>Jumlah instiusi yang menerapkan anggaran yang responsif gender dibagi seluruh institusi dikali 100</t>
        </r>
      </text>
    </comment>
    <comment ref="Q39" authorId="1" shape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Jumlah instiusi yang menerapkan anggaran yang responsif gender dibagi seluruh institusi dikali 100</t>
        </r>
      </text>
    </comment>
    <comment ref="N41" authorId="0" shapeId="0">
      <text>
        <r>
          <rPr>
            <b/>
            <sz val="12"/>
            <color indexed="81"/>
            <rFont val="Tahoma"/>
            <family val="2"/>
          </rPr>
          <t>Jan = 1
Feb = 2
Maret = 1
Total 4 Kasus</t>
        </r>
      </text>
    </comment>
    <comment ref="Q41" authorId="0" shapeId="0">
      <text>
        <r>
          <rPr>
            <b/>
            <sz val="12"/>
            <color indexed="81"/>
            <rFont val="Tahoma"/>
            <family val="2"/>
          </rPr>
          <t xml:space="preserve">April = 1
Mei = 0
Juni = 0
Total 1
</t>
        </r>
      </text>
    </comment>
    <comment ref="N42" authorId="0" shapeId="0">
      <text>
        <r>
          <rPr>
            <b/>
            <sz val="12"/>
            <color indexed="81"/>
            <rFont val="Tahoma"/>
            <family val="2"/>
          </rPr>
          <t>Jan = 1
Feb = 2
Maret = 1
Total 4 Kasus</t>
        </r>
      </text>
    </comment>
    <comment ref="Q42" authorId="0" shapeId="0">
      <text>
        <r>
          <rPr>
            <b/>
            <sz val="12"/>
            <color indexed="81"/>
            <rFont val="Tahoma"/>
            <family val="2"/>
          </rPr>
          <t xml:space="preserve">April = 1
Mei = 0
Juni = 0
Total 1
</t>
        </r>
      </text>
    </comment>
    <comment ref="K44" authorId="0" shapeId="0">
      <text>
        <r>
          <rPr>
            <sz val="12"/>
            <color indexed="81"/>
            <rFont val="Tahoma"/>
            <family val="2"/>
          </rPr>
          <t>Jumlah lembaga pemberdayaan perempuan yang mendapatkan pembinaan dan penguatan kapasitas dibagi jumlah lembaga pemberdayaan perempuan di Kab. HSS dikali 100</t>
        </r>
      </text>
    </comment>
    <comment ref="K48" authorId="2" shapeId="0">
      <text>
        <r>
          <rPr>
            <sz val="12"/>
            <color indexed="81"/>
            <rFont val="Tahoma"/>
            <family val="2"/>
          </rPr>
          <t>60 DWP, 30 GATRI, 55 dan 60 GOW</t>
        </r>
      </text>
    </comment>
    <comment ref="N56" authorId="3" shapeId="0">
      <text>
        <r>
          <rPr>
            <b/>
            <sz val="12"/>
            <color indexed="81"/>
            <rFont val="Tahoma"/>
            <family val="2"/>
          </rPr>
          <t>KASUS ANAK</t>
        </r>
        <r>
          <rPr>
            <sz val="12"/>
            <color indexed="81"/>
            <rFont val="Tahoma"/>
            <family val="2"/>
          </rPr>
          <t xml:space="preserve">
 Jan = 1
Feb = 2
Maret = 1
Total 4 Kasus</t>
        </r>
      </text>
    </comment>
    <comment ref="Q56" authorId="3" shapeId="0">
      <text>
        <r>
          <rPr>
            <sz val="12"/>
            <color indexed="81"/>
            <rFont val="Tahoma"/>
            <family val="2"/>
          </rPr>
          <t>April = 4
Mei = 3
Juni = 1
Total 8</t>
        </r>
      </text>
    </comment>
    <comment ref="T56" authorId="3" shapeId="0">
      <text>
        <r>
          <rPr>
            <sz val="12"/>
            <color indexed="81"/>
            <rFont val="Tahoma"/>
            <family val="2"/>
          </rPr>
          <t>1 seksual 
1 pendampingan abh (anak berhadapan hukum ) diversi kasus laka lantas
1 pendampingan abh penganiyaan /pembunuhan</t>
        </r>
      </text>
    </comment>
    <comment ref="W56" authorId="3" shapeId="0">
      <text>
        <r>
          <rPr>
            <sz val="12"/>
            <color indexed="81"/>
            <rFont val="Tahoma"/>
            <family val="2"/>
          </rPr>
          <t>1 seksual 
1 pendampingan abh (anak berhadapan hukum ) diversi kasus laka lantas
1 pendampingan abh penganiyaan /pembunuhan</t>
        </r>
      </text>
    </comment>
    <comment ref="N57" authorId="3" shapeId="0">
      <text>
        <r>
          <rPr>
            <b/>
            <sz val="12"/>
            <color indexed="81"/>
            <rFont val="Tahoma"/>
            <family val="2"/>
          </rPr>
          <t>KASUS ANAK</t>
        </r>
        <r>
          <rPr>
            <sz val="12"/>
            <color indexed="81"/>
            <rFont val="Tahoma"/>
            <family val="2"/>
          </rPr>
          <t xml:space="preserve">
 Jan = 1
Feb = 2
Maret = 1
Total 4 Kasus</t>
        </r>
      </text>
    </comment>
    <comment ref="Q57" authorId="3" shapeId="0">
      <text>
        <r>
          <rPr>
            <sz val="12"/>
            <color indexed="81"/>
            <rFont val="Tahoma"/>
            <family val="2"/>
          </rPr>
          <t>April = 4
Mei = 3
Juni = 1
Total 8</t>
        </r>
      </text>
    </comment>
    <comment ref="T57" authorId="3" shapeId="0">
      <text>
        <r>
          <rPr>
            <sz val="12"/>
            <color indexed="81"/>
            <rFont val="Tahoma"/>
            <family val="2"/>
          </rPr>
          <t>1 seksual 
1 pendampingan abh (anak berhadapan hukum ) diversi kasus laka lantas
1 pendampingan abh penganiyaan /pembunuhan</t>
        </r>
      </text>
    </comment>
    <comment ref="W57" authorId="3" shapeId="0">
      <text>
        <r>
          <rPr>
            <sz val="12"/>
            <color indexed="81"/>
            <rFont val="Tahoma"/>
            <family val="2"/>
          </rPr>
          <t>1 seksual 
1 pendampingan abh (anak berhadapan hukum ) diversi kasus laka lantas
1 pendampingan abh penganiyaan /pembunuhan</t>
        </r>
      </text>
    </comment>
    <comment ref="K60" authorId="0" shapeId="0">
      <text>
        <r>
          <rPr>
            <b/>
            <sz val="14"/>
            <color indexed="81"/>
            <rFont val="Tahoma"/>
            <family val="2"/>
          </rPr>
          <t>Jumlah institusi yg menyelenggarakan program bangga kencana dibagi jumlah institusi (sekolah lanjutan &amp; kampung KB) * 100%</t>
        </r>
      </text>
    </comment>
    <comment ref="N60" authorId="0" shapeId="0">
      <text>
        <r>
          <rPr>
            <b/>
            <sz val="14"/>
            <color indexed="81"/>
            <rFont val="Tahoma"/>
            <family val="2"/>
          </rPr>
          <t>Jumlah institusi yg menyelenggarakan program bangga kencana dibagi jumlah institusi (sekolah lanjutan &amp; kampung KB) * 100%</t>
        </r>
      </text>
    </comment>
    <comment ref="Q60" authorId="0" shapeId="0">
      <text>
        <r>
          <rPr>
            <b/>
            <sz val="14"/>
            <color indexed="81"/>
            <rFont val="Tahoma"/>
            <family val="2"/>
          </rPr>
          <t>Jumlah institusi yg menyelenggarakan program bangga kencana dibagi jumlah institusi (sekolah lanjutan &amp; kampung KB) * 100%</t>
        </r>
      </text>
    </comment>
    <comment ref="N82" authorId="0" shapeId="0">
      <text>
        <r>
          <rPr>
            <b/>
            <sz val="12"/>
            <color indexed="81"/>
            <rFont val="Tahoma"/>
            <family val="2"/>
          </rPr>
          <t>jumlah kelompok kegiatan ketahanan keluarga yg aktif dibagi jumlah kelompok kegiatan ketahanan yg ada di kab. Hss*100</t>
        </r>
      </text>
    </comment>
    <comment ref="Q82" authorId="0" shapeId="0">
      <text>
        <r>
          <rPr>
            <b/>
            <sz val="12"/>
            <color indexed="81"/>
            <rFont val="Tahoma"/>
            <family val="2"/>
          </rPr>
          <t>jumlah kelompok kegiatan ketahanan keluarga yg aktif dibagi jumlah kelompok kegiatan ketahanan yg ada di kab. Hss*100</t>
        </r>
      </text>
    </comment>
    <comment ref="T82" authorId="0" shapeId="0">
      <text>
        <r>
          <rPr>
            <b/>
            <sz val="12"/>
            <color indexed="81"/>
            <rFont val="Tahoma"/>
            <family val="2"/>
          </rPr>
          <t>jumlah kelompok kegiatan ketahanan keluarga yg aktif dibagi jumlah kelompok kegiatan ketahanan yg ada di kab. Hss*100</t>
        </r>
      </text>
    </comment>
    <comment ref="W82" authorId="0" shapeId="0">
      <text>
        <r>
          <rPr>
            <b/>
            <sz val="12"/>
            <color indexed="81"/>
            <rFont val="Tahoma"/>
            <family val="2"/>
          </rPr>
          <t>jumlah kelompok kegiatan ketahanan keluarga yg aktif dibagi jumlah kelompok kegiatan ketahanan yg ada di kab. Hss*100</t>
        </r>
      </text>
    </comment>
  </commentList>
</comments>
</file>

<file path=xl/comments2.xml><?xml version="1.0" encoding="utf-8"?>
<comments xmlns="http://schemas.openxmlformats.org/spreadsheetml/2006/main">
  <authors>
    <author>Ultimate</author>
  </authors>
  <commentList>
    <comment ref="K38" authorId="0" shapeId="0">
      <text>
        <r>
          <rPr>
            <sz val="14"/>
            <color indexed="81"/>
            <rFont val="Tahoma"/>
            <family val="2"/>
          </rPr>
          <t>37/185 * 100
jumlah skpd yg menerapkan anggaran yg responsif gender dibagi jumlah skpd di kab hss</t>
        </r>
      </text>
    </comment>
    <comment ref="N38" authorId="0" shapeId="0">
      <text>
        <r>
          <rPr>
            <sz val="14"/>
            <color indexed="81"/>
            <rFont val="Tahoma"/>
            <family val="2"/>
          </rPr>
          <t>39/39 * 100
jumlah skpd yg menerapkan anggaran yg responsif gender dibagi jumlah skpd di kab hss</t>
        </r>
      </text>
    </comment>
    <comment ref="Q38" authorId="0" shapeId="0">
      <text>
        <r>
          <rPr>
            <sz val="14"/>
            <color indexed="81"/>
            <rFont val="Tahoma"/>
            <family val="2"/>
          </rPr>
          <t>39/39 * 100
jumlah skpd yg menerapkan anggaran yg responsif gender dibagi jumlah skpd di kab hss</t>
        </r>
      </text>
    </comment>
    <comment ref="K41" authorId="0" shapeId="0">
      <text>
        <r>
          <rPr>
            <b/>
            <sz val="12"/>
            <color indexed="81"/>
            <rFont val="Tahoma"/>
            <family val="2"/>
          </rPr>
          <t>jumlah organisasi perempuan penyedia pelayanan perlindungan perempuan yg aktif dibagi jumlah organisasi wanita
35/185*100</t>
        </r>
      </text>
    </comment>
    <comment ref="N41" authorId="0" shapeId="0">
      <text>
        <r>
          <rPr>
            <b/>
            <sz val="12"/>
            <color indexed="81"/>
            <rFont val="Tahoma"/>
            <family val="2"/>
          </rPr>
          <t>jumlah organisasi perempuan penyedia pelayanan perlindungan perempuan yg aktif dibagi jumlah organisasi wanita
35/185*100</t>
        </r>
      </text>
    </comment>
    <comment ref="Q41" authorId="0" shapeId="0">
      <text>
        <r>
          <rPr>
            <b/>
            <sz val="12"/>
            <color indexed="81"/>
            <rFont val="Tahoma"/>
            <family val="2"/>
          </rPr>
          <t>jumlah organisasi perempuan penyedia pelayanan perlindungan perempuan yg aktif dibagi jumlah organisasi wanita
35/185*100</t>
        </r>
      </text>
    </comment>
    <comment ref="K44" authorId="0" shapeId="0">
      <text>
        <r>
          <rPr>
            <b/>
            <sz val="14"/>
            <color indexed="81"/>
            <rFont val="Tahoma"/>
            <family val="2"/>
          </rPr>
          <t>210/128948*100
jumlah pekerja perempuan yg terlibat dlm meningkatkan taraf hidup keluarga dibagi jumlah pekerja perempuan di kab hss</t>
        </r>
      </text>
    </comment>
    <comment ref="N44" authorId="0" shapeId="0">
      <text>
        <r>
          <rPr>
            <b/>
            <sz val="14"/>
            <color indexed="81"/>
            <rFont val="Tahoma"/>
            <family val="2"/>
          </rPr>
          <t>210/128948*100
jumlah pekerja perempuan yg terlibat dlm meningkatkan taraf hidup keluarga dibagi jumlah pekerja perempuan di kab hss</t>
        </r>
      </text>
    </comment>
    <comment ref="Q44" authorId="0" shapeId="0">
      <text>
        <r>
          <rPr>
            <b/>
            <sz val="14"/>
            <color indexed="81"/>
            <rFont val="Tahoma"/>
            <family val="2"/>
          </rPr>
          <t>210/128948*100
jumlah pekerja perempuan yg terlibat dlm meningkatkan taraf hidup keluarga dibagi jumlah pekerja perempuan di kab hss</t>
        </r>
      </text>
    </comment>
    <comment ref="K60" authorId="0" shapeId="0">
      <text>
        <r>
          <rPr>
            <b/>
            <sz val="14"/>
            <color indexed="81"/>
            <rFont val="Tahoma"/>
            <family val="2"/>
          </rPr>
          <t>Jumlah institusi yg menyelenggarakan program bangga kencana dibagi jumlah institusi (sekolah lanjutan &amp; kampung KB) * 100%</t>
        </r>
      </text>
    </comment>
    <comment ref="N60" authorId="0" shapeId="0">
      <text>
        <r>
          <rPr>
            <b/>
            <sz val="14"/>
            <color indexed="81"/>
            <rFont val="Tahoma"/>
            <family val="2"/>
          </rPr>
          <t>Jumlah institusi yg menyelenggarakan program bangga kencana dibagi jumlah institusi (sekolah lanjutan &amp; kampung KB) * 100%</t>
        </r>
      </text>
    </comment>
    <comment ref="Q60" authorId="0" shapeId="0">
      <text>
        <r>
          <rPr>
            <b/>
            <sz val="14"/>
            <color indexed="81"/>
            <rFont val="Tahoma"/>
            <family val="2"/>
          </rPr>
          <t>Jumlah institusi yg menyelenggarakan program bangga kencana dibagi jumlah institusi (sekolah lanjutan &amp; kampung KB) * 100%</t>
        </r>
      </text>
    </comment>
    <comment ref="K65" authorId="0" shapeId="0">
      <text>
        <r>
          <rPr>
            <sz val="16"/>
            <color indexed="81"/>
            <rFont val="Tahoma"/>
            <family val="2"/>
          </rPr>
          <t>Jumlah organisasi yang menindaklanjuti kesepakatan PUP dibagi jumlah organisasi yang menyepakati PUP
60/120*100</t>
        </r>
      </text>
    </comment>
    <comment ref="Q65" authorId="0" shapeId="0">
      <text>
        <r>
          <rPr>
            <sz val="16"/>
            <color indexed="81"/>
            <rFont val="Tahoma"/>
            <family val="2"/>
          </rPr>
          <t>Jumlah organisasi yang menindaklanjuti kesepakatan PUP dibagi jumlah organisasi yang menyepakati PUP
60/120*100</t>
        </r>
      </text>
    </comment>
    <comment ref="K83" authorId="0" shapeId="0">
      <text>
        <r>
          <rPr>
            <b/>
            <sz val="12"/>
            <color indexed="81"/>
            <rFont val="Tahoma"/>
            <family val="2"/>
          </rPr>
          <t>jumlah kelompok kegiatan ketahanan keluarga yg aktif dibagi jumlah kelompok kegiatan ketahanan yg ada di kab. Hss*100</t>
        </r>
      </text>
    </comment>
    <comment ref="N83" authorId="0" shapeId="0">
      <text>
        <r>
          <rPr>
            <b/>
            <sz val="12"/>
            <color indexed="81"/>
            <rFont val="Tahoma"/>
            <family val="2"/>
          </rPr>
          <t>jumlah kelompok kegiatan ketahanan keluarga yg aktif dibagi jumlah kelompok kegiatan ketahanan yg ada di kab. Hss*100</t>
        </r>
      </text>
    </comment>
    <comment ref="Q83" authorId="0" shapeId="0">
      <text>
        <r>
          <rPr>
            <b/>
            <sz val="12"/>
            <color indexed="81"/>
            <rFont val="Tahoma"/>
            <family val="2"/>
          </rPr>
          <t>jumlah kelompok kegiatan ketahanan keluarga yg aktif dibagi jumlah kelompok kegiatan ketahanan yg ada di kab. Hss*100</t>
        </r>
      </text>
    </comment>
  </commentList>
</comments>
</file>

<file path=xl/sharedStrings.xml><?xml version="1.0" encoding="utf-8"?>
<sst xmlns="http://schemas.openxmlformats.org/spreadsheetml/2006/main" count="1210" uniqueCount="270">
  <si>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</si>
  <si>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</si>
  <si>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</si>
  <si>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</si>
  <si>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</si>
  <si>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</si>
  <si>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</si>
  <si>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</si>
  <si>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</si>
  <si>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</si>
  <si>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</si>
  <si>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</si>
  <si>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</si>
  <si>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</si>
  <si>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</si>
  <si>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</si>
  <si>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</si>
  <si>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</si>
  <si>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</si>
  <si>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</si>
  <si>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</si>
  <si>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</si>
  <si>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</si>
  <si>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</si>
  <si>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</si>
  <si>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</si>
  <si>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</si>
  <si>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</si>
  <si>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</si>
  <si>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</si>
  <si>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</si>
  <si>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</si>
  <si>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</si>
  <si>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</si>
  <si>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</si>
  <si>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</si>
  <si>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</si>
  <si>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</si>
  <si>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</si>
  <si>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</si>
  <si>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</si>
  <si>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</si>
  <si>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</si>
  <si>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</si>
  <si>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DINAS PENGENDALIAN PENDUDUK, KELUARGA BERENCANA, PEMBERDAYAAN PEREMPUAN DAN PERLINDUNGAN ANAK</t>
  </si>
  <si>
    <t>Dinas Pengendalian Penduduk, Keluarga Berencana, Pemberdayaan Perempuan dan Perlindungan Anak</t>
  </si>
  <si>
    <t>Meningkatnya Pemberdayaan Responsif Gender dan Perlindungan Terhadap Anak</t>
  </si>
  <si>
    <t>Realisasi dan Tingkat Capaian Kinerja dan Anggaran Renja Perangkat Daerah yang Dievaluasi</t>
  </si>
  <si>
    <t>[kolom (12)(K) : kolom (7)(K)]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</si>
  <si>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</si>
  <si>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</si>
  <si>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</si>
  <si>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</si>
  <si>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</si>
  <si>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</si>
  <si>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Faktor pendorong keberhasilan pencapaian: Dukungan mitra kerja dan stakeholder dan komitmen kepala daerah</t>
  </si>
  <si>
    <t>Faktor penghambat pencapaian kinerja: Pandemi covid 19, kurangnya keterlibatan masyarakat dalam penyedia pelayanan perlindungan perempuan dan anak, dana penggerakan tidak disediakan BKKBN</t>
  </si>
  <si>
    <t>Tindak lanjut yang diperlukan dalam triwulan berikutnya*): Mendorong percepatan kegiatan di lapangan dan optimalisasi koordinasi dengan stakeholder</t>
  </si>
  <si>
    <t>Tindak lanjut yang diperlukan dalam Renja Perangkat Daerah Kabupaten berikutnya*): Penyesuaian rencana dan target kinerja berdasarkan anggaran kegiatan</t>
  </si>
  <si>
    <t>Realisasi Capaian Kinerja Renstra Perangkat Daerah sampai dengan Renja Perangkat Daerah Tahun Lalu (2020)</t>
  </si>
  <si>
    <t>Perencanaan, Penganggaran, dan Evaluasi Kinerja Perangkat Daerah</t>
  </si>
  <si>
    <t>Penyusunan Dokumen Perencanaan Perangkat Daerah</t>
  </si>
  <si>
    <t>Program Penunjang Urusan Pemerintahan Daerah Kabupaten/Kota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</si>
  <si>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</si>
  <si>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</si>
  <si>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</si>
  <si>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Evaluasi Kinerja Perangkat Daerah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</si>
  <si>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</si>
  <si>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</si>
  <si>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</si>
  <si>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</si>
  <si>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</si>
  <si>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Penyediaan Komponen Instalasi Listrik/Penerangan Bangunan Kantor</t>
  </si>
  <si>
    <t>Pelayanan administrasi sesuai standar</t>
  </si>
  <si>
    <t>Penyediaan Peralatan dan Perlengkapan Kantor</t>
  </si>
  <si>
    <t>Penyediaan Bahan Logistik Kantor</t>
  </si>
  <si>
    <t>Penyediaan Barang Cetakan dan Penggandaan</t>
  </si>
  <si>
    <t>Penyediaan Bahan Bacaan dan Peraturan Perundang‑undangan</t>
  </si>
  <si>
    <t>Penyelenggaraan Rapat Koordinasi dan Konsultasi SKPD</t>
  </si>
  <si>
    <t>Pengadaan Barang Milik Daerah Penunjang Urusan Pemerintah Daerah</t>
  </si>
  <si>
    <t>Pengadaan Sarana dan Prasarana Gedung Kantor atau Bangunan Lainnya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</si>
  <si>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</si>
  <si>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</si>
  <si>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</si>
  <si>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</si>
  <si>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</si>
  <si>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</si>
  <si>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Sarana dan Prasarana Gedung Kantor atau Bangunan Lainnya</t>
  </si>
  <si>
    <t>Program Pengarus Utamaan Gender Dan Pemberdayaan Perempuan</t>
  </si>
  <si>
    <t>Pelembagaan Pengarusutamaan Gender (PUG) pada Lembaga Pemerintah Kewenangan Kabupaten/Kota</t>
  </si>
  <si>
    <t>Koordinasi dan Sinkronisasi Pelaksanaan PUG Kewenangan Kabupaten/Kota</t>
  </si>
  <si>
    <t>Program Perlindungan Perempuan</t>
  </si>
  <si>
    <t>Pencegahan Kekerasan terhadap Perempuan Lingkup Daerah Kabupaten/Kota</t>
  </si>
  <si>
    <t>Advokasi Kebijakan dan Pendampingan Layanan Perlindungan Perempuan Kewenangan Kabupaten/Kota</t>
  </si>
  <si>
    <t>Program Peningkatan Kualitas Keluarga</t>
  </si>
  <si>
    <t>Peningkatan Kualitas Keluarga dalam Mewujudkan Kesetaraan Gender (KG) dan Hak Anak Tingkat Daerah Kabupaten/Kota</t>
  </si>
  <si>
    <t>Pengembangan Kegiatan Masyarakat untuk Peningkatan Kualitas Keluarga Kewenangan Kabupaten/Kota</t>
  </si>
  <si>
    <t>Penguatan dan Pengembangan Lembaga Penyedia Layanan Peningkatan Kualitas Keluarga dalam Mewujudkan KG dan Hak Anak yang Wilayah Kerjanya dalam Daerah Kabupaten/Kota</t>
  </si>
  <si>
    <t>Peningkatan Kapasitas Sumber Daya Lembaga Penyedia Layanan Peningkatan Kualitas Keluarga Tingkat Daerah Kabupaten/Kota</t>
  </si>
  <si>
    <t>Program Pemenuhan Hak Anak (PHA)</t>
  </si>
  <si>
    <t>Pelembagaan PHA pada Lembaga Pemerintah, Nonpemerintah, dan Dunia Usaha Kewenangan Kabupaten/Kota</t>
  </si>
  <si>
    <t>Advokasi Kebijakan dan Pendampingan Pemenuhan Hak Anak pada Lembaga Pemerintah, Non Pemerintah, Media dan Dunia Usaha Kewenangan Kabupaten/Kota</t>
  </si>
  <si>
    <t>Penguatan dan Pengembangan Lembaga Penyedia Layanan Peningkatan Kualitas Hidup Anak Kewenangan Kabupaten/Kota</t>
  </si>
  <si>
    <t>Koordinasi dan Sinkronisasi Pelaksanaan Pendampingan Peningkatan Kualitas Hidup Anak Tingkat Daerah Kabupaten/Kota</t>
  </si>
  <si>
    <t>Pengembangan Komunikasi, Informasi dan Edukasi Pemenuhan Hak Anak bagi Lembaga Penyedia Layanan Peningkatan Kualitas Hidup Anak Tingkat Daerah Kabupaten/Kota</t>
  </si>
  <si>
    <t>Penguatan Jejaring antar Lembaga Penyedia Layanan Peningkatan Kualitas Hidup Anak Tingkat Daerah Kabupaten/Kota</t>
  </si>
  <si>
    <t>Program Perlindungan Khusus Anak</t>
  </si>
  <si>
    <t>Penyediaan Layanan bagi Anak yang Memerlukan Perlindungan Khusus yang Memerlukan</t>
  </si>
  <si>
    <t>Penyediaan Layanan Pengaduan Masyarakat bagi Anak yang Memerlukan Perlindungan Khusus Tingkat Daerah Kabupaten/Kota</t>
  </si>
  <si>
    <t>Koordinasi dan Sinkronisasi Pelaksanaan Pendampingan Anak yang Memerlukan Perlindungan Khusus Kewenangan Kabupaten/Kota</t>
  </si>
  <si>
    <t>Program Pembinaan Keluarga Berencana (KB)</t>
  </si>
  <si>
    <t>Pelaksanaan Advokasi, Komunikasi, Informasi dan Edukasi (KIE) Pengendalian Penduduk dan KB sesuai Kearifan Budaya Lokal</t>
  </si>
  <si>
    <t>Advokasi Program KKBPK kepada Stakeholders dan Mitra Kerja</t>
  </si>
  <si>
    <t>Program Pengendalian Penduduk</t>
  </si>
  <si>
    <t>Pemaduan dan Sinkronisasi Kebijakan Pemerintah Daerah Provinsi dengan Pemerintah Daerah Kabupaten/Kota dalam rangka Pengendalian Kuantitas Penduduk</t>
  </si>
  <si>
    <t>Penguatan Kerjasama Pelaksanaan Pendidikan Kependudukan Jalur Pendidikan Formal</t>
  </si>
  <si>
    <t>Pemetaan Perkiraan Pengendalian Penduduk Cakupan Daerah Kabupaten/Kota</t>
  </si>
  <si>
    <t>Membentuk Rumah Data Kependudukan di Kampung KB Untuk Memperkuat Integrasi Program KKBPK di Sektor Lain</t>
  </si>
  <si>
    <t>Pengendalian Program KKBPK</t>
  </si>
  <si>
    <t>Pengendalian dan Pendistribusian Kebutuhan Alat dan Obat Kontrasepsi serta Pelaksanaan Pelayanan KB di Daerah Kabupaten/Kota</t>
  </si>
  <si>
    <t>Peningkatan Kesertaan Penggunaan Metode Kontrasepsi Jangka Panjang (MKJP)</t>
  </si>
  <si>
    <t>Peningkatan Kompetensi Tenaga Pelayanan Keluarga Berencana dan Kesehatan Reproduksi</t>
  </si>
  <si>
    <t>Dukungan Operasional Pelayanan KB Bergerak</t>
  </si>
  <si>
    <t>Pemberdayaan dan Peningkatan Peran serta Organisasi Kemasyarakatan Tingkat Daerah Kabupaten/Kota dalam Pelaksanaan Pelayanan dan Pembinaan Kesertaan Ber‑KB</t>
  </si>
  <si>
    <t>Penguatan Peran serta Organisasi Kemasyarakatan dan Mitra Kerja Lainnya dalam Pelaksanaan Pelayanan dan Pembinaan Kesertaan Ber‑KB</t>
  </si>
  <si>
    <t>Program Pemberdayaan Dan Peningkatan Keluarga Sejahtera (KS)</t>
  </si>
  <si>
    <t>Pelaksanaan Pembangunan Keluarga melalui Pembinaan Ketahanan dan Kesejahteraan Keluarga</t>
  </si>
  <si>
    <t>Orientasi/Pelatihan Teknis Pelaksana/Kader Ketahanan dan Kesejahteraan Keluarga (BKB, BKR, BKL, PPPKS, PIK‑R dan Pemberdayaan Ekonomi Keluarga/UPPKS)</t>
  </si>
  <si>
    <t>Promosi dan Sosialisasi Kelompok Kegiatan Ketahanan dan Kesejahteraan Keluarga (BKB, BKR, BKL, PPPKS, PIK‑R dan Pemberdayaan Ekonomi Keluarga/UPPKS)</t>
  </si>
  <si>
    <t>Dok</t>
  </si>
  <si>
    <t>Administrasi Umum Perangkat Daerah</t>
  </si>
  <si>
    <t>Bln</t>
  </si>
  <si>
    <t>Jumlah Dokumen Perencanaan dan Evaluasi Kinerja yang berkualitas</t>
  </si>
  <si>
    <t>Dokumen Perencanaan yang Memenuhi Aspek Kualitas</t>
  </si>
  <si>
    <t>Dokumen Evaluasi yang Memenuhi Aspek Kualitas</t>
  </si>
  <si>
    <t>Jumlah dokumen administrasi Keuangan sesuai standar</t>
  </si>
  <si>
    <t>Pelayanan Administrasi Sesuai Standar</t>
  </si>
  <si>
    <t xml:space="preserve">Laporan Keuangan Yang Memenuhi Aspek Kualitas </t>
  </si>
  <si>
    <t>Jumlah dokumen administrasi umum sesuai standar</t>
  </si>
  <si>
    <t>Peralatan dan Perlengkapan Kantor Dalam Kondisi Baik</t>
  </si>
  <si>
    <t>Tingkat Pelayanan Adminstrasi Umum sesuai Standar</t>
  </si>
  <si>
    <t>%</t>
  </si>
  <si>
    <t>Persentase kasus kekerasan terhadap anak yang terselesaikan</t>
  </si>
  <si>
    <t>Persentase pasangan usia subur yang menjadi peserta KB aktif</t>
  </si>
  <si>
    <t>Penyediaan dan Distribusi Sarana KIE Program KKBPK (DAK Non Fisik)</t>
  </si>
  <si>
    <t>Pengelolaan Operasional dan Sarana Di Balai Penyuluhan KKBPK (DAK Non Fisik)</t>
  </si>
  <si>
    <t>Pendayagunaan Tenaga Penyuluh KB/Petugas Lapangan KB (PKB/PLKB)</t>
  </si>
  <si>
    <t>Penggerakanan Kader Institusi Masyarakat Pedesaan (DAK Non Fisik)</t>
  </si>
  <si>
    <t>Pengendalian Pendistribusian Alat dan Obat Kontrasepsi dan Sarana Penunjang Pelayanan KB Ke Fasilitas Kesehatan Termasuk Jaringan dan Jejaringnya (DAK Non Fisik)</t>
  </si>
  <si>
    <t>Pelaksanaan dan Pengelolaan Program KKBPK di Kampung KB (DAK Non Fisik)</t>
  </si>
  <si>
    <t>Tingkat kepuasan pelayanan</t>
  </si>
  <si>
    <t>Persentase institusi yang menyelenggarakan kegiatan program Bangga Kencana</t>
  </si>
  <si>
    <t>Persentase institusi yang menerapkan anggaran yang responsif gender</t>
  </si>
  <si>
    <t>Jumlah institusi yang perencanaan dan penganggaran responsif gender</t>
  </si>
  <si>
    <t>Institusi</t>
  </si>
  <si>
    <t>Persentase organisasi perempuan penyedia pelayanan perlindungan perempuan yang aktif</t>
  </si>
  <si>
    <t>-</t>
  </si>
  <si>
    <t>Jumlah organisasi perempuan penyedia pelayanan perlindungan perempuan yang dibina</t>
  </si>
  <si>
    <t>Organisasi</t>
  </si>
  <si>
    <t>Persentase keterlibatan perempuan dalam meningkatkan taraf hidup keluarga</t>
  </si>
  <si>
    <t>Jumlah pekerja perempuan yang terlibat dalam meningkatkan taraf hidup keluarga</t>
  </si>
  <si>
    <t>Jumlah lembaga penyedia layanan peningkatan kualitas keluarga dalam mewujudkan KG</t>
  </si>
  <si>
    <t>Orang</t>
  </si>
  <si>
    <t>Lembaga</t>
  </si>
  <si>
    <t>Tingkat pemenuhan aspek desa/kelurahan layak anak berbasis klaster</t>
  </si>
  <si>
    <t>Jumlah Forum anak, SRA, PRA, dan RBRA yang terbentuk dan terbina</t>
  </si>
  <si>
    <t>Jumlah indikator yang terpenuhi</t>
  </si>
  <si>
    <t>Jumlah kegiatan peran serta forum anak daerah</t>
  </si>
  <si>
    <t>buah</t>
  </si>
  <si>
    <t>indikator</t>
  </si>
  <si>
    <t>Kegiatan</t>
  </si>
  <si>
    <t>Kasus kekerasan terhadap anak yang terlayani</t>
  </si>
  <si>
    <t>Jumlah PATBM desa yang aktif</t>
  </si>
  <si>
    <t>Jumlah institusi yang menyelenggarakan kegiatan program Bangga Kencana</t>
  </si>
  <si>
    <t>Persentase institusi yang menindaklanjuti kesepakatan pendewasaan usia perkawinan</t>
  </si>
  <si>
    <t>Jumlah Media KIE terfasilitasi</t>
  </si>
  <si>
    <t>Jumlah remaja teradvokasi dan menerima Komunikasi, Informasi dan Edukasi Kesehatan Reproduksi Remaja</t>
  </si>
  <si>
    <t>Jumlah Balai KKB Kecamatan</t>
  </si>
  <si>
    <t>Jumlah Institusi Masyarakat Perdesaan (IMP)</t>
  </si>
  <si>
    <t>Jumlah PUS yang ber KB menggunakan alat kontrasepsi</t>
  </si>
  <si>
    <t>Jumlah kader PPKBD dan Sub PPKBD di desa yang mendapat dukungan program KKBPK</t>
  </si>
  <si>
    <t>Jumlah faskes keluarga berencana yang mendapatkan bantuan alat dan obat kontrasepsi (Alokon)</t>
  </si>
  <si>
    <t>Penyediaan Sarana Penunjang Pelayanan KB (DAK Fisik)</t>
  </si>
  <si>
    <t>Jumlah balai KKB Kec. Yang mendapat dukungan operasional keg. Program KKBPK</t>
  </si>
  <si>
    <t>Jumlah bidan yang kompeten</t>
  </si>
  <si>
    <t>Jumlah layanan KB bergerak</t>
  </si>
  <si>
    <t>Jumlah kegiatan</t>
  </si>
  <si>
    <t>Jumlah kampung KB yang mendapat dukungan integrasi program KKBPK dan program lainnya</t>
  </si>
  <si>
    <t>Balai KKB Kec.</t>
  </si>
  <si>
    <t>IMP</t>
  </si>
  <si>
    <t>PUS</t>
  </si>
  <si>
    <t>kader</t>
  </si>
  <si>
    <t>faskes</t>
  </si>
  <si>
    <t>Balai</t>
  </si>
  <si>
    <t>Titik</t>
  </si>
  <si>
    <t>Kampung KB</t>
  </si>
  <si>
    <t>Persentase kelompok kegiatan ketahanan keluarga yang aktif</t>
  </si>
  <si>
    <t>Jumlah kelompok kegiatan ketahanan keluarga yang aktif</t>
  </si>
  <si>
    <t>Jumlah kegiatan ketahana keluarga</t>
  </si>
  <si>
    <t>Kelompok</t>
  </si>
  <si>
    <t>Kandangan,            Juli 2021</t>
  </si>
  <si>
    <t>PERIODE PELAKSANAAN TRIWULAN II TAHUN 2021</t>
  </si>
  <si>
    <t>Plt. Kepala Dinas Pengendalian Penduduk, KBPPPA</t>
  </si>
  <si>
    <t>HANTI WAHYUNINGSIH, S.KM, MPH</t>
  </si>
  <si>
    <t>NIP. 19701127 199703 2 005</t>
  </si>
  <si>
    <t>Jumlah dokumen perencanaan kinerja Dinas PPKBPPPA yang berkualitas</t>
  </si>
  <si>
    <t>Jumlah dokumen evaluasi kinerja Dinas PPKBPPPA yang berkualitas</t>
  </si>
  <si>
    <t>Pelayanan administrasi keuangan sesuai standar</t>
  </si>
  <si>
    <t>Jumlah PNS yang menerima gaji dan tunjangan</t>
  </si>
  <si>
    <t>orang</t>
  </si>
  <si>
    <t>Jumlah dokumen laporan keuangan akhir tahun</t>
  </si>
  <si>
    <t>Jumlah laporan keuangan sesuai standar</t>
  </si>
  <si>
    <t>Jumlah laporan administrasi Keuangan sesuai standar</t>
  </si>
  <si>
    <t>Persentase pelayanan administrasi umum sesuai kebutuhan</t>
  </si>
  <si>
    <t>Jumlah penyediaan komponen instalasi listrik/penerangan bangunan kantor sesuai kebutuhan</t>
  </si>
  <si>
    <t>Jumlah penyediaan peralatan dan perlengkapan kantor sesuai kebutuhan</t>
  </si>
  <si>
    <t>Jumlah penyediaan bahan logistik kantor sesuai kebutuhan</t>
  </si>
  <si>
    <t>Jumlah penyediaan barang cetak dan penggandaan sesuai kebutuhan</t>
  </si>
  <si>
    <t>Jumlah penyediaan Bahan bacaan dan Peraturan Perundangan-undangan sesuai kebutuhan</t>
  </si>
  <si>
    <t>Jumlah Rapat Koordinasi dan Konsultasi SKPD sesuai kebutuhan</t>
  </si>
  <si>
    <t>Jumlah Pengadaan Sarana dan Prasarana Gedung Kantor sesuai kebutuhan</t>
  </si>
  <si>
    <t xml:space="preserve">Jumlah penyediaan jasa surat menyurat </t>
  </si>
  <si>
    <t xml:space="preserve">Jumlah penyediaan Jasa Komunikasi, Sumber Daya Air dan Listrik </t>
  </si>
  <si>
    <t>Jumlah penyediaan jasa pelayanan umum kantor</t>
  </si>
  <si>
    <t>Jumlah jasa pemeliharaan, biaya pemeliharan, pajak dan perizinan kendaraan dinas operasional atau lapangan</t>
  </si>
  <si>
    <t>Jumlah jasa pemeliharaan sarana dan prasarana gedung kantor</t>
  </si>
  <si>
    <t>Persentase SKPD yang melaksanakan pemberdayaan perempuan</t>
  </si>
  <si>
    <t>Jumlah institusi yang mengikuti peningkatan SDM tentang PPRG</t>
  </si>
  <si>
    <t>Persentase perlindungan terhadap perempuan korban kekerasan secara komprehensif</t>
  </si>
  <si>
    <t>Persentase Cakupan Layanan Rujukan Lanjutan bagi Anak yang memerlukan perlindungan khusus Secara Komprehensif</t>
  </si>
  <si>
    <t xml:space="preserve">Fasilitasi penyediaan  Layanan Pengaduan Masyarakat bagi Perempuan Korban Kekerasan  </t>
  </si>
  <si>
    <t>bulan</t>
  </si>
  <si>
    <t>Persentase lembaga pemberdayaan perempuan yang mendapatkan pembinaan dan penguatan kapasitas guna peningkatan kualitas keluarga</t>
  </si>
  <si>
    <t>Persentase Peningkatan Kualitas Keluarga yang memenuhi Kesetaraan  Gender  (KG)  dan  Hak Anak di daerah</t>
  </si>
  <si>
    <t>Jumlah Kegiatan masyarakat yang bernilai tambah untuk peningkatan Kualitas Keluarga</t>
  </si>
  <si>
    <t xml:space="preserve">Persentase Lembaga Penyedia Layanan  Peningkatan  Kualitas  Keluarga  yang Mewujudkan  KG </t>
  </si>
  <si>
    <t>Jumlah Sumber Daya yang dilatih</t>
  </si>
  <si>
    <t xml:space="preserve">Persentase indikator KLA yang terpenuhi </t>
  </si>
  <si>
    <t>Persentase lembaga PHA yang terbentuk dan terbina</t>
  </si>
  <si>
    <t>Jumlah Forum anak, SRA, PRA, Pesantren Ramah Anak, RIRA, Dekela, Kelana, APSAI, RBA, RBRA dan PATBM</t>
  </si>
  <si>
    <t>Persentase Lembaga Penyedia Layanan Peningkatan Kualitas Hidup Anak yang Berkonvensi Hak Anak</t>
  </si>
  <si>
    <t>Jumlah Forum Anak yang difasilitasi dalam pemenuhan hak anak</t>
  </si>
  <si>
    <t>Persentase perlindungan terhadap Anak korban kekerasan secara komprehensif</t>
  </si>
  <si>
    <t>Fasilitasi penyediaan  Layanan Pengaduan Masyarakat bagi  Anak yang memerlukan Perlindungan Khusus</t>
  </si>
  <si>
    <t xml:space="preserve">Persentase remaja usia 15-19 tahun yang mendapatkan sosialisasi Program Bangga Kencana </t>
  </si>
  <si>
    <t>Persentase Sekolah Siaga Kependudukan</t>
  </si>
  <si>
    <t>Jumlah remaja yang mengikuti pendidikan formal usia 15-19 th yang mendapatkan sosialisasi program bangga kencana</t>
  </si>
  <si>
    <t>Persentase Rumah Data Kependudukan</t>
  </si>
  <si>
    <t>Jumlah Rumah Data Kependudukan yang terbentuk</t>
  </si>
  <si>
    <t xml:space="preserve">Persentase wanita pernah kawin usia (15-49) tahun menurut usia kawin pertama; usia  &lt; 20 tahun  </t>
  </si>
  <si>
    <t>Angka kelahiran remaja umur 15-19 tahun (Age Specific Fertility Rate/ASFR 15-19)</t>
  </si>
  <si>
    <t>Jumlah institusi yang menerima KIE KB</t>
  </si>
  <si>
    <t>institusi</t>
  </si>
  <si>
    <t>Angka prevalensi kontrasepsi modern/modern Contraceptive (mCPR)</t>
  </si>
  <si>
    <t>Angka</t>
  </si>
  <si>
    <t>Jumlah PUS yang ber KB MKJP</t>
  </si>
  <si>
    <t>Persentase PUS yang tidak ingin anak lagi dan menunda kelahiran namun tidak menggunakan kontrasepsi (Unmet need)</t>
  </si>
  <si>
    <t>Jumlah peserta KB Baru</t>
  </si>
  <si>
    <t>Persentase desa yang memiliki kelompok kegiatan ketahanan yang lengkap</t>
  </si>
  <si>
    <t xml:space="preserve">Jumlah kelompok ketahanan keluarga yang dilatih </t>
  </si>
  <si>
    <t xml:space="preserve">Jumlah kegiatan  ketahanan keluarga  </t>
  </si>
  <si>
    <t>org</t>
  </si>
  <si>
    <t xml:space="preserve">lap </t>
  </si>
  <si>
    <t>kelompok</t>
  </si>
  <si>
    <t>Faktor pendorong keberhasilan pencapaian: Produk hukum daerah yang menunjang, ketepatan pelaksanaan kegiatan sesuai rencana, dukungan mitra kerja dan stakeholder dan komitmen kepala daerah</t>
  </si>
  <si>
    <t>Faktor penghambat pencapaian kinerja: Pandemi covid 19, kurangnya keterlibatan masyarakat dalam penyedia pelayanan perlindungan perempuan dan anak, kurangnya masyarakat yang berminat menjadi kader</t>
  </si>
  <si>
    <r>
      <t>Indikator Kinerja Program (</t>
    </r>
    <r>
      <rPr>
        <b/>
        <i/>
        <sz val="14"/>
        <color theme="1"/>
        <rFont val="Arial"/>
        <family val="2"/>
      </rPr>
      <t>Outcome</t>
    </r>
    <r>
      <rPr>
        <b/>
        <sz val="14"/>
        <color theme="1"/>
        <rFont val="Arial"/>
        <family val="2"/>
      </rPr>
      <t>)/Kegiatan (</t>
    </r>
    <r>
      <rPr>
        <b/>
        <i/>
        <sz val="14"/>
        <color theme="1"/>
        <rFont val="Arial"/>
        <family val="2"/>
      </rPr>
      <t>Output</t>
    </r>
    <r>
      <rPr>
        <b/>
        <sz val="14"/>
        <color theme="1"/>
        <rFont val="Arial"/>
        <family val="2"/>
      </rPr>
      <t>)</t>
    </r>
  </si>
  <si>
    <t>Persentase dokumen Perencanaan dan Evaluasi Kinerja Dinas PPKBPPPA yang berkualitas</t>
  </si>
  <si>
    <t>PERIODE PELAKSANAAN TRIWULAN IV TAHUN 2021</t>
  </si>
  <si>
    <t>Kandangan,    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</si>
</sst>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b/>
      <sz val="14"/>
      <color indexed="81"/>
      <name val="Tahoma"/>
      <family val="2"/>
    </font>
    <font>
      <sz val="16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sz val="12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6" fontId="8" fillId="0" borderId="2" xfId="1" applyNumberFormat="1" applyFont="1" applyFill="1" applyBorder="1" applyAlignment="1">
      <alignment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6" fontId="8" fillId="0" borderId="15" xfId="1" applyNumberFormat="1" applyFont="1" applyFill="1" applyBorder="1" applyAlignment="1">
      <alignment vertical="top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4" fontId="8" fillId="0" borderId="2" xfId="2" applyFont="1" applyFill="1" applyBorder="1" applyAlignment="1">
      <alignment vertical="top"/>
    </xf>
    <xf numFmtId="0" fontId="8" fillId="0" borderId="1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/>
    </xf>
    <xf numFmtId="164" fontId="8" fillId="0" borderId="15" xfId="2" applyFont="1" applyFill="1" applyBorder="1" applyAlignment="1">
      <alignment vertical="top"/>
    </xf>
    <xf numFmtId="1" fontId="6" fillId="0" borderId="2" xfId="0" applyNumberFormat="1" applyFont="1" applyFill="1" applyBorder="1" applyAlignment="1">
      <alignment horizontal="center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2" fontId="8" fillId="0" borderId="2" xfId="0" quotePrefix="1" applyNumberFormat="1" applyFont="1" applyFill="1" applyBorder="1" applyAlignment="1">
      <alignment horizontal="center" vertical="top" wrapText="1"/>
    </xf>
    <xf numFmtId="1" fontId="8" fillId="0" borderId="15" xfId="0" applyNumberFormat="1" applyFont="1" applyBorder="1" applyAlignment="1">
      <alignment horizontal="center" vertical="top"/>
    </xf>
    <xf numFmtId="166" fontId="6" fillId="0" borderId="6" xfId="1" quotePrefix="1" applyNumberFormat="1" applyFont="1" applyFill="1" applyBorder="1" applyAlignment="1">
      <alignment vertical="top"/>
    </xf>
    <xf numFmtId="164" fontId="6" fillId="0" borderId="15" xfId="2" quotePrefix="1" applyFont="1" applyFill="1" applyBorder="1" applyAlignment="1">
      <alignment vertical="top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64" fontId="6" fillId="0" borderId="6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/>
    </xf>
    <xf numFmtId="164" fontId="6" fillId="0" borderId="15" xfId="0" applyNumberFormat="1" applyFont="1" applyFill="1" applyBorder="1" applyAlignment="1">
      <alignment vertical="top"/>
    </xf>
    <xf numFmtId="2" fontId="6" fillId="0" borderId="15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vertical="top"/>
    </xf>
    <xf numFmtId="0" fontId="13" fillId="0" borderId="11" xfId="0" applyFont="1" applyFill="1" applyBorder="1"/>
    <xf numFmtId="0" fontId="8" fillId="4" borderId="12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top"/>
    </xf>
    <xf numFmtId="164" fontId="8" fillId="0" borderId="2" xfId="2" applyFont="1" applyFill="1" applyBorder="1" applyAlignment="1">
      <alignment horizontal="center" vertical="top" wrapText="1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 wrapText="1"/>
    </xf>
    <xf numFmtId="9" fontId="6" fillId="0" borderId="6" xfId="0" applyNumberFormat="1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/>
    <xf numFmtId="0" fontId="15" fillId="0" borderId="0" xfId="0" applyFont="1" applyAlignment="1">
      <alignment horizontal="left" vertical="top" wrapText="1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6" xfId="0" applyFont="1" applyFill="1" applyBorder="1"/>
    <xf numFmtId="0" fontId="8" fillId="0" borderId="2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166" fontId="8" fillId="0" borderId="6" xfId="1" quotePrefix="1" applyNumberFormat="1" applyFont="1" applyFill="1" applyBorder="1" applyAlignment="1">
      <alignment vertical="top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" fontId="6" fillId="0" borderId="15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166" fontId="8" fillId="0" borderId="6" xfId="1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8" fillId="0" borderId="15" xfId="0" applyNumberFormat="1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Alignment="1">
      <alignment horizontal="center" wrapText="1"/>
    </xf>
    <xf numFmtId="0" fontId="4" fillId="0" borderId="0" xfId="0" applyNumberFormat="1" applyFont="1" applyFill="1" applyAlignment="1">
      <alignment horizontal="center" wrapText="1"/>
    </xf>
    <xf numFmtId="0" fontId="8" fillId="4" borderId="13" xfId="0" applyNumberFormat="1" applyFont="1" applyFill="1" applyBorder="1" applyAlignment="1">
      <alignment horizontal="center" wrapText="1"/>
    </xf>
    <xf numFmtId="0" fontId="8" fillId="0" borderId="0" xfId="0" applyNumberFormat="1" applyFont="1" applyFill="1" applyAlignment="1">
      <alignment wrapText="1"/>
    </xf>
    <xf numFmtId="1" fontId="6" fillId="0" borderId="15" xfId="0" applyNumberFormat="1" applyFont="1" applyFill="1" applyBorder="1" applyAlignment="1">
      <alignment horizontal="center" vertical="top"/>
    </xf>
    <xf numFmtId="1" fontId="6" fillId="0" borderId="6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9" fontId="6" fillId="0" borderId="6" xfId="0" applyNumberFormat="1" applyFont="1" applyFill="1" applyBorder="1" applyAlignment="1">
      <alignment horizontal="center" vertical="top" wrapText="1"/>
    </xf>
    <xf numFmtId="9" fontId="8" fillId="0" borderId="6" xfId="0" applyNumberFormat="1" applyFont="1" applyFill="1" applyBorder="1" applyAlignment="1">
      <alignment horizontal="center" vertical="top"/>
    </xf>
    <xf numFmtId="9" fontId="8" fillId="0" borderId="6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164" fontId="6" fillId="0" borderId="2" xfId="2" applyFont="1" applyFill="1" applyBorder="1" applyAlignment="1">
      <alignment vertical="top"/>
    </xf>
    <xf numFmtId="166" fontId="6" fillId="0" borderId="2" xfId="1" applyNumberFormat="1" applyFont="1" applyFill="1" applyBorder="1" applyAlignment="1">
      <alignment vertical="top"/>
    </xf>
    <xf numFmtId="0" fontId="13" fillId="0" borderId="0" xfId="0" applyFont="1" applyFill="1"/>
    <xf numFmtId="166" fontId="6" fillId="0" borderId="0" xfId="1" quotePrefix="1" applyNumberFormat="1" applyFont="1" applyFill="1" applyBorder="1" applyAlignment="1">
      <alignment vertical="top"/>
    </xf>
    <xf numFmtId="0" fontId="6" fillId="0" borderId="7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9" fontId="8" fillId="0" borderId="12" xfId="0" applyNumberFormat="1" applyFont="1" applyFill="1" applyBorder="1" applyAlignment="1">
      <alignment horizontal="center" vertical="top" wrapText="1"/>
    </xf>
    <xf numFmtId="9" fontId="8" fillId="0" borderId="12" xfId="0" applyNumberFormat="1" applyFont="1" applyFill="1" applyBorder="1" applyAlignment="1">
      <alignment horizontal="center" vertical="top"/>
    </xf>
    <xf numFmtId="9" fontId="6" fillId="0" borderId="12" xfId="0" applyNumberFormat="1" applyFont="1" applyFill="1" applyBorder="1" applyAlignment="1">
      <alignment horizontal="center" vertical="top" wrapText="1"/>
    </xf>
    <xf numFmtId="9" fontId="6" fillId="0" borderId="3" xfId="0" applyNumberFormat="1" applyFont="1" applyFill="1" applyBorder="1" applyAlignment="1">
      <alignment horizontal="center" vertical="top"/>
    </xf>
    <xf numFmtId="1" fontId="8" fillId="0" borderId="14" xfId="0" applyNumberFormat="1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164" fontId="8" fillId="0" borderId="6" xfId="2" applyFont="1" applyFill="1" applyBorder="1" applyAlignment="1">
      <alignment vertical="top"/>
    </xf>
    <xf numFmtId="164" fontId="8" fillId="0" borderId="6" xfId="0" applyNumberFormat="1" applyFont="1" applyFill="1" applyBorder="1" applyAlignment="1">
      <alignment vertical="top"/>
    </xf>
    <xf numFmtId="0" fontId="8" fillId="0" borderId="0" xfId="0" applyFont="1" applyFill="1" applyAlignment="1">
      <alignment horizontal="center"/>
    </xf>
    <xf numFmtId="0" fontId="6" fillId="0" borderId="12" xfId="0" applyFont="1" applyFill="1" applyBorder="1" applyAlignment="1">
      <alignment horizontal="center" vertical="top"/>
    </xf>
    <xf numFmtId="2" fontId="6" fillId="0" borderId="14" xfId="0" applyNumberFormat="1" applyFont="1" applyFill="1" applyBorder="1" applyAlignment="1">
      <alignment horizontal="center" vertical="top"/>
    </xf>
    <xf numFmtId="0" fontId="6" fillId="0" borderId="1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/>
    </xf>
    <xf numFmtId="3" fontId="8" fillId="0" borderId="2" xfId="0" applyNumberFormat="1" applyFont="1" applyFill="1" applyBorder="1" applyAlignment="1">
      <alignment horizontal="center" vertical="top"/>
    </xf>
    <xf numFmtId="3" fontId="6" fillId="0" borderId="6" xfId="0" applyNumberFormat="1" applyFont="1" applyFill="1" applyBorder="1" applyAlignment="1">
      <alignment horizontal="center" vertical="top"/>
    </xf>
    <xf numFmtId="3" fontId="6" fillId="0" borderId="2" xfId="2" applyNumberFormat="1" applyFont="1" applyFill="1" applyBorder="1" applyAlignment="1">
      <alignment horizontal="center" vertical="top"/>
    </xf>
    <xf numFmtId="3" fontId="6" fillId="0" borderId="15" xfId="0" applyNumberFormat="1" applyFont="1" applyFill="1" applyBorder="1" applyAlignment="1">
      <alignment horizontal="center" vertical="top"/>
    </xf>
    <xf numFmtId="0" fontId="4" fillId="6" borderId="0" xfId="0" applyFont="1" applyFill="1"/>
    <xf numFmtId="0" fontId="24" fillId="6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/>
    <xf numFmtId="0" fontId="5" fillId="2" borderId="15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24" fillId="3" borderId="0" xfId="0" applyFont="1" applyFill="1"/>
    <xf numFmtId="0" fontId="5" fillId="3" borderId="2" xfId="0" applyFont="1" applyFill="1" applyBorder="1" applyAlignment="1">
      <alignment horizontal="center" vertical="top" wrapText="1"/>
    </xf>
    <xf numFmtId="0" fontId="24" fillId="3" borderId="11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24" fillId="3" borderId="15" xfId="0" applyFont="1" applyFill="1" applyBorder="1"/>
    <xf numFmtId="166" fontId="24" fillId="0" borderId="0" xfId="1" quotePrefix="1" applyNumberFormat="1" applyFont="1" applyFill="1" applyBorder="1" applyAlignment="1">
      <alignment vertical="top"/>
    </xf>
    <xf numFmtId="166" fontId="24" fillId="6" borderId="0" xfId="1" quotePrefix="1" applyNumberFormat="1" applyFont="1" applyFill="1" applyBorder="1" applyAlignment="1">
      <alignment vertical="top"/>
    </xf>
    <xf numFmtId="0" fontId="5" fillId="6" borderId="0" xfId="0" applyFont="1" applyFill="1"/>
    <xf numFmtId="0" fontId="5" fillId="0" borderId="0" xfId="0" applyFont="1" applyFill="1"/>
    <xf numFmtId="166" fontId="5" fillId="0" borderId="0" xfId="1" quotePrefix="1" applyNumberFormat="1" applyFont="1" applyFill="1" applyBorder="1" applyAlignment="1">
      <alignment vertical="top"/>
    </xf>
    <xf numFmtId="0" fontId="8" fillId="0" borderId="11" xfId="0" applyFont="1" applyFill="1" applyBorder="1"/>
    <xf numFmtId="2" fontId="6" fillId="0" borderId="2" xfId="4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/>
    </xf>
    <xf numFmtId="1" fontId="6" fillId="0" borderId="2" xfId="4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/>
    </xf>
    <xf numFmtId="3" fontId="6" fillId="6" borderId="2" xfId="0" applyNumberFormat="1" applyFont="1" applyFill="1" applyBorder="1" applyAlignment="1">
      <alignment horizontal="center" vertical="top"/>
    </xf>
    <xf numFmtId="0" fontId="6" fillId="6" borderId="2" xfId="0" applyNumberFormat="1" applyFont="1" applyFill="1" applyBorder="1" applyAlignment="1">
      <alignment horizontal="center" vertical="top" wrapText="1"/>
    </xf>
    <xf numFmtId="1" fontId="6" fillId="6" borderId="2" xfId="0" applyNumberFormat="1" applyFont="1" applyFill="1" applyBorder="1" applyAlignment="1">
      <alignment horizontal="center" vertical="top"/>
    </xf>
    <xf numFmtId="164" fontId="6" fillId="6" borderId="2" xfId="0" applyNumberFormat="1" applyFont="1" applyFill="1" applyBorder="1" applyAlignment="1">
      <alignment vertical="top"/>
    </xf>
    <xf numFmtId="2" fontId="6" fillId="6" borderId="2" xfId="0" applyNumberFormat="1" applyFont="1" applyFill="1" applyBorder="1" applyAlignment="1">
      <alignment horizontal="center" vertical="top"/>
    </xf>
    <xf numFmtId="0" fontId="8" fillId="6" borderId="11" xfId="0" applyFont="1" applyFill="1" applyBorder="1"/>
    <xf numFmtId="2" fontId="6" fillId="0" borderId="6" xfId="4" applyNumberFormat="1" applyFont="1" applyFill="1" applyBorder="1" applyAlignment="1">
      <alignment horizontal="center" vertical="top" wrapText="1"/>
    </xf>
    <xf numFmtId="0" fontId="6" fillId="0" borderId="11" xfId="0" applyFont="1" applyFill="1" applyBorder="1"/>
    <xf numFmtId="0" fontId="6" fillId="0" borderId="5" xfId="0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0" fontId="6" fillId="0" borderId="2" xfId="4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0" fontId="6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1" fontId="8" fillId="0" borderId="15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center" wrapText="1"/>
    </xf>
    <xf numFmtId="4" fontId="6" fillId="0" borderId="6" xfId="0" applyNumberFormat="1" applyFont="1" applyFill="1" applyBorder="1" applyAlignment="1">
      <alignment horizontal="center" vertical="top"/>
    </xf>
    <xf numFmtId="1" fontId="8" fillId="0" borderId="2" xfId="2" applyNumberFormat="1" applyFont="1" applyFill="1" applyBorder="1" applyAlignment="1">
      <alignment horizontal="center" vertical="top" wrapText="1"/>
    </xf>
    <xf numFmtId="9" fontId="6" fillId="0" borderId="3" xfId="0" applyNumberFormat="1" applyFont="1" applyFill="1" applyBorder="1" applyAlignment="1">
      <alignment horizontal="center" vertical="top" wrapText="1"/>
    </xf>
    <xf numFmtId="2" fontId="6" fillId="0" borderId="5" xfId="0" applyNumberFormat="1" applyFont="1" applyFill="1" applyBorder="1" applyAlignment="1">
      <alignment horizontal="center" vertical="top" wrapText="1"/>
    </xf>
    <xf numFmtId="9" fontId="6" fillId="0" borderId="11" xfId="0" applyNumberFormat="1" applyFont="1" applyFill="1" applyBorder="1" applyAlignment="1">
      <alignment horizontal="center" vertical="top"/>
    </xf>
    <xf numFmtId="4" fontId="6" fillId="0" borderId="15" xfId="0" applyNumberFormat="1" applyFont="1" applyFill="1" applyBorder="1" applyAlignment="1">
      <alignment horizontal="center" vertical="top"/>
    </xf>
    <xf numFmtId="9" fontId="6" fillId="0" borderId="12" xfId="0" applyNumberFormat="1" applyFont="1" applyFill="1" applyBorder="1" applyAlignment="1">
      <alignment horizontal="center" vertical="top"/>
    </xf>
    <xf numFmtId="2" fontId="6" fillId="0" borderId="1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7" xfId="0" applyFont="1" applyFill="1" applyBorder="1"/>
    <xf numFmtId="0" fontId="8" fillId="0" borderId="15" xfId="0" applyFont="1" applyFill="1" applyBorder="1"/>
    <xf numFmtId="0" fontId="8" fillId="0" borderId="6" xfId="0" applyNumberFormat="1" applyFont="1" applyFill="1" applyBorder="1" applyAlignment="1">
      <alignment horizontal="center" vertical="top" wrapText="1"/>
    </xf>
  </cellXfs>
  <cellStyles count="5">
    <cellStyle name="Comma" xfId="1" builtinId="3"/>
    <cellStyle name="Comma [0]" xfId="2" builtinId="6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102"/>
  <sheetViews>
    <sheetView tabSelected="1" showRuler="0" view="pageBreakPreview" zoomScale="70" zoomScaleNormal="40" zoomScaleSheetLayoutView="70" zoomScalePageLayoutView="55" workbookViewId="0">
      <selection activeCell="W83" sqref="W83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21.5703125" style="2" customWidth="1"/>
    <col min="4" max="4" width="22.5703125" style="2" customWidth="1"/>
    <col min="5" max="5" width="9" style="2" customWidth="1"/>
    <col min="6" max="6" width="9.140625" style="2" customWidth="1"/>
    <col min="7" max="7" width="21.85546875" style="2" customWidth="1"/>
    <col min="8" max="8" width="8.5703125" style="2" customWidth="1"/>
    <col min="9" max="9" width="9" style="2" customWidth="1"/>
    <col min="10" max="10" width="21.42578125" style="2" customWidth="1"/>
    <col min="11" max="11" width="12.140625" style="2" customWidth="1"/>
    <col min="12" max="12" width="7.5703125" style="2" customWidth="1"/>
    <col min="13" max="13" width="22.5703125" style="2" customWidth="1"/>
    <col min="14" max="14" width="9" style="2" customWidth="1"/>
    <col min="15" max="15" width="8" style="2" customWidth="1"/>
    <col min="16" max="16" width="20.42578125" style="2" customWidth="1"/>
    <col min="17" max="17" width="9" style="2" customWidth="1"/>
    <col min="18" max="18" width="7.7109375" style="2" customWidth="1"/>
    <col min="19" max="19" width="20.570312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10.5703125" style="2" customWidth="1"/>
    <col min="27" max="27" width="5.5703125" style="107" customWidth="1"/>
    <col min="28" max="28" width="10.5703125" style="2" customWidth="1"/>
    <col min="29" max="29" width="5.5703125" style="4" customWidth="1"/>
    <col min="30" max="30" width="19.28515625" style="2" customWidth="1"/>
    <col min="31" max="31" width="11.85546875" style="2" customWidth="1"/>
    <col min="32" max="32" width="5.5703125" style="4" customWidth="1"/>
    <col min="33" max="33" width="11.140625" style="2" customWidth="1"/>
    <col min="34" max="34" width="5.5703125" style="107" customWidth="1"/>
    <col min="35" max="35" width="18.85546875" style="2" customWidth="1"/>
    <col min="36" max="36" width="8" style="2" customWidth="1"/>
    <col min="37" max="37" width="5.5703125" style="4" customWidth="1"/>
    <col min="38" max="38" width="10.140625" style="2" customWidth="1"/>
    <col min="39" max="39" width="15" style="2" customWidth="1"/>
    <col min="40" max="40" width="4.140625" style="145" customWidth="1"/>
    <col min="41" max="45" width="19.5703125" style="2" customWidth="1"/>
    <col min="46" max="16384" width="9.140625" style="2"/>
  </cols>
  <sheetData>
    <row r="1" spans="1:45" ht="23.25" x14ac:dyDescent="0.3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"/>
    </row>
    <row r="2" spans="1:45" ht="23.25" x14ac:dyDescent="0.35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3"/>
    </row>
    <row r="3" spans="1:45" ht="23.25" x14ac:dyDescent="0.35">
      <c r="A3" s="192" t="s">
        <v>44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3"/>
    </row>
    <row r="4" spans="1:45" ht="23.25" x14ac:dyDescent="0.35">
      <c r="A4" s="193" t="s">
        <v>268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"/>
    </row>
    <row r="5" spans="1:45" ht="18" x14ac:dyDescent="0.2">
      <c r="A5" s="194" t="s">
        <v>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</row>
    <row r="6" spans="1:45" ht="18" x14ac:dyDescent="0.25">
      <c r="A6" s="191" t="s">
        <v>44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</row>
    <row r="7" spans="1:45" s="148" customFormat="1" ht="81" customHeight="1" x14ac:dyDescent="0.25">
      <c r="A7" s="201" t="s">
        <v>3</v>
      </c>
      <c r="B7" s="201" t="s">
        <v>4</v>
      </c>
      <c r="C7" s="202" t="s">
        <v>5</v>
      </c>
      <c r="D7" s="202" t="s">
        <v>266</v>
      </c>
      <c r="E7" s="195" t="s">
        <v>7</v>
      </c>
      <c r="F7" s="196"/>
      <c r="G7" s="203"/>
      <c r="H7" s="195" t="s">
        <v>59</v>
      </c>
      <c r="I7" s="196"/>
      <c r="J7" s="203"/>
      <c r="K7" s="195" t="s">
        <v>63</v>
      </c>
      <c r="L7" s="196"/>
      <c r="M7" s="196"/>
      <c r="N7" s="195" t="s">
        <v>8</v>
      </c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203"/>
      <c r="Z7" s="195" t="s">
        <v>47</v>
      </c>
      <c r="AA7" s="196"/>
      <c r="AB7" s="196"/>
      <c r="AC7" s="196"/>
      <c r="AD7" s="196"/>
      <c r="AE7" s="196"/>
      <c r="AF7" s="203"/>
      <c r="AG7" s="195" t="s">
        <v>64</v>
      </c>
      <c r="AH7" s="196"/>
      <c r="AI7" s="203"/>
      <c r="AJ7" s="195" t="s">
        <v>65</v>
      </c>
      <c r="AK7" s="196"/>
      <c r="AL7" s="196"/>
      <c r="AM7" s="199" t="s">
        <v>9</v>
      </c>
      <c r="AN7" s="146"/>
      <c r="AO7" s="147"/>
      <c r="AP7" s="147"/>
      <c r="AQ7" s="147"/>
      <c r="AR7" s="147"/>
      <c r="AS7" s="147"/>
    </row>
    <row r="8" spans="1:45" s="148" customFormat="1" ht="18" customHeight="1" x14ac:dyDescent="0.25">
      <c r="A8" s="201"/>
      <c r="B8" s="201"/>
      <c r="C8" s="202"/>
      <c r="D8" s="202"/>
      <c r="E8" s="204"/>
      <c r="F8" s="205"/>
      <c r="G8" s="206"/>
      <c r="H8" s="204"/>
      <c r="I8" s="205"/>
      <c r="J8" s="206"/>
      <c r="K8" s="197"/>
      <c r="L8" s="198"/>
      <c r="M8" s="198"/>
      <c r="N8" s="197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207"/>
      <c r="Z8" s="197"/>
      <c r="AA8" s="198"/>
      <c r="AB8" s="198"/>
      <c r="AC8" s="198"/>
      <c r="AD8" s="198"/>
      <c r="AE8" s="198"/>
      <c r="AF8" s="207"/>
      <c r="AG8" s="197"/>
      <c r="AH8" s="198"/>
      <c r="AI8" s="207"/>
      <c r="AJ8" s="197"/>
      <c r="AK8" s="198"/>
      <c r="AL8" s="198"/>
      <c r="AM8" s="200"/>
      <c r="AN8" s="146"/>
    </row>
    <row r="9" spans="1:45" s="148" customFormat="1" ht="15.75" customHeight="1" x14ac:dyDescent="0.25">
      <c r="A9" s="201"/>
      <c r="B9" s="201"/>
      <c r="C9" s="202"/>
      <c r="D9" s="202"/>
      <c r="E9" s="197"/>
      <c r="F9" s="198"/>
      <c r="G9" s="207"/>
      <c r="H9" s="197"/>
      <c r="I9" s="198"/>
      <c r="J9" s="207"/>
      <c r="K9" s="223">
        <v>2021</v>
      </c>
      <c r="L9" s="224"/>
      <c r="M9" s="225"/>
      <c r="N9" s="208" t="s">
        <v>10</v>
      </c>
      <c r="O9" s="209"/>
      <c r="P9" s="210"/>
      <c r="Q9" s="208" t="s">
        <v>11</v>
      </c>
      <c r="R9" s="209"/>
      <c r="S9" s="210"/>
      <c r="T9" s="208" t="s">
        <v>12</v>
      </c>
      <c r="U9" s="209"/>
      <c r="V9" s="210"/>
      <c r="W9" s="208" t="s">
        <v>13</v>
      </c>
      <c r="X9" s="209"/>
      <c r="Y9" s="210"/>
      <c r="Z9" s="208">
        <v>2021</v>
      </c>
      <c r="AA9" s="209"/>
      <c r="AB9" s="209"/>
      <c r="AC9" s="209"/>
      <c r="AD9" s="209"/>
      <c r="AE9" s="209"/>
      <c r="AF9" s="210"/>
      <c r="AG9" s="208">
        <v>2021</v>
      </c>
      <c r="AH9" s="209"/>
      <c r="AI9" s="210"/>
      <c r="AJ9" s="208">
        <v>2021</v>
      </c>
      <c r="AK9" s="209"/>
      <c r="AL9" s="210"/>
      <c r="AM9" s="149"/>
      <c r="AN9" s="146"/>
    </row>
    <row r="10" spans="1:45" s="151" customFormat="1" ht="18" x14ac:dyDescent="0.25">
      <c r="A10" s="214">
        <v>1</v>
      </c>
      <c r="B10" s="214">
        <v>2</v>
      </c>
      <c r="C10" s="214">
        <v>3</v>
      </c>
      <c r="D10" s="214">
        <v>4</v>
      </c>
      <c r="E10" s="217">
        <v>5</v>
      </c>
      <c r="F10" s="218"/>
      <c r="G10" s="219"/>
      <c r="H10" s="217">
        <v>6</v>
      </c>
      <c r="I10" s="218"/>
      <c r="J10" s="219"/>
      <c r="K10" s="220">
        <v>7</v>
      </c>
      <c r="L10" s="221"/>
      <c r="M10" s="222"/>
      <c r="N10" s="220">
        <v>8</v>
      </c>
      <c r="O10" s="221"/>
      <c r="P10" s="222"/>
      <c r="Q10" s="220">
        <v>9</v>
      </c>
      <c r="R10" s="221"/>
      <c r="S10" s="222"/>
      <c r="T10" s="220">
        <v>10</v>
      </c>
      <c r="U10" s="221"/>
      <c r="V10" s="222"/>
      <c r="W10" s="220">
        <v>11</v>
      </c>
      <c r="X10" s="221"/>
      <c r="Y10" s="222"/>
      <c r="Z10" s="211">
        <v>12</v>
      </c>
      <c r="AA10" s="212"/>
      <c r="AB10" s="212"/>
      <c r="AC10" s="212"/>
      <c r="AD10" s="212"/>
      <c r="AE10" s="212"/>
      <c r="AF10" s="213"/>
      <c r="AG10" s="211">
        <v>13</v>
      </c>
      <c r="AH10" s="212"/>
      <c r="AI10" s="213"/>
      <c r="AJ10" s="211">
        <v>14</v>
      </c>
      <c r="AK10" s="212"/>
      <c r="AL10" s="213"/>
      <c r="AM10" s="150">
        <v>15</v>
      </c>
      <c r="AN10" s="146"/>
    </row>
    <row r="11" spans="1:45" s="151" customFormat="1" ht="87" customHeight="1" x14ac:dyDescent="0.25">
      <c r="A11" s="215"/>
      <c r="B11" s="215"/>
      <c r="C11" s="215"/>
      <c r="D11" s="215"/>
      <c r="E11" s="226" t="s">
        <v>14</v>
      </c>
      <c r="F11" s="227"/>
      <c r="G11" s="216" t="s">
        <v>15</v>
      </c>
      <c r="H11" s="226" t="s">
        <v>14</v>
      </c>
      <c r="I11" s="227"/>
      <c r="J11" s="216" t="s">
        <v>15</v>
      </c>
      <c r="K11" s="226" t="s">
        <v>14</v>
      </c>
      <c r="L11" s="227"/>
      <c r="M11" s="214" t="s">
        <v>15</v>
      </c>
      <c r="N11" s="226" t="s">
        <v>14</v>
      </c>
      <c r="O11" s="227"/>
      <c r="P11" s="214" t="s">
        <v>15</v>
      </c>
      <c r="Q11" s="226" t="s">
        <v>14</v>
      </c>
      <c r="R11" s="227"/>
      <c r="S11" s="214" t="s">
        <v>15</v>
      </c>
      <c r="T11" s="226" t="s">
        <v>14</v>
      </c>
      <c r="U11" s="227"/>
      <c r="V11" s="214" t="s">
        <v>15</v>
      </c>
      <c r="W11" s="226" t="s">
        <v>14</v>
      </c>
      <c r="X11" s="227"/>
      <c r="Y11" s="214" t="s">
        <v>15</v>
      </c>
      <c r="Z11" s="217" t="s">
        <v>16</v>
      </c>
      <c r="AA11" s="219"/>
      <c r="AB11" s="217" t="s">
        <v>48</v>
      </c>
      <c r="AC11" s="219"/>
      <c r="AD11" s="152" t="s">
        <v>17</v>
      </c>
      <c r="AE11" s="217" t="s">
        <v>48</v>
      </c>
      <c r="AF11" s="219"/>
      <c r="AG11" s="217" t="s">
        <v>18</v>
      </c>
      <c r="AH11" s="219"/>
      <c r="AI11" s="152" t="s">
        <v>19</v>
      </c>
      <c r="AJ11" s="217" t="s">
        <v>20</v>
      </c>
      <c r="AK11" s="219"/>
      <c r="AL11" s="152" t="s">
        <v>21</v>
      </c>
      <c r="AM11" s="153"/>
      <c r="AN11" s="146"/>
    </row>
    <row r="12" spans="1:45" s="151" customFormat="1" ht="18" x14ac:dyDescent="0.25">
      <c r="A12" s="216"/>
      <c r="B12" s="216"/>
      <c r="C12" s="216"/>
      <c r="D12" s="216"/>
      <c r="E12" s="228"/>
      <c r="F12" s="229"/>
      <c r="G12" s="230"/>
      <c r="H12" s="228"/>
      <c r="I12" s="229"/>
      <c r="J12" s="230"/>
      <c r="K12" s="228"/>
      <c r="L12" s="229"/>
      <c r="M12" s="216"/>
      <c r="N12" s="228"/>
      <c r="O12" s="229"/>
      <c r="P12" s="216"/>
      <c r="Q12" s="228"/>
      <c r="R12" s="229"/>
      <c r="S12" s="216"/>
      <c r="T12" s="228"/>
      <c r="U12" s="229"/>
      <c r="V12" s="216"/>
      <c r="W12" s="228"/>
      <c r="X12" s="229"/>
      <c r="Y12" s="216"/>
      <c r="Z12" s="228" t="s">
        <v>14</v>
      </c>
      <c r="AA12" s="229"/>
      <c r="AB12" s="228" t="s">
        <v>14</v>
      </c>
      <c r="AC12" s="229"/>
      <c r="AD12" s="154" t="s">
        <v>15</v>
      </c>
      <c r="AE12" s="228" t="s">
        <v>15</v>
      </c>
      <c r="AF12" s="229"/>
      <c r="AG12" s="228" t="s">
        <v>14</v>
      </c>
      <c r="AH12" s="229"/>
      <c r="AI12" s="154" t="s">
        <v>15</v>
      </c>
      <c r="AJ12" s="228" t="s">
        <v>14</v>
      </c>
      <c r="AK12" s="229"/>
      <c r="AL12" s="154" t="s">
        <v>15</v>
      </c>
      <c r="AM12" s="155"/>
      <c r="AN12" s="146"/>
    </row>
    <row r="13" spans="1:45" s="148" customFormat="1" ht="114.75" customHeight="1" x14ac:dyDescent="0.25">
      <c r="A13" s="48">
        <v>1</v>
      </c>
      <c r="B13" s="13" t="s">
        <v>22</v>
      </c>
      <c r="C13" s="177" t="s">
        <v>62</v>
      </c>
      <c r="D13" s="178" t="s">
        <v>150</v>
      </c>
      <c r="E13" s="82">
        <v>100</v>
      </c>
      <c r="F13" s="83" t="s">
        <v>141</v>
      </c>
      <c r="G13" s="58">
        <f>G14+G17+G22+G29+G31+G35</f>
        <v>10540660887</v>
      </c>
      <c r="H13" s="82">
        <v>100</v>
      </c>
      <c r="I13" s="83" t="s">
        <v>141</v>
      </c>
      <c r="J13" s="58">
        <f>J14+J17+J22+J29+J31+J35</f>
        <v>3260618708</v>
      </c>
      <c r="K13" s="82">
        <v>100</v>
      </c>
      <c r="L13" s="83" t="s">
        <v>141</v>
      </c>
      <c r="M13" s="58">
        <f>M14+M17+M22+M29+M31+M35</f>
        <v>3651342668</v>
      </c>
      <c r="N13" s="82">
        <v>25</v>
      </c>
      <c r="O13" s="83" t="str">
        <f>L13</f>
        <v>%</v>
      </c>
      <c r="P13" s="58">
        <f>P14+P17+P22+P29+P31+P35</f>
        <v>630183614</v>
      </c>
      <c r="Q13" s="117">
        <v>25</v>
      </c>
      <c r="R13" s="83" t="str">
        <f>L13</f>
        <v>%</v>
      </c>
      <c r="S13" s="58">
        <f>S14+S17+S22+S29+S31+S35</f>
        <v>1083238975</v>
      </c>
      <c r="T13" s="117">
        <v>25</v>
      </c>
      <c r="U13" s="83" t="str">
        <f>L13</f>
        <v>%</v>
      </c>
      <c r="V13" s="58">
        <f>V14+V17+V22+V29+V31+V35</f>
        <v>677822830</v>
      </c>
      <c r="W13" s="117">
        <v>25</v>
      </c>
      <c r="X13" s="83" t="str">
        <f>O13</f>
        <v>%</v>
      </c>
      <c r="Y13" s="58">
        <f>Y14+Y17+Y22+Y29+Y31+Y35</f>
        <v>773994790</v>
      </c>
      <c r="Z13" s="140">
        <f>SUM(N13,Q13,T13,W13)</f>
        <v>100</v>
      </c>
      <c r="AA13" s="101" t="str">
        <f>L13</f>
        <v>%</v>
      </c>
      <c r="AB13" s="68">
        <f>Z13/K13*100</f>
        <v>100</v>
      </c>
      <c r="AC13" s="71" t="s">
        <v>141</v>
      </c>
      <c r="AD13" s="75">
        <f>SUM(P13,S13,V13,Y13)</f>
        <v>3165240209</v>
      </c>
      <c r="AE13" s="70">
        <f>AD13/M13*100</f>
        <v>86.687021646580774</v>
      </c>
      <c r="AF13" s="71" t="s">
        <v>141</v>
      </c>
      <c r="AG13" s="140">
        <f>SUM(H13,Z13)</f>
        <v>200</v>
      </c>
      <c r="AH13" s="101" t="str">
        <f>O13</f>
        <v>%</v>
      </c>
      <c r="AI13" s="75">
        <f>SUM(J13,AD13)</f>
        <v>6425858917</v>
      </c>
      <c r="AJ13" s="70"/>
      <c r="AK13" s="71" t="s">
        <v>141</v>
      </c>
      <c r="AL13" s="70"/>
      <c r="AM13" s="20" t="s">
        <v>45</v>
      </c>
      <c r="AN13" s="146"/>
      <c r="AP13" s="156">
        <f t="shared" ref="AP13:AP21" si="0">P13+S13+V13+Y13</f>
        <v>3165240209</v>
      </c>
    </row>
    <row r="14" spans="1:45" s="148" customFormat="1" ht="94.5" x14ac:dyDescent="0.25">
      <c r="A14" s="48">
        <v>2</v>
      </c>
      <c r="B14" s="49" t="s">
        <v>23</v>
      </c>
      <c r="C14" s="179" t="s">
        <v>60</v>
      </c>
      <c r="D14" s="14" t="s">
        <v>267</v>
      </c>
      <c r="E14" s="82">
        <v>100</v>
      </c>
      <c r="F14" s="83" t="s">
        <v>141</v>
      </c>
      <c r="G14" s="40">
        <f>SUM(G15:G16)</f>
        <v>26594400</v>
      </c>
      <c r="H14" s="82">
        <v>100</v>
      </c>
      <c r="I14" s="83" t="s">
        <v>141</v>
      </c>
      <c r="J14" s="40">
        <f>SUM(J15:J16)</f>
        <v>2350000</v>
      </c>
      <c r="K14" s="43">
        <v>100</v>
      </c>
      <c r="L14" s="44" t="s">
        <v>141</v>
      </c>
      <c r="M14" s="40">
        <f>SUM(M15:M16)</f>
        <v>9500000</v>
      </c>
      <c r="N14" s="45">
        <f>(N15+N16)/(K15+K16)*100</f>
        <v>6.666666666666667</v>
      </c>
      <c r="O14" s="83" t="str">
        <f t="shared" ref="O14:O76" si="1">L14</f>
        <v>%</v>
      </c>
      <c r="P14" s="40">
        <f>SUM(P15:P16)</f>
        <v>0</v>
      </c>
      <c r="Q14" s="45">
        <f>(Q15+Q16)/(K15+K16)*100</f>
        <v>20</v>
      </c>
      <c r="R14" s="83" t="str">
        <f t="shared" ref="R14:R76" si="2">L14</f>
        <v>%</v>
      </c>
      <c r="S14" s="40">
        <f>SUM(S15:S16)</f>
        <v>2617700</v>
      </c>
      <c r="T14" s="45">
        <f>(T15+T16)/(K15+K16)*100</f>
        <v>20</v>
      </c>
      <c r="U14" s="83" t="str">
        <f t="shared" ref="U14:U77" si="3">L14</f>
        <v>%</v>
      </c>
      <c r="V14" s="40">
        <f>SUM(V15:V16)</f>
        <v>0</v>
      </c>
      <c r="W14" s="45">
        <f>(W15+W16)/(K15+K16)*100</f>
        <v>53.333333333333336</v>
      </c>
      <c r="X14" s="83" t="str">
        <f t="shared" ref="X14:X77" si="4">O14</f>
        <v>%</v>
      </c>
      <c r="Y14" s="40">
        <f>SUM(Y15:Y16)</f>
        <v>9500000</v>
      </c>
      <c r="Z14" s="163">
        <f>SUM(N14,Q14,T14,W14)</f>
        <v>100</v>
      </c>
      <c r="AA14" s="101" t="str">
        <f t="shared" ref="AA14:AA76" si="5">L14</f>
        <v>%</v>
      </c>
      <c r="AB14" s="70">
        <f t="shared" ref="AB14:AB76" si="6">Z14/K14*100</f>
        <v>100</v>
      </c>
      <c r="AC14" s="71" t="s">
        <v>141</v>
      </c>
      <c r="AD14" s="73">
        <f t="shared" ref="AD14:AD76" si="7">SUM(P14,S14,V14,Y14)</f>
        <v>12117700</v>
      </c>
      <c r="AE14" s="74">
        <f t="shared" ref="AE14:AE76" si="8">AD14/M14*100</f>
        <v>127.55473684210526</v>
      </c>
      <c r="AF14" s="78" t="s">
        <v>141</v>
      </c>
      <c r="AG14" s="144">
        <f t="shared" ref="AG14:AG76" si="9">SUM(H14,Z14)</f>
        <v>200</v>
      </c>
      <c r="AH14" s="105" t="str">
        <f t="shared" ref="AH14:AH76" si="10">O14</f>
        <v>%</v>
      </c>
      <c r="AI14" s="73">
        <f t="shared" ref="AI14:AI76" si="11">SUM(J14,AD14)</f>
        <v>14467700</v>
      </c>
      <c r="AJ14" s="74"/>
      <c r="AK14" s="78" t="s">
        <v>141</v>
      </c>
      <c r="AL14" s="74"/>
      <c r="AM14" s="20"/>
      <c r="AN14" s="146"/>
      <c r="AP14" s="156"/>
    </row>
    <row r="15" spans="1:45" s="148" customFormat="1" ht="60" x14ac:dyDescent="0.25">
      <c r="A15" s="12"/>
      <c r="B15" s="13"/>
      <c r="C15" s="180" t="s">
        <v>61</v>
      </c>
      <c r="D15" s="26" t="s">
        <v>205</v>
      </c>
      <c r="E15" s="15">
        <f>5*3</f>
        <v>15</v>
      </c>
      <c r="F15" s="16" t="s">
        <v>129</v>
      </c>
      <c r="G15" s="19">
        <f>8000000+6398100+8000000</f>
        <v>22398100</v>
      </c>
      <c r="H15" s="15">
        <v>5</v>
      </c>
      <c r="I15" s="16" t="s">
        <v>129</v>
      </c>
      <c r="J15" s="19">
        <v>2350000</v>
      </c>
      <c r="K15" s="15">
        <v>5</v>
      </c>
      <c r="L15" s="16" t="s">
        <v>129</v>
      </c>
      <c r="M15" s="19">
        <v>8000000</v>
      </c>
      <c r="N15" s="15">
        <v>0</v>
      </c>
      <c r="O15" s="115" t="str">
        <f t="shared" si="1"/>
        <v>Dok</v>
      </c>
      <c r="P15" s="19">
        <v>0</v>
      </c>
      <c r="Q15" s="15">
        <v>1</v>
      </c>
      <c r="R15" s="115" t="str">
        <f t="shared" si="2"/>
        <v>Dok</v>
      </c>
      <c r="S15" s="19">
        <v>2617700</v>
      </c>
      <c r="T15" s="15">
        <v>1</v>
      </c>
      <c r="U15" s="115" t="str">
        <f t="shared" si="3"/>
        <v>Dok</v>
      </c>
      <c r="V15" s="19">
        <v>0</v>
      </c>
      <c r="W15" s="15">
        <v>3</v>
      </c>
      <c r="X15" s="115" t="str">
        <f t="shared" si="4"/>
        <v>Dok</v>
      </c>
      <c r="Y15" s="19">
        <v>8000000</v>
      </c>
      <c r="Z15" s="141">
        <f t="shared" ref="Z14:Z76" si="12">SUM(N15,Q15,T15,W15)</f>
        <v>5</v>
      </c>
      <c r="AA15" s="102" t="str">
        <f t="shared" si="5"/>
        <v>Dok</v>
      </c>
      <c r="AB15" s="67">
        <f t="shared" si="6"/>
        <v>100</v>
      </c>
      <c r="AC15" s="32" t="s">
        <v>141</v>
      </c>
      <c r="AD15" s="38">
        <f t="shared" si="7"/>
        <v>10617700</v>
      </c>
      <c r="AE15" s="66">
        <f t="shared" si="8"/>
        <v>132.72125</v>
      </c>
      <c r="AF15" s="32" t="s">
        <v>141</v>
      </c>
      <c r="AG15" s="141">
        <f t="shared" si="9"/>
        <v>10</v>
      </c>
      <c r="AH15" s="102" t="str">
        <f t="shared" si="10"/>
        <v>Dok</v>
      </c>
      <c r="AI15" s="38">
        <f t="shared" si="11"/>
        <v>12967700</v>
      </c>
      <c r="AJ15" s="66"/>
      <c r="AK15" s="32" t="s">
        <v>141</v>
      </c>
      <c r="AL15" s="66"/>
      <c r="AM15" s="161"/>
      <c r="AN15" s="146"/>
      <c r="AP15" s="156"/>
    </row>
    <row r="16" spans="1:45" s="148" customFormat="1" ht="60" x14ac:dyDescent="0.25">
      <c r="A16" s="12"/>
      <c r="B16" s="13"/>
      <c r="C16" s="52" t="s">
        <v>66</v>
      </c>
      <c r="D16" s="26" t="s">
        <v>206</v>
      </c>
      <c r="E16" s="15">
        <f>10*3</f>
        <v>30</v>
      </c>
      <c r="F16" s="16" t="s">
        <v>129</v>
      </c>
      <c r="G16" s="19">
        <f>1500000+1196300+1500000</f>
        <v>4196300</v>
      </c>
      <c r="H16" s="15">
        <v>10</v>
      </c>
      <c r="I16" s="16" t="s">
        <v>129</v>
      </c>
      <c r="J16" s="19"/>
      <c r="K16" s="15">
        <v>10</v>
      </c>
      <c r="L16" s="16" t="s">
        <v>129</v>
      </c>
      <c r="M16" s="19">
        <v>1500000</v>
      </c>
      <c r="N16" s="15">
        <v>1</v>
      </c>
      <c r="O16" s="115" t="str">
        <f t="shared" si="1"/>
        <v>Dok</v>
      </c>
      <c r="P16" s="19">
        <v>0</v>
      </c>
      <c r="Q16" s="15">
        <v>2</v>
      </c>
      <c r="R16" s="115" t="str">
        <f t="shared" si="2"/>
        <v>Dok</v>
      </c>
      <c r="S16" s="19">
        <v>0</v>
      </c>
      <c r="T16" s="15">
        <v>2</v>
      </c>
      <c r="U16" s="115" t="str">
        <f t="shared" si="3"/>
        <v>Dok</v>
      </c>
      <c r="V16" s="19">
        <v>0</v>
      </c>
      <c r="W16" s="15">
        <v>5</v>
      </c>
      <c r="X16" s="115" t="str">
        <f t="shared" si="4"/>
        <v>Dok</v>
      </c>
      <c r="Y16" s="19">
        <v>1500000</v>
      </c>
      <c r="Z16" s="141">
        <f t="shared" si="12"/>
        <v>10</v>
      </c>
      <c r="AA16" s="102" t="str">
        <f t="shared" si="5"/>
        <v>Dok</v>
      </c>
      <c r="AB16" s="67">
        <f t="shared" si="6"/>
        <v>100</v>
      </c>
      <c r="AC16" s="32" t="s">
        <v>141</v>
      </c>
      <c r="AD16" s="38">
        <f t="shared" si="7"/>
        <v>1500000</v>
      </c>
      <c r="AE16" s="66">
        <f t="shared" si="8"/>
        <v>100</v>
      </c>
      <c r="AF16" s="32" t="s">
        <v>141</v>
      </c>
      <c r="AG16" s="141">
        <f t="shared" si="9"/>
        <v>20</v>
      </c>
      <c r="AH16" s="102" t="str">
        <f t="shared" si="10"/>
        <v>Dok</v>
      </c>
      <c r="AI16" s="38">
        <f t="shared" si="11"/>
        <v>1500000</v>
      </c>
      <c r="AJ16" s="66"/>
      <c r="AK16" s="32" t="s">
        <v>141</v>
      </c>
      <c r="AL16" s="66"/>
      <c r="AM16" s="161"/>
      <c r="AN16" s="146"/>
      <c r="AP16" s="156"/>
    </row>
    <row r="17" spans="1:42" s="148" customFormat="1" ht="63" x14ac:dyDescent="0.25">
      <c r="A17" s="274"/>
      <c r="B17" s="161"/>
      <c r="C17" s="49" t="s">
        <v>67</v>
      </c>
      <c r="D17" s="14" t="s">
        <v>207</v>
      </c>
      <c r="E17" s="43">
        <v>100</v>
      </c>
      <c r="F17" s="44" t="s">
        <v>141</v>
      </c>
      <c r="G17" s="39">
        <f>SUM(G18:G21)</f>
        <v>9295861668</v>
      </c>
      <c r="H17" s="43">
        <v>100</v>
      </c>
      <c r="I17" s="44" t="s">
        <v>141</v>
      </c>
      <c r="J17" s="39">
        <f>SUM(J18:J21)</f>
        <v>2868779482</v>
      </c>
      <c r="K17" s="98">
        <v>100</v>
      </c>
      <c r="L17" s="95" t="s">
        <v>141</v>
      </c>
      <c r="M17" s="39">
        <f>SUM(M18:M21)</f>
        <v>3224343943</v>
      </c>
      <c r="N17" s="98">
        <v>25</v>
      </c>
      <c r="O17" s="83" t="str">
        <f t="shared" si="1"/>
        <v>%</v>
      </c>
      <c r="P17" s="39">
        <f>SUM(P18:P21)</f>
        <v>607543614</v>
      </c>
      <c r="Q17" s="98">
        <v>25</v>
      </c>
      <c r="R17" s="83" t="str">
        <f t="shared" si="2"/>
        <v>%</v>
      </c>
      <c r="S17" s="39">
        <f>SUM(S18:S21)</f>
        <v>989679729</v>
      </c>
      <c r="T17" s="98">
        <v>25</v>
      </c>
      <c r="U17" s="83" t="str">
        <f t="shared" si="3"/>
        <v>%</v>
      </c>
      <c r="V17" s="39">
        <f>SUM(V18:V21)</f>
        <v>622495899</v>
      </c>
      <c r="W17" s="98">
        <v>25</v>
      </c>
      <c r="X17" s="83" t="str">
        <f t="shared" si="4"/>
        <v>%</v>
      </c>
      <c r="Y17" s="39">
        <f>SUM(Y18:Y21)</f>
        <v>546544319</v>
      </c>
      <c r="Z17" s="140">
        <f t="shared" si="12"/>
        <v>100</v>
      </c>
      <c r="AA17" s="101" t="str">
        <f t="shared" si="5"/>
        <v>%</v>
      </c>
      <c r="AB17" s="70">
        <f t="shared" si="6"/>
        <v>100</v>
      </c>
      <c r="AC17" s="71" t="s">
        <v>141</v>
      </c>
      <c r="AD17" s="75">
        <f t="shared" si="7"/>
        <v>2766263561</v>
      </c>
      <c r="AE17" s="70">
        <f t="shared" si="8"/>
        <v>85.793067051842115</v>
      </c>
      <c r="AF17" s="71" t="s">
        <v>141</v>
      </c>
      <c r="AG17" s="140">
        <f t="shared" si="9"/>
        <v>200</v>
      </c>
      <c r="AH17" s="101" t="str">
        <f t="shared" si="10"/>
        <v>%</v>
      </c>
      <c r="AI17" s="75">
        <f t="shared" si="11"/>
        <v>5635043043</v>
      </c>
      <c r="AJ17" s="70"/>
      <c r="AK17" s="71" t="s">
        <v>141</v>
      </c>
      <c r="AL17" s="70"/>
      <c r="AM17" s="161"/>
      <c r="AN17" s="146"/>
      <c r="AP17" s="156"/>
    </row>
    <row r="18" spans="1:42" s="148" customFormat="1" ht="45" x14ac:dyDescent="0.25">
      <c r="A18" s="12"/>
      <c r="B18" s="13"/>
      <c r="C18" s="26" t="s">
        <v>68</v>
      </c>
      <c r="D18" s="22" t="s">
        <v>208</v>
      </c>
      <c r="E18" s="51">
        <v>25</v>
      </c>
      <c r="F18" s="23" t="s">
        <v>261</v>
      </c>
      <c r="G18" s="25">
        <f>3219343943+2843166082+3219343943</f>
        <v>9281853968</v>
      </c>
      <c r="H18" s="41">
        <v>27</v>
      </c>
      <c r="I18" s="23" t="s">
        <v>261</v>
      </c>
      <c r="J18" s="24">
        <v>2866534482</v>
      </c>
      <c r="K18" s="15">
        <v>25</v>
      </c>
      <c r="L18" s="16" t="s">
        <v>209</v>
      </c>
      <c r="M18" s="25">
        <v>3219343943</v>
      </c>
      <c r="N18" s="15">
        <v>25</v>
      </c>
      <c r="O18" s="115" t="str">
        <f t="shared" si="1"/>
        <v>orang</v>
      </c>
      <c r="P18" s="25">
        <v>605726114</v>
      </c>
      <c r="Q18" s="181">
        <v>25</v>
      </c>
      <c r="R18" s="115" t="str">
        <f t="shared" si="2"/>
        <v>orang</v>
      </c>
      <c r="S18" s="25">
        <f>1594955843-P18</f>
        <v>989229729</v>
      </c>
      <c r="T18" s="181">
        <v>25</v>
      </c>
      <c r="U18" s="115" t="str">
        <f t="shared" si="3"/>
        <v>orang</v>
      </c>
      <c r="V18" s="25">
        <v>622028399</v>
      </c>
      <c r="W18" s="181">
        <v>25</v>
      </c>
      <c r="X18" s="115" t="str">
        <f t="shared" si="4"/>
        <v>orang</v>
      </c>
      <c r="Y18" s="25">
        <v>544279319</v>
      </c>
      <c r="Z18" s="141">
        <f>AVERAGE(N18,Q18,T18,W18)</f>
        <v>25</v>
      </c>
      <c r="AA18" s="103" t="str">
        <f t="shared" si="5"/>
        <v>orang</v>
      </c>
      <c r="AB18" s="67">
        <f t="shared" si="6"/>
        <v>100</v>
      </c>
      <c r="AC18" s="32" t="s">
        <v>141</v>
      </c>
      <c r="AD18" s="38">
        <f t="shared" si="7"/>
        <v>2761263561</v>
      </c>
      <c r="AE18" s="66">
        <f t="shared" si="8"/>
        <v>85.771002101343356</v>
      </c>
      <c r="AF18" s="32" t="s">
        <v>141</v>
      </c>
      <c r="AG18" s="141">
        <f t="shared" si="9"/>
        <v>52</v>
      </c>
      <c r="AH18" s="103" t="str">
        <f t="shared" si="10"/>
        <v>orang</v>
      </c>
      <c r="AI18" s="38">
        <f t="shared" si="11"/>
        <v>5627798043</v>
      </c>
      <c r="AJ18" s="66"/>
      <c r="AK18" s="32" t="s">
        <v>141</v>
      </c>
      <c r="AL18" s="66"/>
      <c r="AM18" s="27"/>
      <c r="AN18" s="146"/>
      <c r="AP18" s="156">
        <f t="shared" si="0"/>
        <v>2761263561</v>
      </c>
    </row>
    <row r="19" spans="1:42" s="148" customFormat="1" ht="60" x14ac:dyDescent="0.25">
      <c r="A19" s="12"/>
      <c r="B19" s="13"/>
      <c r="C19" s="90" t="s">
        <v>69</v>
      </c>
      <c r="D19" s="22" t="s">
        <v>210</v>
      </c>
      <c r="E19" s="15">
        <v>1</v>
      </c>
      <c r="F19" s="16" t="s">
        <v>129</v>
      </c>
      <c r="G19" s="19">
        <f>2000000+1602500+2000000</f>
        <v>5602500</v>
      </c>
      <c r="H19" s="15">
        <v>1</v>
      </c>
      <c r="I19" s="16" t="s">
        <v>129</v>
      </c>
      <c r="J19" s="18">
        <v>2245000</v>
      </c>
      <c r="K19" s="15">
        <v>1</v>
      </c>
      <c r="L19" s="16" t="s">
        <v>129</v>
      </c>
      <c r="M19" s="19">
        <v>2000000</v>
      </c>
      <c r="N19" s="15">
        <v>0</v>
      </c>
      <c r="O19" s="115" t="str">
        <f t="shared" si="1"/>
        <v>Dok</v>
      </c>
      <c r="P19" s="19">
        <v>1550000</v>
      </c>
      <c r="Q19" s="15">
        <v>0</v>
      </c>
      <c r="R19" s="115" t="str">
        <f t="shared" si="2"/>
        <v>Dok</v>
      </c>
      <c r="S19" s="19">
        <f>2000000-P19</f>
        <v>450000</v>
      </c>
      <c r="T19" s="15">
        <v>0</v>
      </c>
      <c r="U19" s="115" t="str">
        <f t="shared" si="3"/>
        <v>Dok</v>
      </c>
      <c r="V19" s="19">
        <v>0</v>
      </c>
      <c r="W19" s="15">
        <v>1</v>
      </c>
      <c r="X19" s="115" t="str">
        <f t="shared" si="4"/>
        <v>Dok</v>
      </c>
      <c r="Y19" s="19">
        <v>0</v>
      </c>
      <c r="Z19" s="141">
        <f t="shared" si="12"/>
        <v>1</v>
      </c>
      <c r="AA19" s="102" t="str">
        <f t="shared" si="5"/>
        <v>Dok</v>
      </c>
      <c r="AB19" s="67">
        <f t="shared" si="6"/>
        <v>100</v>
      </c>
      <c r="AC19" s="32" t="s">
        <v>141</v>
      </c>
      <c r="AD19" s="38">
        <f t="shared" si="7"/>
        <v>2000000</v>
      </c>
      <c r="AE19" s="66">
        <f t="shared" si="8"/>
        <v>100</v>
      </c>
      <c r="AF19" s="32" t="s">
        <v>141</v>
      </c>
      <c r="AG19" s="141">
        <f t="shared" si="9"/>
        <v>2</v>
      </c>
      <c r="AH19" s="102" t="str">
        <f t="shared" si="10"/>
        <v>Dok</v>
      </c>
      <c r="AI19" s="38">
        <f t="shared" si="11"/>
        <v>4245000</v>
      </c>
      <c r="AJ19" s="66"/>
      <c r="AK19" s="32" t="s">
        <v>141</v>
      </c>
      <c r="AL19" s="66"/>
      <c r="AM19" s="161"/>
      <c r="AN19" s="146"/>
      <c r="AP19" s="156">
        <f t="shared" si="0"/>
        <v>2000000</v>
      </c>
    </row>
    <row r="20" spans="1:42" s="148" customFormat="1" ht="75" x14ac:dyDescent="0.25">
      <c r="A20" s="12"/>
      <c r="B20" s="13"/>
      <c r="C20" s="26" t="s">
        <v>70</v>
      </c>
      <c r="D20" s="22" t="s">
        <v>211</v>
      </c>
      <c r="E20" s="15">
        <v>12</v>
      </c>
      <c r="F20" s="47" t="s">
        <v>262</v>
      </c>
      <c r="G20" s="19">
        <f>1500000+1202400+1500000</f>
        <v>4202400</v>
      </c>
      <c r="H20" s="15">
        <v>12</v>
      </c>
      <c r="I20" s="47" t="s">
        <v>262</v>
      </c>
      <c r="J20" s="18"/>
      <c r="K20" s="15">
        <v>12</v>
      </c>
      <c r="L20" s="47" t="s">
        <v>262</v>
      </c>
      <c r="M20" s="19">
        <v>1500000</v>
      </c>
      <c r="N20" s="15">
        <v>3</v>
      </c>
      <c r="O20" s="115" t="str">
        <f t="shared" si="1"/>
        <v xml:space="preserve">lap </v>
      </c>
      <c r="P20" s="19">
        <v>267500</v>
      </c>
      <c r="Q20" s="15">
        <v>3</v>
      </c>
      <c r="R20" s="115" t="str">
        <f t="shared" si="2"/>
        <v xml:space="preserve">lap </v>
      </c>
      <c r="S20" s="19">
        <v>0</v>
      </c>
      <c r="T20" s="15">
        <v>3</v>
      </c>
      <c r="U20" s="115" t="str">
        <f t="shared" si="3"/>
        <v xml:space="preserve">lap </v>
      </c>
      <c r="V20" s="19">
        <v>467500</v>
      </c>
      <c r="W20" s="15">
        <v>3</v>
      </c>
      <c r="X20" s="115" t="str">
        <f t="shared" si="4"/>
        <v xml:space="preserve">lap </v>
      </c>
      <c r="Y20" s="19">
        <v>765000</v>
      </c>
      <c r="Z20" s="141">
        <f t="shared" si="12"/>
        <v>12</v>
      </c>
      <c r="AA20" s="103" t="str">
        <f t="shared" si="5"/>
        <v xml:space="preserve">lap </v>
      </c>
      <c r="AB20" s="67">
        <f t="shared" si="6"/>
        <v>100</v>
      </c>
      <c r="AC20" s="32" t="s">
        <v>141</v>
      </c>
      <c r="AD20" s="38">
        <f t="shared" si="7"/>
        <v>1500000</v>
      </c>
      <c r="AE20" s="66">
        <f t="shared" si="8"/>
        <v>100</v>
      </c>
      <c r="AF20" s="32" t="s">
        <v>141</v>
      </c>
      <c r="AG20" s="141">
        <f t="shared" si="9"/>
        <v>24</v>
      </c>
      <c r="AH20" s="103" t="str">
        <f t="shared" si="10"/>
        <v xml:space="preserve">lap </v>
      </c>
      <c r="AI20" s="38">
        <f t="shared" si="11"/>
        <v>1500000</v>
      </c>
      <c r="AJ20" s="66"/>
      <c r="AK20" s="32" t="s">
        <v>141</v>
      </c>
      <c r="AL20" s="66"/>
      <c r="AM20" s="161"/>
      <c r="AN20" s="146"/>
      <c r="AP20" s="156">
        <f t="shared" si="0"/>
        <v>1500000</v>
      </c>
    </row>
    <row r="21" spans="1:42" s="148" customFormat="1" ht="60" x14ac:dyDescent="0.25">
      <c r="A21" s="12"/>
      <c r="B21" s="13"/>
      <c r="C21" s="22" t="s">
        <v>71</v>
      </c>
      <c r="D21" s="22" t="s">
        <v>212</v>
      </c>
      <c r="E21" s="15">
        <v>1</v>
      </c>
      <c r="F21" s="47" t="s">
        <v>262</v>
      </c>
      <c r="G21" s="19">
        <f>1500000+1202800+1500000</f>
        <v>4202800</v>
      </c>
      <c r="H21" s="15">
        <v>1</v>
      </c>
      <c r="I21" s="47" t="s">
        <v>262</v>
      </c>
      <c r="J21" s="18"/>
      <c r="K21" s="15">
        <v>1</v>
      </c>
      <c r="L21" s="47" t="s">
        <v>262</v>
      </c>
      <c r="M21" s="19">
        <v>1500000</v>
      </c>
      <c r="N21" s="15">
        <v>0</v>
      </c>
      <c r="O21" s="115" t="str">
        <f t="shared" si="1"/>
        <v xml:space="preserve">lap </v>
      </c>
      <c r="P21" s="19">
        <v>0</v>
      </c>
      <c r="Q21" s="181">
        <v>1</v>
      </c>
      <c r="R21" s="115" t="str">
        <f t="shared" si="2"/>
        <v xml:space="preserve">lap </v>
      </c>
      <c r="S21" s="19">
        <v>0</v>
      </c>
      <c r="T21" s="181">
        <v>0</v>
      </c>
      <c r="U21" s="115" t="str">
        <f t="shared" si="3"/>
        <v xml:space="preserve">lap </v>
      </c>
      <c r="V21" s="19">
        <v>0</v>
      </c>
      <c r="W21" s="181">
        <v>0</v>
      </c>
      <c r="X21" s="115" t="str">
        <f t="shared" si="4"/>
        <v xml:space="preserve">lap </v>
      </c>
      <c r="Y21" s="19">
        <v>1500000</v>
      </c>
      <c r="Z21" s="141">
        <f t="shared" si="12"/>
        <v>1</v>
      </c>
      <c r="AA21" s="103" t="str">
        <f t="shared" si="5"/>
        <v xml:space="preserve">lap </v>
      </c>
      <c r="AB21" s="67">
        <f t="shared" si="6"/>
        <v>100</v>
      </c>
      <c r="AC21" s="32" t="s">
        <v>141</v>
      </c>
      <c r="AD21" s="38">
        <f t="shared" si="7"/>
        <v>1500000</v>
      </c>
      <c r="AE21" s="66">
        <f t="shared" si="8"/>
        <v>100</v>
      </c>
      <c r="AF21" s="32" t="s">
        <v>141</v>
      </c>
      <c r="AG21" s="141">
        <f t="shared" si="9"/>
        <v>2</v>
      </c>
      <c r="AH21" s="103" t="str">
        <f t="shared" si="10"/>
        <v xml:space="preserve">lap </v>
      </c>
      <c r="AI21" s="38">
        <f t="shared" si="11"/>
        <v>1500000</v>
      </c>
      <c r="AJ21" s="66"/>
      <c r="AK21" s="32" t="s">
        <v>141</v>
      </c>
      <c r="AL21" s="66"/>
      <c r="AM21" s="161"/>
      <c r="AN21" s="146"/>
      <c r="AP21" s="156">
        <f t="shared" si="0"/>
        <v>1500000</v>
      </c>
    </row>
    <row r="22" spans="1:42" s="148" customFormat="1" ht="66.75" customHeight="1" x14ac:dyDescent="0.25">
      <c r="A22" s="12"/>
      <c r="B22" s="13"/>
      <c r="C22" s="91" t="s">
        <v>130</v>
      </c>
      <c r="D22" s="14" t="s">
        <v>213</v>
      </c>
      <c r="E22" s="98">
        <v>100</v>
      </c>
      <c r="F22" s="95" t="s">
        <v>141</v>
      </c>
      <c r="G22" s="40">
        <f>SUM(G23:G28)</f>
        <v>550566400</v>
      </c>
      <c r="H22" s="98">
        <v>100</v>
      </c>
      <c r="I22" s="95" t="s">
        <v>141</v>
      </c>
      <c r="J22" s="40">
        <f>SUM(J23:J28)</f>
        <v>175549868</v>
      </c>
      <c r="K22" s="98">
        <v>100</v>
      </c>
      <c r="L22" s="95" t="s">
        <v>141</v>
      </c>
      <c r="M22" s="40">
        <f>SUM(M23:M28)</f>
        <v>193897725</v>
      </c>
      <c r="N22" s="98">
        <v>25</v>
      </c>
      <c r="O22" s="83" t="str">
        <f t="shared" si="1"/>
        <v>%</v>
      </c>
      <c r="P22" s="40">
        <f>SUM(P23:P28)</f>
        <v>13450000</v>
      </c>
      <c r="Q22" s="110">
        <v>25</v>
      </c>
      <c r="R22" s="83" t="str">
        <f t="shared" si="2"/>
        <v>%</v>
      </c>
      <c r="S22" s="40">
        <f>SUM(S23:S28)</f>
        <v>37925700</v>
      </c>
      <c r="T22" s="110">
        <v>25</v>
      </c>
      <c r="U22" s="83" t="str">
        <f t="shared" si="3"/>
        <v>%</v>
      </c>
      <c r="V22" s="40">
        <f>SUM(V23:V28)</f>
        <v>33125157</v>
      </c>
      <c r="W22" s="110">
        <v>25</v>
      </c>
      <c r="X22" s="83" t="str">
        <f t="shared" si="4"/>
        <v>%</v>
      </c>
      <c r="Y22" s="40">
        <f>SUM(Y23:Y28)</f>
        <v>94087868</v>
      </c>
      <c r="Z22" s="140">
        <f t="shared" si="12"/>
        <v>100</v>
      </c>
      <c r="AA22" s="105" t="str">
        <f t="shared" si="5"/>
        <v>%</v>
      </c>
      <c r="AB22" s="68">
        <f t="shared" si="6"/>
        <v>100</v>
      </c>
      <c r="AC22" s="71" t="s">
        <v>141</v>
      </c>
      <c r="AD22" s="75">
        <f t="shared" si="7"/>
        <v>178588725</v>
      </c>
      <c r="AE22" s="70">
        <f t="shared" si="8"/>
        <v>92.104600505240583</v>
      </c>
      <c r="AF22" s="71" t="s">
        <v>141</v>
      </c>
      <c r="AG22" s="140">
        <f t="shared" si="9"/>
        <v>200</v>
      </c>
      <c r="AH22" s="105" t="str">
        <f t="shared" si="10"/>
        <v>%</v>
      </c>
      <c r="AI22" s="75">
        <f t="shared" si="11"/>
        <v>354138593</v>
      </c>
      <c r="AJ22" s="70"/>
      <c r="AK22" s="71" t="s">
        <v>141</v>
      </c>
      <c r="AL22" s="70"/>
      <c r="AM22" s="161"/>
      <c r="AN22" s="146"/>
      <c r="AP22" s="156"/>
    </row>
    <row r="23" spans="1:42" s="148" customFormat="1" ht="75" x14ac:dyDescent="0.25">
      <c r="A23" s="12"/>
      <c r="B23" s="13"/>
      <c r="C23" s="22" t="s">
        <v>72</v>
      </c>
      <c r="D23" s="22" t="s">
        <v>214</v>
      </c>
      <c r="E23" s="41">
        <v>12</v>
      </c>
      <c r="F23" s="23" t="s">
        <v>131</v>
      </c>
      <c r="G23" s="19">
        <f>2075000+1290600+2075000</f>
        <v>5440600</v>
      </c>
      <c r="H23" s="41">
        <v>12</v>
      </c>
      <c r="I23" s="23" t="s">
        <v>131</v>
      </c>
      <c r="J23" s="19">
        <v>0</v>
      </c>
      <c r="K23" s="41">
        <v>12</v>
      </c>
      <c r="L23" s="23" t="s">
        <v>131</v>
      </c>
      <c r="M23" s="19">
        <v>2075000</v>
      </c>
      <c r="N23" s="41">
        <v>3</v>
      </c>
      <c r="O23" s="115" t="str">
        <f t="shared" si="1"/>
        <v>Bln</v>
      </c>
      <c r="P23" s="19">
        <v>0</v>
      </c>
      <c r="Q23" s="41">
        <v>3</v>
      </c>
      <c r="R23" s="115" t="str">
        <f t="shared" si="2"/>
        <v>Bln</v>
      </c>
      <c r="S23" s="19">
        <v>2075000</v>
      </c>
      <c r="T23" s="41">
        <v>3</v>
      </c>
      <c r="U23" s="115" t="str">
        <f t="shared" si="3"/>
        <v>Bln</v>
      </c>
      <c r="V23" s="19">
        <v>0</v>
      </c>
      <c r="W23" s="41">
        <v>3</v>
      </c>
      <c r="X23" s="115" t="str">
        <f t="shared" si="4"/>
        <v>Bln</v>
      </c>
      <c r="Y23" s="19">
        <v>0</v>
      </c>
      <c r="Z23" s="141">
        <f t="shared" si="12"/>
        <v>12</v>
      </c>
      <c r="AA23" s="103" t="str">
        <f t="shared" si="5"/>
        <v>Bln</v>
      </c>
      <c r="AB23" s="67">
        <f t="shared" si="6"/>
        <v>100</v>
      </c>
      <c r="AC23" s="32" t="s">
        <v>141</v>
      </c>
      <c r="AD23" s="38">
        <f t="shared" si="7"/>
        <v>2075000</v>
      </c>
      <c r="AE23" s="66">
        <f t="shared" si="8"/>
        <v>100</v>
      </c>
      <c r="AF23" s="32" t="s">
        <v>141</v>
      </c>
      <c r="AG23" s="141">
        <f t="shared" si="9"/>
        <v>24</v>
      </c>
      <c r="AH23" s="103" t="str">
        <f t="shared" si="10"/>
        <v>Bln</v>
      </c>
      <c r="AI23" s="38">
        <f t="shared" si="11"/>
        <v>2075000</v>
      </c>
      <c r="AJ23" s="66"/>
      <c r="AK23" s="32" t="s">
        <v>141</v>
      </c>
      <c r="AL23" s="66"/>
      <c r="AM23" s="161"/>
      <c r="AN23" s="146"/>
      <c r="AP23" s="156"/>
    </row>
    <row r="24" spans="1:42" s="148" customFormat="1" ht="63.75" customHeight="1" x14ac:dyDescent="0.25">
      <c r="A24" s="12"/>
      <c r="B24" s="13"/>
      <c r="C24" s="22" t="s">
        <v>74</v>
      </c>
      <c r="D24" s="22" t="s">
        <v>215</v>
      </c>
      <c r="E24" s="41">
        <v>12</v>
      </c>
      <c r="F24" s="23" t="s">
        <v>131</v>
      </c>
      <c r="G24" s="19">
        <f>29505300+33041900+33041900</f>
        <v>95589100</v>
      </c>
      <c r="H24" s="41">
        <v>12</v>
      </c>
      <c r="I24" s="23" t="s">
        <v>131</v>
      </c>
      <c r="J24" s="19">
        <v>0</v>
      </c>
      <c r="K24" s="41">
        <v>12</v>
      </c>
      <c r="L24" s="23" t="s">
        <v>131</v>
      </c>
      <c r="M24" s="19">
        <v>29505300</v>
      </c>
      <c r="N24" s="41">
        <v>3</v>
      </c>
      <c r="O24" s="115" t="str">
        <f t="shared" si="1"/>
        <v>Bln</v>
      </c>
      <c r="P24" s="19">
        <v>550000</v>
      </c>
      <c r="Q24" s="41">
        <v>3</v>
      </c>
      <c r="R24" s="115" t="str">
        <f t="shared" si="2"/>
        <v>Bln</v>
      </c>
      <c r="S24" s="19">
        <f>10678000-P24</f>
        <v>10128000</v>
      </c>
      <c r="T24" s="41">
        <v>3</v>
      </c>
      <c r="U24" s="115" t="str">
        <f t="shared" si="3"/>
        <v>Bln</v>
      </c>
      <c r="V24" s="19">
        <v>6927500</v>
      </c>
      <c r="W24" s="41">
        <v>3</v>
      </c>
      <c r="X24" s="115" t="str">
        <f t="shared" si="4"/>
        <v>Bln</v>
      </c>
      <c r="Y24" s="19">
        <v>11899800</v>
      </c>
      <c r="Z24" s="141">
        <f t="shared" si="12"/>
        <v>12</v>
      </c>
      <c r="AA24" s="102" t="str">
        <f t="shared" si="5"/>
        <v>Bln</v>
      </c>
      <c r="AB24" s="67">
        <f t="shared" si="6"/>
        <v>100</v>
      </c>
      <c r="AC24" s="32" t="s">
        <v>141</v>
      </c>
      <c r="AD24" s="38">
        <f t="shared" si="7"/>
        <v>29505300</v>
      </c>
      <c r="AE24" s="66">
        <f t="shared" si="8"/>
        <v>100</v>
      </c>
      <c r="AF24" s="32" t="s">
        <v>141</v>
      </c>
      <c r="AG24" s="141">
        <f t="shared" si="9"/>
        <v>24</v>
      </c>
      <c r="AH24" s="102" t="str">
        <f t="shared" si="10"/>
        <v>Bln</v>
      </c>
      <c r="AI24" s="38">
        <f t="shared" si="11"/>
        <v>29505300</v>
      </c>
      <c r="AJ24" s="66"/>
      <c r="AK24" s="32" t="s">
        <v>141</v>
      </c>
      <c r="AL24" s="66"/>
      <c r="AM24" s="161"/>
      <c r="AN24" s="146"/>
      <c r="AP24" s="156"/>
    </row>
    <row r="25" spans="1:42" s="148" customFormat="1" ht="63.75" customHeight="1" x14ac:dyDescent="0.25">
      <c r="A25" s="12"/>
      <c r="B25" s="13"/>
      <c r="C25" s="22" t="s">
        <v>75</v>
      </c>
      <c r="D25" s="22" t="s">
        <v>216</v>
      </c>
      <c r="E25" s="41">
        <v>12</v>
      </c>
      <c r="F25" s="23" t="s">
        <v>131</v>
      </c>
      <c r="G25" s="19">
        <f>37604000+32811500+37604000</f>
        <v>108019500</v>
      </c>
      <c r="H25" s="41">
        <v>12</v>
      </c>
      <c r="I25" s="23" t="s">
        <v>131</v>
      </c>
      <c r="J25" s="19">
        <v>9680000</v>
      </c>
      <c r="K25" s="41">
        <v>12</v>
      </c>
      <c r="L25" s="23" t="s">
        <v>131</v>
      </c>
      <c r="M25" s="19">
        <v>37604000</v>
      </c>
      <c r="N25" s="41">
        <v>3</v>
      </c>
      <c r="O25" s="115" t="str">
        <f t="shared" si="1"/>
        <v>Bln</v>
      </c>
      <c r="P25" s="19">
        <v>0</v>
      </c>
      <c r="Q25" s="41">
        <v>3</v>
      </c>
      <c r="R25" s="115" t="str">
        <f t="shared" si="2"/>
        <v>Bln</v>
      </c>
      <c r="S25" s="19">
        <v>5165000</v>
      </c>
      <c r="T25" s="41">
        <v>3</v>
      </c>
      <c r="U25" s="115" t="str">
        <f t="shared" si="3"/>
        <v>Bln</v>
      </c>
      <c r="V25" s="19">
        <v>1200000</v>
      </c>
      <c r="W25" s="41">
        <v>3</v>
      </c>
      <c r="X25" s="115" t="str">
        <f t="shared" si="4"/>
        <v>Bln</v>
      </c>
      <c r="Y25" s="19">
        <v>15940000</v>
      </c>
      <c r="Z25" s="141">
        <f t="shared" si="12"/>
        <v>12</v>
      </c>
      <c r="AA25" s="102" t="str">
        <f t="shared" si="5"/>
        <v>Bln</v>
      </c>
      <c r="AB25" s="67">
        <f t="shared" si="6"/>
        <v>100</v>
      </c>
      <c r="AC25" s="32" t="s">
        <v>141</v>
      </c>
      <c r="AD25" s="38">
        <f t="shared" si="7"/>
        <v>22305000</v>
      </c>
      <c r="AE25" s="66">
        <f t="shared" si="8"/>
        <v>59.315498351239228</v>
      </c>
      <c r="AF25" s="32" t="s">
        <v>141</v>
      </c>
      <c r="AG25" s="141">
        <f t="shared" si="9"/>
        <v>24</v>
      </c>
      <c r="AH25" s="102" t="str">
        <f t="shared" si="10"/>
        <v>Bln</v>
      </c>
      <c r="AI25" s="38">
        <f t="shared" si="11"/>
        <v>31985000</v>
      </c>
      <c r="AJ25" s="66"/>
      <c r="AK25" s="32" t="s">
        <v>141</v>
      </c>
      <c r="AL25" s="66"/>
      <c r="AM25" s="161"/>
      <c r="AN25" s="146"/>
      <c r="AP25" s="156"/>
    </row>
    <row r="26" spans="1:42" s="148" customFormat="1" ht="66.75" customHeight="1" x14ac:dyDescent="0.25">
      <c r="A26" s="12"/>
      <c r="B26" s="13"/>
      <c r="C26" s="22" t="s">
        <v>76</v>
      </c>
      <c r="D26" s="26" t="s">
        <v>217</v>
      </c>
      <c r="E26" s="41">
        <v>12</v>
      </c>
      <c r="F26" s="23" t="s">
        <v>131</v>
      </c>
      <c r="G26" s="19">
        <f>9942900+7330350+9942900</f>
        <v>27216150</v>
      </c>
      <c r="H26" s="41">
        <v>12</v>
      </c>
      <c r="I26" s="23" t="s">
        <v>131</v>
      </c>
      <c r="J26" s="19">
        <v>0</v>
      </c>
      <c r="K26" s="41">
        <v>12</v>
      </c>
      <c r="L26" s="23" t="s">
        <v>131</v>
      </c>
      <c r="M26" s="19">
        <v>9942900</v>
      </c>
      <c r="N26" s="41">
        <v>3</v>
      </c>
      <c r="O26" s="115" t="str">
        <f t="shared" si="1"/>
        <v>Bln</v>
      </c>
      <c r="P26" s="19">
        <v>0</v>
      </c>
      <c r="Q26" s="41">
        <v>3</v>
      </c>
      <c r="R26" s="115" t="str">
        <f t="shared" si="2"/>
        <v>Bln</v>
      </c>
      <c r="S26" s="19">
        <v>5883700</v>
      </c>
      <c r="T26" s="41">
        <v>3</v>
      </c>
      <c r="U26" s="115" t="str">
        <f t="shared" si="3"/>
        <v>Bln</v>
      </c>
      <c r="V26" s="19">
        <v>671250</v>
      </c>
      <c r="W26" s="41">
        <v>3</v>
      </c>
      <c r="X26" s="115" t="str">
        <f t="shared" si="4"/>
        <v>Bln</v>
      </c>
      <c r="Y26" s="19">
        <v>3387950</v>
      </c>
      <c r="Z26" s="141">
        <f t="shared" si="12"/>
        <v>12</v>
      </c>
      <c r="AA26" s="102" t="str">
        <f t="shared" si="5"/>
        <v>Bln</v>
      </c>
      <c r="AB26" s="67">
        <f t="shared" si="6"/>
        <v>100</v>
      </c>
      <c r="AC26" s="32" t="s">
        <v>141</v>
      </c>
      <c r="AD26" s="38">
        <f t="shared" si="7"/>
        <v>9942900</v>
      </c>
      <c r="AE26" s="66">
        <f t="shared" si="8"/>
        <v>100</v>
      </c>
      <c r="AF26" s="32" t="s">
        <v>141</v>
      </c>
      <c r="AG26" s="141">
        <f t="shared" si="9"/>
        <v>24</v>
      </c>
      <c r="AH26" s="102" t="str">
        <f t="shared" si="10"/>
        <v>Bln</v>
      </c>
      <c r="AI26" s="38">
        <f t="shared" si="11"/>
        <v>9942900</v>
      </c>
      <c r="AJ26" s="66"/>
      <c r="AK26" s="32" t="s">
        <v>141</v>
      </c>
      <c r="AL26" s="66"/>
      <c r="AM26" s="161"/>
      <c r="AN26" s="146"/>
      <c r="AP26" s="156"/>
    </row>
    <row r="27" spans="1:42" s="148" customFormat="1" ht="90" x14ac:dyDescent="0.25">
      <c r="A27" s="12"/>
      <c r="B27" s="13"/>
      <c r="C27" s="22" t="s">
        <v>77</v>
      </c>
      <c r="D27" s="26" t="s">
        <v>218</v>
      </c>
      <c r="E27" s="41">
        <v>12</v>
      </c>
      <c r="F27" s="23" t="s">
        <v>131</v>
      </c>
      <c r="G27" s="19">
        <f>2880000+2640000</f>
        <v>5520000</v>
      </c>
      <c r="H27" s="41">
        <v>12</v>
      </c>
      <c r="I27" s="23" t="s">
        <v>131</v>
      </c>
      <c r="J27" s="19">
        <v>0</v>
      </c>
      <c r="K27" s="41">
        <v>12</v>
      </c>
      <c r="L27" s="23" t="s">
        <v>131</v>
      </c>
      <c r="M27" s="19">
        <v>2880000</v>
      </c>
      <c r="N27" s="41">
        <v>3</v>
      </c>
      <c r="O27" s="115" t="str">
        <f t="shared" si="1"/>
        <v>Bln</v>
      </c>
      <c r="P27" s="19">
        <v>0</v>
      </c>
      <c r="Q27" s="41">
        <v>3</v>
      </c>
      <c r="R27" s="115" t="str">
        <f t="shared" si="2"/>
        <v>Bln</v>
      </c>
      <c r="S27" s="19">
        <v>1025000</v>
      </c>
      <c r="T27" s="41">
        <v>3</v>
      </c>
      <c r="U27" s="115" t="str">
        <f t="shared" si="3"/>
        <v>Bln</v>
      </c>
      <c r="V27" s="19">
        <v>410000</v>
      </c>
      <c r="W27" s="41">
        <v>3</v>
      </c>
      <c r="X27" s="115" t="str">
        <f t="shared" si="4"/>
        <v>Bln</v>
      </c>
      <c r="Y27" s="19">
        <v>1435000</v>
      </c>
      <c r="Z27" s="141">
        <f t="shared" si="12"/>
        <v>12</v>
      </c>
      <c r="AA27" s="102" t="str">
        <f t="shared" si="5"/>
        <v>Bln</v>
      </c>
      <c r="AB27" s="67">
        <f t="shared" si="6"/>
        <v>100</v>
      </c>
      <c r="AC27" s="32" t="s">
        <v>141</v>
      </c>
      <c r="AD27" s="38">
        <f t="shared" si="7"/>
        <v>2870000</v>
      </c>
      <c r="AE27" s="66">
        <f t="shared" si="8"/>
        <v>99.652777777777786</v>
      </c>
      <c r="AF27" s="32" t="s">
        <v>141</v>
      </c>
      <c r="AG27" s="141">
        <f t="shared" si="9"/>
        <v>24</v>
      </c>
      <c r="AH27" s="102" t="str">
        <f t="shared" si="10"/>
        <v>Bln</v>
      </c>
      <c r="AI27" s="38">
        <f t="shared" si="11"/>
        <v>2870000</v>
      </c>
      <c r="AJ27" s="66"/>
      <c r="AK27" s="32" t="s">
        <v>141</v>
      </c>
      <c r="AL27" s="66"/>
      <c r="AM27" s="161"/>
      <c r="AN27" s="146"/>
      <c r="AP27" s="156"/>
    </row>
    <row r="28" spans="1:42" s="148" customFormat="1" ht="66.75" customHeight="1" x14ac:dyDescent="0.25">
      <c r="A28" s="12"/>
      <c r="B28" s="13"/>
      <c r="C28" s="22" t="s">
        <v>78</v>
      </c>
      <c r="D28" s="26" t="s">
        <v>219</v>
      </c>
      <c r="E28" s="41">
        <v>12</v>
      </c>
      <c r="F28" s="23" t="s">
        <v>131</v>
      </c>
      <c r="G28" s="19">
        <f>111890525+85000000+111890525</f>
        <v>308781050</v>
      </c>
      <c r="H28" s="41">
        <v>12</v>
      </c>
      <c r="I28" s="23" t="s">
        <v>131</v>
      </c>
      <c r="J28" s="19">
        <v>165869868</v>
      </c>
      <c r="K28" s="41">
        <v>12</v>
      </c>
      <c r="L28" s="23" t="s">
        <v>131</v>
      </c>
      <c r="M28" s="19">
        <v>111890525</v>
      </c>
      <c r="N28" s="41">
        <v>3</v>
      </c>
      <c r="O28" s="115" t="str">
        <f t="shared" si="1"/>
        <v>Bln</v>
      </c>
      <c r="P28" s="19">
        <v>12900000</v>
      </c>
      <c r="Q28" s="41">
        <v>3</v>
      </c>
      <c r="R28" s="115" t="str">
        <f t="shared" si="2"/>
        <v>Bln</v>
      </c>
      <c r="S28" s="19">
        <f>26549000-P28</f>
        <v>13649000</v>
      </c>
      <c r="T28" s="41">
        <v>3</v>
      </c>
      <c r="U28" s="115" t="str">
        <f t="shared" si="3"/>
        <v>Bln</v>
      </c>
      <c r="V28" s="19">
        <v>23916407</v>
      </c>
      <c r="W28" s="41">
        <v>3</v>
      </c>
      <c r="X28" s="115" t="str">
        <f t="shared" si="4"/>
        <v>Bln</v>
      </c>
      <c r="Y28" s="19">
        <v>61425118</v>
      </c>
      <c r="Z28" s="141">
        <f t="shared" si="12"/>
        <v>12</v>
      </c>
      <c r="AA28" s="102" t="str">
        <f t="shared" si="5"/>
        <v>Bln</v>
      </c>
      <c r="AB28" s="67">
        <f t="shared" si="6"/>
        <v>100</v>
      </c>
      <c r="AC28" s="32" t="s">
        <v>141</v>
      </c>
      <c r="AD28" s="38">
        <f t="shared" si="7"/>
        <v>111890525</v>
      </c>
      <c r="AE28" s="66">
        <f t="shared" si="8"/>
        <v>100</v>
      </c>
      <c r="AF28" s="32" t="s">
        <v>141</v>
      </c>
      <c r="AG28" s="141">
        <f t="shared" si="9"/>
        <v>24</v>
      </c>
      <c r="AH28" s="102" t="str">
        <f t="shared" si="10"/>
        <v>Bln</v>
      </c>
      <c r="AI28" s="38">
        <f t="shared" si="11"/>
        <v>277760393</v>
      </c>
      <c r="AJ28" s="66"/>
      <c r="AK28" s="32" t="s">
        <v>141</v>
      </c>
      <c r="AL28" s="66"/>
      <c r="AM28" s="161"/>
      <c r="AN28" s="146"/>
      <c r="AP28" s="156"/>
    </row>
    <row r="29" spans="1:42" s="148" customFormat="1" ht="87" customHeight="1" x14ac:dyDescent="0.25">
      <c r="A29" s="12"/>
      <c r="B29" s="13"/>
      <c r="C29" s="91" t="s">
        <v>79</v>
      </c>
      <c r="D29" s="14" t="s">
        <v>213</v>
      </c>
      <c r="E29" s="98">
        <v>100</v>
      </c>
      <c r="F29" s="95" t="s">
        <v>141</v>
      </c>
      <c r="G29" s="40">
        <f>SUM(G30)</f>
        <v>11741200</v>
      </c>
      <c r="H29" s="98">
        <v>100</v>
      </c>
      <c r="I29" s="95" t="s">
        <v>141</v>
      </c>
      <c r="J29" s="18"/>
      <c r="K29" s="98">
        <v>100</v>
      </c>
      <c r="L29" s="95" t="s">
        <v>141</v>
      </c>
      <c r="M29" s="40">
        <f>SUM(M30)</f>
        <v>4171000</v>
      </c>
      <c r="N29" s="98">
        <v>25</v>
      </c>
      <c r="O29" s="83" t="str">
        <f t="shared" si="1"/>
        <v>%</v>
      </c>
      <c r="P29" s="40">
        <f>SUM(P30)</f>
        <v>0</v>
      </c>
      <c r="Q29" s="43">
        <v>25</v>
      </c>
      <c r="R29" s="83" t="str">
        <f t="shared" si="2"/>
        <v>%</v>
      </c>
      <c r="S29" s="40">
        <f>SUM(S30)</f>
        <v>3461000</v>
      </c>
      <c r="T29" s="43">
        <v>25</v>
      </c>
      <c r="U29" s="83" t="str">
        <f t="shared" si="3"/>
        <v>%</v>
      </c>
      <c r="V29" s="40">
        <f>SUM(V30)</f>
        <v>0</v>
      </c>
      <c r="W29" s="43">
        <v>25</v>
      </c>
      <c r="X29" s="83" t="str">
        <f t="shared" si="4"/>
        <v>%</v>
      </c>
      <c r="Y29" s="40">
        <f>SUM(Y30)</f>
        <v>0</v>
      </c>
      <c r="Z29" s="140">
        <f t="shared" si="12"/>
        <v>100</v>
      </c>
      <c r="AA29" s="101" t="str">
        <f t="shared" si="5"/>
        <v>%</v>
      </c>
      <c r="AB29" s="68">
        <f t="shared" si="6"/>
        <v>100</v>
      </c>
      <c r="AC29" s="71" t="s">
        <v>141</v>
      </c>
      <c r="AD29" s="75">
        <f t="shared" si="7"/>
        <v>3461000</v>
      </c>
      <c r="AE29" s="70">
        <f t="shared" si="8"/>
        <v>82.977703188683776</v>
      </c>
      <c r="AF29" s="71" t="s">
        <v>141</v>
      </c>
      <c r="AG29" s="140">
        <f t="shared" si="9"/>
        <v>200</v>
      </c>
      <c r="AH29" s="101" t="str">
        <f t="shared" si="10"/>
        <v>%</v>
      </c>
      <c r="AI29" s="75">
        <f t="shared" si="11"/>
        <v>3461000</v>
      </c>
      <c r="AJ29" s="70"/>
      <c r="AK29" s="71" t="s">
        <v>141</v>
      </c>
      <c r="AL29" s="70"/>
      <c r="AM29" s="161"/>
      <c r="AN29" s="146"/>
      <c r="AP29" s="156"/>
    </row>
    <row r="30" spans="1:42" s="148" customFormat="1" ht="75" x14ac:dyDescent="0.25">
      <c r="A30" s="12"/>
      <c r="B30" s="13"/>
      <c r="C30" s="22" t="s">
        <v>80</v>
      </c>
      <c r="D30" s="26" t="s">
        <v>220</v>
      </c>
      <c r="E30" s="15">
        <v>69</v>
      </c>
      <c r="F30" s="16" t="s">
        <v>168</v>
      </c>
      <c r="G30" s="19">
        <f>4171000+3399200+4171000</f>
        <v>11741200</v>
      </c>
      <c r="H30" s="43"/>
      <c r="I30" s="44"/>
      <c r="J30" s="40"/>
      <c r="K30" s="41">
        <v>69</v>
      </c>
      <c r="L30" s="23" t="s">
        <v>168</v>
      </c>
      <c r="M30" s="19">
        <v>4171000</v>
      </c>
      <c r="N30" s="41">
        <v>0</v>
      </c>
      <c r="O30" s="115" t="str">
        <f t="shared" si="1"/>
        <v>buah</v>
      </c>
      <c r="P30" s="19">
        <v>0</v>
      </c>
      <c r="Q30" s="15">
        <v>69</v>
      </c>
      <c r="R30" s="115" t="str">
        <f t="shared" si="2"/>
        <v>buah</v>
      </c>
      <c r="S30" s="19">
        <v>3461000</v>
      </c>
      <c r="T30" s="15">
        <v>0</v>
      </c>
      <c r="U30" s="115" t="str">
        <f t="shared" si="3"/>
        <v>buah</v>
      </c>
      <c r="V30" s="19">
        <v>0</v>
      </c>
      <c r="W30" s="15">
        <v>0</v>
      </c>
      <c r="X30" s="115" t="str">
        <f t="shared" si="4"/>
        <v>buah</v>
      </c>
      <c r="Y30" s="19">
        <v>0</v>
      </c>
      <c r="Z30" s="141">
        <f t="shared" si="12"/>
        <v>69</v>
      </c>
      <c r="AA30" s="102" t="str">
        <f t="shared" si="5"/>
        <v>buah</v>
      </c>
      <c r="AB30" s="67">
        <f t="shared" si="6"/>
        <v>100</v>
      </c>
      <c r="AC30" s="32" t="s">
        <v>141</v>
      </c>
      <c r="AD30" s="38">
        <f t="shared" si="7"/>
        <v>3461000</v>
      </c>
      <c r="AE30" s="66">
        <f t="shared" si="8"/>
        <v>82.977703188683776</v>
      </c>
      <c r="AF30" s="32" t="s">
        <v>141</v>
      </c>
      <c r="AG30" s="141">
        <f t="shared" si="9"/>
        <v>69</v>
      </c>
      <c r="AH30" s="102" t="str">
        <f t="shared" si="10"/>
        <v>buah</v>
      </c>
      <c r="AI30" s="38">
        <f t="shared" si="11"/>
        <v>3461000</v>
      </c>
      <c r="AJ30" s="66"/>
      <c r="AK30" s="32" t="s">
        <v>141</v>
      </c>
      <c r="AL30" s="66"/>
      <c r="AM30" s="161"/>
      <c r="AN30" s="146"/>
      <c r="AP30" s="156"/>
    </row>
    <row r="31" spans="1:42" s="148" customFormat="1" ht="78.75" x14ac:dyDescent="0.25">
      <c r="A31" s="12"/>
      <c r="B31" s="13"/>
      <c r="C31" s="91" t="s">
        <v>81</v>
      </c>
      <c r="D31" s="14" t="s">
        <v>213</v>
      </c>
      <c r="E31" s="98">
        <v>100</v>
      </c>
      <c r="F31" s="95" t="s">
        <v>141</v>
      </c>
      <c r="G31" s="40">
        <f>SUM(G32:G34)</f>
        <v>286741219</v>
      </c>
      <c r="H31" s="98">
        <v>100</v>
      </c>
      <c r="I31" s="95" t="s">
        <v>141</v>
      </c>
      <c r="J31" s="40">
        <f>SUM(J32:J34)</f>
        <v>76851971</v>
      </c>
      <c r="K31" s="98">
        <v>100</v>
      </c>
      <c r="L31" s="95" t="s">
        <v>141</v>
      </c>
      <c r="M31" s="40">
        <f>SUM(M32:M34)</f>
        <v>78411000</v>
      </c>
      <c r="N31" s="98">
        <v>25</v>
      </c>
      <c r="O31" s="83" t="str">
        <f t="shared" si="1"/>
        <v>%</v>
      </c>
      <c r="P31" s="40">
        <f>SUM(P32:P34)</f>
        <v>4500000</v>
      </c>
      <c r="Q31" s="43">
        <v>25</v>
      </c>
      <c r="R31" s="83" t="str">
        <f t="shared" si="2"/>
        <v>%</v>
      </c>
      <c r="S31" s="40">
        <f>SUM(S32:S34)</f>
        <v>22475146</v>
      </c>
      <c r="T31" s="43">
        <v>25</v>
      </c>
      <c r="U31" s="83" t="str">
        <f t="shared" si="3"/>
        <v>%</v>
      </c>
      <c r="V31" s="40">
        <f>SUM(V32:V34)</f>
        <v>10298134</v>
      </c>
      <c r="W31" s="43">
        <v>25</v>
      </c>
      <c r="X31" s="83" t="str">
        <f t="shared" si="4"/>
        <v>%</v>
      </c>
      <c r="Y31" s="40">
        <f>SUM(Y32:Y34)</f>
        <v>28801943</v>
      </c>
      <c r="Z31" s="140">
        <f t="shared" si="12"/>
        <v>100</v>
      </c>
      <c r="AA31" s="101" t="str">
        <f t="shared" si="5"/>
        <v>%</v>
      </c>
      <c r="AB31" s="68">
        <f t="shared" si="6"/>
        <v>100</v>
      </c>
      <c r="AC31" s="71" t="s">
        <v>141</v>
      </c>
      <c r="AD31" s="75">
        <f t="shared" si="7"/>
        <v>66075223</v>
      </c>
      <c r="AE31" s="70">
        <f t="shared" si="8"/>
        <v>84.267797885500755</v>
      </c>
      <c r="AF31" s="71" t="s">
        <v>141</v>
      </c>
      <c r="AG31" s="140">
        <f t="shared" si="9"/>
        <v>200</v>
      </c>
      <c r="AH31" s="101" t="str">
        <f t="shared" si="10"/>
        <v>%</v>
      </c>
      <c r="AI31" s="75">
        <f t="shared" si="11"/>
        <v>142927194</v>
      </c>
      <c r="AJ31" s="70"/>
      <c r="AK31" s="71" t="s">
        <v>141</v>
      </c>
      <c r="AL31" s="70"/>
      <c r="AM31" s="161"/>
      <c r="AN31" s="146"/>
      <c r="AP31" s="156"/>
    </row>
    <row r="32" spans="1:42" s="148" customFormat="1" ht="30" x14ac:dyDescent="0.25">
      <c r="A32" s="12"/>
      <c r="B32" s="13"/>
      <c r="C32" s="22" t="s">
        <v>82</v>
      </c>
      <c r="D32" s="26" t="s">
        <v>221</v>
      </c>
      <c r="E32" s="41">
        <v>12</v>
      </c>
      <c r="F32" s="23" t="s">
        <v>131</v>
      </c>
      <c r="G32" s="19">
        <f>150000*3</f>
        <v>450000</v>
      </c>
      <c r="H32" s="41">
        <v>12</v>
      </c>
      <c r="I32" s="23" t="s">
        <v>131</v>
      </c>
      <c r="J32" s="19">
        <v>150000</v>
      </c>
      <c r="K32" s="41">
        <v>12</v>
      </c>
      <c r="L32" s="23" t="s">
        <v>131</v>
      </c>
      <c r="M32" s="19">
        <v>150000</v>
      </c>
      <c r="N32" s="41">
        <v>3</v>
      </c>
      <c r="O32" s="115" t="str">
        <f t="shared" si="1"/>
        <v>Bln</v>
      </c>
      <c r="P32" s="19">
        <v>0</v>
      </c>
      <c r="Q32" s="41">
        <v>3</v>
      </c>
      <c r="R32" s="115" t="str">
        <f t="shared" si="2"/>
        <v>Bln</v>
      </c>
      <c r="S32" s="19">
        <v>0</v>
      </c>
      <c r="T32" s="41">
        <v>3</v>
      </c>
      <c r="U32" s="115" t="str">
        <f t="shared" si="3"/>
        <v>Bln</v>
      </c>
      <c r="V32" s="19">
        <v>0</v>
      </c>
      <c r="W32" s="41">
        <v>3</v>
      </c>
      <c r="X32" s="115" t="str">
        <f t="shared" si="4"/>
        <v>Bln</v>
      </c>
      <c r="Y32" s="19">
        <v>12000</v>
      </c>
      <c r="Z32" s="141">
        <f t="shared" si="12"/>
        <v>12</v>
      </c>
      <c r="AA32" s="102" t="str">
        <f t="shared" si="5"/>
        <v>Bln</v>
      </c>
      <c r="AB32" s="67">
        <f t="shared" si="6"/>
        <v>100</v>
      </c>
      <c r="AC32" s="32" t="s">
        <v>141</v>
      </c>
      <c r="AD32" s="38">
        <f t="shared" si="7"/>
        <v>12000</v>
      </c>
      <c r="AE32" s="66">
        <f t="shared" si="8"/>
        <v>8</v>
      </c>
      <c r="AF32" s="32" t="s">
        <v>141</v>
      </c>
      <c r="AG32" s="141">
        <f t="shared" si="9"/>
        <v>24</v>
      </c>
      <c r="AH32" s="102" t="str">
        <f t="shared" si="10"/>
        <v>Bln</v>
      </c>
      <c r="AI32" s="38">
        <f t="shared" si="11"/>
        <v>162000</v>
      </c>
      <c r="AJ32" s="66"/>
      <c r="AK32" s="32" t="s">
        <v>141</v>
      </c>
      <c r="AL32" s="66"/>
      <c r="AM32" s="161"/>
      <c r="AN32" s="146"/>
      <c r="AP32" s="156"/>
    </row>
    <row r="33" spans="1:42" s="148" customFormat="1" ht="60" x14ac:dyDescent="0.25">
      <c r="A33" s="12"/>
      <c r="B33" s="13"/>
      <c r="C33" s="22" t="s">
        <v>83</v>
      </c>
      <c r="D33" s="26" t="s">
        <v>222</v>
      </c>
      <c r="E33" s="41">
        <v>12</v>
      </c>
      <c r="F33" s="23" t="s">
        <v>131</v>
      </c>
      <c r="G33" s="19">
        <f>54867000+35011219+54867000</f>
        <v>144745219</v>
      </c>
      <c r="H33" s="41">
        <v>12</v>
      </c>
      <c r="I33" s="23" t="s">
        <v>131</v>
      </c>
      <c r="J33" s="19">
        <v>39951971</v>
      </c>
      <c r="K33" s="41">
        <v>12</v>
      </c>
      <c r="L33" s="23" t="s">
        <v>131</v>
      </c>
      <c r="M33" s="19">
        <v>54867000</v>
      </c>
      <c r="N33" s="41">
        <v>3</v>
      </c>
      <c r="O33" s="115" t="str">
        <f t="shared" si="1"/>
        <v>Bln</v>
      </c>
      <c r="P33" s="19">
        <v>0</v>
      </c>
      <c r="Q33" s="41">
        <v>3</v>
      </c>
      <c r="R33" s="115" t="str">
        <f t="shared" si="2"/>
        <v>Bln</v>
      </c>
      <c r="S33" s="19">
        <v>15410346</v>
      </c>
      <c r="T33" s="41">
        <v>3</v>
      </c>
      <c r="U33" s="115" t="str">
        <f t="shared" si="3"/>
        <v>Bln</v>
      </c>
      <c r="V33" s="19">
        <v>6765734</v>
      </c>
      <c r="W33" s="41">
        <v>3</v>
      </c>
      <c r="X33" s="115" t="str">
        <f t="shared" si="4"/>
        <v>Bln</v>
      </c>
      <c r="Y33" s="19">
        <v>21023743</v>
      </c>
      <c r="Z33" s="141">
        <f t="shared" si="12"/>
        <v>12</v>
      </c>
      <c r="AA33" s="102" t="str">
        <f t="shared" si="5"/>
        <v>Bln</v>
      </c>
      <c r="AB33" s="67">
        <f t="shared" si="6"/>
        <v>100</v>
      </c>
      <c r="AC33" s="32" t="s">
        <v>141</v>
      </c>
      <c r="AD33" s="38">
        <f t="shared" si="7"/>
        <v>43199823</v>
      </c>
      <c r="AE33" s="66">
        <f t="shared" si="8"/>
        <v>78.735529553283385</v>
      </c>
      <c r="AF33" s="32" t="s">
        <v>141</v>
      </c>
      <c r="AG33" s="141">
        <f t="shared" si="9"/>
        <v>24</v>
      </c>
      <c r="AH33" s="102" t="str">
        <f t="shared" si="10"/>
        <v>Bln</v>
      </c>
      <c r="AI33" s="38">
        <f t="shared" si="11"/>
        <v>83151794</v>
      </c>
      <c r="AJ33" s="66"/>
      <c r="AK33" s="32" t="s">
        <v>141</v>
      </c>
      <c r="AL33" s="66"/>
      <c r="AM33" s="161"/>
      <c r="AN33" s="146"/>
      <c r="AP33" s="156"/>
    </row>
    <row r="34" spans="1:42" s="148" customFormat="1" ht="45" x14ac:dyDescent="0.25">
      <c r="A34" s="12"/>
      <c r="B34" s="13"/>
      <c r="C34" s="22" t="s">
        <v>84</v>
      </c>
      <c r="D34" s="26" t="s">
        <v>223</v>
      </c>
      <c r="E34" s="41">
        <v>12</v>
      </c>
      <c r="F34" s="23" t="s">
        <v>131</v>
      </c>
      <c r="G34" s="19">
        <f>23394000+59076000*2</f>
        <v>141546000</v>
      </c>
      <c r="H34" s="41">
        <v>12</v>
      </c>
      <c r="I34" s="23" t="s">
        <v>131</v>
      </c>
      <c r="J34" s="19">
        <v>36750000</v>
      </c>
      <c r="K34" s="41">
        <v>12</v>
      </c>
      <c r="L34" s="23" t="s">
        <v>131</v>
      </c>
      <c r="M34" s="19">
        <v>23394000</v>
      </c>
      <c r="N34" s="41">
        <v>3</v>
      </c>
      <c r="O34" s="115" t="str">
        <f t="shared" si="1"/>
        <v>Bln</v>
      </c>
      <c r="P34" s="19">
        <v>4500000</v>
      </c>
      <c r="Q34" s="41">
        <v>3</v>
      </c>
      <c r="R34" s="115" t="str">
        <f t="shared" si="2"/>
        <v>Bln</v>
      </c>
      <c r="S34" s="19">
        <f>11564800-P34</f>
        <v>7064800</v>
      </c>
      <c r="T34" s="41">
        <v>3</v>
      </c>
      <c r="U34" s="115" t="str">
        <f t="shared" si="3"/>
        <v>Bln</v>
      </c>
      <c r="V34" s="19">
        <v>3532400</v>
      </c>
      <c r="W34" s="41">
        <v>3</v>
      </c>
      <c r="X34" s="115" t="str">
        <f t="shared" si="4"/>
        <v>Bln</v>
      </c>
      <c r="Y34" s="19">
        <v>7766200</v>
      </c>
      <c r="Z34" s="141">
        <f t="shared" si="12"/>
        <v>12</v>
      </c>
      <c r="AA34" s="102" t="str">
        <f t="shared" si="5"/>
        <v>Bln</v>
      </c>
      <c r="AB34" s="67">
        <f t="shared" si="6"/>
        <v>100</v>
      </c>
      <c r="AC34" s="32" t="s">
        <v>141</v>
      </c>
      <c r="AD34" s="38">
        <f t="shared" si="7"/>
        <v>22863400</v>
      </c>
      <c r="AE34" s="66">
        <f t="shared" si="8"/>
        <v>97.731897067624175</v>
      </c>
      <c r="AF34" s="32" t="s">
        <v>141</v>
      </c>
      <c r="AG34" s="141">
        <f t="shared" si="9"/>
        <v>24</v>
      </c>
      <c r="AH34" s="102" t="str">
        <f t="shared" si="10"/>
        <v>Bln</v>
      </c>
      <c r="AI34" s="38">
        <f t="shared" si="11"/>
        <v>59613400</v>
      </c>
      <c r="AJ34" s="66"/>
      <c r="AK34" s="32" t="s">
        <v>141</v>
      </c>
      <c r="AL34" s="66"/>
      <c r="AM34" s="161"/>
      <c r="AN34" s="146"/>
      <c r="AP34" s="156"/>
    </row>
    <row r="35" spans="1:42" s="148" customFormat="1" ht="103.5" customHeight="1" x14ac:dyDescent="0.25">
      <c r="A35" s="12"/>
      <c r="B35" s="13"/>
      <c r="C35" s="91" t="s">
        <v>85</v>
      </c>
      <c r="D35" s="14" t="s">
        <v>213</v>
      </c>
      <c r="E35" s="98">
        <v>100</v>
      </c>
      <c r="F35" s="95" t="s">
        <v>141</v>
      </c>
      <c r="G35" s="40">
        <f>SUM(G36:G37)</f>
        <v>369156000</v>
      </c>
      <c r="H35" s="98">
        <v>100</v>
      </c>
      <c r="I35" s="95" t="s">
        <v>141</v>
      </c>
      <c r="J35" s="40">
        <f>SUM(J36:J37)</f>
        <v>137087387</v>
      </c>
      <c r="K35" s="98">
        <v>100</v>
      </c>
      <c r="L35" s="95" t="s">
        <v>141</v>
      </c>
      <c r="M35" s="40">
        <f>SUM(M36:M37)</f>
        <v>141019000</v>
      </c>
      <c r="N35" s="98">
        <v>25</v>
      </c>
      <c r="O35" s="83" t="str">
        <f t="shared" si="1"/>
        <v>%</v>
      </c>
      <c r="P35" s="40">
        <f>SUM(P36:P37)</f>
        <v>4690000</v>
      </c>
      <c r="Q35" s="98">
        <v>25</v>
      </c>
      <c r="R35" s="83" t="str">
        <f t="shared" si="2"/>
        <v>%</v>
      </c>
      <c r="S35" s="40">
        <f>SUM(S36:S37)</f>
        <v>27079700</v>
      </c>
      <c r="T35" s="98">
        <v>25</v>
      </c>
      <c r="U35" s="83" t="str">
        <f t="shared" si="3"/>
        <v>%</v>
      </c>
      <c r="V35" s="40">
        <f>SUM(V36:V37)</f>
        <v>11903640</v>
      </c>
      <c r="W35" s="98">
        <v>25</v>
      </c>
      <c r="X35" s="83" t="str">
        <f t="shared" si="4"/>
        <v>%</v>
      </c>
      <c r="Y35" s="40">
        <f>SUM(Y36:Y37)</f>
        <v>95060660</v>
      </c>
      <c r="Z35" s="140">
        <f t="shared" si="12"/>
        <v>100</v>
      </c>
      <c r="AA35" s="101" t="str">
        <f t="shared" si="5"/>
        <v>%</v>
      </c>
      <c r="AB35" s="68">
        <f t="shared" si="6"/>
        <v>100</v>
      </c>
      <c r="AC35" s="71" t="s">
        <v>141</v>
      </c>
      <c r="AD35" s="75">
        <f t="shared" si="7"/>
        <v>138734000</v>
      </c>
      <c r="AE35" s="70">
        <f t="shared" si="8"/>
        <v>98.379650969018357</v>
      </c>
      <c r="AF35" s="71" t="s">
        <v>141</v>
      </c>
      <c r="AG35" s="140">
        <f t="shared" si="9"/>
        <v>200</v>
      </c>
      <c r="AH35" s="101" t="str">
        <f t="shared" si="10"/>
        <v>%</v>
      </c>
      <c r="AI35" s="75">
        <f t="shared" si="11"/>
        <v>275821387</v>
      </c>
      <c r="AJ35" s="70"/>
      <c r="AK35" s="71" t="s">
        <v>141</v>
      </c>
      <c r="AL35" s="70"/>
      <c r="AM35" s="161"/>
      <c r="AN35" s="146"/>
      <c r="AP35" s="156"/>
    </row>
    <row r="36" spans="1:42" s="148" customFormat="1" ht="111.75" customHeight="1" x14ac:dyDescent="0.25">
      <c r="A36" s="12"/>
      <c r="B36" s="13"/>
      <c r="C36" s="26" t="s">
        <v>86</v>
      </c>
      <c r="D36" s="26" t="s">
        <v>224</v>
      </c>
      <c r="E36" s="41">
        <v>12</v>
      </c>
      <c r="F36" s="23" t="s">
        <v>131</v>
      </c>
      <c r="G36" s="19">
        <f>132719000+83600000+132719000</f>
        <v>349038000</v>
      </c>
      <c r="H36" s="41">
        <v>12</v>
      </c>
      <c r="I36" s="23" t="s">
        <v>131</v>
      </c>
      <c r="J36" s="19">
        <v>76442387</v>
      </c>
      <c r="K36" s="41">
        <v>12</v>
      </c>
      <c r="L36" s="23" t="s">
        <v>131</v>
      </c>
      <c r="M36" s="19">
        <v>132719000</v>
      </c>
      <c r="N36" s="41">
        <v>3</v>
      </c>
      <c r="O36" s="115" t="str">
        <f t="shared" si="1"/>
        <v>Bln</v>
      </c>
      <c r="P36" s="19">
        <v>4500000</v>
      </c>
      <c r="Q36" s="41">
        <v>3</v>
      </c>
      <c r="R36" s="115" t="str">
        <f t="shared" si="2"/>
        <v>Bln</v>
      </c>
      <c r="S36" s="19">
        <f>29954700-P36</f>
        <v>25454700</v>
      </c>
      <c r="T36" s="41">
        <v>3</v>
      </c>
      <c r="U36" s="115" t="str">
        <f t="shared" si="3"/>
        <v>Bln</v>
      </c>
      <c r="V36" s="19">
        <v>11243640</v>
      </c>
      <c r="W36" s="41">
        <v>3</v>
      </c>
      <c r="X36" s="115" t="str">
        <f t="shared" si="4"/>
        <v>Bln</v>
      </c>
      <c r="Y36" s="19">
        <v>91520660</v>
      </c>
      <c r="Z36" s="141">
        <f t="shared" si="12"/>
        <v>12</v>
      </c>
      <c r="AA36" s="102" t="str">
        <f t="shared" si="5"/>
        <v>Bln</v>
      </c>
      <c r="AB36" s="67">
        <f t="shared" si="6"/>
        <v>100</v>
      </c>
      <c r="AC36" s="32" t="s">
        <v>141</v>
      </c>
      <c r="AD36" s="38">
        <f t="shared" si="7"/>
        <v>132719000</v>
      </c>
      <c r="AE36" s="66">
        <f t="shared" si="8"/>
        <v>100</v>
      </c>
      <c r="AF36" s="32" t="s">
        <v>141</v>
      </c>
      <c r="AG36" s="141">
        <f t="shared" si="9"/>
        <v>24</v>
      </c>
      <c r="AH36" s="102" t="str">
        <f t="shared" si="10"/>
        <v>Bln</v>
      </c>
      <c r="AI36" s="38">
        <f t="shared" si="11"/>
        <v>209161387</v>
      </c>
      <c r="AJ36" s="66"/>
      <c r="AK36" s="32" t="s">
        <v>141</v>
      </c>
      <c r="AL36" s="66"/>
      <c r="AM36" s="161"/>
      <c r="AN36" s="146"/>
      <c r="AP36" s="156"/>
    </row>
    <row r="37" spans="1:42" s="148" customFormat="1" ht="84" customHeight="1" x14ac:dyDescent="0.25">
      <c r="A37" s="275"/>
      <c r="B37" s="275"/>
      <c r="C37" s="22" t="s">
        <v>87</v>
      </c>
      <c r="D37" s="26" t="s">
        <v>225</v>
      </c>
      <c r="E37" s="41">
        <v>12</v>
      </c>
      <c r="F37" s="23" t="s">
        <v>131</v>
      </c>
      <c r="G37" s="19">
        <f>8300000+3518000+8300000</f>
        <v>20118000</v>
      </c>
      <c r="H37" s="41">
        <v>12</v>
      </c>
      <c r="I37" s="23" t="s">
        <v>131</v>
      </c>
      <c r="J37" s="19">
        <v>60645000</v>
      </c>
      <c r="K37" s="41">
        <v>12</v>
      </c>
      <c r="L37" s="23" t="s">
        <v>131</v>
      </c>
      <c r="M37" s="19">
        <v>8300000</v>
      </c>
      <c r="N37" s="41">
        <v>3</v>
      </c>
      <c r="O37" s="115" t="str">
        <f t="shared" si="1"/>
        <v>Bln</v>
      </c>
      <c r="P37" s="19">
        <v>190000</v>
      </c>
      <c r="Q37" s="41">
        <v>3</v>
      </c>
      <c r="R37" s="115" t="str">
        <f t="shared" si="2"/>
        <v>Bln</v>
      </c>
      <c r="S37" s="19">
        <f>1815000-P37</f>
        <v>1625000</v>
      </c>
      <c r="T37" s="41">
        <v>3</v>
      </c>
      <c r="U37" s="115" t="str">
        <f t="shared" si="3"/>
        <v>Bln</v>
      </c>
      <c r="V37" s="19">
        <v>660000</v>
      </c>
      <c r="W37" s="41">
        <v>3</v>
      </c>
      <c r="X37" s="115" t="str">
        <f t="shared" si="4"/>
        <v>Bln</v>
      </c>
      <c r="Y37" s="19">
        <v>3540000</v>
      </c>
      <c r="Z37" s="141">
        <f t="shared" si="12"/>
        <v>12</v>
      </c>
      <c r="AA37" s="102" t="str">
        <f t="shared" si="5"/>
        <v>Bln</v>
      </c>
      <c r="AB37" s="67">
        <f t="shared" si="6"/>
        <v>100</v>
      </c>
      <c r="AC37" s="32" t="s">
        <v>141</v>
      </c>
      <c r="AD37" s="38">
        <f t="shared" si="7"/>
        <v>6015000</v>
      </c>
      <c r="AE37" s="66">
        <f t="shared" si="8"/>
        <v>72.46987951807229</v>
      </c>
      <c r="AF37" s="32" t="s">
        <v>141</v>
      </c>
      <c r="AG37" s="141">
        <f t="shared" si="9"/>
        <v>24</v>
      </c>
      <c r="AH37" s="102" t="str">
        <f t="shared" si="10"/>
        <v>Bln</v>
      </c>
      <c r="AI37" s="38">
        <f t="shared" si="11"/>
        <v>66660000</v>
      </c>
      <c r="AJ37" s="66"/>
      <c r="AK37" s="32" t="s">
        <v>141</v>
      </c>
      <c r="AL37" s="66"/>
      <c r="AM37" s="161"/>
      <c r="AN37" s="146"/>
      <c r="AP37" s="156"/>
    </row>
    <row r="38" spans="1:42" s="148" customFormat="1" ht="96" customHeight="1" x14ac:dyDescent="0.25">
      <c r="A38" s="48">
        <v>12</v>
      </c>
      <c r="B38" s="49" t="s">
        <v>46</v>
      </c>
      <c r="C38" s="91" t="s">
        <v>88</v>
      </c>
      <c r="D38" s="14" t="s">
        <v>226</v>
      </c>
      <c r="E38" s="45">
        <f>18/26*100</f>
        <v>69.230769230769226</v>
      </c>
      <c r="F38" s="44" t="s">
        <v>141</v>
      </c>
      <c r="G38" s="40">
        <f>G39</f>
        <v>115461800</v>
      </c>
      <c r="H38" s="54">
        <f>13/26*100</f>
        <v>50</v>
      </c>
      <c r="I38" s="44" t="s">
        <v>141</v>
      </c>
      <c r="J38" s="40">
        <f>J39</f>
        <v>19417800</v>
      </c>
      <c r="K38" s="162">
        <f>14/26*100</f>
        <v>53.846153846153847</v>
      </c>
      <c r="L38" s="44" t="s">
        <v>141</v>
      </c>
      <c r="M38" s="40">
        <f>M39</f>
        <v>27452800</v>
      </c>
      <c r="N38" s="43">
        <v>0</v>
      </c>
      <c r="O38" s="83" t="str">
        <f t="shared" ref="O38:O39" si="13">I38</f>
        <v>%</v>
      </c>
      <c r="P38" s="40">
        <f>P39</f>
        <v>0</v>
      </c>
      <c r="Q38" s="162">
        <f>1/26*100</f>
        <v>3.8461538461538463</v>
      </c>
      <c r="R38" s="83" t="str">
        <f t="shared" si="2"/>
        <v>%</v>
      </c>
      <c r="S38" s="40">
        <f>S39</f>
        <v>21221000</v>
      </c>
      <c r="T38" s="162">
        <f>1/26*100</f>
        <v>3.8461538461538463</v>
      </c>
      <c r="U38" s="83" t="str">
        <f t="shared" si="3"/>
        <v>%</v>
      </c>
      <c r="V38" s="40">
        <f>V39</f>
        <v>4758000</v>
      </c>
      <c r="W38" s="162">
        <v>0</v>
      </c>
      <c r="X38" s="83" t="str">
        <f t="shared" si="4"/>
        <v>%</v>
      </c>
      <c r="Y38" s="40">
        <f>Y39</f>
        <v>0</v>
      </c>
      <c r="Z38" s="163">
        <f t="shared" si="12"/>
        <v>7.6923076923076925</v>
      </c>
      <c r="AA38" s="101" t="str">
        <f t="shared" si="5"/>
        <v>%</v>
      </c>
      <c r="AB38" s="70">
        <f>AG38/K38*100</f>
        <v>107.14285714285714</v>
      </c>
      <c r="AC38" s="71" t="s">
        <v>141</v>
      </c>
      <c r="AD38" s="75">
        <f t="shared" si="7"/>
        <v>25979000</v>
      </c>
      <c r="AE38" s="70">
        <f>AD38/M38*100</f>
        <v>94.631512996852791</v>
      </c>
      <c r="AF38" s="71" t="s">
        <v>141</v>
      </c>
      <c r="AG38" s="163">
        <f t="shared" si="9"/>
        <v>57.692307692307693</v>
      </c>
      <c r="AH38" s="101" t="str">
        <f t="shared" si="10"/>
        <v>%</v>
      </c>
      <c r="AI38" s="75">
        <f t="shared" si="11"/>
        <v>45396800</v>
      </c>
      <c r="AJ38" s="70"/>
      <c r="AK38" s="71" t="s">
        <v>141</v>
      </c>
      <c r="AL38" s="70"/>
      <c r="AM38" s="161"/>
      <c r="AN38" s="146"/>
      <c r="AP38" s="156"/>
    </row>
    <row r="39" spans="1:42" s="148" customFormat="1" ht="121.5" customHeight="1" x14ac:dyDescent="0.25">
      <c r="A39" s="12"/>
      <c r="B39" s="190">
        <f>37/143*100</f>
        <v>25.874125874125873</v>
      </c>
      <c r="C39" s="91" t="s">
        <v>89</v>
      </c>
      <c r="D39" s="14" t="s">
        <v>152</v>
      </c>
      <c r="E39" s="45">
        <f>109/185*100</f>
        <v>58.918918918918919</v>
      </c>
      <c r="F39" s="16" t="s">
        <v>141</v>
      </c>
      <c r="G39" s="40">
        <f>SUM(G40)</f>
        <v>115461800</v>
      </c>
      <c r="H39" s="45">
        <f>20/185*100</f>
        <v>10.810810810810811</v>
      </c>
      <c r="I39" s="16" t="s">
        <v>141</v>
      </c>
      <c r="J39" s="40">
        <f>SUM(J40)</f>
        <v>19417800</v>
      </c>
      <c r="K39" s="164">
        <f>37/185*100</f>
        <v>20</v>
      </c>
      <c r="L39" s="99" t="s">
        <v>141</v>
      </c>
      <c r="M39" s="40">
        <f>SUM(M40)</f>
        <v>27452800</v>
      </c>
      <c r="N39" s="43">
        <v>0</v>
      </c>
      <c r="O39" s="114" t="str">
        <f t="shared" si="13"/>
        <v>%</v>
      </c>
      <c r="P39" s="40">
        <f>SUM(P40)</f>
        <v>0</v>
      </c>
      <c r="Q39" s="162">
        <f>17/185*100</f>
        <v>9.1891891891891895</v>
      </c>
      <c r="R39" s="114" t="str">
        <f t="shared" si="2"/>
        <v>%</v>
      </c>
      <c r="S39" s="40">
        <f>SUM(S40)</f>
        <v>21221000</v>
      </c>
      <c r="T39" s="162">
        <v>0</v>
      </c>
      <c r="U39" s="114" t="str">
        <f t="shared" si="3"/>
        <v>%</v>
      </c>
      <c r="V39" s="40">
        <f>SUM(V40)</f>
        <v>4758000</v>
      </c>
      <c r="W39" s="162">
        <v>0</v>
      </c>
      <c r="X39" s="114" t="str">
        <f t="shared" si="4"/>
        <v>%</v>
      </c>
      <c r="Y39" s="40">
        <f>SUM(Y40)</f>
        <v>0</v>
      </c>
      <c r="Z39" s="163">
        <f t="shared" si="12"/>
        <v>9.1891891891891895</v>
      </c>
      <c r="AA39" s="101" t="str">
        <f t="shared" si="5"/>
        <v>%</v>
      </c>
      <c r="AB39" s="68">
        <f>AG39/K39*100</f>
        <v>100</v>
      </c>
      <c r="AC39" s="71" t="s">
        <v>141</v>
      </c>
      <c r="AD39" s="75">
        <f t="shared" si="7"/>
        <v>25979000</v>
      </c>
      <c r="AE39" s="70">
        <f t="shared" si="8"/>
        <v>94.631512996852791</v>
      </c>
      <c r="AF39" s="71" t="s">
        <v>141</v>
      </c>
      <c r="AG39" s="140">
        <f t="shared" si="9"/>
        <v>20</v>
      </c>
      <c r="AH39" s="101" t="str">
        <f t="shared" si="10"/>
        <v>%</v>
      </c>
      <c r="AI39" s="75">
        <f t="shared" si="11"/>
        <v>45396800</v>
      </c>
      <c r="AJ39" s="70"/>
      <c r="AK39" s="71" t="s">
        <v>141</v>
      </c>
      <c r="AL39" s="70"/>
      <c r="AM39" s="161"/>
      <c r="AN39" s="146"/>
      <c r="AP39" s="156"/>
    </row>
    <row r="40" spans="1:42" s="148" customFormat="1" ht="83.25" customHeight="1" x14ac:dyDescent="0.25">
      <c r="A40" s="12"/>
      <c r="B40" s="13"/>
      <c r="C40" s="22" t="s">
        <v>90</v>
      </c>
      <c r="D40" s="26" t="s">
        <v>227</v>
      </c>
      <c r="E40" s="15">
        <v>36</v>
      </c>
      <c r="F40" s="47" t="s">
        <v>154</v>
      </c>
      <c r="G40" s="19">
        <f>27452800+44004500*2</f>
        <v>115461800</v>
      </c>
      <c r="H40" s="42">
        <v>20</v>
      </c>
      <c r="I40" s="47" t="s">
        <v>154</v>
      </c>
      <c r="J40" s="19">
        <v>19417800</v>
      </c>
      <c r="K40" s="42">
        <v>37</v>
      </c>
      <c r="L40" s="47" t="s">
        <v>154</v>
      </c>
      <c r="M40" s="19">
        <v>27452800</v>
      </c>
      <c r="N40" s="15">
        <v>0</v>
      </c>
      <c r="O40" s="15">
        <v>0</v>
      </c>
      <c r="P40" s="19">
        <v>0</v>
      </c>
      <c r="Q40" s="15">
        <v>37</v>
      </c>
      <c r="R40" s="116" t="str">
        <f t="shared" si="2"/>
        <v>Institusi</v>
      </c>
      <c r="S40" s="19">
        <v>21221000</v>
      </c>
      <c r="T40" s="15">
        <v>0</v>
      </c>
      <c r="U40" s="116" t="str">
        <f t="shared" si="3"/>
        <v>Institusi</v>
      </c>
      <c r="V40" s="19">
        <v>4758000</v>
      </c>
      <c r="W40" s="15">
        <v>0</v>
      </c>
      <c r="X40" s="276" t="s">
        <v>141</v>
      </c>
      <c r="Y40" s="19">
        <v>0</v>
      </c>
      <c r="Z40" s="141">
        <f t="shared" si="12"/>
        <v>37</v>
      </c>
      <c r="AA40" s="102" t="str">
        <f t="shared" si="5"/>
        <v>Institusi</v>
      </c>
      <c r="AB40" s="67">
        <f t="shared" si="6"/>
        <v>100</v>
      </c>
      <c r="AC40" s="32" t="s">
        <v>141</v>
      </c>
      <c r="AD40" s="38">
        <f t="shared" si="7"/>
        <v>25979000</v>
      </c>
      <c r="AE40" s="66">
        <f t="shared" si="8"/>
        <v>94.631512996852791</v>
      </c>
      <c r="AF40" s="32" t="s">
        <v>141</v>
      </c>
      <c r="AG40" s="141">
        <f t="shared" si="9"/>
        <v>57</v>
      </c>
      <c r="AH40" s="102">
        <f t="shared" si="10"/>
        <v>0</v>
      </c>
      <c r="AI40" s="38">
        <f t="shared" si="11"/>
        <v>45396800</v>
      </c>
      <c r="AJ40" s="66"/>
      <c r="AK40" s="32" t="s">
        <v>141</v>
      </c>
      <c r="AL40" s="66"/>
      <c r="AM40" s="161"/>
      <c r="AN40" s="146"/>
      <c r="AP40" s="156"/>
    </row>
    <row r="41" spans="1:42" s="146" customFormat="1" ht="122.25" customHeight="1" x14ac:dyDescent="0.25">
      <c r="A41" s="12"/>
      <c r="B41" s="13"/>
      <c r="C41" s="91" t="s">
        <v>91</v>
      </c>
      <c r="D41" s="178" t="s">
        <v>228</v>
      </c>
      <c r="E41" s="54">
        <v>100</v>
      </c>
      <c r="F41" s="44" t="s">
        <v>141</v>
      </c>
      <c r="G41" s="40">
        <f>G42</f>
        <v>11342300</v>
      </c>
      <c r="H41" s="54">
        <v>100</v>
      </c>
      <c r="I41" s="44" t="s">
        <v>141</v>
      </c>
      <c r="J41" s="40">
        <f>J42</f>
        <v>9612500</v>
      </c>
      <c r="K41" s="54">
        <v>100</v>
      </c>
      <c r="L41" s="44" t="s">
        <v>141</v>
      </c>
      <c r="M41" s="40">
        <f>M42</f>
        <v>11342300</v>
      </c>
      <c r="N41" s="54">
        <f>4/4*100</f>
        <v>100</v>
      </c>
      <c r="O41" s="83" t="str">
        <f t="shared" si="1"/>
        <v>%</v>
      </c>
      <c r="P41" s="40">
        <f>P42</f>
        <v>0</v>
      </c>
      <c r="Q41" s="54">
        <f>1/1*100</f>
        <v>100</v>
      </c>
      <c r="R41" s="83" t="str">
        <f t="shared" si="2"/>
        <v>%</v>
      </c>
      <c r="S41" s="40">
        <f>S42</f>
        <v>0</v>
      </c>
      <c r="T41" s="54">
        <v>0</v>
      </c>
      <c r="U41" s="83" t="str">
        <f t="shared" si="3"/>
        <v>%</v>
      </c>
      <c r="V41" s="40">
        <f>V42</f>
        <v>2000000</v>
      </c>
      <c r="W41" s="54">
        <v>0</v>
      </c>
      <c r="X41" s="83" t="str">
        <f t="shared" si="4"/>
        <v>%</v>
      </c>
      <c r="Y41" s="40">
        <f>Y42</f>
        <v>9342300</v>
      </c>
      <c r="Z41" s="140">
        <f>SUM(N41,Q41,T41,W41)/2</f>
        <v>100</v>
      </c>
      <c r="AA41" s="101" t="str">
        <f t="shared" si="5"/>
        <v>%</v>
      </c>
      <c r="AB41" s="168">
        <f t="shared" si="6"/>
        <v>100</v>
      </c>
      <c r="AC41" s="165" t="s">
        <v>141</v>
      </c>
      <c r="AD41" s="169">
        <f t="shared" si="7"/>
        <v>11342300</v>
      </c>
      <c r="AE41" s="170">
        <f t="shared" si="8"/>
        <v>100</v>
      </c>
      <c r="AF41" s="165" t="s">
        <v>141</v>
      </c>
      <c r="AG41" s="166">
        <f>Z41</f>
        <v>100</v>
      </c>
      <c r="AH41" s="167" t="str">
        <f t="shared" si="10"/>
        <v>%</v>
      </c>
      <c r="AI41" s="169">
        <f t="shared" si="11"/>
        <v>20954800</v>
      </c>
      <c r="AJ41" s="170"/>
      <c r="AK41" s="165" t="s">
        <v>141</v>
      </c>
      <c r="AL41" s="170"/>
      <c r="AM41" s="171"/>
      <c r="AP41" s="157"/>
    </row>
    <row r="42" spans="1:42" s="148" customFormat="1" ht="137.25" customHeight="1" x14ac:dyDescent="0.25">
      <c r="A42" s="12"/>
      <c r="B42" s="13"/>
      <c r="C42" s="91" t="s">
        <v>92</v>
      </c>
      <c r="D42" s="14" t="s">
        <v>229</v>
      </c>
      <c r="E42" s="54">
        <v>100</v>
      </c>
      <c r="F42" s="44" t="s">
        <v>141</v>
      </c>
      <c r="G42" s="40">
        <f>SUM(G43)</f>
        <v>11342300</v>
      </c>
      <c r="H42" s="54">
        <v>100</v>
      </c>
      <c r="I42" s="44" t="s">
        <v>141</v>
      </c>
      <c r="J42" s="40">
        <f>SUM(J43)</f>
        <v>9612500</v>
      </c>
      <c r="K42" s="43">
        <v>100</v>
      </c>
      <c r="L42" s="99" t="s">
        <v>141</v>
      </c>
      <c r="M42" s="40">
        <f>SUM(M43)</f>
        <v>11342300</v>
      </c>
      <c r="N42" s="54">
        <f>4/4*100</f>
        <v>100</v>
      </c>
      <c r="O42" s="114" t="str">
        <f t="shared" si="1"/>
        <v>%</v>
      </c>
      <c r="P42" s="40">
        <f>SUM(P43)</f>
        <v>0</v>
      </c>
      <c r="Q42" s="54">
        <f>1/1*100</f>
        <v>100</v>
      </c>
      <c r="R42" s="114" t="str">
        <f t="shared" si="2"/>
        <v>%</v>
      </c>
      <c r="S42" s="40">
        <f>SUM(S43)</f>
        <v>0</v>
      </c>
      <c r="T42" s="54">
        <v>0</v>
      </c>
      <c r="U42" s="114" t="str">
        <f t="shared" si="3"/>
        <v>%</v>
      </c>
      <c r="V42" s="40">
        <f>SUM(V43)</f>
        <v>2000000</v>
      </c>
      <c r="W42" s="54">
        <v>0</v>
      </c>
      <c r="X42" s="114" t="str">
        <f t="shared" si="4"/>
        <v>%</v>
      </c>
      <c r="Y42" s="40">
        <f>SUM(Y43)</f>
        <v>9342300</v>
      </c>
      <c r="Z42" s="140">
        <f>SUM(N42,Q42,T42,W42)/2</f>
        <v>100</v>
      </c>
      <c r="AA42" s="101" t="str">
        <f t="shared" si="5"/>
        <v>%</v>
      </c>
      <c r="AB42" s="68">
        <f t="shared" si="6"/>
        <v>100</v>
      </c>
      <c r="AC42" s="71" t="s">
        <v>141</v>
      </c>
      <c r="AD42" s="75">
        <f t="shared" si="7"/>
        <v>11342300</v>
      </c>
      <c r="AE42" s="70">
        <f t="shared" si="8"/>
        <v>100</v>
      </c>
      <c r="AF42" s="71" t="s">
        <v>141</v>
      </c>
      <c r="AG42" s="140">
        <f>Z42</f>
        <v>100</v>
      </c>
      <c r="AH42" s="101" t="str">
        <f t="shared" si="10"/>
        <v>%</v>
      </c>
      <c r="AI42" s="75">
        <f t="shared" si="11"/>
        <v>20954800</v>
      </c>
      <c r="AJ42" s="70"/>
      <c r="AK42" s="71" t="s">
        <v>141</v>
      </c>
      <c r="AL42" s="70"/>
      <c r="AM42" s="161"/>
      <c r="AN42" s="146"/>
      <c r="AP42" s="156"/>
    </row>
    <row r="43" spans="1:42" s="148" customFormat="1" ht="114" customHeight="1" x14ac:dyDescent="0.25">
      <c r="A43" s="12"/>
      <c r="B43" s="13"/>
      <c r="C43" s="22" t="s">
        <v>93</v>
      </c>
      <c r="D43" s="26" t="s">
        <v>230</v>
      </c>
      <c r="E43" s="15">
        <v>12</v>
      </c>
      <c r="F43" s="47" t="s">
        <v>231</v>
      </c>
      <c r="G43" s="19">
        <v>11342300</v>
      </c>
      <c r="H43" s="15">
        <v>12</v>
      </c>
      <c r="I43" s="47" t="s">
        <v>231</v>
      </c>
      <c r="J43" s="19">
        <v>9612500</v>
      </c>
      <c r="K43" s="15">
        <v>12</v>
      </c>
      <c r="L43" s="47" t="s">
        <v>231</v>
      </c>
      <c r="M43" s="19">
        <v>11342300</v>
      </c>
      <c r="N43" s="15">
        <v>3</v>
      </c>
      <c r="O43" s="116" t="str">
        <f t="shared" si="1"/>
        <v>bulan</v>
      </c>
      <c r="P43" s="19">
        <v>0</v>
      </c>
      <c r="Q43" s="15">
        <v>3</v>
      </c>
      <c r="R43" s="116" t="str">
        <f t="shared" si="2"/>
        <v>bulan</v>
      </c>
      <c r="S43" s="19">
        <v>0</v>
      </c>
      <c r="T43" s="15">
        <v>3</v>
      </c>
      <c r="U43" s="116" t="str">
        <f t="shared" si="3"/>
        <v>bulan</v>
      </c>
      <c r="V43" s="19">
        <v>2000000</v>
      </c>
      <c r="W43" s="15">
        <v>3</v>
      </c>
      <c r="X43" s="116" t="str">
        <f t="shared" si="4"/>
        <v>bulan</v>
      </c>
      <c r="Y43" s="19">
        <v>9342300</v>
      </c>
      <c r="Z43" s="141">
        <f t="shared" si="12"/>
        <v>12</v>
      </c>
      <c r="AA43" s="102" t="str">
        <f t="shared" si="5"/>
        <v>bulan</v>
      </c>
      <c r="AB43" s="67">
        <f t="shared" si="6"/>
        <v>100</v>
      </c>
      <c r="AC43" s="32" t="s">
        <v>141</v>
      </c>
      <c r="AD43" s="38">
        <f t="shared" si="7"/>
        <v>11342300</v>
      </c>
      <c r="AE43" s="66">
        <f t="shared" si="8"/>
        <v>100</v>
      </c>
      <c r="AF43" s="32" t="s">
        <v>141</v>
      </c>
      <c r="AG43" s="141">
        <f t="shared" si="9"/>
        <v>24</v>
      </c>
      <c r="AH43" s="102" t="str">
        <f t="shared" si="10"/>
        <v>bulan</v>
      </c>
      <c r="AI43" s="38">
        <f t="shared" si="11"/>
        <v>20954800</v>
      </c>
      <c r="AJ43" s="66"/>
      <c r="AK43" s="32" t="s">
        <v>141</v>
      </c>
      <c r="AL43" s="66"/>
      <c r="AM43" s="161"/>
      <c r="AN43" s="146"/>
      <c r="AP43" s="156"/>
    </row>
    <row r="44" spans="1:42" s="148" customFormat="1" ht="165.75" customHeight="1" x14ac:dyDescent="0.25">
      <c r="A44" s="12"/>
      <c r="B44" s="13"/>
      <c r="C44" s="91" t="s">
        <v>94</v>
      </c>
      <c r="D44" s="178" t="s">
        <v>232</v>
      </c>
      <c r="E44" s="45">
        <f>202/208*100</f>
        <v>97.115384615384613</v>
      </c>
      <c r="F44" s="44" t="s">
        <v>141</v>
      </c>
      <c r="G44" s="40">
        <f>G45+G47</f>
        <v>1242324200</v>
      </c>
      <c r="H44" s="45">
        <f>34/208*100</f>
        <v>16.346153846153847</v>
      </c>
      <c r="I44" s="44" t="s">
        <v>141</v>
      </c>
      <c r="J44" s="40">
        <f>J45+J47</f>
        <v>45401000</v>
      </c>
      <c r="K44" s="162">
        <f>58/208*100</f>
        <v>27.884615384615387</v>
      </c>
      <c r="L44" s="99" t="s">
        <v>141</v>
      </c>
      <c r="M44" s="40">
        <f>M45+M47</f>
        <v>353118500</v>
      </c>
      <c r="N44" s="162">
        <f>24/208*100</f>
        <v>11.538461538461538</v>
      </c>
      <c r="O44" s="83" t="str">
        <f t="shared" si="1"/>
        <v>%</v>
      </c>
      <c r="P44" s="40">
        <f>P45+P47</f>
        <v>13946200</v>
      </c>
      <c r="Q44" s="45">
        <v>0</v>
      </c>
      <c r="R44" s="83" t="str">
        <f t="shared" si="2"/>
        <v>%</v>
      </c>
      <c r="S44" s="40">
        <f>S45+S47</f>
        <v>32788500</v>
      </c>
      <c r="T44" s="45">
        <v>0</v>
      </c>
      <c r="U44" s="83" t="str">
        <f t="shared" si="3"/>
        <v>%</v>
      </c>
      <c r="V44" s="40">
        <f>V45+V47</f>
        <v>53377400</v>
      </c>
      <c r="W44" s="45">
        <v>0</v>
      </c>
      <c r="X44" s="83" t="str">
        <f t="shared" si="4"/>
        <v>%</v>
      </c>
      <c r="Y44" s="40">
        <f>Y45+Y47</f>
        <v>129904200</v>
      </c>
      <c r="Z44" s="163">
        <f t="shared" si="12"/>
        <v>11.538461538461538</v>
      </c>
      <c r="AA44" s="101" t="str">
        <f t="shared" si="5"/>
        <v>%</v>
      </c>
      <c r="AB44" s="68">
        <f>AG44/K44*100</f>
        <v>100</v>
      </c>
      <c r="AC44" s="71" t="s">
        <v>141</v>
      </c>
      <c r="AD44" s="75">
        <f t="shared" si="7"/>
        <v>230016300</v>
      </c>
      <c r="AE44" s="70">
        <f t="shared" si="8"/>
        <v>65.138558302666098</v>
      </c>
      <c r="AF44" s="71" t="s">
        <v>141</v>
      </c>
      <c r="AG44" s="163">
        <f t="shared" si="9"/>
        <v>27.884615384615387</v>
      </c>
      <c r="AH44" s="101" t="str">
        <f t="shared" si="10"/>
        <v>%</v>
      </c>
      <c r="AI44" s="75">
        <f t="shared" si="11"/>
        <v>275417300</v>
      </c>
      <c r="AJ44" s="70"/>
      <c r="AK44" s="71" t="s">
        <v>141</v>
      </c>
      <c r="AL44" s="70"/>
      <c r="AM44" s="161"/>
      <c r="AN44" s="146"/>
      <c r="AP44" s="156"/>
    </row>
    <row r="45" spans="1:42" s="148" customFormat="1" ht="151.5" customHeight="1" x14ac:dyDescent="0.25">
      <c r="A45" s="12"/>
      <c r="B45" s="13"/>
      <c r="C45" s="14" t="s">
        <v>95</v>
      </c>
      <c r="D45" s="14" t="s">
        <v>233</v>
      </c>
      <c r="E45" s="45">
        <f>10/148*100</f>
        <v>6.756756756756757</v>
      </c>
      <c r="F45" s="16" t="s">
        <v>141</v>
      </c>
      <c r="G45" s="58">
        <f>SUM(G46)</f>
        <v>213858200</v>
      </c>
      <c r="H45" s="84">
        <f>7/148*100</f>
        <v>4.7297297297297298</v>
      </c>
      <c r="I45" s="16" t="s">
        <v>141</v>
      </c>
      <c r="J45" s="58">
        <f>SUM(J46)</f>
        <v>23025000</v>
      </c>
      <c r="K45" s="172">
        <f>8/148*100</f>
        <v>5.4054054054054053</v>
      </c>
      <c r="L45" s="114" t="s">
        <v>141</v>
      </c>
      <c r="M45" s="58">
        <f>SUM(M46)</f>
        <v>26850000</v>
      </c>
      <c r="N45" s="172">
        <f>1/148*100</f>
        <v>0.67567567567567566</v>
      </c>
      <c r="O45" s="114" t="str">
        <f t="shared" si="1"/>
        <v>%</v>
      </c>
      <c r="P45" s="58">
        <f>SUM(P46)</f>
        <v>10000000</v>
      </c>
      <c r="Q45" s="117">
        <v>0</v>
      </c>
      <c r="R45" s="114" t="str">
        <f t="shared" si="2"/>
        <v>%</v>
      </c>
      <c r="S45" s="58">
        <f>SUM(S46)</f>
        <v>0</v>
      </c>
      <c r="T45" s="117">
        <v>0</v>
      </c>
      <c r="U45" s="114" t="str">
        <f t="shared" si="3"/>
        <v>%</v>
      </c>
      <c r="V45" s="58">
        <f>SUM(V46)</f>
        <v>11705000</v>
      </c>
      <c r="W45" s="117">
        <v>0</v>
      </c>
      <c r="X45" s="114" t="str">
        <f t="shared" si="4"/>
        <v>%</v>
      </c>
      <c r="Y45" s="58">
        <f>SUM(Y46)</f>
        <v>5640000</v>
      </c>
      <c r="Z45" s="183">
        <f t="shared" si="12"/>
        <v>0.67567567567567566</v>
      </c>
      <c r="AA45" s="104" t="str">
        <f t="shared" si="5"/>
        <v>%</v>
      </c>
      <c r="AB45" s="111">
        <f>AG45/K45*100</f>
        <v>100</v>
      </c>
      <c r="AC45" s="48" t="s">
        <v>141</v>
      </c>
      <c r="AD45" s="69">
        <f t="shared" si="7"/>
        <v>27345000</v>
      </c>
      <c r="AE45" s="72">
        <f t="shared" si="8"/>
        <v>101.8435754189944</v>
      </c>
      <c r="AF45" s="48" t="s">
        <v>141</v>
      </c>
      <c r="AG45" s="183">
        <f t="shared" si="9"/>
        <v>5.4054054054054053</v>
      </c>
      <c r="AH45" s="104" t="str">
        <f t="shared" si="10"/>
        <v>%</v>
      </c>
      <c r="AI45" s="69">
        <f t="shared" si="11"/>
        <v>50370000</v>
      </c>
      <c r="AJ45" s="72"/>
      <c r="AK45" s="48" t="s">
        <v>141</v>
      </c>
      <c r="AL45" s="72"/>
      <c r="AM45" s="161"/>
      <c r="AN45" s="146"/>
      <c r="AP45" s="156"/>
    </row>
    <row r="46" spans="1:42" s="148" customFormat="1" ht="108.75" customHeight="1" x14ac:dyDescent="0.25">
      <c r="A46" s="12"/>
      <c r="B46" s="13"/>
      <c r="C46" s="26" t="s">
        <v>96</v>
      </c>
      <c r="D46" s="26" t="s">
        <v>234</v>
      </c>
      <c r="E46" s="118">
        <v>5</v>
      </c>
      <c r="F46" s="116" t="s">
        <v>170</v>
      </c>
      <c r="G46" s="93">
        <f>26850000+93504100+93504100</f>
        <v>213858200</v>
      </c>
      <c r="H46" s="118">
        <v>5</v>
      </c>
      <c r="I46" s="116" t="s">
        <v>170</v>
      </c>
      <c r="J46" s="93">
        <v>23025000</v>
      </c>
      <c r="K46" s="118">
        <v>5</v>
      </c>
      <c r="L46" s="116" t="s">
        <v>170</v>
      </c>
      <c r="M46" s="93">
        <v>26850000</v>
      </c>
      <c r="N46" s="42">
        <v>1</v>
      </c>
      <c r="O46" s="116" t="str">
        <f t="shared" si="1"/>
        <v>Kegiatan</v>
      </c>
      <c r="P46" s="93">
        <v>10000000</v>
      </c>
      <c r="Q46" s="118">
        <v>2</v>
      </c>
      <c r="R46" s="116" t="str">
        <f t="shared" si="2"/>
        <v>Kegiatan</v>
      </c>
      <c r="S46" s="19">
        <v>0</v>
      </c>
      <c r="T46" s="118">
        <v>1</v>
      </c>
      <c r="U46" s="116" t="str">
        <f t="shared" si="3"/>
        <v>Kegiatan</v>
      </c>
      <c r="V46" s="19">
        <v>11705000</v>
      </c>
      <c r="W46" s="118">
        <v>1</v>
      </c>
      <c r="X46" s="116" t="str">
        <f t="shared" si="4"/>
        <v>Kegiatan</v>
      </c>
      <c r="Y46" s="19">
        <v>5640000</v>
      </c>
      <c r="Z46" s="141">
        <f t="shared" si="12"/>
        <v>5</v>
      </c>
      <c r="AA46" s="102" t="str">
        <f t="shared" si="5"/>
        <v>Kegiatan</v>
      </c>
      <c r="AB46" s="67">
        <f t="shared" si="6"/>
        <v>100</v>
      </c>
      <c r="AC46" s="32" t="s">
        <v>141</v>
      </c>
      <c r="AD46" s="38">
        <f t="shared" si="7"/>
        <v>27345000</v>
      </c>
      <c r="AE46" s="66">
        <f t="shared" si="8"/>
        <v>101.8435754189944</v>
      </c>
      <c r="AF46" s="32" t="s">
        <v>141</v>
      </c>
      <c r="AG46" s="141">
        <f t="shared" si="9"/>
        <v>10</v>
      </c>
      <c r="AH46" s="102" t="str">
        <f t="shared" si="10"/>
        <v>Kegiatan</v>
      </c>
      <c r="AI46" s="38">
        <f t="shared" si="11"/>
        <v>50370000</v>
      </c>
      <c r="AJ46" s="66"/>
      <c r="AK46" s="32" t="s">
        <v>141</v>
      </c>
      <c r="AL46" s="66"/>
      <c r="AM46" s="161"/>
      <c r="AN46" s="146"/>
      <c r="AP46" s="156"/>
    </row>
    <row r="47" spans="1:42" s="148" customFormat="1" ht="216.75" customHeight="1" x14ac:dyDescent="0.25">
      <c r="A47" s="12"/>
      <c r="B47" s="13"/>
      <c r="C47" s="91" t="s">
        <v>97</v>
      </c>
      <c r="D47" s="14" t="s">
        <v>235</v>
      </c>
      <c r="E47" s="119">
        <v>100</v>
      </c>
      <c r="F47" s="99" t="s">
        <v>141</v>
      </c>
      <c r="G47" s="40">
        <f>SUM(G48)</f>
        <v>1028466000</v>
      </c>
      <c r="H47" s="119">
        <v>100</v>
      </c>
      <c r="I47" s="99" t="s">
        <v>141</v>
      </c>
      <c r="J47" s="40">
        <f>SUM(J48)</f>
        <v>22376000</v>
      </c>
      <c r="K47" s="119">
        <v>100</v>
      </c>
      <c r="L47" s="99" t="s">
        <v>141</v>
      </c>
      <c r="M47" s="40">
        <f>SUM(M48)</f>
        <v>326268500</v>
      </c>
      <c r="N47" s="119">
        <v>100</v>
      </c>
      <c r="O47" s="114" t="str">
        <f t="shared" si="1"/>
        <v>%</v>
      </c>
      <c r="P47" s="40">
        <f>SUM(P48)</f>
        <v>3946200</v>
      </c>
      <c r="Q47" s="119">
        <v>100</v>
      </c>
      <c r="R47" s="114" t="str">
        <f t="shared" si="2"/>
        <v>%</v>
      </c>
      <c r="S47" s="40">
        <f>SUM(S48)</f>
        <v>32788500</v>
      </c>
      <c r="T47" s="119">
        <v>100</v>
      </c>
      <c r="U47" s="114" t="str">
        <f t="shared" si="3"/>
        <v>%</v>
      </c>
      <c r="V47" s="40">
        <f>SUM(V48)</f>
        <v>41672400</v>
      </c>
      <c r="W47" s="119">
        <v>100</v>
      </c>
      <c r="X47" s="114" t="str">
        <f t="shared" si="4"/>
        <v>%</v>
      </c>
      <c r="Y47" s="40">
        <f>SUM(Y48)</f>
        <v>124264200</v>
      </c>
      <c r="Z47" s="143">
        <f>AVERAGE(N47,Q47,T47,W47)</f>
        <v>100</v>
      </c>
      <c r="AA47" s="101" t="str">
        <f t="shared" si="5"/>
        <v>%</v>
      </c>
      <c r="AB47" s="68">
        <f>Z47/K47*100</f>
        <v>100</v>
      </c>
      <c r="AC47" s="71" t="s">
        <v>141</v>
      </c>
      <c r="AD47" s="75">
        <f t="shared" si="7"/>
        <v>202671300</v>
      </c>
      <c r="AE47" s="70">
        <f t="shared" si="8"/>
        <v>62.117948867267295</v>
      </c>
      <c r="AF47" s="71" t="s">
        <v>141</v>
      </c>
      <c r="AG47" s="143">
        <f>Z47</f>
        <v>100</v>
      </c>
      <c r="AH47" s="101" t="str">
        <f t="shared" si="10"/>
        <v>%</v>
      </c>
      <c r="AI47" s="75">
        <f t="shared" si="11"/>
        <v>225047300</v>
      </c>
      <c r="AJ47" s="70"/>
      <c r="AK47" s="71" t="s">
        <v>141</v>
      </c>
      <c r="AL47" s="70"/>
      <c r="AM47" s="161"/>
      <c r="AN47" s="146"/>
      <c r="AP47" s="156"/>
    </row>
    <row r="48" spans="1:42" s="148" customFormat="1" ht="125.25" customHeight="1" x14ac:dyDescent="0.25">
      <c r="A48" s="12"/>
      <c r="B48" s="13"/>
      <c r="C48" s="22" t="s">
        <v>98</v>
      </c>
      <c r="D48" s="26" t="s">
        <v>236</v>
      </c>
      <c r="E48" s="15">
        <v>300</v>
      </c>
      <c r="F48" s="47" t="s">
        <v>209</v>
      </c>
      <c r="G48" s="19">
        <f>326268500+351098750*2</f>
        <v>1028466000</v>
      </c>
      <c r="H48" s="42">
        <v>0</v>
      </c>
      <c r="I48" s="47" t="s">
        <v>209</v>
      </c>
      <c r="J48" s="19">
        <v>22376000</v>
      </c>
      <c r="K48" s="46">
        <f>60+30+55+60</f>
        <v>205</v>
      </c>
      <c r="L48" s="47" t="s">
        <v>209</v>
      </c>
      <c r="M48" s="19">
        <v>326268500</v>
      </c>
      <c r="N48" s="46">
        <f>60+30+55+60</f>
        <v>205</v>
      </c>
      <c r="O48" s="116" t="str">
        <f t="shared" si="1"/>
        <v>orang</v>
      </c>
      <c r="P48" s="19">
        <v>3946200</v>
      </c>
      <c r="Q48" s="46">
        <v>0</v>
      </c>
      <c r="R48" s="116" t="str">
        <f t="shared" si="2"/>
        <v>orang</v>
      </c>
      <c r="S48" s="19">
        <f>36734700-P48</f>
        <v>32788500</v>
      </c>
      <c r="T48" s="46">
        <v>0</v>
      </c>
      <c r="U48" s="116" t="str">
        <f t="shared" si="3"/>
        <v>orang</v>
      </c>
      <c r="V48" s="19">
        <v>41672400</v>
      </c>
      <c r="W48" s="46">
        <v>0</v>
      </c>
      <c r="X48" s="116" t="str">
        <f t="shared" si="4"/>
        <v>orang</v>
      </c>
      <c r="Y48" s="19">
        <v>124264200</v>
      </c>
      <c r="Z48" s="141">
        <f t="shared" si="12"/>
        <v>205</v>
      </c>
      <c r="AA48" s="102" t="str">
        <f t="shared" si="5"/>
        <v>orang</v>
      </c>
      <c r="AB48" s="67">
        <f>Z48/K48*100</f>
        <v>100</v>
      </c>
      <c r="AC48" s="32" t="s">
        <v>141</v>
      </c>
      <c r="AD48" s="38">
        <f t="shared" si="7"/>
        <v>202671300</v>
      </c>
      <c r="AE48" s="66">
        <f t="shared" si="8"/>
        <v>62.117948867267295</v>
      </c>
      <c r="AF48" s="32" t="s">
        <v>141</v>
      </c>
      <c r="AG48" s="141">
        <f t="shared" si="9"/>
        <v>205</v>
      </c>
      <c r="AH48" s="102" t="str">
        <f t="shared" si="10"/>
        <v>orang</v>
      </c>
      <c r="AI48" s="38">
        <f t="shared" si="11"/>
        <v>225047300</v>
      </c>
      <c r="AJ48" s="66"/>
      <c r="AK48" s="32" t="s">
        <v>141</v>
      </c>
      <c r="AL48" s="66"/>
      <c r="AM48" s="161"/>
      <c r="AN48" s="146"/>
      <c r="AP48" s="156"/>
    </row>
    <row r="49" spans="1:42" s="148" customFormat="1" ht="47.25" x14ac:dyDescent="0.25">
      <c r="A49" s="12"/>
      <c r="B49" s="13"/>
      <c r="C49" s="91" t="s">
        <v>99</v>
      </c>
      <c r="D49" s="182" t="s">
        <v>237</v>
      </c>
      <c r="E49" s="43">
        <v>70</v>
      </c>
      <c r="F49" s="99" t="s">
        <v>141</v>
      </c>
      <c r="G49" s="40">
        <f>G50+G52</f>
        <v>622418300</v>
      </c>
      <c r="H49" s="54">
        <v>57</v>
      </c>
      <c r="I49" s="99" t="s">
        <v>141</v>
      </c>
      <c r="J49" s="40">
        <f>J50+J52</f>
        <v>81404100</v>
      </c>
      <c r="K49" s="45">
        <v>62.5</v>
      </c>
      <c r="L49" s="99" t="s">
        <v>141</v>
      </c>
      <c r="M49" s="40">
        <f>M50+M52</f>
        <v>97298500</v>
      </c>
      <c r="N49" s="43">
        <v>0</v>
      </c>
      <c r="O49" s="83" t="str">
        <f t="shared" si="1"/>
        <v>%</v>
      </c>
      <c r="P49" s="40">
        <f>P50+P52</f>
        <v>0</v>
      </c>
      <c r="Q49" s="45">
        <v>5.5</v>
      </c>
      <c r="R49" s="83" t="str">
        <f t="shared" si="2"/>
        <v>%</v>
      </c>
      <c r="S49" s="40">
        <f>S50+S52</f>
        <v>12552500</v>
      </c>
      <c r="T49" s="45">
        <v>0</v>
      </c>
      <c r="U49" s="83" t="str">
        <f t="shared" si="3"/>
        <v>%</v>
      </c>
      <c r="V49" s="40">
        <f>V50+V52</f>
        <v>22418000</v>
      </c>
      <c r="W49" s="45">
        <v>0</v>
      </c>
      <c r="X49" s="83" t="str">
        <f t="shared" si="4"/>
        <v>%</v>
      </c>
      <c r="Y49" s="40">
        <f>Y50+Y52</f>
        <v>60581400</v>
      </c>
      <c r="Z49" s="163">
        <f t="shared" si="12"/>
        <v>5.5</v>
      </c>
      <c r="AA49" s="101" t="str">
        <f t="shared" si="5"/>
        <v>%</v>
      </c>
      <c r="AB49" s="68">
        <f>AG49/K49*100</f>
        <v>100</v>
      </c>
      <c r="AC49" s="71" t="s">
        <v>141</v>
      </c>
      <c r="AD49" s="75">
        <f t="shared" si="7"/>
        <v>95551900</v>
      </c>
      <c r="AE49" s="70">
        <f t="shared" si="8"/>
        <v>98.204905522695611</v>
      </c>
      <c r="AF49" s="71" t="s">
        <v>141</v>
      </c>
      <c r="AG49" s="163">
        <f t="shared" si="9"/>
        <v>62.5</v>
      </c>
      <c r="AH49" s="101" t="str">
        <f t="shared" si="10"/>
        <v>%</v>
      </c>
      <c r="AI49" s="75">
        <f t="shared" si="11"/>
        <v>176956000</v>
      </c>
      <c r="AJ49" s="70"/>
      <c r="AK49" s="71" t="s">
        <v>141</v>
      </c>
      <c r="AL49" s="70"/>
      <c r="AM49" s="161"/>
      <c r="AN49" s="146"/>
      <c r="AP49" s="156"/>
    </row>
    <row r="50" spans="1:42" s="148" customFormat="1" ht="118.5" customHeight="1" x14ac:dyDescent="0.25">
      <c r="A50" s="12"/>
      <c r="B50" s="13"/>
      <c r="C50" s="91" t="s">
        <v>100</v>
      </c>
      <c r="D50" s="14" t="s">
        <v>238</v>
      </c>
      <c r="E50" s="43">
        <f>E51/1328*100</f>
        <v>82.379518072289159</v>
      </c>
      <c r="F50" s="99" t="s">
        <v>141</v>
      </c>
      <c r="G50" s="40">
        <f>SUM(G51)</f>
        <v>289215700</v>
      </c>
      <c r="H50" s="45">
        <f>H51/1328*100</f>
        <v>56.626506024096393</v>
      </c>
      <c r="I50" s="99" t="s">
        <v>141</v>
      </c>
      <c r="J50" s="40">
        <f>SUM(J51)</f>
        <v>75224100</v>
      </c>
      <c r="K50" s="162">
        <f>K51/1328*100</f>
        <v>64.759036144578303</v>
      </c>
      <c r="L50" s="99" t="s">
        <v>141</v>
      </c>
      <c r="M50" s="40">
        <f>SUM(M51)</f>
        <v>8245500</v>
      </c>
      <c r="N50" s="45">
        <f>N51/1328*100</f>
        <v>1.1295180722891567</v>
      </c>
      <c r="O50" s="83" t="str">
        <f t="shared" si="1"/>
        <v>%</v>
      </c>
      <c r="P50" s="40">
        <f>SUM(P51)</f>
        <v>0</v>
      </c>
      <c r="Q50" s="45">
        <f>Q51/1328*100</f>
        <v>2.2590361445783134</v>
      </c>
      <c r="R50" s="83" t="str">
        <f t="shared" si="2"/>
        <v>%</v>
      </c>
      <c r="S50" s="40">
        <f>SUM(S51)</f>
        <v>7210000</v>
      </c>
      <c r="T50" s="45">
        <f>T51/1328*100</f>
        <v>4.7439759036144578</v>
      </c>
      <c r="U50" s="83" t="str">
        <f t="shared" si="3"/>
        <v>%</v>
      </c>
      <c r="V50" s="40">
        <f>SUM(V51)</f>
        <v>1030500</v>
      </c>
      <c r="W50" s="45">
        <f>W51/1328*100</f>
        <v>0</v>
      </c>
      <c r="X50" s="83" t="str">
        <f t="shared" si="4"/>
        <v>%</v>
      </c>
      <c r="Y50" s="40">
        <f>SUM(Y51)</f>
        <v>0</v>
      </c>
      <c r="Z50" s="163">
        <f>SUM(N50,Q50,T50,W50)</f>
        <v>8.1325301204819276</v>
      </c>
      <c r="AA50" s="101" t="str">
        <f t="shared" si="5"/>
        <v>%</v>
      </c>
      <c r="AB50" s="68">
        <f>AG50/K50*100</f>
        <v>100.00000000000003</v>
      </c>
      <c r="AC50" s="71" t="s">
        <v>141</v>
      </c>
      <c r="AD50" s="75">
        <f t="shared" si="7"/>
        <v>8240500</v>
      </c>
      <c r="AE50" s="70">
        <f t="shared" si="8"/>
        <v>99.939360863501307</v>
      </c>
      <c r="AF50" s="71" t="s">
        <v>141</v>
      </c>
      <c r="AG50" s="163">
        <f>SUM(H50,Z50)</f>
        <v>64.759036144578317</v>
      </c>
      <c r="AH50" s="101" t="str">
        <f t="shared" si="10"/>
        <v>%</v>
      </c>
      <c r="AI50" s="75">
        <f t="shared" si="11"/>
        <v>83464600</v>
      </c>
      <c r="AJ50" s="70"/>
      <c r="AK50" s="71" t="s">
        <v>141</v>
      </c>
      <c r="AL50" s="70"/>
      <c r="AM50" s="161"/>
      <c r="AN50" s="146"/>
      <c r="AP50" s="156"/>
    </row>
    <row r="51" spans="1:42" s="148" customFormat="1" ht="140.25" customHeight="1" x14ac:dyDescent="0.25">
      <c r="A51" s="12"/>
      <c r="B51" s="13"/>
      <c r="C51" s="22" t="s">
        <v>101</v>
      </c>
      <c r="D51" s="26" t="s">
        <v>239</v>
      </c>
      <c r="E51" s="15">
        <v>1094</v>
      </c>
      <c r="F51" s="47" t="s">
        <v>168</v>
      </c>
      <c r="G51" s="19">
        <f>8245500+140485100+140485100</f>
        <v>289215700</v>
      </c>
      <c r="H51" s="42">
        <v>752</v>
      </c>
      <c r="I51" s="47" t="s">
        <v>168</v>
      </c>
      <c r="J51" s="19">
        <v>75224100</v>
      </c>
      <c r="K51" s="15">
        <v>860</v>
      </c>
      <c r="L51" s="47" t="s">
        <v>168</v>
      </c>
      <c r="M51" s="19">
        <v>8245500</v>
      </c>
      <c r="N51" s="15">
        <v>15</v>
      </c>
      <c r="O51" s="115" t="str">
        <f t="shared" si="1"/>
        <v>buah</v>
      </c>
      <c r="P51" s="19">
        <f>SUM(P52)</f>
        <v>0</v>
      </c>
      <c r="Q51" s="15">
        <v>30</v>
      </c>
      <c r="R51" s="115" t="str">
        <f t="shared" si="2"/>
        <v>buah</v>
      </c>
      <c r="S51" s="19">
        <v>7210000</v>
      </c>
      <c r="T51" s="15">
        <v>63</v>
      </c>
      <c r="U51" s="115" t="str">
        <f t="shared" si="3"/>
        <v>buah</v>
      </c>
      <c r="V51" s="19">
        <v>1030500</v>
      </c>
      <c r="W51" s="15">
        <v>0</v>
      </c>
      <c r="X51" s="115" t="str">
        <f t="shared" si="4"/>
        <v>buah</v>
      </c>
      <c r="Y51" s="19">
        <v>0</v>
      </c>
      <c r="Z51" s="141">
        <f t="shared" si="12"/>
        <v>108</v>
      </c>
      <c r="AA51" s="102" t="str">
        <f t="shared" si="5"/>
        <v>buah</v>
      </c>
      <c r="AB51" s="67">
        <f>AG51/K51*100</f>
        <v>100</v>
      </c>
      <c r="AC51" s="32" t="s">
        <v>141</v>
      </c>
      <c r="AD51" s="38">
        <f t="shared" si="7"/>
        <v>8240500</v>
      </c>
      <c r="AE51" s="66">
        <f t="shared" si="8"/>
        <v>99.939360863501307</v>
      </c>
      <c r="AF51" s="32" t="s">
        <v>141</v>
      </c>
      <c r="AG51" s="141">
        <f t="shared" si="9"/>
        <v>860</v>
      </c>
      <c r="AH51" s="102" t="str">
        <f t="shared" si="10"/>
        <v>buah</v>
      </c>
      <c r="AI51" s="38">
        <f t="shared" si="11"/>
        <v>83464600</v>
      </c>
      <c r="AJ51" s="66"/>
      <c r="AK51" s="32" t="s">
        <v>141</v>
      </c>
      <c r="AL51" s="66"/>
      <c r="AM51" s="161"/>
      <c r="AN51" s="146"/>
      <c r="AP51" s="156"/>
    </row>
    <row r="52" spans="1:42" s="148" customFormat="1" ht="150" customHeight="1" x14ac:dyDescent="0.25">
      <c r="A52" s="12"/>
      <c r="B52" s="13"/>
      <c r="C52" s="14" t="s">
        <v>102</v>
      </c>
      <c r="D52" s="14" t="s">
        <v>240</v>
      </c>
      <c r="E52" s="45">
        <f>380/787*100</f>
        <v>48.284625158830998</v>
      </c>
      <c r="F52" s="99" t="s">
        <v>141</v>
      </c>
      <c r="G52" s="40">
        <f>SUM(G53:G55)</f>
        <v>333202600</v>
      </c>
      <c r="H52" s="45">
        <f>1/536*100</f>
        <v>0.18656716417910446</v>
      </c>
      <c r="I52" s="99" t="s">
        <v>141</v>
      </c>
      <c r="J52" s="40">
        <f>SUM(J53:J55)</f>
        <v>6180000</v>
      </c>
      <c r="K52" s="162">
        <f>19/614*100</f>
        <v>3.0944625407166124</v>
      </c>
      <c r="L52" s="99" t="s">
        <v>141</v>
      </c>
      <c r="M52" s="40">
        <f>SUM(M53:M55)</f>
        <v>89053000</v>
      </c>
      <c r="N52" s="43">
        <v>0</v>
      </c>
      <c r="O52" s="114" t="str">
        <f t="shared" si="1"/>
        <v>%</v>
      </c>
      <c r="P52" s="40">
        <f>SUM(P53:P55)</f>
        <v>0</v>
      </c>
      <c r="Q52" s="45">
        <f>15/614*100</f>
        <v>2.44299674267101</v>
      </c>
      <c r="R52" s="114" t="str">
        <f t="shared" si="2"/>
        <v>%</v>
      </c>
      <c r="S52" s="40">
        <f>SUM(S53:S55)</f>
        <v>5342500</v>
      </c>
      <c r="T52" s="45">
        <f>3/614*100</f>
        <v>0.48859934853420189</v>
      </c>
      <c r="U52" s="114" t="str">
        <f t="shared" si="3"/>
        <v>%</v>
      </c>
      <c r="V52" s="40">
        <f>SUM(V53:V55)</f>
        <v>21387500</v>
      </c>
      <c r="W52" s="45">
        <v>0</v>
      </c>
      <c r="X52" s="114" t="str">
        <f t="shared" si="4"/>
        <v>%</v>
      </c>
      <c r="Y52" s="40">
        <f>SUM(Y53:Y55)</f>
        <v>60581400</v>
      </c>
      <c r="Z52" s="163">
        <f t="shared" si="12"/>
        <v>2.9315960912052117</v>
      </c>
      <c r="AA52" s="101" t="str">
        <f t="shared" si="5"/>
        <v>%</v>
      </c>
      <c r="AB52" s="70">
        <f>AG52/K52*100</f>
        <v>100.76590730557737</v>
      </c>
      <c r="AC52" s="71" t="s">
        <v>141</v>
      </c>
      <c r="AD52" s="75">
        <f t="shared" si="7"/>
        <v>87311400</v>
      </c>
      <c r="AE52" s="70">
        <f t="shared" si="8"/>
        <v>98.04431069138603</v>
      </c>
      <c r="AF52" s="71" t="s">
        <v>141</v>
      </c>
      <c r="AG52" s="163">
        <f t="shared" si="9"/>
        <v>3.1181632553843164</v>
      </c>
      <c r="AH52" s="101" t="str">
        <f t="shared" si="10"/>
        <v>%</v>
      </c>
      <c r="AI52" s="75">
        <f t="shared" si="11"/>
        <v>93491400</v>
      </c>
      <c r="AJ52" s="70"/>
      <c r="AK52" s="71" t="s">
        <v>141</v>
      </c>
      <c r="AL52" s="70"/>
      <c r="AM52" s="161"/>
      <c r="AN52" s="146"/>
      <c r="AP52" s="156"/>
    </row>
    <row r="53" spans="1:42" s="148" customFormat="1" ht="125.25" customHeight="1" x14ac:dyDescent="0.25">
      <c r="A53" s="12"/>
      <c r="B53" s="13"/>
      <c r="C53" s="26" t="s">
        <v>103</v>
      </c>
      <c r="D53" s="26" t="s">
        <v>166</v>
      </c>
      <c r="E53" s="184">
        <v>0</v>
      </c>
      <c r="F53" s="47"/>
      <c r="G53" s="19">
        <v>18015000</v>
      </c>
      <c r="H53" s="42">
        <v>30</v>
      </c>
      <c r="I53" s="47" t="s">
        <v>169</v>
      </c>
      <c r="J53" s="19">
        <v>0</v>
      </c>
      <c r="K53" s="15">
        <f>17+14+13+10</f>
        <v>54</v>
      </c>
      <c r="L53" s="47" t="s">
        <v>169</v>
      </c>
      <c r="M53" s="19">
        <v>18015000</v>
      </c>
      <c r="N53" s="15">
        <v>17</v>
      </c>
      <c r="O53" s="116" t="str">
        <f t="shared" si="1"/>
        <v>indikator</v>
      </c>
      <c r="P53" s="19">
        <f>SUM(P54:P56)</f>
        <v>0</v>
      </c>
      <c r="Q53" s="15">
        <v>14</v>
      </c>
      <c r="R53" s="116" t="str">
        <f t="shared" si="2"/>
        <v>indikator</v>
      </c>
      <c r="S53" s="19">
        <v>5342500</v>
      </c>
      <c r="T53" s="15">
        <v>11</v>
      </c>
      <c r="U53" s="116" t="str">
        <f t="shared" si="3"/>
        <v>indikator</v>
      </c>
      <c r="V53" s="19">
        <v>3547500</v>
      </c>
      <c r="W53" s="15">
        <v>12</v>
      </c>
      <c r="X53" s="116" t="str">
        <f t="shared" si="4"/>
        <v>indikator</v>
      </c>
      <c r="Y53" s="19">
        <v>9125000</v>
      </c>
      <c r="Z53" s="141">
        <f t="shared" si="12"/>
        <v>54</v>
      </c>
      <c r="AA53" s="102" t="str">
        <f t="shared" si="5"/>
        <v>indikator</v>
      </c>
      <c r="AB53" s="67">
        <f>Z53/K53*100</f>
        <v>100</v>
      </c>
      <c r="AC53" s="32" t="s">
        <v>141</v>
      </c>
      <c r="AD53" s="38">
        <f t="shared" si="7"/>
        <v>18015000</v>
      </c>
      <c r="AE53" s="66">
        <f>AD53/M53*100</f>
        <v>100</v>
      </c>
      <c r="AF53" s="32" t="s">
        <v>141</v>
      </c>
      <c r="AG53" s="141">
        <f>Z53</f>
        <v>54</v>
      </c>
      <c r="AH53" s="102" t="str">
        <f t="shared" si="10"/>
        <v>indikator</v>
      </c>
      <c r="AI53" s="38">
        <f t="shared" si="11"/>
        <v>18015000</v>
      </c>
      <c r="AJ53" s="66"/>
      <c r="AK53" s="32" t="s">
        <v>141</v>
      </c>
      <c r="AL53" s="66"/>
      <c r="AM53" s="161"/>
      <c r="AN53" s="146"/>
      <c r="AP53" s="156"/>
    </row>
    <row r="54" spans="1:42" s="148" customFormat="1" ht="125.25" customHeight="1" x14ac:dyDescent="0.25">
      <c r="A54" s="12"/>
      <c r="B54" s="13"/>
      <c r="C54" s="22" t="s">
        <v>105</v>
      </c>
      <c r="D54" s="26" t="s">
        <v>166</v>
      </c>
      <c r="E54" s="15">
        <v>0</v>
      </c>
      <c r="F54" s="16"/>
      <c r="G54" s="19">
        <v>20051600</v>
      </c>
      <c r="H54" s="42">
        <v>30</v>
      </c>
      <c r="I54" s="47" t="s">
        <v>169</v>
      </c>
      <c r="J54" s="19">
        <v>0</v>
      </c>
      <c r="K54" s="15">
        <f>17+14+13+10</f>
        <v>54</v>
      </c>
      <c r="L54" s="47" t="s">
        <v>169</v>
      </c>
      <c r="M54" s="19">
        <v>20051600</v>
      </c>
      <c r="N54" s="15">
        <v>17</v>
      </c>
      <c r="O54" s="116" t="str">
        <f t="shared" si="1"/>
        <v>indikator</v>
      </c>
      <c r="P54" s="19">
        <v>0</v>
      </c>
      <c r="Q54" s="15">
        <v>14</v>
      </c>
      <c r="R54" s="116" t="str">
        <f t="shared" si="2"/>
        <v>indikator</v>
      </c>
      <c r="S54" s="19">
        <v>0</v>
      </c>
      <c r="T54" s="15">
        <v>11</v>
      </c>
      <c r="U54" s="116" t="str">
        <f t="shared" si="3"/>
        <v>indikator</v>
      </c>
      <c r="V54" s="19">
        <v>7870000</v>
      </c>
      <c r="W54" s="15">
        <v>12</v>
      </c>
      <c r="X54" s="116" t="str">
        <f t="shared" si="4"/>
        <v>indikator</v>
      </c>
      <c r="Y54" s="19">
        <v>10440000</v>
      </c>
      <c r="Z54" s="141">
        <f t="shared" si="12"/>
        <v>54</v>
      </c>
      <c r="AA54" s="102" t="str">
        <f t="shared" si="5"/>
        <v>indikator</v>
      </c>
      <c r="AB54" s="67">
        <f>Z54/K54*100</f>
        <v>100</v>
      </c>
      <c r="AC54" s="32" t="s">
        <v>141</v>
      </c>
      <c r="AD54" s="38">
        <f t="shared" si="7"/>
        <v>18310000</v>
      </c>
      <c r="AE54" s="66">
        <f t="shared" si="8"/>
        <v>91.314408825230913</v>
      </c>
      <c r="AF54" s="32" t="s">
        <v>141</v>
      </c>
      <c r="AG54" s="141">
        <f>Z54</f>
        <v>54</v>
      </c>
      <c r="AH54" s="102" t="str">
        <f t="shared" si="10"/>
        <v>indikator</v>
      </c>
      <c r="AI54" s="38">
        <f t="shared" si="11"/>
        <v>18310000</v>
      </c>
      <c r="AJ54" s="66"/>
      <c r="AK54" s="32" t="s">
        <v>141</v>
      </c>
      <c r="AL54" s="66"/>
      <c r="AM54" s="161"/>
      <c r="AN54" s="146"/>
      <c r="AP54" s="156"/>
    </row>
    <row r="55" spans="1:42" s="148" customFormat="1" ht="171" customHeight="1" x14ac:dyDescent="0.25">
      <c r="A55" s="12"/>
      <c r="B55" s="13"/>
      <c r="C55" s="22" t="s">
        <v>104</v>
      </c>
      <c r="D55" s="26" t="s">
        <v>241</v>
      </c>
      <c r="E55" s="15">
        <v>160</v>
      </c>
      <c r="F55" s="16" t="s">
        <v>168</v>
      </c>
      <c r="G55" s="19">
        <f>50986400+122074800*2</f>
        <v>295136000</v>
      </c>
      <c r="H55" s="42">
        <v>115</v>
      </c>
      <c r="I55" s="16" t="s">
        <v>168</v>
      </c>
      <c r="J55" s="19">
        <v>6180000</v>
      </c>
      <c r="K55" s="15">
        <v>130</v>
      </c>
      <c r="L55" s="47" t="s">
        <v>168</v>
      </c>
      <c r="M55" s="19">
        <v>50986400</v>
      </c>
      <c r="N55" s="15" t="s">
        <v>156</v>
      </c>
      <c r="O55" s="116" t="str">
        <f t="shared" si="1"/>
        <v>buah</v>
      </c>
      <c r="P55" s="19">
        <v>0</v>
      </c>
      <c r="Q55" s="15">
        <v>0</v>
      </c>
      <c r="R55" s="116" t="str">
        <f t="shared" si="2"/>
        <v>buah</v>
      </c>
      <c r="S55" s="19">
        <v>0</v>
      </c>
      <c r="T55" s="15">
        <v>15</v>
      </c>
      <c r="U55" s="116" t="str">
        <f t="shared" si="3"/>
        <v>buah</v>
      </c>
      <c r="V55" s="19">
        <v>9970000</v>
      </c>
      <c r="W55" s="15">
        <v>115</v>
      </c>
      <c r="X55" s="116" t="str">
        <f t="shared" si="4"/>
        <v>buah</v>
      </c>
      <c r="Y55" s="19">
        <v>41016400</v>
      </c>
      <c r="Z55" s="141">
        <f t="shared" si="12"/>
        <v>130</v>
      </c>
      <c r="AA55" s="102" t="str">
        <f t="shared" si="5"/>
        <v>buah</v>
      </c>
      <c r="AB55" s="67">
        <f t="shared" si="6"/>
        <v>100</v>
      </c>
      <c r="AC55" s="32" t="s">
        <v>141</v>
      </c>
      <c r="AD55" s="38">
        <f t="shared" si="7"/>
        <v>50986400</v>
      </c>
      <c r="AE55" s="66">
        <f t="shared" si="8"/>
        <v>100</v>
      </c>
      <c r="AF55" s="32" t="s">
        <v>141</v>
      </c>
      <c r="AG55" s="141">
        <f t="shared" si="9"/>
        <v>245</v>
      </c>
      <c r="AH55" s="102" t="str">
        <f t="shared" si="10"/>
        <v>buah</v>
      </c>
      <c r="AI55" s="38">
        <f t="shared" si="11"/>
        <v>57166400</v>
      </c>
      <c r="AJ55" s="66"/>
      <c r="AK55" s="32" t="s">
        <v>141</v>
      </c>
      <c r="AL55" s="66"/>
      <c r="AM55" s="161"/>
      <c r="AN55" s="146"/>
      <c r="AP55" s="156"/>
    </row>
    <row r="56" spans="1:42" s="148" customFormat="1" ht="111.75" customHeight="1" x14ac:dyDescent="0.25">
      <c r="A56" s="12"/>
      <c r="B56" s="13"/>
      <c r="C56" s="91" t="s">
        <v>106</v>
      </c>
      <c r="D56" s="91" t="s">
        <v>242</v>
      </c>
      <c r="E56" s="94">
        <v>100</v>
      </c>
      <c r="F56" s="95" t="s">
        <v>141</v>
      </c>
      <c r="G56" s="39">
        <f>G57</f>
        <v>162062400</v>
      </c>
      <c r="H56" s="94">
        <v>100</v>
      </c>
      <c r="I56" s="95" t="s">
        <v>141</v>
      </c>
      <c r="J56" s="39">
        <f>J57</f>
        <v>13214250</v>
      </c>
      <c r="K56" s="94">
        <v>100</v>
      </c>
      <c r="L56" s="95" t="s">
        <v>141</v>
      </c>
      <c r="M56" s="39">
        <f>M57</f>
        <v>25262400</v>
      </c>
      <c r="N56" s="43">
        <f>4/4*100</f>
        <v>100</v>
      </c>
      <c r="O56" s="83" t="str">
        <f t="shared" si="1"/>
        <v>%</v>
      </c>
      <c r="P56" s="39">
        <f>P57</f>
        <v>0</v>
      </c>
      <c r="Q56" s="43">
        <f>8/8*100</f>
        <v>100</v>
      </c>
      <c r="R56" s="83" t="str">
        <f t="shared" si="2"/>
        <v>%</v>
      </c>
      <c r="S56" s="39">
        <f>S57</f>
        <v>7312400</v>
      </c>
      <c r="T56" s="43">
        <f>3/3*100</f>
        <v>100</v>
      </c>
      <c r="U56" s="83" t="str">
        <f t="shared" si="3"/>
        <v>%</v>
      </c>
      <c r="V56" s="39">
        <f>V57</f>
        <v>3508000</v>
      </c>
      <c r="W56" s="43">
        <f>3/3*100</f>
        <v>100</v>
      </c>
      <c r="X56" s="83" t="str">
        <f t="shared" si="4"/>
        <v>%</v>
      </c>
      <c r="Y56" s="39">
        <f>Y57</f>
        <v>9450000</v>
      </c>
      <c r="Z56" s="144">
        <f>Q56</f>
        <v>100</v>
      </c>
      <c r="AA56" s="105" t="str">
        <f t="shared" si="5"/>
        <v>%</v>
      </c>
      <c r="AB56" s="110">
        <f t="shared" si="6"/>
        <v>100</v>
      </c>
      <c r="AC56" s="78" t="s">
        <v>141</v>
      </c>
      <c r="AD56" s="73">
        <f t="shared" si="7"/>
        <v>20270400</v>
      </c>
      <c r="AE56" s="74">
        <f t="shared" si="8"/>
        <v>80.239407182215473</v>
      </c>
      <c r="AF56" s="78" t="s">
        <v>141</v>
      </c>
      <c r="AG56" s="144">
        <f t="shared" si="9"/>
        <v>200</v>
      </c>
      <c r="AH56" s="105" t="str">
        <f t="shared" si="10"/>
        <v>%</v>
      </c>
      <c r="AI56" s="73">
        <f t="shared" si="11"/>
        <v>33484650</v>
      </c>
      <c r="AJ56" s="74"/>
      <c r="AK56" s="78" t="s">
        <v>141</v>
      </c>
      <c r="AL56" s="74"/>
      <c r="AM56" s="173"/>
      <c r="AN56" s="146"/>
      <c r="AP56" s="156"/>
    </row>
    <row r="57" spans="1:42" s="148" customFormat="1" ht="126" x14ac:dyDescent="0.25">
      <c r="A57" s="12"/>
      <c r="B57" s="13"/>
      <c r="C57" s="91" t="s">
        <v>107</v>
      </c>
      <c r="D57" s="14" t="s">
        <v>229</v>
      </c>
      <c r="E57" s="94">
        <v>100</v>
      </c>
      <c r="F57" s="95" t="s">
        <v>141</v>
      </c>
      <c r="G57" s="39">
        <f>SUM(G58:G59)</f>
        <v>162062400</v>
      </c>
      <c r="H57" s="94">
        <v>100</v>
      </c>
      <c r="I57" s="95" t="s">
        <v>141</v>
      </c>
      <c r="J57" s="39">
        <f>SUM(J58:J59)</f>
        <v>13214250</v>
      </c>
      <c r="K57" s="43">
        <v>100</v>
      </c>
      <c r="L57" s="99" t="s">
        <v>141</v>
      </c>
      <c r="M57" s="39">
        <f>SUM(M58:M59)</f>
        <v>25262400</v>
      </c>
      <c r="N57" s="43">
        <f>4/4*100</f>
        <v>100</v>
      </c>
      <c r="O57" s="83" t="str">
        <f t="shared" si="1"/>
        <v>%</v>
      </c>
      <c r="P57" s="39">
        <f>SUM(P58:P59)</f>
        <v>0</v>
      </c>
      <c r="Q57" s="43">
        <f>8/8*100</f>
        <v>100</v>
      </c>
      <c r="R57" s="83" t="str">
        <f t="shared" si="2"/>
        <v>%</v>
      </c>
      <c r="S57" s="39">
        <f>SUM(S58:S59)</f>
        <v>7312400</v>
      </c>
      <c r="T57" s="43">
        <f>3/3*100</f>
        <v>100</v>
      </c>
      <c r="U57" s="83" t="str">
        <f t="shared" si="3"/>
        <v>%</v>
      </c>
      <c r="V57" s="39">
        <f>SUM(V58:V59)</f>
        <v>3508000</v>
      </c>
      <c r="W57" s="43">
        <f>3/3*100</f>
        <v>100</v>
      </c>
      <c r="X57" s="83" t="str">
        <f t="shared" si="4"/>
        <v>%</v>
      </c>
      <c r="Y57" s="39">
        <f>SUM(Y58:Y59)</f>
        <v>9450000</v>
      </c>
      <c r="Z57" s="140">
        <f>AVERAGE(N57,Q57,T57,W57)</f>
        <v>100</v>
      </c>
      <c r="AA57" s="101" t="str">
        <f t="shared" si="5"/>
        <v>%</v>
      </c>
      <c r="AB57" s="68">
        <f t="shared" si="6"/>
        <v>100</v>
      </c>
      <c r="AC57" s="71" t="s">
        <v>141</v>
      </c>
      <c r="AD57" s="75">
        <f t="shared" si="7"/>
        <v>20270400</v>
      </c>
      <c r="AE57" s="70">
        <f t="shared" si="8"/>
        <v>80.239407182215473</v>
      </c>
      <c r="AF57" s="71" t="s">
        <v>141</v>
      </c>
      <c r="AG57" s="140">
        <f t="shared" si="9"/>
        <v>200</v>
      </c>
      <c r="AH57" s="101" t="str">
        <f t="shared" si="10"/>
        <v>%</v>
      </c>
      <c r="AI57" s="75">
        <f t="shared" si="11"/>
        <v>33484650</v>
      </c>
      <c r="AJ57" s="70"/>
      <c r="AK57" s="71" t="s">
        <v>141</v>
      </c>
      <c r="AL57" s="70"/>
      <c r="AM57" s="161"/>
      <c r="AN57" s="146"/>
      <c r="AP57" s="156"/>
    </row>
    <row r="58" spans="1:42" s="148" customFormat="1" ht="150" x14ac:dyDescent="0.25">
      <c r="A58" s="12"/>
      <c r="B58" s="13"/>
      <c r="C58" s="22" t="s">
        <v>108</v>
      </c>
      <c r="D58" s="26" t="s">
        <v>243</v>
      </c>
      <c r="E58" s="15">
        <v>12</v>
      </c>
      <c r="F58" s="47" t="s">
        <v>231</v>
      </c>
      <c r="G58" s="19">
        <f>17700000+68400000*2</f>
        <v>154500000</v>
      </c>
      <c r="H58" s="15">
        <v>12</v>
      </c>
      <c r="I58" s="47" t="s">
        <v>231</v>
      </c>
      <c r="J58" s="19">
        <v>13214250</v>
      </c>
      <c r="K58" s="15">
        <v>12</v>
      </c>
      <c r="L58" s="47" t="s">
        <v>231</v>
      </c>
      <c r="M58" s="19">
        <v>17700000</v>
      </c>
      <c r="N58" s="15">
        <v>3</v>
      </c>
      <c r="O58" s="115" t="str">
        <f t="shared" si="1"/>
        <v>bulan</v>
      </c>
      <c r="P58" s="19">
        <v>0</v>
      </c>
      <c r="Q58" s="15">
        <v>3</v>
      </c>
      <c r="R58" s="115" t="str">
        <f t="shared" si="2"/>
        <v>bulan</v>
      </c>
      <c r="S58" s="19">
        <v>1350000</v>
      </c>
      <c r="T58" s="15">
        <v>3</v>
      </c>
      <c r="U58" s="115" t="str">
        <f t="shared" si="3"/>
        <v>bulan</v>
      </c>
      <c r="V58" s="19">
        <v>2708000</v>
      </c>
      <c r="W58" s="15">
        <v>3</v>
      </c>
      <c r="X58" s="115" t="str">
        <f t="shared" si="4"/>
        <v>bulan</v>
      </c>
      <c r="Y58" s="19">
        <v>9450000</v>
      </c>
      <c r="Z58" s="141">
        <f t="shared" si="12"/>
        <v>12</v>
      </c>
      <c r="AA58" s="102" t="str">
        <f t="shared" si="5"/>
        <v>bulan</v>
      </c>
      <c r="AB58" s="67">
        <f t="shared" si="6"/>
        <v>100</v>
      </c>
      <c r="AC58" s="32" t="s">
        <v>141</v>
      </c>
      <c r="AD58" s="38">
        <f t="shared" si="7"/>
        <v>13508000</v>
      </c>
      <c r="AE58" s="66">
        <f t="shared" si="8"/>
        <v>76.316384180790962</v>
      </c>
      <c r="AF58" s="32" t="s">
        <v>141</v>
      </c>
      <c r="AG58" s="141">
        <f t="shared" si="9"/>
        <v>24</v>
      </c>
      <c r="AH58" s="102" t="str">
        <f t="shared" si="10"/>
        <v>bulan</v>
      </c>
      <c r="AI58" s="38">
        <f t="shared" si="11"/>
        <v>26722250</v>
      </c>
      <c r="AJ58" s="66"/>
      <c r="AK58" s="32" t="s">
        <v>141</v>
      </c>
      <c r="AL58" s="66"/>
      <c r="AM58" s="161"/>
      <c r="AN58" s="146"/>
      <c r="AP58" s="156"/>
    </row>
    <row r="59" spans="1:42" s="148" customFormat="1" ht="136.5" customHeight="1" x14ac:dyDescent="0.25">
      <c r="A59" s="12"/>
      <c r="B59" s="13"/>
      <c r="C59" s="22" t="s">
        <v>109</v>
      </c>
      <c r="D59" s="26" t="s">
        <v>172</v>
      </c>
      <c r="E59" s="15">
        <v>2</v>
      </c>
      <c r="F59" s="47" t="s">
        <v>168</v>
      </c>
      <c r="G59" s="19">
        <v>7562400</v>
      </c>
      <c r="H59" s="42"/>
      <c r="I59" s="16"/>
      <c r="J59" s="19">
        <v>0</v>
      </c>
      <c r="K59" s="15">
        <v>2</v>
      </c>
      <c r="L59" s="47" t="s">
        <v>168</v>
      </c>
      <c r="M59" s="19">
        <v>7562400</v>
      </c>
      <c r="N59" s="15">
        <v>0</v>
      </c>
      <c r="O59" s="115" t="str">
        <f t="shared" si="1"/>
        <v>buah</v>
      </c>
      <c r="P59" s="19">
        <v>0</v>
      </c>
      <c r="Q59" s="15">
        <v>1</v>
      </c>
      <c r="R59" s="115" t="str">
        <f t="shared" si="2"/>
        <v>buah</v>
      </c>
      <c r="S59" s="19">
        <v>5962400</v>
      </c>
      <c r="T59" s="15">
        <v>0</v>
      </c>
      <c r="U59" s="115" t="str">
        <f t="shared" si="3"/>
        <v>buah</v>
      </c>
      <c r="V59" s="19">
        <v>800000</v>
      </c>
      <c r="W59" s="15">
        <v>1</v>
      </c>
      <c r="X59" s="115" t="str">
        <f t="shared" si="4"/>
        <v>buah</v>
      </c>
      <c r="Y59" s="19">
        <v>0</v>
      </c>
      <c r="Z59" s="141">
        <f t="shared" si="12"/>
        <v>2</v>
      </c>
      <c r="AA59" s="102" t="str">
        <f t="shared" si="5"/>
        <v>buah</v>
      </c>
      <c r="AB59" s="67">
        <f t="shared" si="6"/>
        <v>100</v>
      </c>
      <c r="AC59" s="32" t="s">
        <v>141</v>
      </c>
      <c r="AD59" s="38">
        <f t="shared" si="7"/>
        <v>6762400</v>
      </c>
      <c r="AE59" s="66">
        <f t="shared" si="8"/>
        <v>89.421347720300432</v>
      </c>
      <c r="AF59" s="32" t="s">
        <v>141</v>
      </c>
      <c r="AG59" s="141">
        <f t="shared" si="9"/>
        <v>2</v>
      </c>
      <c r="AH59" s="102" t="str">
        <f t="shared" si="10"/>
        <v>buah</v>
      </c>
      <c r="AI59" s="38">
        <f t="shared" si="11"/>
        <v>6762400</v>
      </c>
      <c r="AJ59" s="66"/>
      <c r="AK59" s="32" t="s">
        <v>141</v>
      </c>
      <c r="AL59" s="66"/>
      <c r="AM59" s="161"/>
      <c r="AN59" s="146"/>
      <c r="AP59" s="156"/>
    </row>
    <row r="60" spans="1:42" s="148" customFormat="1" ht="114.75" customHeight="1" x14ac:dyDescent="0.25">
      <c r="A60" s="12"/>
      <c r="B60" s="13"/>
      <c r="C60" s="91" t="s">
        <v>113</v>
      </c>
      <c r="D60" s="178" t="s">
        <v>244</v>
      </c>
      <c r="E60" s="45">
        <f>4069/8036*100</f>
        <v>50.63464410154306</v>
      </c>
      <c r="F60" s="99" t="s">
        <v>141</v>
      </c>
      <c r="G60" s="40">
        <f>G61+G63</f>
        <v>171235600</v>
      </c>
      <c r="H60" s="45">
        <f>1055/8036*100</f>
        <v>13.128422100547535</v>
      </c>
      <c r="I60" s="99" t="s">
        <v>141</v>
      </c>
      <c r="J60" s="40">
        <f>J61+J63</f>
        <v>11531000</v>
      </c>
      <c r="K60" s="162">
        <f>(H62+K62)/8036*100</f>
        <v>24.776007964161273</v>
      </c>
      <c r="L60" s="99" t="s">
        <v>141</v>
      </c>
      <c r="M60" s="40">
        <f>M61+M63</f>
        <v>28178100</v>
      </c>
      <c r="N60" s="54">
        <v>0</v>
      </c>
      <c r="O60" s="83" t="str">
        <f t="shared" si="1"/>
        <v>%</v>
      </c>
      <c r="P60" s="40">
        <f>P61+P63</f>
        <v>0</v>
      </c>
      <c r="Q60" s="45">
        <v>0</v>
      </c>
      <c r="R60" s="83" t="str">
        <f t="shared" si="2"/>
        <v>%</v>
      </c>
      <c r="S60" s="40">
        <f>S61+S63</f>
        <v>7700000</v>
      </c>
      <c r="T60" s="43">
        <f>T62/8036*100</f>
        <v>11.647585863613738</v>
      </c>
      <c r="U60" s="83" t="str">
        <f t="shared" si="3"/>
        <v>%</v>
      </c>
      <c r="V60" s="40">
        <f>V61+V63</f>
        <v>17344800</v>
      </c>
      <c r="W60" s="43">
        <f>W62/8036*100</f>
        <v>0</v>
      </c>
      <c r="X60" s="83" t="str">
        <f t="shared" si="4"/>
        <v>%</v>
      </c>
      <c r="Y60" s="40">
        <f>Y61+Y63</f>
        <v>0</v>
      </c>
      <c r="Z60" s="163">
        <f t="shared" si="12"/>
        <v>11.647585863613738</v>
      </c>
      <c r="AA60" s="101" t="str">
        <f t="shared" si="5"/>
        <v>%</v>
      </c>
      <c r="AB60" s="68">
        <f>AG60/K60*100</f>
        <v>100</v>
      </c>
      <c r="AC60" s="71" t="s">
        <v>141</v>
      </c>
      <c r="AD60" s="75">
        <f t="shared" si="7"/>
        <v>25044800</v>
      </c>
      <c r="AE60" s="70">
        <f t="shared" si="8"/>
        <v>88.880371636128757</v>
      </c>
      <c r="AF60" s="71" t="s">
        <v>141</v>
      </c>
      <c r="AG60" s="163">
        <f t="shared" si="9"/>
        <v>24.776007964161273</v>
      </c>
      <c r="AH60" s="101" t="str">
        <f t="shared" si="10"/>
        <v>%</v>
      </c>
      <c r="AI60" s="75">
        <f t="shared" si="11"/>
        <v>36575800</v>
      </c>
      <c r="AJ60" s="70"/>
      <c r="AK60" s="71" t="s">
        <v>141</v>
      </c>
      <c r="AL60" s="70"/>
      <c r="AM60" s="161"/>
      <c r="AN60" s="146"/>
      <c r="AP60" s="156"/>
    </row>
    <row r="61" spans="1:42" s="148" customFormat="1" ht="190.5" customHeight="1" x14ac:dyDescent="0.25">
      <c r="A61" s="12"/>
      <c r="B61" s="13"/>
      <c r="C61" s="91" t="s">
        <v>114</v>
      </c>
      <c r="D61" s="178" t="s">
        <v>245</v>
      </c>
      <c r="E61" s="45">
        <f>16/87*100</f>
        <v>18.390804597701148</v>
      </c>
      <c r="F61" s="99" t="s">
        <v>141</v>
      </c>
      <c r="G61" s="40">
        <f>SUM(G62)</f>
        <v>104088700</v>
      </c>
      <c r="H61" s="45">
        <f>2/87*100</f>
        <v>2.2988505747126435</v>
      </c>
      <c r="I61" s="44" t="s">
        <v>141</v>
      </c>
      <c r="J61" s="40">
        <f>SUM(J62)</f>
        <v>11531000</v>
      </c>
      <c r="K61" s="162">
        <f>4/87*100</f>
        <v>4.5977011494252871</v>
      </c>
      <c r="L61" s="99" t="s">
        <v>141</v>
      </c>
      <c r="M61" s="40">
        <f>SUM(M62)</f>
        <v>12130800</v>
      </c>
      <c r="N61" s="43">
        <v>0</v>
      </c>
      <c r="O61" s="114" t="str">
        <f t="shared" si="1"/>
        <v>%</v>
      </c>
      <c r="P61" s="40">
        <f>SUM(P62)</f>
        <v>0</v>
      </c>
      <c r="Q61" s="43">
        <v>0</v>
      </c>
      <c r="R61" s="114" t="str">
        <f t="shared" si="2"/>
        <v>%</v>
      </c>
      <c r="S61" s="40">
        <f>SUM(S62)</f>
        <v>0</v>
      </c>
      <c r="T61" s="45">
        <f>2/87*100</f>
        <v>2.2988505747126435</v>
      </c>
      <c r="U61" s="114" t="str">
        <f t="shared" si="3"/>
        <v>%</v>
      </c>
      <c r="V61" s="40">
        <f>SUM(V62)</f>
        <v>9014800</v>
      </c>
      <c r="W61" s="45">
        <f>2/87*100</f>
        <v>2.2988505747126435</v>
      </c>
      <c r="X61" s="114" t="str">
        <f t="shared" si="4"/>
        <v>%</v>
      </c>
      <c r="Y61" s="40">
        <f>SUM(Y62)</f>
        <v>0</v>
      </c>
      <c r="Z61" s="163">
        <f t="shared" si="12"/>
        <v>4.5977011494252871</v>
      </c>
      <c r="AA61" s="101" t="str">
        <f t="shared" si="5"/>
        <v>%</v>
      </c>
      <c r="AB61" s="68">
        <f>AG61/K61*100</f>
        <v>150</v>
      </c>
      <c r="AC61" s="71" t="s">
        <v>141</v>
      </c>
      <c r="AD61" s="75">
        <f t="shared" si="7"/>
        <v>9014800</v>
      </c>
      <c r="AE61" s="70">
        <f t="shared" si="8"/>
        <v>74.313318165331225</v>
      </c>
      <c r="AF61" s="71" t="s">
        <v>141</v>
      </c>
      <c r="AG61" s="163">
        <f t="shared" si="9"/>
        <v>6.8965517241379306</v>
      </c>
      <c r="AH61" s="101" t="str">
        <f t="shared" si="10"/>
        <v>%</v>
      </c>
      <c r="AI61" s="75">
        <f t="shared" si="11"/>
        <v>20545800</v>
      </c>
      <c r="AJ61" s="70"/>
      <c r="AK61" s="71" t="s">
        <v>141</v>
      </c>
      <c r="AL61" s="70"/>
      <c r="AM61" s="161"/>
      <c r="AN61" s="146"/>
      <c r="AP61" s="156"/>
    </row>
    <row r="62" spans="1:42" s="148" customFormat="1" ht="93" customHeight="1" x14ac:dyDescent="0.25">
      <c r="A62" s="12"/>
      <c r="B62" s="13"/>
      <c r="C62" s="22" t="s">
        <v>115</v>
      </c>
      <c r="D62" s="90" t="s">
        <v>246</v>
      </c>
      <c r="E62" s="141">
        <v>1515</v>
      </c>
      <c r="F62" s="47" t="s">
        <v>209</v>
      </c>
      <c r="G62" s="19">
        <f>12130800+45978950*2</f>
        <v>104088700</v>
      </c>
      <c r="H62" s="141">
        <v>1055</v>
      </c>
      <c r="I62" s="16" t="s">
        <v>209</v>
      </c>
      <c r="J62" s="19">
        <v>11531000</v>
      </c>
      <c r="K62" s="15">
        <v>936</v>
      </c>
      <c r="L62" s="47" t="s">
        <v>209</v>
      </c>
      <c r="M62" s="19">
        <v>12130800</v>
      </c>
      <c r="N62" s="15">
        <v>0</v>
      </c>
      <c r="O62" s="116" t="str">
        <f t="shared" si="1"/>
        <v>orang</v>
      </c>
      <c r="P62" s="19">
        <v>0</v>
      </c>
      <c r="Q62" s="15">
        <v>0</v>
      </c>
      <c r="R62" s="116" t="str">
        <f t="shared" si="2"/>
        <v>orang</v>
      </c>
      <c r="S62" s="19">
        <v>0</v>
      </c>
      <c r="T62" s="15">
        <v>936</v>
      </c>
      <c r="U62" s="116" t="str">
        <f t="shared" si="3"/>
        <v>orang</v>
      </c>
      <c r="V62" s="19">
        <v>9014800</v>
      </c>
      <c r="W62" s="15">
        <v>0</v>
      </c>
      <c r="X62" s="116" t="str">
        <f t="shared" si="4"/>
        <v>orang</v>
      </c>
      <c r="Y62" s="19">
        <v>0</v>
      </c>
      <c r="Z62" s="141">
        <f t="shared" si="12"/>
        <v>936</v>
      </c>
      <c r="AA62" s="102" t="str">
        <f t="shared" si="5"/>
        <v>orang</v>
      </c>
      <c r="AB62" s="67">
        <f t="shared" si="6"/>
        <v>100</v>
      </c>
      <c r="AC62" s="32" t="s">
        <v>141</v>
      </c>
      <c r="AD62" s="38">
        <f t="shared" si="7"/>
        <v>9014800</v>
      </c>
      <c r="AE62" s="66">
        <f t="shared" si="8"/>
        <v>74.313318165331225</v>
      </c>
      <c r="AF62" s="32" t="s">
        <v>141</v>
      </c>
      <c r="AG62" s="141">
        <f t="shared" si="9"/>
        <v>1991</v>
      </c>
      <c r="AH62" s="102" t="str">
        <f t="shared" si="10"/>
        <v>orang</v>
      </c>
      <c r="AI62" s="38">
        <f t="shared" si="11"/>
        <v>20545800</v>
      </c>
      <c r="AJ62" s="66"/>
      <c r="AK62" s="32" t="s">
        <v>141</v>
      </c>
      <c r="AL62" s="66"/>
      <c r="AM62" s="161"/>
      <c r="AN62" s="146"/>
      <c r="AP62" s="156"/>
    </row>
    <row r="63" spans="1:42" s="148" customFormat="1" ht="94.5" x14ac:dyDescent="0.25">
      <c r="A63" s="12"/>
      <c r="B63" s="13"/>
      <c r="C63" s="91" t="s">
        <v>116</v>
      </c>
      <c r="D63" s="178" t="s">
        <v>247</v>
      </c>
      <c r="E63" s="43">
        <f>22/22*100</f>
        <v>100</v>
      </c>
      <c r="F63" s="99" t="s">
        <v>141</v>
      </c>
      <c r="G63" s="40">
        <f>SUM(G64)</f>
        <v>67146900</v>
      </c>
      <c r="H63" s="45">
        <f>6/22*100</f>
        <v>27.27272727272727</v>
      </c>
      <c r="I63" s="44" t="s">
        <v>141</v>
      </c>
      <c r="J63" s="40">
        <f>SUM(J64)</f>
        <v>0</v>
      </c>
      <c r="K63" s="162">
        <f>10/22*100</f>
        <v>45.454545454545453</v>
      </c>
      <c r="L63" s="99" t="s">
        <v>141</v>
      </c>
      <c r="M63" s="40">
        <f>SUM(M64)</f>
        <v>16047300</v>
      </c>
      <c r="N63" s="43">
        <v>0</v>
      </c>
      <c r="O63" s="114" t="str">
        <f t="shared" si="1"/>
        <v>%</v>
      </c>
      <c r="P63" s="40">
        <f>SUM(P64)</f>
        <v>0</v>
      </c>
      <c r="Q63" s="45">
        <f>4/22*100</f>
        <v>18.181818181818183</v>
      </c>
      <c r="R63" s="114" t="str">
        <f t="shared" si="2"/>
        <v>%</v>
      </c>
      <c r="S63" s="40">
        <f>SUM(S64)</f>
        <v>7700000</v>
      </c>
      <c r="T63" s="45">
        <v>0</v>
      </c>
      <c r="U63" s="114" t="str">
        <f t="shared" si="3"/>
        <v>%</v>
      </c>
      <c r="V63" s="40">
        <f>SUM(V64)</f>
        <v>8330000</v>
      </c>
      <c r="W63" s="45">
        <v>0</v>
      </c>
      <c r="X63" s="114" t="str">
        <f t="shared" si="4"/>
        <v>%</v>
      </c>
      <c r="Y63" s="40">
        <f>SUM(Y64)</f>
        <v>0</v>
      </c>
      <c r="Z63" s="163">
        <f t="shared" si="12"/>
        <v>18.181818181818183</v>
      </c>
      <c r="AA63" s="101" t="str">
        <f t="shared" si="5"/>
        <v>%</v>
      </c>
      <c r="AB63" s="68">
        <f>AG63/K63*100</f>
        <v>100</v>
      </c>
      <c r="AC63" s="71" t="s">
        <v>141</v>
      </c>
      <c r="AD63" s="75">
        <f t="shared" si="7"/>
        <v>16030000</v>
      </c>
      <c r="AE63" s="70">
        <f>AD63/M63*100</f>
        <v>99.892193702367365</v>
      </c>
      <c r="AF63" s="71" t="s">
        <v>141</v>
      </c>
      <c r="AG63" s="163">
        <f>SUM(H63,Z63)</f>
        <v>45.454545454545453</v>
      </c>
      <c r="AH63" s="101" t="str">
        <f t="shared" si="10"/>
        <v>%</v>
      </c>
      <c r="AI63" s="75">
        <f t="shared" si="11"/>
        <v>16030000</v>
      </c>
      <c r="AJ63" s="70"/>
      <c r="AK63" s="71" t="s">
        <v>141</v>
      </c>
      <c r="AL63" s="70"/>
      <c r="AM63" s="161"/>
      <c r="AN63" s="146"/>
      <c r="AP63" s="156"/>
    </row>
    <row r="64" spans="1:42" s="148" customFormat="1" ht="126" customHeight="1" x14ac:dyDescent="0.25">
      <c r="A64" s="12"/>
      <c r="B64" s="13"/>
      <c r="C64" s="127" t="s">
        <v>117</v>
      </c>
      <c r="D64" s="90" t="s">
        <v>248</v>
      </c>
      <c r="E64" s="15">
        <v>22</v>
      </c>
      <c r="F64" s="47" t="s">
        <v>168</v>
      </c>
      <c r="G64" s="93">
        <f>16047300+25549800*2</f>
        <v>67146900</v>
      </c>
      <c r="H64" s="42">
        <v>6</v>
      </c>
      <c r="I64" s="16" t="s">
        <v>168</v>
      </c>
      <c r="J64" s="93">
        <v>0</v>
      </c>
      <c r="K64" s="15">
        <v>4</v>
      </c>
      <c r="L64" s="47" t="s">
        <v>168</v>
      </c>
      <c r="M64" s="93">
        <v>16047300</v>
      </c>
      <c r="N64" s="15">
        <v>0</v>
      </c>
      <c r="O64" s="116" t="str">
        <f t="shared" si="1"/>
        <v>buah</v>
      </c>
      <c r="P64" s="93">
        <v>0</v>
      </c>
      <c r="Q64" s="15">
        <v>4</v>
      </c>
      <c r="R64" s="116" t="str">
        <f t="shared" si="2"/>
        <v>buah</v>
      </c>
      <c r="S64" s="93">
        <v>7700000</v>
      </c>
      <c r="T64" s="15">
        <v>0</v>
      </c>
      <c r="U64" s="116" t="str">
        <f t="shared" si="3"/>
        <v>buah</v>
      </c>
      <c r="V64" s="93">
        <v>8330000</v>
      </c>
      <c r="W64" s="15">
        <v>0</v>
      </c>
      <c r="X64" s="116" t="str">
        <f t="shared" si="4"/>
        <v>buah</v>
      </c>
      <c r="Y64" s="93">
        <v>0</v>
      </c>
      <c r="Z64" s="141">
        <f t="shared" si="12"/>
        <v>4</v>
      </c>
      <c r="AA64" s="102" t="str">
        <f t="shared" si="5"/>
        <v>buah</v>
      </c>
      <c r="AB64" s="67">
        <f t="shared" si="6"/>
        <v>100</v>
      </c>
      <c r="AC64" s="32" t="s">
        <v>141</v>
      </c>
      <c r="AD64" s="135">
        <f t="shared" si="7"/>
        <v>16030000</v>
      </c>
      <c r="AE64" s="66">
        <f t="shared" si="8"/>
        <v>99.892193702367365</v>
      </c>
      <c r="AF64" s="32" t="s">
        <v>141</v>
      </c>
      <c r="AG64" s="141">
        <f t="shared" si="9"/>
        <v>10</v>
      </c>
      <c r="AH64" s="102" t="str">
        <f t="shared" si="10"/>
        <v>buah</v>
      </c>
      <c r="AI64" s="135">
        <f t="shared" si="11"/>
        <v>16030000</v>
      </c>
      <c r="AJ64" s="66"/>
      <c r="AK64" s="32" t="s">
        <v>141</v>
      </c>
      <c r="AL64" s="66"/>
      <c r="AM64" s="161"/>
      <c r="AN64" s="146"/>
      <c r="AP64" s="156"/>
    </row>
    <row r="65" spans="1:42" s="148" customFormat="1" ht="106.5" customHeight="1" x14ac:dyDescent="0.25">
      <c r="A65" s="12"/>
      <c r="B65" s="13"/>
      <c r="C65" s="49" t="s">
        <v>110</v>
      </c>
      <c r="D65" s="174" t="s">
        <v>249</v>
      </c>
      <c r="E65" s="82">
        <v>69.98</v>
      </c>
      <c r="F65" s="185" t="s">
        <v>141</v>
      </c>
      <c r="G65" s="58">
        <f>G66+G73+G79</f>
        <v>3680319450</v>
      </c>
      <c r="H65" s="186">
        <v>70.540000000000006</v>
      </c>
      <c r="I65" s="131" t="s">
        <v>141</v>
      </c>
      <c r="J65" s="58">
        <f>J66+J73+J79</f>
        <v>2462533965</v>
      </c>
      <c r="K65" s="133">
        <v>71.349999999999994</v>
      </c>
      <c r="L65" s="130" t="s">
        <v>141</v>
      </c>
      <c r="M65" s="58">
        <f>M66+M73+M79</f>
        <v>3173647225</v>
      </c>
      <c r="N65" s="133">
        <v>0</v>
      </c>
      <c r="O65" s="131" t="str">
        <f t="shared" si="1"/>
        <v>%</v>
      </c>
      <c r="P65" s="40">
        <f>P66+P73+P79</f>
        <v>4000000</v>
      </c>
      <c r="Q65" s="133">
        <v>0</v>
      </c>
      <c r="R65" s="189" t="str">
        <f t="shared" si="2"/>
        <v>%</v>
      </c>
      <c r="S65" s="40">
        <f>S66+S73+S79</f>
        <v>331404488</v>
      </c>
      <c r="T65" s="133">
        <v>0</v>
      </c>
      <c r="U65" s="189" t="str">
        <f t="shared" si="3"/>
        <v>%</v>
      </c>
      <c r="V65" s="40">
        <f>V66+V73+V79</f>
        <v>965088293</v>
      </c>
      <c r="W65" s="133">
        <v>0</v>
      </c>
      <c r="X65" s="189" t="str">
        <f t="shared" si="4"/>
        <v>%</v>
      </c>
      <c r="Y65" s="40">
        <f>Y66+Y73+Y79</f>
        <v>861674469</v>
      </c>
      <c r="Z65" s="140">
        <f>SUM(N65,Q65,T65,W65)</f>
        <v>0</v>
      </c>
      <c r="AA65" s="101" t="str">
        <f t="shared" si="5"/>
        <v>%</v>
      </c>
      <c r="AB65" s="68">
        <f>Z65/K65*100</f>
        <v>0</v>
      </c>
      <c r="AC65" s="137" t="s">
        <v>141</v>
      </c>
      <c r="AD65" s="75">
        <f t="shared" si="7"/>
        <v>2162167250</v>
      </c>
      <c r="AE65" s="138">
        <f>AD65/M65*100</f>
        <v>68.128783595347471</v>
      </c>
      <c r="AF65" s="71" t="s">
        <v>141</v>
      </c>
      <c r="AG65" s="163">
        <f>SUM(H65,Z65)</f>
        <v>70.540000000000006</v>
      </c>
      <c r="AH65" s="139" t="str">
        <f t="shared" si="10"/>
        <v>%</v>
      </c>
      <c r="AI65" s="75">
        <f>SUM(J65,AD65)</f>
        <v>4624701215</v>
      </c>
      <c r="AJ65" s="138"/>
      <c r="AK65" s="71" t="s">
        <v>141</v>
      </c>
      <c r="AL65" s="70"/>
      <c r="AM65" s="161"/>
      <c r="AN65" s="146"/>
      <c r="AP65" s="156"/>
    </row>
    <row r="66" spans="1:42" s="148" customFormat="1" ht="155.25" customHeight="1" x14ac:dyDescent="0.25">
      <c r="A66" s="12"/>
      <c r="B66" s="13"/>
      <c r="C66" s="14" t="s">
        <v>111</v>
      </c>
      <c r="D66" s="14" t="s">
        <v>250</v>
      </c>
      <c r="E66" s="43">
        <v>27.15</v>
      </c>
      <c r="F66" s="99" t="s">
        <v>141</v>
      </c>
      <c r="G66" s="40">
        <f>SUM(G67:G70)</f>
        <v>1211315950</v>
      </c>
      <c r="H66" s="45">
        <v>34.869999999999997</v>
      </c>
      <c r="I66" s="131" t="s">
        <v>141</v>
      </c>
      <c r="J66" s="40">
        <f>SUM(J67:J70)</f>
        <v>990189965</v>
      </c>
      <c r="K66" s="43">
        <v>32.08</v>
      </c>
      <c r="L66" s="130" t="s">
        <v>141</v>
      </c>
      <c r="M66" s="40">
        <f>SUM(M67:M70)</f>
        <v>1053118400</v>
      </c>
      <c r="N66" s="45">
        <f>63/9302*1000</f>
        <v>6.7727370457966023</v>
      </c>
      <c r="O66" s="83" t="str">
        <f t="shared" si="1"/>
        <v>%</v>
      </c>
      <c r="P66" s="40">
        <f>SUM(P67:P70)</f>
        <v>4000000</v>
      </c>
      <c r="Q66" s="96">
        <f>66/9302*1000</f>
        <v>7.0952483336916794</v>
      </c>
      <c r="R66" s="187" t="str">
        <f t="shared" si="2"/>
        <v>%</v>
      </c>
      <c r="S66" s="40">
        <f>SUM(S67:S70)</f>
        <v>239598988</v>
      </c>
      <c r="T66" s="96">
        <f>47/9302*1000</f>
        <v>5.0526768436895297</v>
      </c>
      <c r="U66" s="187" t="str">
        <f t="shared" si="3"/>
        <v>%</v>
      </c>
      <c r="V66" s="40">
        <f>SUM(V67:V70)</f>
        <v>546290293</v>
      </c>
      <c r="W66" s="96">
        <v>0</v>
      </c>
      <c r="X66" s="187" t="str">
        <f t="shared" si="4"/>
        <v>%</v>
      </c>
      <c r="Y66" s="40">
        <f>SUM(Y67:Y70)</f>
        <v>214413469</v>
      </c>
      <c r="Z66" s="188">
        <f t="shared" si="12"/>
        <v>18.920662223177811</v>
      </c>
      <c r="AA66" s="105" t="str">
        <f t="shared" si="5"/>
        <v>%</v>
      </c>
      <c r="AB66" s="74">
        <f t="shared" si="6"/>
        <v>58.979620396439557</v>
      </c>
      <c r="AC66" s="78" t="s">
        <v>141</v>
      </c>
      <c r="AD66" s="73">
        <f t="shared" si="7"/>
        <v>1004302750</v>
      </c>
      <c r="AE66" s="74">
        <f t="shared" si="8"/>
        <v>95.364657003429059</v>
      </c>
      <c r="AF66" s="78" t="s">
        <v>141</v>
      </c>
      <c r="AG66" s="188">
        <f t="shared" si="9"/>
        <v>53.790662223177804</v>
      </c>
      <c r="AH66" s="105" t="str">
        <f t="shared" si="10"/>
        <v>%</v>
      </c>
      <c r="AI66" s="73">
        <f t="shared" si="11"/>
        <v>1994492715</v>
      </c>
      <c r="AJ66" s="70"/>
      <c r="AK66" s="71" t="s">
        <v>141</v>
      </c>
      <c r="AL66" s="70"/>
      <c r="AM66" s="161"/>
      <c r="AN66" s="146"/>
      <c r="AP66" s="156"/>
    </row>
    <row r="67" spans="1:42" s="148" customFormat="1" ht="60" x14ac:dyDescent="0.25">
      <c r="A67" s="12"/>
      <c r="B67" s="13"/>
      <c r="C67" s="22" t="s">
        <v>112</v>
      </c>
      <c r="D67" s="26" t="s">
        <v>251</v>
      </c>
      <c r="E67" s="15">
        <v>9</v>
      </c>
      <c r="F67" s="47" t="s">
        <v>252</v>
      </c>
      <c r="G67" s="19">
        <f>49157400+79098775*2</f>
        <v>207354950</v>
      </c>
      <c r="H67" s="15">
        <v>9</v>
      </c>
      <c r="I67" s="47" t="s">
        <v>252</v>
      </c>
      <c r="J67" s="19">
        <v>24322000</v>
      </c>
      <c r="K67" s="15">
        <v>9</v>
      </c>
      <c r="L67" s="47" t="s">
        <v>252</v>
      </c>
      <c r="M67" s="19">
        <v>49157400</v>
      </c>
      <c r="N67" s="15">
        <v>0</v>
      </c>
      <c r="O67" s="115" t="str">
        <f t="shared" si="1"/>
        <v>institusi</v>
      </c>
      <c r="P67" s="19">
        <v>0</v>
      </c>
      <c r="Q67" s="15">
        <v>9</v>
      </c>
      <c r="R67" s="115" t="str">
        <f t="shared" si="2"/>
        <v>institusi</v>
      </c>
      <c r="S67" s="19">
        <v>0</v>
      </c>
      <c r="T67" s="15">
        <v>0</v>
      </c>
      <c r="U67" s="115" t="str">
        <f t="shared" si="3"/>
        <v>institusi</v>
      </c>
      <c r="V67" s="19">
        <v>5045000</v>
      </c>
      <c r="W67" s="15">
        <v>0</v>
      </c>
      <c r="X67" s="115" t="str">
        <f t="shared" si="4"/>
        <v>institusi</v>
      </c>
      <c r="Y67" s="19">
        <v>22123750</v>
      </c>
      <c r="Z67" s="141">
        <f t="shared" si="12"/>
        <v>9</v>
      </c>
      <c r="AA67" s="102" t="str">
        <f t="shared" si="5"/>
        <v>institusi</v>
      </c>
      <c r="AB67" s="67">
        <f t="shared" si="6"/>
        <v>100</v>
      </c>
      <c r="AC67" s="32" t="s">
        <v>141</v>
      </c>
      <c r="AD67" s="38">
        <f t="shared" si="7"/>
        <v>27168750</v>
      </c>
      <c r="AE67" s="66">
        <f t="shared" si="8"/>
        <v>55.268891357150707</v>
      </c>
      <c r="AF67" s="32" t="s">
        <v>141</v>
      </c>
      <c r="AG67" s="141">
        <f t="shared" si="9"/>
        <v>18</v>
      </c>
      <c r="AH67" s="102" t="str">
        <f t="shared" si="10"/>
        <v>institusi</v>
      </c>
      <c r="AI67" s="38">
        <f t="shared" si="11"/>
        <v>51490750</v>
      </c>
      <c r="AJ67" s="66"/>
      <c r="AK67" s="32" t="s">
        <v>141</v>
      </c>
      <c r="AL67" s="66"/>
      <c r="AM67" s="161"/>
      <c r="AN67" s="146"/>
      <c r="AP67" s="156"/>
    </row>
    <row r="68" spans="1:42" s="148" customFormat="1" ht="75" x14ac:dyDescent="0.25">
      <c r="A68" s="12"/>
      <c r="B68" s="13"/>
      <c r="C68" s="22" t="s">
        <v>144</v>
      </c>
      <c r="D68" s="26" t="s">
        <v>175</v>
      </c>
      <c r="E68" s="15">
        <v>11</v>
      </c>
      <c r="F68" s="47" t="s">
        <v>168</v>
      </c>
      <c r="G68" s="19">
        <v>168187000</v>
      </c>
      <c r="H68" s="15">
        <v>11</v>
      </c>
      <c r="I68" s="47" t="s">
        <v>168</v>
      </c>
      <c r="J68" s="19">
        <v>118959400</v>
      </c>
      <c r="K68" s="15">
        <f>3+3+3+2</f>
        <v>11</v>
      </c>
      <c r="L68" s="47" t="s">
        <v>168</v>
      </c>
      <c r="M68" s="19">
        <v>168187000</v>
      </c>
      <c r="N68" s="15">
        <v>3</v>
      </c>
      <c r="O68" s="115" t="str">
        <f t="shared" si="1"/>
        <v>buah</v>
      </c>
      <c r="P68" s="19">
        <v>4000000</v>
      </c>
      <c r="Q68" s="15">
        <v>3</v>
      </c>
      <c r="R68" s="115" t="str">
        <f t="shared" si="2"/>
        <v>buah</v>
      </c>
      <c r="S68" s="19">
        <f>36174000-P68</f>
        <v>32174000</v>
      </c>
      <c r="T68" s="15">
        <v>3</v>
      </c>
      <c r="U68" s="115" t="str">
        <f t="shared" si="3"/>
        <v>buah</v>
      </c>
      <c r="V68" s="19">
        <v>37935000</v>
      </c>
      <c r="W68" s="15">
        <v>2</v>
      </c>
      <c r="X68" s="115" t="str">
        <f t="shared" si="4"/>
        <v>buah</v>
      </c>
      <c r="Y68" s="19">
        <v>69073000</v>
      </c>
      <c r="Z68" s="141">
        <f t="shared" si="12"/>
        <v>11</v>
      </c>
      <c r="AA68" s="102" t="str">
        <f t="shared" si="5"/>
        <v>buah</v>
      </c>
      <c r="AB68" s="67">
        <f t="shared" si="6"/>
        <v>100</v>
      </c>
      <c r="AC68" s="32" t="s">
        <v>141</v>
      </c>
      <c r="AD68" s="38">
        <f t="shared" si="7"/>
        <v>143182000</v>
      </c>
      <c r="AE68" s="66">
        <f t="shared" si="8"/>
        <v>85.132620238187258</v>
      </c>
      <c r="AF68" s="32" t="s">
        <v>141</v>
      </c>
      <c r="AG68" s="141">
        <f t="shared" si="9"/>
        <v>22</v>
      </c>
      <c r="AH68" s="102" t="str">
        <f t="shared" si="10"/>
        <v>buah</v>
      </c>
      <c r="AI68" s="38">
        <f t="shared" si="11"/>
        <v>262141400</v>
      </c>
      <c r="AJ68" s="66"/>
      <c r="AK68" s="32" t="s">
        <v>141</v>
      </c>
      <c r="AL68" s="66"/>
      <c r="AM68" s="161"/>
      <c r="AN68" s="146"/>
      <c r="AP68" s="156"/>
    </row>
    <row r="69" spans="1:42" s="148" customFormat="1" ht="84" customHeight="1" x14ac:dyDescent="0.25">
      <c r="A69" s="12"/>
      <c r="B69" s="13"/>
      <c r="C69" s="22" t="s">
        <v>145</v>
      </c>
      <c r="D69" s="26" t="s">
        <v>177</v>
      </c>
      <c r="E69" s="15">
        <v>11</v>
      </c>
      <c r="F69" s="47" t="s">
        <v>188</v>
      </c>
      <c r="G69" s="19">
        <v>810084000</v>
      </c>
      <c r="H69" s="15">
        <v>11</v>
      </c>
      <c r="I69" s="47" t="s">
        <v>188</v>
      </c>
      <c r="J69" s="19">
        <v>846908565</v>
      </c>
      <c r="K69" s="15">
        <v>11</v>
      </c>
      <c r="L69" s="47" t="s">
        <v>188</v>
      </c>
      <c r="M69" s="19">
        <v>810084000</v>
      </c>
      <c r="N69" s="15">
        <v>11</v>
      </c>
      <c r="O69" s="116" t="str">
        <f t="shared" si="1"/>
        <v>Balai KKB Kec.</v>
      </c>
      <c r="P69" s="19">
        <v>0</v>
      </c>
      <c r="Q69" s="15">
        <v>0</v>
      </c>
      <c r="R69" s="116" t="str">
        <f t="shared" si="2"/>
        <v>Balai KKB Kec.</v>
      </c>
      <c r="S69" s="19">
        <v>189974988</v>
      </c>
      <c r="T69" s="15">
        <v>0</v>
      </c>
      <c r="U69" s="116" t="str">
        <f t="shared" si="3"/>
        <v>Balai KKB Kec.</v>
      </c>
      <c r="V69" s="19">
        <v>500632293</v>
      </c>
      <c r="W69" s="15">
        <v>0</v>
      </c>
      <c r="X69" s="116" t="str">
        <f t="shared" si="4"/>
        <v>Balai KKB Kec.</v>
      </c>
      <c r="Y69" s="19">
        <v>119476719</v>
      </c>
      <c r="Z69" s="141">
        <f t="shared" si="12"/>
        <v>11</v>
      </c>
      <c r="AA69" s="102" t="str">
        <f t="shared" si="5"/>
        <v>Balai KKB Kec.</v>
      </c>
      <c r="AB69" s="67">
        <f t="shared" si="6"/>
        <v>100</v>
      </c>
      <c r="AC69" s="32" t="s">
        <v>141</v>
      </c>
      <c r="AD69" s="38">
        <f t="shared" si="7"/>
        <v>810084000</v>
      </c>
      <c r="AE69" s="66">
        <f t="shared" si="8"/>
        <v>100</v>
      </c>
      <c r="AF69" s="32" t="s">
        <v>141</v>
      </c>
      <c r="AG69" s="141">
        <f t="shared" si="9"/>
        <v>22</v>
      </c>
      <c r="AH69" s="102" t="str">
        <f t="shared" si="10"/>
        <v>Balai KKB Kec.</v>
      </c>
      <c r="AI69" s="38">
        <f t="shared" si="11"/>
        <v>1656992565</v>
      </c>
      <c r="AJ69" s="66"/>
      <c r="AK69" s="32" t="s">
        <v>141</v>
      </c>
      <c r="AL69" s="66"/>
      <c r="AM69" s="161"/>
      <c r="AN69" s="146"/>
      <c r="AP69" s="156"/>
    </row>
    <row r="70" spans="1:42" s="148" customFormat="1" ht="61.5" customHeight="1" x14ac:dyDescent="0.25">
      <c r="A70" s="12"/>
      <c r="B70" s="13"/>
      <c r="C70" s="22" t="s">
        <v>118</v>
      </c>
      <c r="D70" s="26" t="s">
        <v>178</v>
      </c>
      <c r="E70" s="15">
        <v>0</v>
      </c>
      <c r="F70" s="47" t="s">
        <v>189</v>
      </c>
      <c r="G70" s="19">
        <v>25690000</v>
      </c>
      <c r="H70" s="42">
        <v>0</v>
      </c>
      <c r="I70" s="16"/>
      <c r="J70" s="19">
        <v>0</v>
      </c>
      <c r="K70" s="15">
        <v>40</v>
      </c>
      <c r="L70" s="47" t="s">
        <v>189</v>
      </c>
      <c r="M70" s="19">
        <v>25690000</v>
      </c>
      <c r="N70" s="15">
        <v>0</v>
      </c>
      <c r="O70" s="115" t="str">
        <f t="shared" si="1"/>
        <v>IMP</v>
      </c>
      <c r="P70" s="19">
        <v>0</v>
      </c>
      <c r="Q70" s="15">
        <v>0</v>
      </c>
      <c r="R70" s="115" t="str">
        <f t="shared" si="2"/>
        <v>IMP</v>
      </c>
      <c r="S70" s="19">
        <v>17450000</v>
      </c>
      <c r="T70" s="15">
        <v>40</v>
      </c>
      <c r="U70" s="115" t="str">
        <f t="shared" si="3"/>
        <v>IMP</v>
      </c>
      <c r="V70" s="19">
        <v>2678000</v>
      </c>
      <c r="W70" s="15">
        <v>0</v>
      </c>
      <c r="X70" s="115" t="str">
        <f t="shared" si="4"/>
        <v>IMP</v>
      </c>
      <c r="Y70" s="19">
        <v>3740000</v>
      </c>
      <c r="Z70" s="141">
        <f t="shared" si="12"/>
        <v>40</v>
      </c>
      <c r="AA70" s="102" t="str">
        <f t="shared" si="5"/>
        <v>IMP</v>
      </c>
      <c r="AB70" s="67">
        <f t="shared" si="6"/>
        <v>100</v>
      </c>
      <c r="AC70" s="32" t="s">
        <v>141</v>
      </c>
      <c r="AD70" s="38">
        <f t="shared" si="7"/>
        <v>23868000</v>
      </c>
      <c r="AE70" s="66">
        <f t="shared" si="8"/>
        <v>92.907746204748932</v>
      </c>
      <c r="AF70" s="32" t="s">
        <v>141</v>
      </c>
      <c r="AG70" s="141">
        <f t="shared" si="9"/>
        <v>40</v>
      </c>
      <c r="AH70" s="102" t="str">
        <f t="shared" si="10"/>
        <v>IMP</v>
      </c>
      <c r="AI70" s="38">
        <f t="shared" si="11"/>
        <v>23868000</v>
      </c>
      <c r="AJ70" s="66"/>
      <c r="AK70" s="32" t="s">
        <v>141</v>
      </c>
      <c r="AL70" s="66"/>
      <c r="AM70" s="161"/>
      <c r="AN70" s="146"/>
      <c r="AP70" s="156"/>
    </row>
    <row r="71" spans="1:42" s="148" customFormat="1" ht="84.75" customHeight="1" x14ac:dyDescent="0.25">
      <c r="A71" s="12"/>
      <c r="B71" s="13"/>
      <c r="C71" s="91" t="s">
        <v>146</v>
      </c>
      <c r="D71" s="14" t="s">
        <v>179</v>
      </c>
      <c r="E71" s="140">
        <v>34812</v>
      </c>
      <c r="F71" s="99" t="s">
        <v>190</v>
      </c>
      <c r="G71" s="40">
        <f>SUM(G72)</f>
        <v>888000000</v>
      </c>
      <c r="H71" s="140">
        <v>31265</v>
      </c>
      <c r="I71" s="44" t="s">
        <v>190</v>
      </c>
      <c r="J71" s="40">
        <f>SUM(J72)</f>
        <v>781200000</v>
      </c>
      <c r="K71" s="140">
        <v>31265</v>
      </c>
      <c r="L71" s="99" t="s">
        <v>190</v>
      </c>
      <c r="M71" s="40">
        <f>SUM(M72)</f>
        <v>710400000</v>
      </c>
      <c r="N71" s="140">
        <v>29379</v>
      </c>
      <c r="O71" s="83" t="str">
        <f t="shared" si="1"/>
        <v>PUS</v>
      </c>
      <c r="P71" s="40">
        <f>SUM(P72)</f>
        <v>0</v>
      </c>
      <c r="Q71" s="140">
        <v>32576</v>
      </c>
      <c r="R71" s="83" t="str">
        <f t="shared" si="2"/>
        <v>PUS</v>
      </c>
      <c r="S71" s="40">
        <f>SUM(S72)</f>
        <v>276560000</v>
      </c>
      <c r="T71" s="140">
        <v>32576</v>
      </c>
      <c r="U71" s="83" t="str">
        <f t="shared" si="3"/>
        <v>PUS</v>
      </c>
      <c r="V71" s="40">
        <f>SUM(V72)</f>
        <v>207420000</v>
      </c>
      <c r="W71" s="140">
        <v>0</v>
      </c>
      <c r="X71" s="83" t="str">
        <f t="shared" si="4"/>
        <v>PUS</v>
      </c>
      <c r="Y71" s="40">
        <f>SUM(Y72)</f>
        <v>208670000</v>
      </c>
      <c r="Z71" s="140">
        <f>Q71</f>
        <v>32576</v>
      </c>
      <c r="AA71" s="101" t="str">
        <f t="shared" si="5"/>
        <v>PUS</v>
      </c>
      <c r="AB71" s="70">
        <f>Z71/K71*100</f>
        <v>104.19318727011036</v>
      </c>
      <c r="AC71" s="71" t="s">
        <v>141</v>
      </c>
      <c r="AD71" s="75">
        <f t="shared" si="7"/>
        <v>692650000</v>
      </c>
      <c r="AE71" s="70">
        <f t="shared" si="8"/>
        <v>97.501407657657651</v>
      </c>
      <c r="AF71" s="71" t="s">
        <v>141</v>
      </c>
      <c r="AG71" s="140">
        <f t="shared" si="9"/>
        <v>63841</v>
      </c>
      <c r="AH71" s="101" t="str">
        <f t="shared" si="10"/>
        <v>PUS</v>
      </c>
      <c r="AI71" s="75">
        <f t="shared" si="11"/>
        <v>1473850000</v>
      </c>
      <c r="AJ71" s="70"/>
      <c r="AK71" s="71" t="s">
        <v>141</v>
      </c>
      <c r="AL71" s="70"/>
      <c r="AM71" s="161"/>
      <c r="AN71" s="146"/>
      <c r="AP71" s="156"/>
    </row>
    <row r="72" spans="1:42" s="148" customFormat="1" ht="78.75" customHeight="1" x14ac:dyDescent="0.25">
      <c r="A72" s="12"/>
      <c r="B72" s="13"/>
      <c r="C72" s="22" t="s">
        <v>147</v>
      </c>
      <c r="D72" s="26" t="s">
        <v>180</v>
      </c>
      <c r="E72" s="15">
        <v>676</v>
      </c>
      <c r="F72" s="47" t="s">
        <v>191</v>
      </c>
      <c r="G72" s="19">
        <v>888000000</v>
      </c>
      <c r="H72" s="42">
        <v>726</v>
      </c>
      <c r="I72" s="16" t="s">
        <v>191</v>
      </c>
      <c r="J72" s="19">
        <v>781200000</v>
      </c>
      <c r="K72" s="15">
        <v>720</v>
      </c>
      <c r="L72" s="47" t="s">
        <v>191</v>
      </c>
      <c r="M72" s="19">
        <v>710400000</v>
      </c>
      <c r="N72" s="15">
        <v>0</v>
      </c>
      <c r="O72" s="115" t="str">
        <f t="shared" si="1"/>
        <v>kader</v>
      </c>
      <c r="P72" s="19">
        <v>0</v>
      </c>
      <c r="Q72" s="15">
        <v>720</v>
      </c>
      <c r="R72" s="115" t="str">
        <f t="shared" si="2"/>
        <v>kader</v>
      </c>
      <c r="S72" s="19">
        <v>276560000</v>
      </c>
      <c r="T72" s="15">
        <v>720</v>
      </c>
      <c r="U72" s="115" t="str">
        <f t="shared" si="3"/>
        <v>kader</v>
      </c>
      <c r="V72" s="19">
        <v>207420000</v>
      </c>
      <c r="W72" s="15">
        <v>720</v>
      </c>
      <c r="X72" s="115" t="str">
        <f t="shared" si="4"/>
        <v>kader</v>
      </c>
      <c r="Y72" s="19">
        <v>208670000</v>
      </c>
      <c r="Z72" s="141">
        <f>AVERAGE(Q72,T72,W72)</f>
        <v>720</v>
      </c>
      <c r="AA72" s="102" t="str">
        <f t="shared" si="5"/>
        <v>kader</v>
      </c>
      <c r="AB72" s="67">
        <f t="shared" si="6"/>
        <v>100</v>
      </c>
      <c r="AC72" s="32" t="s">
        <v>141</v>
      </c>
      <c r="AD72" s="38">
        <f t="shared" si="7"/>
        <v>692650000</v>
      </c>
      <c r="AE72" s="66">
        <f t="shared" si="8"/>
        <v>97.501407657657651</v>
      </c>
      <c r="AF72" s="32" t="s">
        <v>141</v>
      </c>
      <c r="AG72" s="141">
        <f t="shared" si="9"/>
        <v>1446</v>
      </c>
      <c r="AH72" s="102" t="str">
        <f t="shared" si="10"/>
        <v>kader</v>
      </c>
      <c r="AI72" s="38">
        <f t="shared" si="11"/>
        <v>1473850000</v>
      </c>
      <c r="AJ72" s="66"/>
      <c r="AK72" s="32" t="s">
        <v>141</v>
      </c>
      <c r="AL72" s="66"/>
      <c r="AM72" s="161"/>
      <c r="AN72" s="146"/>
      <c r="AP72" s="156"/>
    </row>
    <row r="73" spans="1:42" s="148" customFormat="1" ht="146.25" customHeight="1" x14ac:dyDescent="0.25">
      <c r="A73" s="12"/>
      <c r="B73" s="190">
        <f>2624/2759*100</f>
        <v>95.106922798115249</v>
      </c>
      <c r="C73" s="91" t="s">
        <v>119</v>
      </c>
      <c r="D73" s="14" t="s">
        <v>253</v>
      </c>
      <c r="E73" s="43">
        <v>80.19</v>
      </c>
      <c r="F73" s="99" t="s">
        <v>254</v>
      </c>
      <c r="G73" s="40">
        <f>SUM(G74:G78)</f>
        <v>1878748600</v>
      </c>
      <c r="H73" s="45">
        <v>34.869999999999997</v>
      </c>
      <c r="I73" s="99" t="s">
        <v>254</v>
      </c>
      <c r="J73" s="40">
        <f>SUM(J74:J78)</f>
        <v>870829000</v>
      </c>
      <c r="K73" s="175">
        <v>79.59</v>
      </c>
      <c r="L73" s="99" t="s">
        <v>254</v>
      </c>
      <c r="M73" s="40">
        <f>SUM(M74:M78)</f>
        <v>1550363825</v>
      </c>
      <c r="N73" s="45">
        <f>29379/37131*100</f>
        <v>79.122566049931322</v>
      </c>
      <c r="O73" s="83" t="str">
        <f t="shared" si="1"/>
        <v>Angka</v>
      </c>
      <c r="P73" s="40">
        <f>SUM(P74:P78)</f>
        <v>0</v>
      </c>
      <c r="Q73" s="175">
        <v>80.19</v>
      </c>
      <c r="R73" s="83" t="str">
        <f t="shared" si="2"/>
        <v>Angka</v>
      </c>
      <c r="S73" s="40">
        <f>SUM(S74:S78)</f>
        <v>91805500</v>
      </c>
      <c r="T73" s="43">
        <f>33520/41227*100</f>
        <v>81.305940281854134</v>
      </c>
      <c r="U73" s="83" t="str">
        <f t="shared" si="3"/>
        <v>Angka</v>
      </c>
      <c r="V73" s="40">
        <f>SUM(V74:V78)</f>
        <v>418798000</v>
      </c>
      <c r="W73" s="45">
        <v>0</v>
      </c>
      <c r="X73" s="83" t="str">
        <f t="shared" si="4"/>
        <v>Angka</v>
      </c>
      <c r="Y73" s="40">
        <f>SUM(Y74:Y78)</f>
        <v>647261000</v>
      </c>
      <c r="Z73" s="163">
        <f>AVERAGE(N73,Q73,T73,W73)</f>
        <v>60.154626582946364</v>
      </c>
      <c r="AA73" s="101" t="str">
        <f t="shared" si="5"/>
        <v>Angka</v>
      </c>
      <c r="AB73" s="68">
        <f>Z73/K73*100</f>
        <v>75.580633977819275</v>
      </c>
      <c r="AC73" s="71" t="s">
        <v>141</v>
      </c>
      <c r="AD73" s="75">
        <f t="shared" si="7"/>
        <v>1157864500</v>
      </c>
      <c r="AE73" s="70">
        <f t="shared" si="8"/>
        <v>74.683405361318975</v>
      </c>
      <c r="AF73" s="71" t="s">
        <v>141</v>
      </c>
      <c r="AG73" s="140">
        <f t="shared" si="9"/>
        <v>95.024626582946354</v>
      </c>
      <c r="AH73" s="101" t="str">
        <f t="shared" si="10"/>
        <v>Angka</v>
      </c>
      <c r="AI73" s="75">
        <f t="shared" si="11"/>
        <v>2028693500</v>
      </c>
      <c r="AJ73" s="70"/>
      <c r="AK73" s="71" t="s">
        <v>141</v>
      </c>
      <c r="AL73" s="70"/>
      <c r="AM73" s="161"/>
      <c r="AN73" s="146"/>
      <c r="AP73" s="156"/>
    </row>
    <row r="74" spans="1:42" s="148" customFormat="1" ht="150" x14ac:dyDescent="0.25">
      <c r="A74" s="12"/>
      <c r="B74" s="13"/>
      <c r="C74" s="22" t="s">
        <v>148</v>
      </c>
      <c r="D74" s="26" t="s">
        <v>181</v>
      </c>
      <c r="E74" s="15">
        <v>26</v>
      </c>
      <c r="F74" s="47" t="s">
        <v>192</v>
      </c>
      <c r="G74" s="19">
        <v>653036000</v>
      </c>
      <c r="H74" s="15">
        <v>26</v>
      </c>
      <c r="I74" s="47" t="s">
        <v>192</v>
      </c>
      <c r="J74" s="19">
        <v>10478000</v>
      </c>
      <c r="K74" s="15">
        <v>26</v>
      </c>
      <c r="L74" s="47" t="s">
        <v>192</v>
      </c>
      <c r="M74" s="19">
        <v>653036000</v>
      </c>
      <c r="N74" s="15">
        <v>0</v>
      </c>
      <c r="O74" s="116" t="str">
        <f t="shared" si="1"/>
        <v>faskes</v>
      </c>
      <c r="P74" s="19">
        <v>0</v>
      </c>
      <c r="Q74" s="15">
        <v>25</v>
      </c>
      <c r="R74" s="116" t="str">
        <f t="shared" si="2"/>
        <v>faskes</v>
      </c>
      <c r="S74" s="19">
        <v>45395500</v>
      </c>
      <c r="T74" s="15">
        <v>0</v>
      </c>
      <c r="U74" s="116" t="str">
        <f t="shared" si="3"/>
        <v>faskes</v>
      </c>
      <c r="V74" s="19">
        <v>116054000</v>
      </c>
      <c r="W74" s="15">
        <v>0</v>
      </c>
      <c r="X74" s="116" t="str">
        <f t="shared" si="4"/>
        <v>faskes</v>
      </c>
      <c r="Y74" s="19">
        <v>144006000</v>
      </c>
      <c r="Z74" s="141">
        <f t="shared" si="12"/>
        <v>25</v>
      </c>
      <c r="AA74" s="102" t="str">
        <f t="shared" si="5"/>
        <v>faskes</v>
      </c>
      <c r="AB74" s="66">
        <f t="shared" si="6"/>
        <v>96.15384615384616</v>
      </c>
      <c r="AC74" s="32" t="s">
        <v>141</v>
      </c>
      <c r="AD74" s="38">
        <f t="shared" si="7"/>
        <v>305455500</v>
      </c>
      <c r="AE74" s="66">
        <f>AD74/M74*100</f>
        <v>46.774680109519231</v>
      </c>
      <c r="AF74" s="32" t="s">
        <v>141</v>
      </c>
      <c r="AG74" s="141">
        <f t="shared" si="9"/>
        <v>51</v>
      </c>
      <c r="AH74" s="102" t="str">
        <f t="shared" si="10"/>
        <v>faskes</v>
      </c>
      <c r="AI74" s="38">
        <f t="shared" si="11"/>
        <v>315933500</v>
      </c>
      <c r="AJ74" s="66"/>
      <c r="AK74" s="32" t="s">
        <v>141</v>
      </c>
      <c r="AL74" s="66"/>
      <c r="AM74" s="161"/>
      <c r="AN74" s="146"/>
      <c r="AP74" s="156"/>
    </row>
    <row r="75" spans="1:42" s="148" customFormat="1" ht="90" x14ac:dyDescent="0.25">
      <c r="A75" s="12"/>
      <c r="B75" s="13"/>
      <c r="C75" s="22" t="s">
        <v>120</v>
      </c>
      <c r="D75" s="26" t="s">
        <v>255</v>
      </c>
      <c r="E75" s="141">
        <v>2759</v>
      </c>
      <c r="F75" s="47" t="s">
        <v>190</v>
      </c>
      <c r="G75" s="19">
        <f>71025000+110000000*2</f>
        <v>291025000</v>
      </c>
      <c r="H75" s="141">
        <v>2255</v>
      </c>
      <c r="I75" s="16" t="s">
        <v>190</v>
      </c>
      <c r="J75" s="19">
        <v>56856000</v>
      </c>
      <c r="K75" s="141">
        <v>2480</v>
      </c>
      <c r="L75" s="47" t="s">
        <v>190</v>
      </c>
      <c r="M75" s="19">
        <v>71025000</v>
      </c>
      <c r="N75" s="141">
        <v>2329</v>
      </c>
      <c r="O75" s="115" t="str">
        <f t="shared" si="1"/>
        <v>PUS</v>
      </c>
      <c r="P75" s="19">
        <f>SUM(P76:P80)</f>
        <v>0</v>
      </c>
      <c r="Q75" s="141">
        <v>2624</v>
      </c>
      <c r="R75" s="115" t="str">
        <f t="shared" si="2"/>
        <v>PUS</v>
      </c>
      <c r="S75" s="19">
        <v>30850000</v>
      </c>
      <c r="T75" s="141">
        <v>2768</v>
      </c>
      <c r="U75" s="115" t="str">
        <f t="shared" si="3"/>
        <v>PUS</v>
      </c>
      <c r="V75" s="19">
        <v>0</v>
      </c>
      <c r="W75" s="141">
        <v>0</v>
      </c>
      <c r="X75" s="115" t="str">
        <f t="shared" si="4"/>
        <v>PUS</v>
      </c>
      <c r="Y75" s="19">
        <v>28450000</v>
      </c>
      <c r="Z75" s="141">
        <f>W75</f>
        <v>0</v>
      </c>
      <c r="AA75" s="102" t="str">
        <f t="shared" si="5"/>
        <v>PUS</v>
      </c>
      <c r="AB75" s="67">
        <f>Z75/K75*100</f>
        <v>0</v>
      </c>
      <c r="AC75" s="32" t="s">
        <v>141</v>
      </c>
      <c r="AD75" s="38">
        <f t="shared" si="7"/>
        <v>59300000</v>
      </c>
      <c r="AE75" s="66">
        <f t="shared" si="8"/>
        <v>83.491728264695524</v>
      </c>
      <c r="AF75" s="32" t="s">
        <v>141</v>
      </c>
      <c r="AG75" s="141">
        <f t="shared" si="9"/>
        <v>2255</v>
      </c>
      <c r="AH75" s="102" t="str">
        <f t="shared" si="10"/>
        <v>PUS</v>
      </c>
      <c r="AI75" s="38">
        <f t="shared" si="11"/>
        <v>116156000</v>
      </c>
      <c r="AJ75" s="66"/>
      <c r="AK75" s="32" t="s">
        <v>141</v>
      </c>
      <c r="AL75" s="66"/>
      <c r="AM75" s="161"/>
      <c r="AN75" s="146"/>
      <c r="AP75" s="156"/>
    </row>
    <row r="76" spans="1:42" s="148" customFormat="1" ht="88.5" customHeight="1" x14ac:dyDescent="0.25">
      <c r="A76" s="12"/>
      <c r="B76" s="13"/>
      <c r="C76" s="22" t="s">
        <v>182</v>
      </c>
      <c r="D76" s="26" t="s">
        <v>183</v>
      </c>
      <c r="E76" s="15">
        <v>11</v>
      </c>
      <c r="F76" s="47" t="s">
        <v>193</v>
      </c>
      <c r="G76" s="19">
        <v>765610000</v>
      </c>
      <c r="H76" s="15">
        <v>11</v>
      </c>
      <c r="I76" s="47" t="s">
        <v>193</v>
      </c>
      <c r="J76" s="19">
        <v>803495000</v>
      </c>
      <c r="K76" s="15">
        <v>11</v>
      </c>
      <c r="L76" s="47" t="s">
        <v>193</v>
      </c>
      <c r="M76" s="19">
        <v>765610000</v>
      </c>
      <c r="N76" s="15">
        <v>11</v>
      </c>
      <c r="O76" s="115" t="str">
        <f t="shared" si="1"/>
        <v>Balai</v>
      </c>
      <c r="P76" s="19">
        <v>0</v>
      </c>
      <c r="Q76" s="15">
        <v>0</v>
      </c>
      <c r="R76" s="115" t="str">
        <f t="shared" si="2"/>
        <v>Balai</v>
      </c>
      <c r="S76" s="19">
        <v>0</v>
      </c>
      <c r="T76" s="15">
        <v>0</v>
      </c>
      <c r="U76" s="115" t="str">
        <f t="shared" si="3"/>
        <v>Balai</v>
      </c>
      <c r="V76" s="19">
        <v>289913500</v>
      </c>
      <c r="W76" s="15">
        <v>0</v>
      </c>
      <c r="X76" s="115" t="str">
        <f t="shared" si="4"/>
        <v>Balai</v>
      </c>
      <c r="Y76" s="19">
        <v>445530000</v>
      </c>
      <c r="Z76" s="141">
        <f t="shared" si="12"/>
        <v>11</v>
      </c>
      <c r="AA76" s="102" t="str">
        <f t="shared" si="5"/>
        <v>Balai</v>
      </c>
      <c r="AB76" s="67">
        <f t="shared" si="6"/>
        <v>100</v>
      </c>
      <c r="AC76" s="32" t="s">
        <v>141</v>
      </c>
      <c r="AD76" s="38">
        <f t="shared" si="7"/>
        <v>735443500</v>
      </c>
      <c r="AE76" s="66">
        <f t="shared" si="8"/>
        <v>96.059808518697508</v>
      </c>
      <c r="AF76" s="32" t="s">
        <v>141</v>
      </c>
      <c r="AG76" s="141">
        <f t="shared" si="9"/>
        <v>22</v>
      </c>
      <c r="AH76" s="102" t="str">
        <f t="shared" si="10"/>
        <v>Balai</v>
      </c>
      <c r="AI76" s="38">
        <f t="shared" si="11"/>
        <v>1538938500</v>
      </c>
      <c r="AJ76" s="66"/>
      <c r="AK76" s="32" t="s">
        <v>141</v>
      </c>
      <c r="AL76" s="66"/>
      <c r="AM76" s="161"/>
      <c r="AN76" s="146"/>
      <c r="AP76" s="156"/>
    </row>
    <row r="77" spans="1:42" s="148" customFormat="1" ht="99.75" customHeight="1" x14ac:dyDescent="0.25">
      <c r="A77" s="12"/>
      <c r="B77" s="13"/>
      <c r="C77" s="22" t="s">
        <v>121</v>
      </c>
      <c r="D77" s="26" t="s">
        <v>184</v>
      </c>
      <c r="E77" s="15">
        <v>70</v>
      </c>
      <c r="F77" s="47" t="s">
        <v>162</v>
      </c>
      <c r="G77" s="19">
        <f>10095000+10094950+10095000</f>
        <v>30284950</v>
      </c>
      <c r="H77" s="42">
        <v>70</v>
      </c>
      <c r="I77" s="16" t="s">
        <v>209</v>
      </c>
      <c r="J77" s="19">
        <v>0</v>
      </c>
      <c r="K77" s="15">
        <v>70</v>
      </c>
      <c r="L77" s="47" t="s">
        <v>162</v>
      </c>
      <c r="M77" s="19">
        <v>10095000</v>
      </c>
      <c r="N77" s="15">
        <v>0</v>
      </c>
      <c r="O77" s="115" t="str">
        <f t="shared" ref="O77:O85" si="14">L77</f>
        <v>Orang</v>
      </c>
      <c r="P77" s="19">
        <v>0</v>
      </c>
      <c r="Q77" s="15">
        <v>70</v>
      </c>
      <c r="R77" s="115" t="str">
        <f t="shared" ref="R77:R85" si="15">L77</f>
        <v>Orang</v>
      </c>
      <c r="S77" s="19">
        <v>0</v>
      </c>
      <c r="T77" s="15">
        <v>0</v>
      </c>
      <c r="U77" s="115" t="str">
        <f t="shared" si="3"/>
        <v>Orang</v>
      </c>
      <c r="V77" s="19">
        <v>9055500</v>
      </c>
      <c r="W77" s="15">
        <v>0</v>
      </c>
      <c r="X77" s="115" t="str">
        <f t="shared" si="4"/>
        <v>Orang</v>
      </c>
      <c r="Y77" s="19">
        <v>0</v>
      </c>
      <c r="Z77" s="141">
        <f t="shared" ref="Z77:Z85" si="16">SUM(N77,Q77,T77,W77)</f>
        <v>70</v>
      </c>
      <c r="AA77" s="102" t="str">
        <f t="shared" ref="AA77:AA85" si="17">L77</f>
        <v>Orang</v>
      </c>
      <c r="AB77" s="67">
        <f t="shared" ref="AB77:AB85" si="18">Z77/K77*100</f>
        <v>100</v>
      </c>
      <c r="AC77" s="32" t="s">
        <v>141</v>
      </c>
      <c r="AD77" s="38">
        <f t="shared" ref="AD77:AD85" si="19">SUM(P77,S77,V77,Y77)</f>
        <v>9055500</v>
      </c>
      <c r="AE77" s="66">
        <f t="shared" ref="AE77:AE85" si="20">AD77/M77*100</f>
        <v>89.702823179791977</v>
      </c>
      <c r="AF77" s="32" t="s">
        <v>141</v>
      </c>
      <c r="AG77" s="141">
        <f t="shared" ref="AG77:AG85" si="21">SUM(H77,Z77)</f>
        <v>140</v>
      </c>
      <c r="AH77" s="102" t="str">
        <f t="shared" ref="AH77:AH85" si="22">O77</f>
        <v>Orang</v>
      </c>
      <c r="AI77" s="38">
        <f t="shared" ref="AI77:AI85" si="23">SUM(J77,AD77)</f>
        <v>9055500</v>
      </c>
      <c r="AJ77" s="66"/>
      <c r="AK77" s="32" t="s">
        <v>141</v>
      </c>
      <c r="AL77" s="66"/>
      <c r="AM77" s="161"/>
      <c r="AN77" s="146"/>
      <c r="AP77" s="156"/>
    </row>
    <row r="78" spans="1:42" s="148" customFormat="1" ht="64.5" customHeight="1" x14ac:dyDescent="0.25">
      <c r="A78" s="12"/>
      <c r="B78" s="13"/>
      <c r="C78" s="22" t="s">
        <v>122</v>
      </c>
      <c r="D78" s="26" t="s">
        <v>185</v>
      </c>
      <c r="E78" s="15">
        <v>11</v>
      </c>
      <c r="F78" s="47" t="s">
        <v>194</v>
      </c>
      <c r="G78" s="19">
        <f>50597825+37597000+50597825</f>
        <v>138792650</v>
      </c>
      <c r="H78" s="15">
        <v>11</v>
      </c>
      <c r="I78" s="47" t="s">
        <v>194</v>
      </c>
      <c r="J78" s="19">
        <v>0</v>
      </c>
      <c r="K78" s="15">
        <f>2+3+3+3</f>
        <v>11</v>
      </c>
      <c r="L78" s="47" t="s">
        <v>194</v>
      </c>
      <c r="M78" s="19">
        <v>50597825</v>
      </c>
      <c r="N78" s="15">
        <v>2</v>
      </c>
      <c r="O78" s="115" t="str">
        <f t="shared" si="14"/>
        <v>Titik</v>
      </c>
      <c r="P78" s="19">
        <v>0</v>
      </c>
      <c r="Q78" s="15">
        <v>5</v>
      </c>
      <c r="R78" s="115" t="str">
        <f t="shared" si="15"/>
        <v>Titik</v>
      </c>
      <c r="S78" s="19">
        <v>15560000</v>
      </c>
      <c r="T78" s="15">
        <v>3</v>
      </c>
      <c r="U78" s="115" t="str">
        <f t="shared" ref="U78:U85" si="24">L78</f>
        <v>Titik</v>
      </c>
      <c r="V78" s="19">
        <v>3775000</v>
      </c>
      <c r="W78" s="15">
        <v>1</v>
      </c>
      <c r="X78" s="115" t="str">
        <f t="shared" ref="X78:X85" si="25">O78</f>
        <v>Titik</v>
      </c>
      <c r="Y78" s="19">
        <v>29275000</v>
      </c>
      <c r="Z78" s="141">
        <f t="shared" si="16"/>
        <v>11</v>
      </c>
      <c r="AA78" s="102" t="str">
        <f t="shared" si="17"/>
        <v>Titik</v>
      </c>
      <c r="AB78" s="67">
        <f t="shared" si="18"/>
        <v>100</v>
      </c>
      <c r="AC78" s="32" t="s">
        <v>141</v>
      </c>
      <c r="AD78" s="38">
        <f t="shared" si="19"/>
        <v>48610000</v>
      </c>
      <c r="AE78" s="66">
        <f t="shared" si="20"/>
        <v>96.071323223873748</v>
      </c>
      <c r="AF78" s="32" t="s">
        <v>141</v>
      </c>
      <c r="AG78" s="141">
        <f t="shared" si="21"/>
        <v>22</v>
      </c>
      <c r="AH78" s="102" t="str">
        <f t="shared" si="22"/>
        <v>Titik</v>
      </c>
      <c r="AI78" s="38">
        <f t="shared" si="23"/>
        <v>48610000</v>
      </c>
      <c r="AJ78" s="66"/>
      <c r="AK78" s="32" t="s">
        <v>141</v>
      </c>
      <c r="AL78" s="66"/>
      <c r="AM78" s="161"/>
      <c r="AN78" s="146"/>
      <c r="AP78" s="156"/>
    </row>
    <row r="79" spans="1:42" s="159" customFormat="1" ht="198.75" customHeight="1" x14ac:dyDescent="0.25">
      <c r="A79" s="12"/>
      <c r="B79" s="13"/>
      <c r="C79" s="91" t="s">
        <v>123</v>
      </c>
      <c r="D79" s="14" t="s">
        <v>256</v>
      </c>
      <c r="E79" s="45">
        <v>7.5</v>
      </c>
      <c r="F79" s="47" t="s">
        <v>141</v>
      </c>
      <c r="G79" s="40">
        <f>SUM(G80:G81)</f>
        <v>590254900</v>
      </c>
      <c r="H79" s="45">
        <v>9.5299999999999994</v>
      </c>
      <c r="I79" s="44" t="s">
        <v>141</v>
      </c>
      <c r="J79" s="40">
        <f>SUM(J80:J81)</f>
        <v>601515000</v>
      </c>
      <c r="K79" s="43">
        <v>8.16</v>
      </c>
      <c r="L79" s="99" t="s">
        <v>141</v>
      </c>
      <c r="M79" s="40">
        <f>SUM(M80:M81)</f>
        <v>570165000</v>
      </c>
      <c r="N79" s="43">
        <v>9.2200000000000006</v>
      </c>
      <c r="O79" s="83" t="s">
        <v>141</v>
      </c>
      <c r="P79" s="40">
        <v>0</v>
      </c>
      <c r="Q79" s="43">
        <v>9.33</v>
      </c>
      <c r="R79" s="83" t="s">
        <v>141</v>
      </c>
      <c r="S79" s="40">
        <v>0</v>
      </c>
      <c r="T79" s="45">
        <f>3418/41227*100</f>
        <v>8.2906832900768919</v>
      </c>
      <c r="U79" s="83" t="str">
        <f t="shared" si="24"/>
        <v>%</v>
      </c>
      <c r="V79" s="40">
        <v>0</v>
      </c>
      <c r="W79" s="45">
        <v>0</v>
      </c>
      <c r="X79" s="83" t="str">
        <f t="shared" si="25"/>
        <v>%</v>
      </c>
      <c r="Y79" s="40">
        <v>0</v>
      </c>
      <c r="Z79" s="163">
        <f>AVERAGE(N79,Q79,T79,W79)</f>
        <v>6.7101708225192231</v>
      </c>
      <c r="AA79" s="101" t="str">
        <f t="shared" si="17"/>
        <v>%</v>
      </c>
      <c r="AB79" s="68">
        <f>Z79/K79*100</f>
        <v>82.232485570088514</v>
      </c>
      <c r="AC79" s="71" t="s">
        <v>141</v>
      </c>
      <c r="AD79" s="75">
        <f t="shared" si="19"/>
        <v>0</v>
      </c>
      <c r="AE79" s="70">
        <f t="shared" si="20"/>
        <v>0</v>
      </c>
      <c r="AF79" s="71" t="s">
        <v>141</v>
      </c>
      <c r="AG79" s="140">
        <f t="shared" si="21"/>
        <v>16.240170822519222</v>
      </c>
      <c r="AH79" s="101" t="str">
        <f t="shared" si="22"/>
        <v>%</v>
      </c>
      <c r="AI79" s="75">
        <f t="shared" si="23"/>
        <v>601515000</v>
      </c>
      <c r="AJ79" s="70"/>
      <c r="AK79" s="71" t="s">
        <v>141</v>
      </c>
      <c r="AL79" s="70"/>
      <c r="AM79" s="173"/>
      <c r="AN79" s="158"/>
      <c r="AP79" s="160"/>
    </row>
    <row r="80" spans="1:42" s="148" customFormat="1" ht="124.5" customHeight="1" x14ac:dyDescent="0.25">
      <c r="A80" s="12"/>
      <c r="B80" s="190">
        <f>2235/8706*100</f>
        <v>25.67195037904893</v>
      </c>
      <c r="C80" s="22" t="s">
        <v>124</v>
      </c>
      <c r="D80" s="26" t="s">
        <v>257</v>
      </c>
      <c r="E80" s="141">
        <v>8706</v>
      </c>
      <c r="F80" s="47" t="s">
        <v>190</v>
      </c>
      <c r="G80" s="19">
        <f>10045000+10044900+10045000</f>
        <v>30134900</v>
      </c>
      <c r="H80" s="141">
        <v>4518</v>
      </c>
      <c r="I80" s="16" t="s">
        <v>190</v>
      </c>
      <c r="J80" s="19">
        <v>10045000</v>
      </c>
      <c r="K80" s="141">
        <v>4969</v>
      </c>
      <c r="L80" s="47" t="s">
        <v>190</v>
      </c>
      <c r="M80" s="19">
        <v>10045000</v>
      </c>
      <c r="N80" s="141">
        <v>1069</v>
      </c>
      <c r="O80" s="116" t="str">
        <f t="shared" si="14"/>
        <v>PUS</v>
      </c>
      <c r="P80" s="19">
        <v>0</v>
      </c>
      <c r="Q80" s="141">
        <v>2235</v>
      </c>
      <c r="R80" s="116" t="str">
        <f t="shared" si="15"/>
        <v>PUS</v>
      </c>
      <c r="S80" s="19">
        <v>0</v>
      </c>
      <c r="T80" s="141">
        <v>3231</v>
      </c>
      <c r="U80" s="116" t="str">
        <f t="shared" si="24"/>
        <v>PUS</v>
      </c>
      <c r="V80" s="19">
        <v>9624000</v>
      </c>
      <c r="W80" s="141">
        <v>0</v>
      </c>
      <c r="X80" s="116" t="str">
        <f t="shared" si="25"/>
        <v>PUS</v>
      </c>
      <c r="Y80" s="19">
        <v>0</v>
      </c>
      <c r="Z80" s="141">
        <f>W80</f>
        <v>0</v>
      </c>
      <c r="AA80" s="102" t="str">
        <f t="shared" si="17"/>
        <v>PUS</v>
      </c>
      <c r="AB80" s="66">
        <f t="shared" si="18"/>
        <v>0</v>
      </c>
      <c r="AC80" s="32" t="s">
        <v>141</v>
      </c>
      <c r="AD80" s="38">
        <f t="shared" si="19"/>
        <v>9624000</v>
      </c>
      <c r="AE80" s="66">
        <f t="shared" si="20"/>
        <v>95.80886012941761</v>
      </c>
      <c r="AF80" s="32" t="s">
        <v>141</v>
      </c>
      <c r="AG80" s="141">
        <f t="shared" si="21"/>
        <v>4518</v>
      </c>
      <c r="AH80" s="102" t="str">
        <f t="shared" si="22"/>
        <v>PUS</v>
      </c>
      <c r="AI80" s="38">
        <f t="shared" si="23"/>
        <v>19669000</v>
      </c>
      <c r="AJ80" s="66"/>
      <c r="AK80" s="32" t="s">
        <v>141</v>
      </c>
      <c r="AL80" s="66"/>
      <c r="AM80" s="161"/>
      <c r="AN80" s="146"/>
      <c r="AP80" s="156"/>
    </row>
    <row r="81" spans="1:42" s="148" customFormat="1" ht="110.25" customHeight="1" x14ac:dyDescent="0.25">
      <c r="A81" s="12"/>
      <c r="B81" s="13"/>
      <c r="C81" s="22" t="s">
        <v>149</v>
      </c>
      <c r="D81" s="26" t="s">
        <v>187</v>
      </c>
      <c r="E81" s="15">
        <v>22</v>
      </c>
      <c r="F81" s="47" t="s">
        <v>195</v>
      </c>
      <c r="G81" s="19">
        <v>560120000</v>
      </c>
      <c r="H81" s="15">
        <v>22</v>
      </c>
      <c r="I81" s="47" t="s">
        <v>195</v>
      </c>
      <c r="J81" s="19">
        <v>591470000</v>
      </c>
      <c r="K81" s="15">
        <v>22</v>
      </c>
      <c r="L81" s="47" t="s">
        <v>195</v>
      </c>
      <c r="M81" s="19">
        <v>560120000</v>
      </c>
      <c r="N81" s="15">
        <v>0</v>
      </c>
      <c r="O81" s="116" t="str">
        <f t="shared" si="14"/>
        <v>Kampung KB</v>
      </c>
      <c r="P81" s="19">
        <v>0</v>
      </c>
      <c r="Q81" s="15">
        <v>22</v>
      </c>
      <c r="R81" s="116" t="str">
        <f t="shared" si="15"/>
        <v>Kampung KB</v>
      </c>
      <c r="S81" s="19">
        <v>92820000</v>
      </c>
      <c r="T81" s="15">
        <v>0</v>
      </c>
      <c r="U81" s="116" t="str">
        <f t="shared" si="24"/>
        <v>Kampung KB</v>
      </c>
      <c r="V81" s="19">
        <v>0</v>
      </c>
      <c r="W81" s="15">
        <v>0</v>
      </c>
      <c r="X81" s="116" t="str">
        <f t="shared" si="25"/>
        <v>Kampung KB</v>
      </c>
      <c r="Y81" s="19">
        <v>467300000</v>
      </c>
      <c r="Z81" s="141">
        <f t="shared" si="16"/>
        <v>22</v>
      </c>
      <c r="AA81" s="102" t="str">
        <f t="shared" si="17"/>
        <v>Kampung KB</v>
      </c>
      <c r="AB81" s="67">
        <f t="shared" si="18"/>
        <v>100</v>
      </c>
      <c r="AC81" s="32" t="s">
        <v>141</v>
      </c>
      <c r="AD81" s="38">
        <f t="shared" si="19"/>
        <v>560120000</v>
      </c>
      <c r="AE81" s="66">
        <f t="shared" si="20"/>
        <v>100</v>
      </c>
      <c r="AF81" s="32" t="s">
        <v>141</v>
      </c>
      <c r="AG81" s="141">
        <f t="shared" si="21"/>
        <v>44</v>
      </c>
      <c r="AH81" s="102" t="str">
        <f t="shared" si="22"/>
        <v>Kampung KB</v>
      </c>
      <c r="AI81" s="38">
        <f t="shared" si="23"/>
        <v>1151590000</v>
      </c>
      <c r="AJ81" s="66"/>
      <c r="AK81" s="32" t="s">
        <v>141</v>
      </c>
      <c r="AL81" s="66"/>
      <c r="AM81" s="161"/>
      <c r="AN81" s="146"/>
      <c r="AP81" s="156"/>
    </row>
    <row r="82" spans="1:42" s="148" customFormat="1" ht="84.75" customHeight="1" x14ac:dyDescent="0.25">
      <c r="A82" s="12"/>
      <c r="B82" s="13"/>
      <c r="C82" s="91" t="s">
        <v>125</v>
      </c>
      <c r="D82" s="14" t="s">
        <v>196</v>
      </c>
      <c r="E82" s="43">
        <f>240/315*100</f>
        <v>76.19047619047619</v>
      </c>
      <c r="F82" s="99" t="s">
        <v>141</v>
      </c>
      <c r="G82" s="40">
        <f>G83</f>
        <v>420335750</v>
      </c>
      <c r="H82" s="45">
        <v>60.56</v>
      </c>
      <c r="I82" s="44" t="s">
        <v>141</v>
      </c>
      <c r="J82" s="40">
        <f>J83</f>
        <v>37918000</v>
      </c>
      <c r="K82" s="45">
        <f>K84/315*100</f>
        <v>66.666666666666657</v>
      </c>
      <c r="L82" s="99" t="s">
        <v>141</v>
      </c>
      <c r="M82" s="40">
        <f>M83</f>
        <v>47072800</v>
      </c>
      <c r="N82" s="43">
        <v>0</v>
      </c>
      <c r="O82" s="83" t="str">
        <f t="shared" si="14"/>
        <v>%</v>
      </c>
      <c r="P82" s="40">
        <f>P83</f>
        <v>952800</v>
      </c>
      <c r="Q82" s="45">
        <f>120/299*100</f>
        <v>40.133779264214049</v>
      </c>
      <c r="R82" s="83" t="str">
        <f t="shared" si="15"/>
        <v>%</v>
      </c>
      <c r="S82" s="40">
        <f>S83</f>
        <v>16050000</v>
      </c>
      <c r="T82" s="45">
        <f>120/299*100</f>
        <v>40.133779264214049</v>
      </c>
      <c r="U82" s="83" t="str">
        <f t="shared" si="24"/>
        <v>%</v>
      </c>
      <c r="V82" s="40">
        <f>V83</f>
        <v>11790000</v>
      </c>
      <c r="W82" s="45">
        <v>0</v>
      </c>
      <c r="X82" s="83" t="str">
        <f t="shared" si="25"/>
        <v>%</v>
      </c>
      <c r="Y82" s="40">
        <f>Y83</f>
        <v>18280000</v>
      </c>
      <c r="Z82" s="163">
        <f t="shared" si="16"/>
        <v>80.267558528428097</v>
      </c>
      <c r="AA82" s="101" t="str">
        <f t="shared" si="17"/>
        <v>%</v>
      </c>
      <c r="AB82" s="70">
        <f t="shared" si="18"/>
        <v>120.40133779264217</v>
      </c>
      <c r="AC82" s="71" t="s">
        <v>141</v>
      </c>
      <c r="AD82" s="75">
        <f t="shared" si="19"/>
        <v>47072800</v>
      </c>
      <c r="AE82" s="70">
        <f t="shared" si="20"/>
        <v>100</v>
      </c>
      <c r="AF82" s="71" t="s">
        <v>141</v>
      </c>
      <c r="AG82" s="140">
        <f t="shared" si="21"/>
        <v>140.82755852842809</v>
      </c>
      <c r="AH82" s="101" t="str">
        <f t="shared" si="22"/>
        <v>%</v>
      </c>
      <c r="AI82" s="75">
        <f t="shared" si="23"/>
        <v>84990800</v>
      </c>
      <c r="AJ82" s="70"/>
      <c r="AK82" s="71" t="s">
        <v>141</v>
      </c>
      <c r="AL82" s="70"/>
      <c r="AM82" s="161"/>
      <c r="AN82" s="146"/>
      <c r="AP82" s="156"/>
    </row>
    <row r="83" spans="1:42" s="148" customFormat="1" ht="110.25" x14ac:dyDescent="0.25">
      <c r="A83" s="12"/>
      <c r="B83" s="13"/>
      <c r="C83" s="91" t="s">
        <v>126</v>
      </c>
      <c r="D83" s="14" t="s">
        <v>258</v>
      </c>
      <c r="E83" s="45">
        <f>42/148*100</f>
        <v>28.378378378378379</v>
      </c>
      <c r="F83" s="99" t="s">
        <v>141</v>
      </c>
      <c r="G83" s="40">
        <f>SUM(G84:G85)</f>
        <v>420335750</v>
      </c>
      <c r="H83" s="45">
        <f>22/148*100</f>
        <v>14.864864864864865</v>
      </c>
      <c r="I83" s="44" t="s">
        <v>141</v>
      </c>
      <c r="J83" s="40">
        <f>SUM(J84:J85)</f>
        <v>37918000</v>
      </c>
      <c r="K83" s="176">
        <v>14.86</v>
      </c>
      <c r="L83" s="99" t="s">
        <v>141</v>
      </c>
      <c r="M83" s="40">
        <f>SUM(M84:M85)</f>
        <v>47072800</v>
      </c>
      <c r="N83" s="43">
        <v>0</v>
      </c>
      <c r="O83" s="114" t="str">
        <f t="shared" si="14"/>
        <v>%</v>
      </c>
      <c r="P83" s="40">
        <f>SUM(P84:P85)</f>
        <v>952800</v>
      </c>
      <c r="Q83" s="45">
        <f>22/148*100</f>
        <v>14.864864864864865</v>
      </c>
      <c r="R83" s="114" t="str">
        <f t="shared" si="15"/>
        <v>%</v>
      </c>
      <c r="S83" s="40">
        <f>SUM(S84:S85)</f>
        <v>16050000</v>
      </c>
      <c r="T83" s="45">
        <v>0</v>
      </c>
      <c r="U83" s="114" t="str">
        <f t="shared" si="24"/>
        <v>%</v>
      </c>
      <c r="V83" s="40">
        <f>SUM(V84:V85)</f>
        <v>11790000</v>
      </c>
      <c r="W83" s="45">
        <v>0</v>
      </c>
      <c r="X83" s="114" t="str">
        <f t="shared" si="25"/>
        <v>%</v>
      </c>
      <c r="Y83" s="40">
        <f>SUM(Y84:Y85)</f>
        <v>18280000</v>
      </c>
      <c r="Z83" s="163">
        <f t="shared" si="16"/>
        <v>14.864864864864865</v>
      </c>
      <c r="AA83" s="101" t="str">
        <f t="shared" si="17"/>
        <v>%</v>
      </c>
      <c r="AB83" s="68">
        <f t="shared" si="18"/>
        <v>100.03273798697757</v>
      </c>
      <c r="AC83" s="71" t="s">
        <v>141</v>
      </c>
      <c r="AD83" s="75">
        <f t="shared" si="19"/>
        <v>47072800</v>
      </c>
      <c r="AE83" s="70">
        <f t="shared" si="20"/>
        <v>100</v>
      </c>
      <c r="AF83" s="71" t="s">
        <v>141</v>
      </c>
      <c r="AG83" s="163">
        <f>SUM(H83,Z83)</f>
        <v>29.72972972972973</v>
      </c>
      <c r="AH83" s="101" t="str">
        <f t="shared" si="22"/>
        <v>%</v>
      </c>
      <c r="AI83" s="75">
        <f t="shared" si="23"/>
        <v>84990800</v>
      </c>
      <c r="AJ83" s="70"/>
      <c r="AK83" s="71" t="s">
        <v>141</v>
      </c>
      <c r="AL83" s="70"/>
      <c r="AM83" s="161"/>
      <c r="AN83" s="146"/>
      <c r="AP83" s="156"/>
    </row>
    <row r="84" spans="1:42" s="148" customFormat="1" ht="159" customHeight="1" x14ac:dyDescent="0.25">
      <c r="A84" s="12"/>
      <c r="B84" s="13"/>
      <c r="C84" s="22" t="s">
        <v>127</v>
      </c>
      <c r="D84" s="26" t="s">
        <v>259</v>
      </c>
      <c r="E84" s="15">
        <v>240</v>
      </c>
      <c r="F84" s="47" t="s">
        <v>199</v>
      </c>
      <c r="G84" s="19">
        <f>32620000+169846375*2</f>
        <v>372312750</v>
      </c>
      <c r="H84" s="42">
        <v>195</v>
      </c>
      <c r="I84" s="47" t="s">
        <v>263</v>
      </c>
      <c r="J84" s="19">
        <v>37918000</v>
      </c>
      <c r="K84" s="15">
        <f>120+60+30</f>
        <v>210</v>
      </c>
      <c r="L84" s="47" t="s">
        <v>199</v>
      </c>
      <c r="M84" s="19">
        <v>32620000</v>
      </c>
      <c r="N84" s="15">
        <v>0</v>
      </c>
      <c r="O84" s="116" t="str">
        <f t="shared" si="14"/>
        <v>Kelompok</v>
      </c>
      <c r="P84" s="19">
        <v>0</v>
      </c>
      <c r="Q84" s="15">
        <v>120</v>
      </c>
      <c r="R84" s="116" t="str">
        <f t="shared" si="15"/>
        <v>Kelompok</v>
      </c>
      <c r="S84" s="19">
        <v>2550000</v>
      </c>
      <c r="T84" s="15">
        <v>120</v>
      </c>
      <c r="U84" s="116" t="str">
        <f t="shared" si="24"/>
        <v>Kelompok</v>
      </c>
      <c r="V84" s="19">
        <v>11790000</v>
      </c>
      <c r="W84" s="15">
        <v>0</v>
      </c>
      <c r="X84" s="116" t="str">
        <f t="shared" si="25"/>
        <v>Kelompok</v>
      </c>
      <c r="Y84" s="19">
        <v>18280000</v>
      </c>
      <c r="Z84" s="141">
        <f t="shared" si="16"/>
        <v>240</v>
      </c>
      <c r="AA84" s="102" t="str">
        <f t="shared" si="17"/>
        <v>Kelompok</v>
      </c>
      <c r="AB84" s="66">
        <f t="shared" si="18"/>
        <v>114.28571428571428</v>
      </c>
      <c r="AC84" s="32" t="s">
        <v>141</v>
      </c>
      <c r="AD84" s="38">
        <f t="shared" si="19"/>
        <v>32620000</v>
      </c>
      <c r="AE84" s="66">
        <f t="shared" si="20"/>
        <v>100</v>
      </c>
      <c r="AF84" s="32" t="s">
        <v>141</v>
      </c>
      <c r="AG84" s="141">
        <f t="shared" si="21"/>
        <v>435</v>
      </c>
      <c r="AH84" s="102" t="str">
        <f t="shared" si="22"/>
        <v>Kelompok</v>
      </c>
      <c r="AI84" s="38">
        <f t="shared" si="23"/>
        <v>70538000</v>
      </c>
      <c r="AJ84" s="66"/>
      <c r="AK84" s="32" t="s">
        <v>141</v>
      </c>
      <c r="AL84" s="66"/>
      <c r="AM84" s="161"/>
      <c r="AN84" s="146"/>
      <c r="AP84" s="156"/>
    </row>
    <row r="85" spans="1:42" s="148" customFormat="1" ht="141.75" customHeight="1" x14ac:dyDescent="0.25">
      <c r="A85" s="78"/>
      <c r="B85" s="91"/>
      <c r="C85" s="22" t="s">
        <v>128</v>
      </c>
      <c r="D85" s="26" t="s">
        <v>260</v>
      </c>
      <c r="E85" s="15">
        <v>2</v>
      </c>
      <c r="F85" s="47" t="s">
        <v>170</v>
      </c>
      <c r="G85" s="19">
        <f>14452800+16785100*2</f>
        <v>48023000</v>
      </c>
      <c r="H85" s="42"/>
      <c r="I85" s="16"/>
      <c r="J85" s="19">
        <v>0</v>
      </c>
      <c r="K85" s="15">
        <v>2</v>
      </c>
      <c r="L85" s="47" t="s">
        <v>170</v>
      </c>
      <c r="M85" s="19">
        <v>14452800</v>
      </c>
      <c r="N85" s="15">
        <v>1</v>
      </c>
      <c r="O85" s="116" t="str">
        <f t="shared" si="14"/>
        <v>Kegiatan</v>
      </c>
      <c r="P85" s="19">
        <v>952800</v>
      </c>
      <c r="Q85" s="15">
        <v>0</v>
      </c>
      <c r="R85" s="116" t="str">
        <f t="shared" si="15"/>
        <v>Kegiatan</v>
      </c>
      <c r="S85" s="19">
        <f>14452800-P85</f>
        <v>13500000</v>
      </c>
      <c r="T85" s="15">
        <v>0</v>
      </c>
      <c r="U85" s="116" t="str">
        <f t="shared" si="24"/>
        <v>Kegiatan</v>
      </c>
      <c r="V85" s="19">
        <v>0</v>
      </c>
      <c r="W85" s="15">
        <v>1</v>
      </c>
      <c r="X85" s="116" t="str">
        <f t="shared" si="25"/>
        <v>Kegiatan</v>
      </c>
      <c r="Y85" s="19">
        <v>0</v>
      </c>
      <c r="Z85" s="141">
        <f t="shared" si="16"/>
        <v>2</v>
      </c>
      <c r="AA85" s="102" t="str">
        <f t="shared" si="17"/>
        <v>Kegiatan</v>
      </c>
      <c r="AB85" s="67">
        <f t="shared" si="18"/>
        <v>100</v>
      </c>
      <c r="AC85" s="32" t="s">
        <v>141</v>
      </c>
      <c r="AD85" s="38">
        <f t="shared" si="19"/>
        <v>14452800</v>
      </c>
      <c r="AE85" s="66">
        <f t="shared" si="20"/>
        <v>100</v>
      </c>
      <c r="AF85" s="32" t="s">
        <v>141</v>
      </c>
      <c r="AG85" s="141">
        <f t="shared" si="21"/>
        <v>2</v>
      </c>
      <c r="AH85" s="102" t="str">
        <f t="shared" si="22"/>
        <v>Kegiatan</v>
      </c>
      <c r="AI85" s="38">
        <f t="shared" si="23"/>
        <v>14452800</v>
      </c>
      <c r="AJ85" s="66"/>
      <c r="AK85" s="32" t="s">
        <v>141</v>
      </c>
      <c r="AL85" s="66"/>
      <c r="AM85" s="161"/>
      <c r="AN85" s="146"/>
      <c r="AP85" s="156"/>
    </row>
    <row r="86" spans="1:42" ht="15" x14ac:dyDescent="0.2">
      <c r="A86" s="232" t="s">
        <v>24</v>
      </c>
      <c r="B86" s="233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3"/>
      <c r="X86" s="233"/>
      <c r="Y86" s="233"/>
      <c r="Z86" s="233"/>
      <c r="AA86" s="234"/>
      <c r="AB86" s="81">
        <f>AVERAGE(AB13:AB85)</f>
        <v>96.024223669617442</v>
      </c>
      <c r="AC86" s="77"/>
      <c r="AD86" s="60"/>
      <c r="AE86" s="81">
        <f>AVERAGE(AE13,AE38,AE41,AE44,AE49,AE56,AE60,AE65,AE82)</f>
        <v>86.878951209165223</v>
      </c>
      <c r="AF86" s="61"/>
      <c r="AG86" s="60"/>
      <c r="AH86" s="108"/>
      <c r="AI86" s="60"/>
      <c r="AJ86" s="60"/>
      <c r="AK86" s="61"/>
      <c r="AL86" s="62"/>
      <c r="AM86" s="11"/>
    </row>
    <row r="87" spans="1:42" ht="15" x14ac:dyDescent="0.2">
      <c r="A87" s="232" t="s">
        <v>25</v>
      </c>
      <c r="B87" s="233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4"/>
      <c r="AB87" s="28" t="str">
        <f>IF(AB86&gt;=91,"Sangat Tinggi",IF(AB86&gt;=76,"Tinggi",IF(AB86&gt;=66,"Sedang",IF(AB86&gt;=51,"Rendah",IF(AB86&lt;=50,"Sangat Rendah")))))</f>
        <v>Sangat Tinggi</v>
      </c>
      <c r="AC87" s="77"/>
      <c r="AD87" s="64"/>
      <c r="AE87" s="28" t="str">
        <f>IF(AE86&gt;=91,"Sangat Tinggi",IF(AE86&gt;=76,"Tinggi",IF(AE86&gt;=66,"Sedang",IF(AE86&gt;=51,"Rendah",IF(AE86&lt;=50,"Sangat Rendah")))))</f>
        <v>Tinggi</v>
      </c>
      <c r="AF87" s="61"/>
      <c r="AG87" s="63"/>
      <c r="AH87" s="108"/>
      <c r="AI87" s="64"/>
      <c r="AJ87" s="63"/>
      <c r="AK87" s="61"/>
      <c r="AL87" s="65"/>
      <c r="AM87" s="11"/>
    </row>
    <row r="88" spans="1:42" ht="15" x14ac:dyDescent="0.2">
      <c r="A88" s="231" t="s">
        <v>264</v>
      </c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11"/>
    </row>
    <row r="89" spans="1:42" ht="15" x14ac:dyDescent="0.2">
      <c r="A89" s="231" t="s">
        <v>265</v>
      </c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  <c r="AA89" s="231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11"/>
    </row>
    <row r="90" spans="1:42" ht="15" x14ac:dyDescent="0.2">
      <c r="A90" s="231" t="s">
        <v>57</v>
      </c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11"/>
    </row>
    <row r="91" spans="1:42" ht="15" x14ac:dyDescent="0.2">
      <c r="A91" s="231" t="s">
        <v>58</v>
      </c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9"/>
    </row>
    <row r="92" spans="1:42" ht="15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106"/>
      <c r="AB92" s="30"/>
      <c r="AC92" s="136"/>
      <c r="AD92" s="30"/>
      <c r="AE92" s="30"/>
      <c r="AF92" s="136"/>
      <c r="AG92" s="30"/>
      <c r="AH92" s="106"/>
      <c r="AI92" s="30"/>
      <c r="AJ92" s="30"/>
      <c r="AK92" s="136"/>
      <c r="AL92" s="30"/>
    </row>
    <row r="93" spans="1:42" ht="15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235" t="s">
        <v>49</v>
      </c>
      <c r="AA93" s="235"/>
      <c r="AB93" s="235"/>
      <c r="AC93" s="235"/>
      <c r="AD93" s="235"/>
      <c r="AE93" s="235"/>
      <c r="AF93" s="136"/>
      <c r="AG93" s="30"/>
      <c r="AH93" s="235" t="s">
        <v>50</v>
      </c>
      <c r="AI93" s="235"/>
      <c r="AJ93" s="235"/>
      <c r="AK93" s="235"/>
      <c r="AL93" s="235"/>
      <c r="AM93" s="235"/>
    </row>
    <row r="94" spans="1:42" ht="15.75" x14ac:dyDescent="0.25">
      <c r="A94" s="36"/>
      <c r="B94" s="37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235" t="s">
        <v>269</v>
      </c>
      <c r="AA94" s="235"/>
      <c r="AB94" s="235"/>
      <c r="AC94" s="235"/>
      <c r="AD94" s="235"/>
      <c r="AE94" s="235"/>
      <c r="AF94" s="136"/>
      <c r="AG94" s="30"/>
      <c r="AH94" s="235" t="s">
        <v>269</v>
      </c>
      <c r="AI94" s="235"/>
      <c r="AJ94" s="235"/>
      <c r="AK94" s="235"/>
      <c r="AL94" s="235"/>
      <c r="AM94" s="235"/>
    </row>
    <row r="95" spans="1:42" ht="15" x14ac:dyDescent="0.2">
      <c r="Z95" s="235" t="s">
        <v>202</v>
      </c>
      <c r="AA95" s="235"/>
      <c r="AB95" s="235"/>
      <c r="AC95" s="235"/>
      <c r="AD95" s="235"/>
      <c r="AE95" s="235"/>
      <c r="AH95" s="235" t="s">
        <v>51</v>
      </c>
      <c r="AI95" s="235"/>
      <c r="AJ95" s="235"/>
      <c r="AK95" s="235"/>
      <c r="AL95" s="235"/>
      <c r="AM95" s="235"/>
    </row>
    <row r="96" spans="1:42" ht="15" x14ac:dyDescent="0.2">
      <c r="Z96" s="235" t="s">
        <v>52</v>
      </c>
      <c r="AA96" s="235"/>
      <c r="AB96" s="235"/>
      <c r="AC96" s="235"/>
      <c r="AD96" s="235"/>
      <c r="AE96" s="235"/>
      <c r="AH96" s="235" t="s">
        <v>52</v>
      </c>
      <c r="AI96" s="235"/>
      <c r="AJ96" s="235"/>
      <c r="AK96" s="235"/>
      <c r="AL96" s="235"/>
      <c r="AM96" s="235"/>
    </row>
    <row r="97" spans="1:39" ht="25.5" x14ac:dyDescent="0.2">
      <c r="A97" s="33" t="s">
        <v>26</v>
      </c>
      <c r="B97" s="33" t="s">
        <v>27</v>
      </c>
      <c r="C97" s="33" t="s">
        <v>28</v>
      </c>
      <c r="Z97" s="30"/>
      <c r="AA97" s="106"/>
      <c r="AB97" s="30"/>
      <c r="AC97" s="136"/>
      <c r="AD97" s="30"/>
      <c r="AH97" s="109"/>
      <c r="AI97" s="136"/>
      <c r="AJ97" s="30"/>
      <c r="AK97" s="136"/>
      <c r="AL97" s="30"/>
    </row>
    <row r="98" spans="1:39" ht="25.5" x14ac:dyDescent="0.25">
      <c r="A98" s="34" t="s">
        <v>29</v>
      </c>
      <c r="B98" s="34" t="s">
        <v>30</v>
      </c>
      <c r="C98" s="34" t="s">
        <v>31</v>
      </c>
      <c r="Z98" s="236" t="s">
        <v>203</v>
      </c>
      <c r="AA98" s="236"/>
      <c r="AB98" s="236"/>
      <c r="AC98" s="236"/>
      <c r="AD98" s="236"/>
      <c r="AE98" s="236"/>
      <c r="AH98" s="236" t="s">
        <v>53</v>
      </c>
      <c r="AI98" s="236"/>
      <c r="AJ98" s="236"/>
      <c r="AK98" s="236"/>
      <c r="AL98" s="236"/>
      <c r="AM98" s="236"/>
    </row>
    <row r="99" spans="1:39" ht="25.5" x14ac:dyDescent="0.2">
      <c r="A99" s="34" t="s">
        <v>32</v>
      </c>
      <c r="B99" s="34" t="s">
        <v>33</v>
      </c>
      <c r="C99" s="34" t="s">
        <v>34</v>
      </c>
      <c r="Z99" s="237" t="s">
        <v>204</v>
      </c>
      <c r="AA99" s="237"/>
      <c r="AB99" s="237"/>
      <c r="AC99" s="237"/>
      <c r="AD99" s="237"/>
      <c r="AE99" s="237"/>
      <c r="AH99" s="237" t="s">
        <v>54</v>
      </c>
      <c r="AI99" s="237"/>
      <c r="AJ99" s="237"/>
      <c r="AK99" s="237"/>
      <c r="AL99" s="237"/>
      <c r="AM99" s="237"/>
    </row>
    <row r="100" spans="1:39" ht="25.5" x14ac:dyDescent="0.2">
      <c r="A100" s="34" t="s">
        <v>35</v>
      </c>
      <c r="B100" s="34" t="s">
        <v>36</v>
      </c>
      <c r="C100" s="34" t="s">
        <v>37</v>
      </c>
    </row>
    <row r="101" spans="1:39" ht="25.5" x14ac:dyDescent="0.2">
      <c r="A101" s="34" t="s">
        <v>38</v>
      </c>
      <c r="B101" s="34" t="s">
        <v>39</v>
      </c>
      <c r="C101" s="34" t="s">
        <v>40</v>
      </c>
    </row>
    <row r="102" spans="1:39" ht="25.5" x14ac:dyDescent="0.2">
      <c r="A102" s="34" t="s">
        <v>41</v>
      </c>
      <c r="B102" s="35" t="s">
        <v>42</v>
      </c>
      <c r="C102" s="34" t="s">
        <v>43</v>
      </c>
    </row>
  </sheetData>
  <mergeCells count="82">
    <mergeCell ref="Z96:AE96"/>
    <mergeCell ref="AH96:AM96"/>
    <mergeCell ref="Z98:AE98"/>
    <mergeCell ref="AH98:AM98"/>
    <mergeCell ref="Z99:AE99"/>
    <mergeCell ref="AH99:AM99"/>
    <mergeCell ref="Z93:AE93"/>
    <mergeCell ref="AH93:AM93"/>
    <mergeCell ref="Z94:AE94"/>
    <mergeCell ref="AH94:AM94"/>
    <mergeCell ref="Z95:AE95"/>
    <mergeCell ref="AH95:AM95"/>
    <mergeCell ref="A86:AA86"/>
    <mergeCell ref="A87:AA87"/>
    <mergeCell ref="A88:AL88"/>
    <mergeCell ref="A89:AL89"/>
    <mergeCell ref="A90:AL90"/>
    <mergeCell ref="A91:AL91"/>
    <mergeCell ref="AJ11:AK11"/>
    <mergeCell ref="Z12:AA12"/>
    <mergeCell ref="AB12:AC12"/>
    <mergeCell ref="AE12:AF12"/>
    <mergeCell ref="AG12:AH12"/>
    <mergeCell ref="AJ12:AK12"/>
    <mergeCell ref="W11:X12"/>
    <mergeCell ref="Y11:Y12"/>
    <mergeCell ref="Z11:AA11"/>
    <mergeCell ref="AB11:AC11"/>
    <mergeCell ref="AE11:AF11"/>
    <mergeCell ref="AG11:AH11"/>
    <mergeCell ref="N11:O12"/>
    <mergeCell ref="P11:P12"/>
    <mergeCell ref="Q11:R12"/>
    <mergeCell ref="S11:S12"/>
    <mergeCell ref="T11:U12"/>
    <mergeCell ref="V11:V12"/>
    <mergeCell ref="E11:F12"/>
    <mergeCell ref="G11:G12"/>
    <mergeCell ref="H11:I12"/>
    <mergeCell ref="J11:J12"/>
    <mergeCell ref="K11:L12"/>
    <mergeCell ref="M11:M12"/>
    <mergeCell ref="Q10:S10"/>
    <mergeCell ref="T10:V10"/>
    <mergeCell ref="W10:Y10"/>
    <mergeCell ref="Z10:AF10"/>
    <mergeCell ref="AG10:AI10"/>
    <mergeCell ref="AJ10:AL10"/>
    <mergeCell ref="AG9:AI9"/>
    <mergeCell ref="AJ9:AL9"/>
    <mergeCell ref="A10:A12"/>
    <mergeCell ref="B10:B12"/>
    <mergeCell ref="C10:C12"/>
    <mergeCell ref="D10:D12"/>
    <mergeCell ref="E10:G10"/>
    <mergeCell ref="H10:J10"/>
    <mergeCell ref="K10:M10"/>
    <mergeCell ref="N10:P10"/>
    <mergeCell ref="K9:M9"/>
    <mergeCell ref="N9:P9"/>
    <mergeCell ref="Q9:S9"/>
    <mergeCell ref="T9:V9"/>
    <mergeCell ref="W9:Y9"/>
    <mergeCell ref="AJ7:AL8"/>
    <mergeCell ref="AM7:AM8"/>
    <mergeCell ref="A7:A9"/>
    <mergeCell ref="B7:B9"/>
    <mergeCell ref="C7:C9"/>
    <mergeCell ref="D7:D9"/>
    <mergeCell ref="E7:G9"/>
    <mergeCell ref="H7:J9"/>
    <mergeCell ref="Z9:AF9"/>
    <mergeCell ref="K7:M8"/>
    <mergeCell ref="N7:Y8"/>
    <mergeCell ref="Z7:AF8"/>
    <mergeCell ref="AG7:AI8"/>
    <mergeCell ref="A6:AL6"/>
    <mergeCell ref="A1:AL1"/>
    <mergeCell ref="A2:AL2"/>
    <mergeCell ref="A3:AL3"/>
    <mergeCell ref="A4:AL4"/>
    <mergeCell ref="A5:AL5"/>
  </mergeCells>
  <pageMargins left="0.23622047244094491" right="0.23622047244094491" top="3.937007874015748E-2" bottom="3.937007874015748E-2" header="0" footer="0"/>
  <pageSetup paperSize="5" scale="34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103"/>
  <sheetViews>
    <sheetView showRuler="0" view="pageBreakPreview" topLeftCell="A7" zoomScale="70" zoomScaleNormal="40" zoomScaleSheetLayoutView="70" zoomScalePageLayoutView="55" workbookViewId="0">
      <selection activeCell="A13" sqref="A13:XFD13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21.5703125" style="2" customWidth="1"/>
    <col min="4" max="4" width="22.570312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8.5703125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hidden="1" customWidth="1"/>
    <col min="21" max="21" width="8" style="2" hidden="1" customWidth="1"/>
    <col min="22" max="22" width="18.28515625" style="2" hidden="1" customWidth="1"/>
    <col min="23" max="23" width="9" style="2" hidden="1" customWidth="1"/>
    <col min="24" max="24" width="7.5703125" style="2" hidden="1" customWidth="1"/>
    <col min="25" max="25" width="17.85546875" style="2" hidden="1" customWidth="1"/>
    <col min="26" max="26" width="10.5703125" style="2" customWidth="1"/>
    <col min="27" max="27" width="5.5703125" style="107" customWidth="1"/>
    <col min="28" max="28" width="10.5703125" style="2" customWidth="1"/>
    <col min="29" max="29" width="5.5703125" style="4" customWidth="1"/>
    <col min="30" max="30" width="17.140625" style="2" customWidth="1"/>
    <col min="31" max="31" width="11.85546875" style="2" customWidth="1"/>
    <col min="32" max="32" width="5.5703125" style="4" customWidth="1"/>
    <col min="33" max="33" width="11.140625" style="2" customWidth="1"/>
    <col min="34" max="34" width="5.5703125" style="107" customWidth="1"/>
    <col min="35" max="35" width="16.7109375" style="2" customWidth="1"/>
    <col min="36" max="36" width="8" style="2" customWidth="1"/>
    <col min="37" max="37" width="5.5703125" style="4" customWidth="1"/>
    <col min="38" max="38" width="10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"/>
    </row>
    <row r="2" spans="1:45" ht="23.25" x14ac:dyDescent="0.35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3"/>
    </row>
    <row r="3" spans="1:45" ht="23.25" x14ac:dyDescent="0.35">
      <c r="A3" s="192" t="s">
        <v>44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3"/>
    </row>
    <row r="4" spans="1:45" ht="23.25" x14ac:dyDescent="0.35">
      <c r="A4" s="193" t="s">
        <v>201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"/>
    </row>
    <row r="5" spans="1:45" ht="18" x14ac:dyDescent="0.2">
      <c r="A5" s="194" t="s">
        <v>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</row>
    <row r="6" spans="1:45" ht="18" x14ac:dyDescent="0.25">
      <c r="A6" s="191" t="s">
        <v>44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</row>
    <row r="7" spans="1:45" ht="81" customHeight="1" x14ac:dyDescent="0.2">
      <c r="A7" s="250" t="s">
        <v>3</v>
      </c>
      <c r="B7" s="250" t="s">
        <v>4</v>
      </c>
      <c r="C7" s="251" t="s">
        <v>5</v>
      </c>
      <c r="D7" s="251" t="s">
        <v>6</v>
      </c>
      <c r="E7" s="238" t="s">
        <v>7</v>
      </c>
      <c r="F7" s="239"/>
      <c r="G7" s="240"/>
      <c r="H7" s="238" t="s">
        <v>59</v>
      </c>
      <c r="I7" s="239"/>
      <c r="J7" s="240"/>
      <c r="K7" s="238" t="s">
        <v>63</v>
      </c>
      <c r="L7" s="239"/>
      <c r="M7" s="239"/>
      <c r="N7" s="238" t="s">
        <v>8</v>
      </c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40"/>
      <c r="Z7" s="238" t="s">
        <v>47</v>
      </c>
      <c r="AA7" s="239"/>
      <c r="AB7" s="239"/>
      <c r="AC7" s="239"/>
      <c r="AD7" s="239"/>
      <c r="AE7" s="239"/>
      <c r="AF7" s="240"/>
      <c r="AG7" s="238" t="s">
        <v>64</v>
      </c>
      <c r="AH7" s="239"/>
      <c r="AI7" s="240"/>
      <c r="AJ7" s="238" t="s">
        <v>65</v>
      </c>
      <c r="AK7" s="239"/>
      <c r="AL7" s="239"/>
      <c r="AM7" s="252" t="s">
        <v>9</v>
      </c>
      <c r="AO7" s="4"/>
      <c r="AP7" s="4"/>
      <c r="AQ7" s="4"/>
      <c r="AR7" s="4"/>
      <c r="AS7" s="4"/>
    </row>
    <row r="8" spans="1:45" ht="18" customHeight="1" x14ac:dyDescent="0.2">
      <c r="A8" s="250"/>
      <c r="B8" s="250"/>
      <c r="C8" s="251"/>
      <c r="D8" s="251"/>
      <c r="E8" s="241"/>
      <c r="F8" s="242"/>
      <c r="G8" s="243"/>
      <c r="H8" s="241"/>
      <c r="I8" s="242"/>
      <c r="J8" s="243"/>
      <c r="K8" s="244"/>
      <c r="L8" s="245"/>
      <c r="M8" s="245"/>
      <c r="N8" s="244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6"/>
      <c r="Z8" s="244"/>
      <c r="AA8" s="245"/>
      <c r="AB8" s="245"/>
      <c r="AC8" s="245"/>
      <c r="AD8" s="245"/>
      <c r="AE8" s="245"/>
      <c r="AF8" s="246"/>
      <c r="AG8" s="244"/>
      <c r="AH8" s="245"/>
      <c r="AI8" s="246"/>
      <c r="AJ8" s="244"/>
      <c r="AK8" s="245"/>
      <c r="AL8" s="245"/>
      <c r="AM8" s="253"/>
    </row>
    <row r="9" spans="1:45" ht="15.75" customHeight="1" x14ac:dyDescent="0.2">
      <c r="A9" s="250"/>
      <c r="B9" s="250"/>
      <c r="C9" s="251"/>
      <c r="D9" s="251"/>
      <c r="E9" s="244"/>
      <c r="F9" s="245"/>
      <c r="G9" s="246"/>
      <c r="H9" s="244"/>
      <c r="I9" s="245"/>
      <c r="J9" s="246"/>
      <c r="K9" s="254">
        <v>2021</v>
      </c>
      <c r="L9" s="255"/>
      <c r="M9" s="256"/>
      <c r="N9" s="247" t="s">
        <v>10</v>
      </c>
      <c r="O9" s="248"/>
      <c r="P9" s="249"/>
      <c r="Q9" s="247" t="s">
        <v>11</v>
      </c>
      <c r="R9" s="248"/>
      <c r="S9" s="249"/>
      <c r="T9" s="247" t="s">
        <v>12</v>
      </c>
      <c r="U9" s="248"/>
      <c r="V9" s="249"/>
      <c r="W9" s="247" t="s">
        <v>13</v>
      </c>
      <c r="X9" s="248"/>
      <c r="Y9" s="249"/>
      <c r="Z9" s="247">
        <v>2021</v>
      </c>
      <c r="AA9" s="248"/>
      <c r="AB9" s="248"/>
      <c r="AC9" s="248"/>
      <c r="AD9" s="248"/>
      <c r="AE9" s="248"/>
      <c r="AF9" s="249"/>
      <c r="AG9" s="247">
        <v>2021</v>
      </c>
      <c r="AH9" s="248"/>
      <c r="AI9" s="249"/>
      <c r="AJ9" s="247">
        <v>2021</v>
      </c>
      <c r="AK9" s="248"/>
      <c r="AL9" s="249"/>
      <c r="AM9" s="5"/>
    </row>
    <row r="10" spans="1:45" s="7" customFormat="1" ht="15.75" x14ac:dyDescent="0.25">
      <c r="A10" s="272">
        <v>1</v>
      </c>
      <c r="B10" s="272">
        <v>2</v>
      </c>
      <c r="C10" s="272">
        <v>3</v>
      </c>
      <c r="D10" s="272">
        <v>4</v>
      </c>
      <c r="E10" s="257">
        <v>5</v>
      </c>
      <c r="F10" s="259"/>
      <c r="G10" s="258"/>
      <c r="H10" s="257">
        <v>6</v>
      </c>
      <c r="I10" s="259"/>
      <c r="J10" s="258"/>
      <c r="K10" s="263">
        <v>7</v>
      </c>
      <c r="L10" s="264"/>
      <c r="M10" s="265"/>
      <c r="N10" s="263">
        <v>8</v>
      </c>
      <c r="O10" s="264"/>
      <c r="P10" s="265"/>
      <c r="Q10" s="263">
        <v>9</v>
      </c>
      <c r="R10" s="264"/>
      <c r="S10" s="265"/>
      <c r="T10" s="263">
        <v>10</v>
      </c>
      <c r="U10" s="264"/>
      <c r="V10" s="265"/>
      <c r="W10" s="263">
        <v>11</v>
      </c>
      <c r="X10" s="264"/>
      <c r="Y10" s="265"/>
      <c r="Z10" s="260">
        <v>12</v>
      </c>
      <c r="AA10" s="261"/>
      <c r="AB10" s="261"/>
      <c r="AC10" s="261"/>
      <c r="AD10" s="261"/>
      <c r="AE10" s="261"/>
      <c r="AF10" s="262"/>
      <c r="AG10" s="260">
        <v>13</v>
      </c>
      <c r="AH10" s="261"/>
      <c r="AI10" s="262"/>
      <c r="AJ10" s="260">
        <v>14</v>
      </c>
      <c r="AK10" s="261"/>
      <c r="AL10" s="262"/>
      <c r="AM10" s="6">
        <v>15</v>
      </c>
    </row>
    <row r="11" spans="1:45" s="7" customFormat="1" ht="87" customHeight="1" x14ac:dyDescent="0.2">
      <c r="A11" s="273"/>
      <c r="B11" s="273"/>
      <c r="C11" s="273"/>
      <c r="D11" s="273"/>
      <c r="E11" s="266" t="s">
        <v>14</v>
      </c>
      <c r="F11" s="267"/>
      <c r="G11" s="270" t="s">
        <v>15</v>
      </c>
      <c r="H11" s="266" t="s">
        <v>14</v>
      </c>
      <c r="I11" s="267"/>
      <c r="J11" s="270" t="s">
        <v>15</v>
      </c>
      <c r="K11" s="266" t="s">
        <v>14</v>
      </c>
      <c r="L11" s="267"/>
      <c r="M11" s="272" t="s">
        <v>15</v>
      </c>
      <c r="N11" s="266" t="s">
        <v>14</v>
      </c>
      <c r="O11" s="267"/>
      <c r="P11" s="272" t="s">
        <v>15</v>
      </c>
      <c r="Q11" s="266" t="s">
        <v>14</v>
      </c>
      <c r="R11" s="267"/>
      <c r="S11" s="272" t="s">
        <v>15</v>
      </c>
      <c r="T11" s="266" t="s">
        <v>14</v>
      </c>
      <c r="U11" s="267"/>
      <c r="V11" s="272" t="s">
        <v>15</v>
      </c>
      <c r="W11" s="266" t="s">
        <v>14</v>
      </c>
      <c r="X11" s="267"/>
      <c r="Y11" s="272" t="s">
        <v>15</v>
      </c>
      <c r="Z11" s="257" t="s">
        <v>16</v>
      </c>
      <c r="AA11" s="258"/>
      <c r="AB11" s="257" t="s">
        <v>48</v>
      </c>
      <c r="AC11" s="258"/>
      <c r="AD11" s="8" t="s">
        <v>17</v>
      </c>
      <c r="AE11" s="257" t="s">
        <v>48</v>
      </c>
      <c r="AF11" s="258"/>
      <c r="AG11" s="257" t="s">
        <v>18</v>
      </c>
      <c r="AH11" s="258"/>
      <c r="AI11" s="8" t="s">
        <v>19</v>
      </c>
      <c r="AJ11" s="257" t="s">
        <v>20</v>
      </c>
      <c r="AK11" s="258"/>
      <c r="AL11" s="8" t="s">
        <v>21</v>
      </c>
      <c r="AM11" s="9"/>
    </row>
    <row r="12" spans="1:45" s="7" customFormat="1" ht="15.75" x14ac:dyDescent="0.2">
      <c r="A12" s="270"/>
      <c r="B12" s="270"/>
      <c r="C12" s="270"/>
      <c r="D12" s="270"/>
      <c r="E12" s="268"/>
      <c r="F12" s="269"/>
      <c r="G12" s="271"/>
      <c r="H12" s="268"/>
      <c r="I12" s="269"/>
      <c r="J12" s="271"/>
      <c r="K12" s="268"/>
      <c r="L12" s="269"/>
      <c r="M12" s="270"/>
      <c r="N12" s="268"/>
      <c r="O12" s="269"/>
      <c r="P12" s="270"/>
      <c r="Q12" s="268"/>
      <c r="R12" s="269"/>
      <c r="S12" s="270"/>
      <c r="T12" s="268"/>
      <c r="U12" s="269"/>
      <c r="V12" s="270"/>
      <c r="W12" s="268"/>
      <c r="X12" s="269"/>
      <c r="Y12" s="270"/>
      <c r="Z12" s="268" t="s">
        <v>14</v>
      </c>
      <c r="AA12" s="269"/>
      <c r="AB12" s="268" t="s">
        <v>14</v>
      </c>
      <c r="AC12" s="269"/>
      <c r="AD12" s="10" t="s">
        <v>15</v>
      </c>
      <c r="AE12" s="268" t="s">
        <v>15</v>
      </c>
      <c r="AF12" s="269"/>
      <c r="AG12" s="268" t="s">
        <v>14</v>
      </c>
      <c r="AH12" s="269"/>
      <c r="AI12" s="10" t="s">
        <v>15</v>
      </c>
      <c r="AJ12" s="268" t="s">
        <v>14</v>
      </c>
      <c r="AK12" s="269"/>
      <c r="AL12" s="10" t="s">
        <v>15</v>
      </c>
      <c r="AM12" s="80"/>
    </row>
    <row r="13" spans="1:45" ht="117" customHeight="1" x14ac:dyDescent="0.2">
      <c r="A13" s="48">
        <v>1</v>
      </c>
      <c r="B13" s="13" t="s">
        <v>22</v>
      </c>
      <c r="C13" s="97" t="s">
        <v>62</v>
      </c>
      <c r="D13" s="112" t="s">
        <v>150</v>
      </c>
      <c r="E13" s="82"/>
      <c r="F13" s="83"/>
      <c r="G13" s="58"/>
      <c r="H13" s="82"/>
      <c r="I13" s="83"/>
      <c r="J13" s="58"/>
      <c r="K13" s="82">
        <v>100</v>
      </c>
      <c r="L13" s="83" t="s">
        <v>141</v>
      </c>
      <c r="M13" s="58">
        <f>M14+M17+M22+M29+M31+M35</f>
        <v>4102641575</v>
      </c>
      <c r="N13" s="82">
        <v>25</v>
      </c>
      <c r="O13" s="83" t="str">
        <f>L13</f>
        <v>%</v>
      </c>
      <c r="P13" s="58">
        <f>P14+P17+P22+P29+P31+P35</f>
        <v>630183614</v>
      </c>
      <c r="Q13" s="117">
        <v>25</v>
      </c>
      <c r="R13" s="83" t="str">
        <f>L13</f>
        <v>%</v>
      </c>
      <c r="S13" s="58">
        <f>S14+S17+S22+S29+S31+S35</f>
        <v>1083238975</v>
      </c>
      <c r="T13" s="84"/>
      <c r="U13" s="83"/>
      <c r="V13" s="58"/>
      <c r="W13" s="84"/>
      <c r="X13" s="83"/>
      <c r="Y13" s="58"/>
      <c r="Z13" s="140">
        <f>SUM(N13,Q13,T13,W13)</f>
        <v>50</v>
      </c>
      <c r="AA13" s="101" t="str">
        <f>L13</f>
        <v>%</v>
      </c>
      <c r="AB13" s="68">
        <f>Z13/K13*100</f>
        <v>50</v>
      </c>
      <c r="AC13" s="71" t="s">
        <v>141</v>
      </c>
      <c r="AD13" s="75">
        <f>SUM(P13,S13,V13,Y13)</f>
        <v>1713422589</v>
      </c>
      <c r="AE13" s="70">
        <f>AD13/M13*100</f>
        <v>41.763886941549359</v>
      </c>
      <c r="AF13" s="71" t="s">
        <v>141</v>
      </c>
      <c r="AG13" s="140">
        <f>SUM(H13,Z13)</f>
        <v>50</v>
      </c>
      <c r="AH13" s="101" t="str">
        <f>O13</f>
        <v>%</v>
      </c>
      <c r="AI13" s="75">
        <f>SUM(J13,AD13)</f>
        <v>1713422589</v>
      </c>
      <c r="AJ13" s="70"/>
      <c r="AK13" s="71" t="s">
        <v>141</v>
      </c>
      <c r="AL13" s="70"/>
      <c r="AM13" s="20" t="s">
        <v>45</v>
      </c>
      <c r="AP13" s="21">
        <f t="shared" ref="AP13:AP21" si="0">P13+S13+V13+Y13</f>
        <v>1713422589</v>
      </c>
    </row>
    <row r="14" spans="1:45" ht="78.75" x14ac:dyDescent="0.2">
      <c r="A14" s="48">
        <v>2</v>
      </c>
      <c r="B14" s="49" t="s">
        <v>23</v>
      </c>
      <c r="C14" s="92" t="s">
        <v>60</v>
      </c>
      <c r="D14" s="14" t="s">
        <v>132</v>
      </c>
      <c r="E14" s="43"/>
      <c r="F14" s="44"/>
      <c r="G14" s="85"/>
      <c r="H14" s="43"/>
      <c r="I14" s="44"/>
      <c r="J14" s="18"/>
      <c r="K14" s="43">
        <f>SUM(K15:K16)</f>
        <v>8</v>
      </c>
      <c r="L14" s="44" t="s">
        <v>129</v>
      </c>
      <c r="M14" s="40">
        <f>SUM(M15:M16)</f>
        <v>9500000</v>
      </c>
      <c r="N14" s="43">
        <f>SUM(N15:N16)</f>
        <v>1</v>
      </c>
      <c r="O14" s="83" t="str">
        <f t="shared" ref="O14:O37" si="1">L14</f>
        <v>Dok</v>
      </c>
      <c r="P14" s="40">
        <f>SUM(P15:P16)</f>
        <v>0</v>
      </c>
      <c r="Q14" s="43">
        <f>SUM(Q15:Q16)</f>
        <v>1</v>
      </c>
      <c r="R14" s="83" t="str">
        <f t="shared" ref="R14:R36" si="2">L14</f>
        <v>Dok</v>
      </c>
      <c r="S14" s="40">
        <f>SUM(S15:S16)</f>
        <v>2617700</v>
      </c>
      <c r="T14" s="45"/>
      <c r="U14" s="44"/>
      <c r="V14" s="50"/>
      <c r="W14" s="45"/>
      <c r="X14" s="44"/>
      <c r="Y14" s="50"/>
      <c r="Z14" s="140">
        <f t="shared" ref="Z14:Z77" si="3">SUM(N14,Q14,T14,W14)</f>
        <v>2</v>
      </c>
      <c r="AA14" s="101" t="str">
        <f t="shared" ref="AA14:AA77" si="4">L14</f>
        <v>Dok</v>
      </c>
      <c r="AB14" s="68">
        <f t="shared" ref="AB14:AB77" si="5">Z14/K14*100</f>
        <v>25</v>
      </c>
      <c r="AC14" s="71" t="s">
        <v>141</v>
      </c>
      <c r="AD14" s="73">
        <f t="shared" ref="AD14:AD77" si="6">SUM(P14,S14,V14,Y14)</f>
        <v>2617700</v>
      </c>
      <c r="AE14" s="74">
        <f t="shared" ref="AE14:AE77" si="7">AD14/M14*100</f>
        <v>27.554736842105264</v>
      </c>
      <c r="AF14" s="78" t="s">
        <v>141</v>
      </c>
      <c r="AG14" s="144">
        <f t="shared" ref="AG14:AG77" si="8">SUM(H14,Z14)</f>
        <v>2</v>
      </c>
      <c r="AH14" s="105" t="str">
        <f t="shared" ref="AH14:AH77" si="9">O14</f>
        <v>Dok</v>
      </c>
      <c r="AI14" s="73">
        <f t="shared" ref="AI14:AI77" si="10">SUM(J14,AD14)</f>
        <v>2617700</v>
      </c>
      <c r="AJ14" s="74"/>
      <c r="AK14" s="78" t="s">
        <v>141</v>
      </c>
      <c r="AL14" s="74"/>
      <c r="AM14" s="20"/>
      <c r="AP14" s="21"/>
    </row>
    <row r="15" spans="1:45" ht="60" x14ac:dyDescent="0.2">
      <c r="A15" s="12"/>
      <c r="B15" s="13"/>
      <c r="C15" s="86" t="s">
        <v>61</v>
      </c>
      <c r="D15" s="26" t="s">
        <v>133</v>
      </c>
      <c r="E15" s="15"/>
      <c r="F15" s="16"/>
      <c r="G15" s="50"/>
      <c r="H15" s="15"/>
      <c r="I15" s="16"/>
      <c r="J15" s="18"/>
      <c r="K15" s="15">
        <v>4</v>
      </c>
      <c r="L15" s="16" t="s">
        <v>129</v>
      </c>
      <c r="M15" s="19">
        <v>8000000</v>
      </c>
      <c r="N15" s="15">
        <v>0</v>
      </c>
      <c r="O15" s="115" t="str">
        <f t="shared" si="1"/>
        <v>Dok</v>
      </c>
      <c r="P15" s="19">
        <v>0</v>
      </c>
      <c r="Q15" s="15">
        <v>0</v>
      </c>
      <c r="R15" s="115" t="str">
        <f t="shared" si="2"/>
        <v>Dok</v>
      </c>
      <c r="S15" s="19">
        <v>2617700</v>
      </c>
      <c r="T15" s="15"/>
      <c r="U15" s="16"/>
      <c r="V15" s="19"/>
      <c r="W15" s="15"/>
      <c r="X15" s="16"/>
      <c r="Y15" s="19"/>
      <c r="Z15" s="141">
        <f t="shared" si="3"/>
        <v>0</v>
      </c>
      <c r="AA15" s="102" t="str">
        <f t="shared" si="4"/>
        <v>Dok</v>
      </c>
      <c r="AB15" s="67">
        <f t="shared" si="5"/>
        <v>0</v>
      </c>
      <c r="AC15" s="32" t="s">
        <v>141</v>
      </c>
      <c r="AD15" s="38">
        <f t="shared" si="6"/>
        <v>2617700</v>
      </c>
      <c r="AE15" s="66">
        <f t="shared" si="7"/>
        <v>32.721250000000005</v>
      </c>
      <c r="AF15" s="32" t="s">
        <v>141</v>
      </c>
      <c r="AG15" s="141">
        <f t="shared" si="8"/>
        <v>0</v>
      </c>
      <c r="AH15" s="102" t="str">
        <f t="shared" si="9"/>
        <v>Dok</v>
      </c>
      <c r="AI15" s="38">
        <f t="shared" si="10"/>
        <v>2617700</v>
      </c>
      <c r="AJ15" s="66"/>
      <c r="AK15" s="32" t="s">
        <v>141</v>
      </c>
      <c r="AL15" s="66"/>
      <c r="AM15" s="11"/>
      <c r="AP15" s="21"/>
    </row>
    <row r="16" spans="1:45" ht="45" x14ac:dyDescent="0.2">
      <c r="A16" s="12"/>
      <c r="B16" s="13"/>
      <c r="C16" s="52" t="s">
        <v>66</v>
      </c>
      <c r="D16" s="26" t="s">
        <v>134</v>
      </c>
      <c r="E16" s="15"/>
      <c r="F16" s="16"/>
      <c r="G16" s="50"/>
      <c r="H16" s="15"/>
      <c r="I16" s="16"/>
      <c r="J16" s="18"/>
      <c r="K16" s="15">
        <v>4</v>
      </c>
      <c r="L16" s="16" t="s">
        <v>129</v>
      </c>
      <c r="M16" s="19">
        <v>1500000</v>
      </c>
      <c r="N16" s="15">
        <v>1</v>
      </c>
      <c r="O16" s="115" t="str">
        <f t="shared" si="1"/>
        <v>Dok</v>
      </c>
      <c r="P16" s="19">
        <v>0</v>
      </c>
      <c r="Q16" s="15">
        <v>1</v>
      </c>
      <c r="R16" s="115" t="str">
        <f t="shared" si="2"/>
        <v>Dok</v>
      </c>
      <c r="S16" s="19">
        <v>0</v>
      </c>
      <c r="T16" s="15"/>
      <c r="U16" s="16"/>
      <c r="V16" s="19"/>
      <c r="W16" s="15"/>
      <c r="X16" s="16"/>
      <c r="Y16" s="19"/>
      <c r="Z16" s="141">
        <f t="shared" si="3"/>
        <v>2</v>
      </c>
      <c r="AA16" s="102" t="str">
        <f t="shared" si="4"/>
        <v>Dok</v>
      </c>
      <c r="AB16" s="67">
        <f t="shared" si="5"/>
        <v>50</v>
      </c>
      <c r="AC16" s="32" t="s">
        <v>141</v>
      </c>
      <c r="AD16" s="38">
        <f t="shared" si="6"/>
        <v>0</v>
      </c>
      <c r="AE16" s="66">
        <f t="shared" si="7"/>
        <v>0</v>
      </c>
      <c r="AF16" s="32" t="s">
        <v>141</v>
      </c>
      <c r="AG16" s="141">
        <f t="shared" si="8"/>
        <v>2</v>
      </c>
      <c r="AH16" s="102" t="str">
        <f t="shared" si="9"/>
        <v>Dok</v>
      </c>
      <c r="AI16" s="38">
        <f t="shared" si="10"/>
        <v>0</v>
      </c>
      <c r="AJ16" s="66"/>
      <c r="AK16" s="32" t="s">
        <v>141</v>
      </c>
      <c r="AL16" s="66"/>
      <c r="AM16" s="11"/>
      <c r="AP16" s="21"/>
    </row>
    <row r="17" spans="1:42" ht="63" x14ac:dyDescent="0.2">
      <c r="A17" s="88"/>
      <c r="B17" s="89"/>
      <c r="C17" s="49" t="s">
        <v>67</v>
      </c>
      <c r="D17" s="14" t="s">
        <v>135</v>
      </c>
      <c r="E17" s="43"/>
      <c r="F17" s="44"/>
      <c r="G17" s="39"/>
      <c r="H17" s="43"/>
      <c r="I17" s="44"/>
      <c r="J17" s="39"/>
      <c r="K17" s="98">
        <f>SUM(K19:K21)</f>
        <v>14</v>
      </c>
      <c r="L17" s="95" t="s">
        <v>129</v>
      </c>
      <c r="M17" s="39">
        <f>SUM(M18:M21)</f>
        <v>3713293850</v>
      </c>
      <c r="N17" s="98">
        <f>SUM(N19:N21)</f>
        <v>3</v>
      </c>
      <c r="O17" s="83" t="str">
        <f t="shared" si="1"/>
        <v>Dok</v>
      </c>
      <c r="P17" s="39">
        <f>SUM(P18:P21)</f>
        <v>607543614</v>
      </c>
      <c r="Q17" s="98">
        <f>SUM(Q19:Q21)</f>
        <v>3</v>
      </c>
      <c r="R17" s="83" t="str">
        <f t="shared" si="2"/>
        <v>Dok</v>
      </c>
      <c r="S17" s="39">
        <f>SUM(S18:S21)</f>
        <v>989679729</v>
      </c>
      <c r="T17" s="43"/>
      <c r="U17" s="44"/>
      <c r="V17" s="39"/>
      <c r="W17" s="43"/>
      <c r="X17" s="44"/>
      <c r="Y17" s="39"/>
      <c r="Z17" s="140">
        <f t="shared" si="3"/>
        <v>6</v>
      </c>
      <c r="AA17" s="101" t="str">
        <f t="shared" si="4"/>
        <v>Dok</v>
      </c>
      <c r="AB17" s="70">
        <f t="shared" si="5"/>
        <v>42.857142857142854</v>
      </c>
      <c r="AC17" s="71" t="s">
        <v>141</v>
      </c>
      <c r="AD17" s="75">
        <f t="shared" si="6"/>
        <v>1597223343</v>
      </c>
      <c r="AE17" s="70">
        <f t="shared" si="7"/>
        <v>43.013653309446539</v>
      </c>
      <c r="AF17" s="71" t="s">
        <v>141</v>
      </c>
      <c r="AG17" s="140">
        <f t="shared" si="8"/>
        <v>6</v>
      </c>
      <c r="AH17" s="101" t="str">
        <f t="shared" si="9"/>
        <v>Dok</v>
      </c>
      <c r="AI17" s="75">
        <f t="shared" si="10"/>
        <v>1597223343</v>
      </c>
      <c r="AJ17" s="70"/>
      <c r="AK17" s="71" t="s">
        <v>141</v>
      </c>
      <c r="AL17" s="70"/>
      <c r="AM17" s="11"/>
      <c r="AP17" s="21"/>
    </row>
    <row r="18" spans="1:42" ht="30" customHeight="1" x14ac:dyDescent="0.2">
      <c r="A18" s="71"/>
      <c r="B18" s="14"/>
      <c r="C18" s="26" t="s">
        <v>68</v>
      </c>
      <c r="D18" s="22" t="s">
        <v>136</v>
      </c>
      <c r="E18" s="51"/>
      <c r="F18" s="23"/>
      <c r="G18" s="53"/>
      <c r="H18" s="41"/>
      <c r="I18" s="23"/>
      <c r="J18" s="24"/>
      <c r="K18" s="15">
        <v>12</v>
      </c>
      <c r="L18" s="16" t="s">
        <v>131</v>
      </c>
      <c r="M18" s="25">
        <v>3708293850</v>
      </c>
      <c r="N18" s="15">
        <v>3</v>
      </c>
      <c r="O18" s="115" t="str">
        <f t="shared" si="1"/>
        <v>Bln</v>
      </c>
      <c r="P18" s="25">
        <v>605726114</v>
      </c>
      <c r="Q18" s="57">
        <v>3</v>
      </c>
      <c r="R18" s="115" t="str">
        <f t="shared" si="2"/>
        <v>Bln</v>
      </c>
      <c r="S18" s="25">
        <f>1594955843-P18</f>
        <v>989229729</v>
      </c>
      <c r="T18" s="57"/>
      <c r="U18" s="23"/>
      <c r="V18" s="25"/>
      <c r="W18" s="57"/>
      <c r="X18" s="23"/>
      <c r="Y18" s="25"/>
      <c r="Z18" s="141">
        <f t="shared" si="3"/>
        <v>6</v>
      </c>
      <c r="AA18" s="103" t="str">
        <f t="shared" si="4"/>
        <v>Bln</v>
      </c>
      <c r="AB18" s="67">
        <f t="shared" si="5"/>
        <v>50</v>
      </c>
      <c r="AC18" s="32" t="s">
        <v>141</v>
      </c>
      <c r="AD18" s="38">
        <f t="shared" si="6"/>
        <v>1594955843</v>
      </c>
      <c r="AE18" s="66">
        <f t="shared" si="7"/>
        <v>43.010503145536859</v>
      </c>
      <c r="AF18" s="32" t="s">
        <v>141</v>
      </c>
      <c r="AG18" s="141">
        <f t="shared" si="8"/>
        <v>6</v>
      </c>
      <c r="AH18" s="103" t="str">
        <f t="shared" si="9"/>
        <v>Bln</v>
      </c>
      <c r="AI18" s="38">
        <f t="shared" si="10"/>
        <v>1594955843</v>
      </c>
      <c r="AJ18" s="66"/>
      <c r="AK18" s="32" t="s">
        <v>141</v>
      </c>
      <c r="AL18" s="66"/>
      <c r="AM18" s="27"/>
      <c r="AP18" s="21">
        <f t="shared" si="0"/>
        <v>1594955843</v>
      </c>
    </row>
    <row r="19" spans="1:42" ht="60" x14ac:dyDescent="0.2">
      <c r="A19" s="71"/>
      <c r="B19" s="14"/>
      <c r="C19" s="90" t="s">
        <v>69</v>
      </c>
      <c r="D19" s="22" t="s">
        <v>137</v>
      </c>
      <c r="E19" s="51"/>
      <c r="F19" s="16"/>
      <c r="G19" s="50"/>
      <c r="H19" s="42"/>
      <c r="I19" s="16"/>
      <c r="J19" s="18"/>
      <c r="K19" s="15">
        <v>1</v>
      </c>
      <c r="L19" s="16" t="s">
        <v>129</v>
      </c>
      <c r="M19" s="19">
        <v>2000000</v>
      </c>
      <c r="N19" s="15">
        <v>0</v>
      </c>
      <c r="O19" s="115" t="str">
        <f t="shared" si="1"/>
        <v>Dok</v>
      </c>
      <c r="P19" s="19">
        <v>1550000</v>
      </c>
      <c r="Q19" s="15">
        <v>0</v>
      </c>
      <c r="R19" s="115" t="str">
        <f t="shared" si="2"/>
        <v>Dok</v>
      </c>
      <c r="S19" s="19">
        <f>2000000-P19</f>
        <v>450000</v>
      </c>
      <c r="T19" s="15"/>
      <c r="U19" s="16"/>
      <c r="V19" s="19"/>
      <c r="W19" s="15"/>
      <c r="X19" s="16"/>
      <c r="Y19" s="19"/>
      <c r="Z19" s="141">
        <f t="shared" si="3"/>
        <v>0</v>
      </c>
      <c r="AA19" s="102" t="str">
        <f t="shared" si="4"/>
        <v>Dok</v>
      </c>
      <c r="AB19" s="67">
        <f t="shared" si="5"/>
        <v>0</v>
      </c>
      <c r="AC19" s="32" t="s">
        <v>141</v>
      </c>
      <c r="AD19" s="38">
        <f t="shared" si="6"/>
        <v>2000000</v>
      </c>
      <c r="AE19" s="66">
        <f t="shared" si="7"/>
        <v>100</v>
      </c>
      <c r="AF19" s="32" t="s">
        <v>141</v>
      </c>
      <c r="AG19" s="141">
        <f t="shared" si="8"/>
        <v>0</v>
      </c>
      <c r="AH19" s="102" t="str">
        <f t="shared" si="9"/>
        <v>Dok</v>
      </c>
      <c r="AI19" s="38">
        <f t="shared" si="10"/>
        <v>2000000</v>
      </c>
      <c r="AJ19" s="66"/>
      <c r="AK19" s="32" t="s">
        <v>141</v>
      </c>
      <c r="AL19" s="66"/>
      <c r="AM19" s="11"/>
      <c r="AP19" s="21">
        <f t="shared" si="0"/>
        <v>2000000</v>
      </c>
    </row>
    <row r="20" spans="1:42" ht="75" x14ac:dyDescent="0.2">
      <c r="A20" s="71"/>
      <c r="B20" s="14"/>
      <c r="C20" s="26" t="s">
        <v>70</v>
      </c>
      <c r="D20" s="22" t="s">
        <v>137</v>
      </c>
      <c r="E20" s="51"/>
      <c r="F20" s="23"/>
      <c r="G20" s="50"/>
      <c r="H20" s="41"/>
      <c r="I20" s="23"/>
      <c r="J20" s="18"/>
      <c r="K20" s="15">
        <v>12</v>
      </c>
      <c r="L20" s="16" t="s">
        <v>129</v>
      </c>
      <c r="M20" s="19">
        <v>1500000</v>
      </c>
      <c r="N20" s="15">
        <v>3</v>
      </c>
      <c r="O20" s="115" t="str">
        <f t="shared" si="1"/>
        <v>Dok</v>
      </c>
      <c r="P20" s="19">
        <v>267500</v>
      </c>
      <c r="Q20" s="15">
        <v>3</v>
      </c>
      <c r="R20" s="115" t="str">
        <f t="shared" si="2"/>
        <v>Dok</v>
      </c>
      <c r="S20" s="19">
        <v>0</v>
      </c>
      <c r="T20" s="15"/>
      <c r="U20" s="23"/>
      <c r="V20" s="19"/>
      <c r="W20" s="15"/>
      <c r="X20" s="23"/>
      <c r="Y20" s="19"/>
      <c r="Z20" s="141">
        <f t="shared" si="3"/>
        <v>6</v>
      </c>
      <c r="AA20" s="103" t="str">
        <f t="shared" si="4"/>
        <v>Dok</v>
      </c>
      <c r="AB20" s="67">
        <f t="shared" si="5"/>
        <v>50</v>
      </c>
      <c r="AC20" s="32" t="s">
        <v>141</v>
      </c>
      <c r="AD20" s="38">
        <f t="shared" si="6"/>
        <v>267500</v>
      </c>
      <c r="AE20" s="66">
        <f t="shared" si="7"/>
        <v>17.833333333333336</v>
      </c>
      <c r="AF20" s="32" t="s">
        <v>141</v>
      </c>
      <c r="AG20" s="141">
        <f t="shared" si="8"/>
        <v>6</v>
      </c>
      <c r="AH20" s="103" t="str">
        <f t="shared" si="9"/>
        <v>Dok</v>
      </c>
      <c r="AI20" s="38">
        <f t="shared" si="10"/>
        <v>267500</v>
      </c>
      <c r="AJ20" s="66"/>
      <c r="AK20" s="32" t="s">
        <v>141</v>
      </c>
      <c r="AL20" s="66"/>
      <c r="AM20" s="11"/>
      <c r="AP20" s="21">
        <f t="shared" si="0"/>
        <v>267500</v>
      </c>
    </row>
    <row r="21" spans="1:42" ht="60" x14ac:dyDescent="0.2">
      <c r="A21" s="12"/>
      <c r="B21" s="14"/>
      <c r="C21" s="22" t="s">
        <v>71</v>
      </c>
      <c r="D21" s="22" t="s">
        <v>137</v>
      </c>
      <c r="E21" s="51"/>
      <c r="F21" s="23"/>
      <c r="G21" s="50"/>
      <c r="H21" s="41"/>
      <c r="I21" s="23"/>
      <c r="J21" s="18"/>
      <c r="K21" s="15">
        <v>1</v>
      </c>
      <c r="L21" s="16" t="s">
        <v>129</v>
      </c>
      <c r="M21" s="19">
        <v>1500000</v>
      </c>
      <c r="N21" s="15">
        <v>0</v>
      </c>
      <c r="O21" s="115" t="str">
        <f t="shared" si="1"/>
        <v>Dok</v>
      </c>
      <c r="P21" s="19">
        <v>0</v>
      </c>
      <c r="Q21" s="57">
        <v>0</v>
      </c>
      <c r="R21" s="115" t="str">
        <f t="shared" si="2"/>
        <v>Dok</v>
      </c>
      <c r="S21" s="19">
        <v>0</v>
      </c>
      <c r="T21" s="57"/>
      <c r="U21" s="23"/>
      <c r="V21" s="19"/>
      <c r="W21" s="57"/>
      <c r="X21" s="23"/>
      <c r="Y21" s="19"/>
      <c r="Z21" s="141">
        <f t="shared" si="3"/>
        <v>0</v>
      </c>
      <c r="AA21" s="103" t="str">
        <f t="shared" si="4"/>
        <v>Dok</v>
      </c>
      <c r="AB21" s="67">
        <f t="shared" si="5"/>
        <v>0</v>
      </c>
      <c r="AC21" s="32" t="s">
        <v>141</v>
      </c>
      <c r="AD21" s="38">
        <f t="shared" si="6"/>
        <v>0</v>
      </c>
      <c r="AE21" s="66">
        <f t="shared" si="7"/>
        <v>0</v>
      </c>
      <c r="AF21" s="32" t="s">
        <v>141</v>
      </c>
      <c r="AG21" s="141">
        <f t="shared" si="8"/>
        <v>0</v>
      </c>
      <c r="AH21" s="103" t="str">
        <f t="shared" si="9"/>
        <v>Dok</v>
      </c>
      <c r="AI21" s="38">
        <f t="shared" si="10"/>
        <v>0</v>
      </c>
      <c r="AJ21" s="66"/>
      <c r="AK21" s="32" t="s">
        <v>141</v>
      </c>
      <c r="AL21" s="66"/>
      <c r="AM21" s="11"/>
      <c r="AP21" s="21">
        <f t="shared" si="0"/>
        <v>0</v>
      </c>
    </row>
    <row r="22" spans="1:42" ht="66.75" customHeight="1" x14ac:dyDescent="0.2">
      <c r="A22" s="12"/>
      <c r="B22" s="14"/>
      <c r="C22" s="91" t="s">
        <v>130</v>
      </c>
      <c r="D22" s="14" t="s">
        <v>138</v>
      </c>
      <c r="E22" s="51"/>
      <c r="F22" s="23"/>
      <c r="G22" s="50"/>
      <c r="H22" s="41"/>
      <c r="I22" s="23"/>
      <c r="J22" s="18"/>
      <c r="K22" s="98">
        <v>1</v>
      </c>
      <c r="L22" s="95" t="s">
        <v>129</v>
      </c>
      <c r="M22" s="40">
        <f>SUM(M23:M28)</f>
        <v>187931725</v>
      </c>
      <c r="N22" s="98">
        <v>0</v>
      </c>
      <c r="O22" s="83" t="str">
        <f t="shared" si="1"/>
        <v>Dok</v>
      </c>
      <c r="P22" s="40">
        <f>SUM(P23:P28)</f>
        <v>13450000</v>
      </c>
      <c r="Q22" s="57">
        <v>0</v>
      </c>
      <c r="R22" s="83" t="str">
        <f t="shared" si="2"/>
        <v>Dok</v>
      </c>
      <c r="S22" s="40">
        <f>SUM(S23:S28)</f>
        <v>37925700</v>
      </c>
      <c r="T22" s="57"/>
      <c r="U22" s="23"/>
      <c r="V22" s="19"/>
      <c r="W22" s="57"/>
      <c r="X22" s="23"/>
      <c r="Y22" s="19"/>
      <c r="Z22" s="140">
        <f t="shared" si="3"/>
        <v>0</v>
      </c>
      <c r="AA22" s="105" t="str">
        <f t="shared" si="4"/>
        <v>Dok</v>
      </c>
      <c r="AB22" s="68">
        <f t="shared" si="5"/>
        <v>0</v>
      </c>
      <c r="AC22" s="71" t="s">
        <v>141</v>
      </c>
      <c r="AD22" s="75">
        <f t="shared" si="6"/>
        <v>51375700</v>
      </c>
      <c r="AE22" s="70">
        <f t="shared" si="7"/>
        <v>27.33742799412925</v>
      </c>
      <c r="AF22" s="71" t="s">
        <v>141</v>
      </c>
      <c r="AG22" s="140">
        <f t="shared" si="8"/>
        <v>0</v>
      </c>
      <c r="AH22" s="105" t="str">
        <f t="shared" si="9"/>
        <v>Dok</v>
      </c>
      <c r="AI22" s="75">
        <f t="shared" si="10"/>
        <v>51375700</v>
      </c>
      <c r="AJ22" s="70"/>
      <c r="AK22" s="71" t="s">
        <v>141</v>
      </c>
      <c r="AL22" s="70"/>
      <c r="AM22" s="11"/>
      <c r="AP22" s="21"/>
    </row>
    <row r="23" spans="1:42" ht="60" x14ac:dyDescent="0.2">
      <c r="A23" s="12"/>
      <c r="B23" s="14"/>
      <c r="C23" s="22" t="s">
        <v>72</v>
      </c>
      <c r="D23" s="22" t="s">
        <v>139</v>
      </c>
      <c r="E23" s="51"/>
      <c r="F23" s="23"/>
      <c r="G23" s="50"/>
      <c r="H23" s="41"/>
      <c r="I23" s="23"/>
      <c r="J23" s="18"/>
      <c r="K23" s="41">
        <v>12</v>
      </c>
      <c r="L23" s="23" t="s">
        <v>131</v>
      </c>
      <c r="M23" s="19">
        <v>2075000</v>
      </c>
      <c r="N23" s="41">
        <v>3</v>
      </c>
      <c r="O23" s="115" t="str">
        <f t="shared" si="1"/>
        <v>Bln</v>
      </c>
      <c r="P23" s="19">
        <v>0</v>
      </c>
      <c r="Q23" s="41">
        <v>3</v>
      </c>
      <c r="R23" s="115" t="str">
        <f t="shared" si="2"/>
        <v>Bln</v>
      </c>
      <c r="S23" s="19">
        <v>2075000</v>
      </c>
      <c r="T23" s="15"/>
      <c r="U23" s="23"/>
      <c r="V23" s="19"/>
      <c r="W23" s="15"/>
      <c r="X23" s="23"/>
      <c r="Y23" s="19"/>
      <c r="Z23" s="141">
        <f t="shared" si="3"/>
        <v>6</v>
      </c>
      <c r="AA23" s="103" t="str">
        <f t="shared" si="4"/>
        <v>Bln</v>
      </c>
      <c r="AB23" s="67">
        <f t="shared" si="5"/>
        <v>50</v>
      </c>
      <c r="AC23" s="32" t="s">
        <v>141</v>
      </c>
      <c r="AD23" s="38">
        <f t="shared" si="6"/>
        <v>2075000</v>
      </c>
      <c r="AE23" s="66">
        <f t="shared" si="7"/>
        <v>100</v>
      </c>
      <c r="AF23" s="32" t="s">
        <v>141</v>
      </c>
      <c r="AG23" s="141">
        <f t="shared" si="8"/>
        <v>6</v>
      </c>
      <c r="AH23" s="103" t="str">
        <f t="shared" si="9"/>
        <v>Bln</v>
      </c>
      <c r="AI23" s="38">
        <f t="shared" si="10"/>
        <v>2075000</v>
      </c>
      <c r="AJ23" s="66"/>
      <c r="AK23" s="32" t="s">
        <v>141</v>
      </c>
      <c r="AL23" s="66"/>
      <c r="AM23" s="11"/>
      <c r="AP23" s="21"/>
    </row>
    <row r="24" spans="1:42" ht="63.75" customHeight="1" x14ac:dyDescent="0.2">
      <c r="A24" s="12"/>
      <c r="B24" s="14"/>
      <c r="C24" s="22" t="s">
        <v>74</v>
      </c>
      <c r="D24" s="22" t="s">
        <v>139</v>
      </c>
      <c r="E24" s="51"/>
      <c r="F24" s="16"/>
      <c r="G24" s="50"/>
      <c r="H24" s="15"/>
      <c r="I24" s="16"/>
      <c r="J24" s="18"/>
      <c r="K24" s="41">
        <v>12</v>
      </c>
      <c r="L24" s="23" t="s">
        <v>131</v>
      </c>
      <c r="M24" s="19">
        <v>29505300</v>
      </c>
      <c r="N24" s="41">
        <v>3</v>
      </c>
      <c r="O24" s="115" t="str">
        <f t="shared" si="1"/>
        <v>Bln</v>
      </c>
      <c r="P24" s="19">
        <v>550000</v>
      </c>
      <c r="Q24" s="41">
        <v>3</v>
      </c>
      <c r="R24" s="115" t="str">
        <f t="shared" si="2"/>
        <v>Bln</v>
      </c>
      <c r="S24" s="19">
        <f>10678000-P24</f>
        <v>10128000</v>
      </c>
      <c r="T24" s="15"/>
      <c r="U24" s="16"/>
      <c r="V24" s="19"/>
      <c r="W24" s="15"/>
      <c r="X24" s="16"/>
      <c r="Y24" s="19"/>
      <c r="Z24" s="141">
        <f t="shared" si="3"/>
        <v>6</v>
      </c>
      <c r="AA24" s="102" t="str">
        <f t="shared" si="4"/>
        <v>Bln</v>
      </c>
      <c r="AB24" s="67">
        <f t="shared" si="5"/>
        <v>50</v>
      </c>
      <c r="AC24" s="32" t="s">
        <v>141</v>
      </c>
      <c r="AD24" s="38">
        <f t="shared" si="6"/>
        <v>10678000</v>
      </c>
      <c r="AE24" s="66">
        <f t="shared" si="7"/>
        <v>36.190108217845605</v>
      </c>
      <c r="AF24" s="32" t="s">
        <v>141</v>
      </c>
      <c r="AG24" s="141">
        <f t="shared" si="8"/>
        <v>6</v>
      </c>
      <c r="AH24" s="102" t="str">
        <f t="shared" si="9"/>
        <v>Bln</v>
      </c>
      <c r="AI24" s="38">
        <f t="shared" si="10"/>
        <v>10678000</v>
      </c>
      <c r="AJ24" s="66"/>
      <c r="AK24" s="32" t="s">
        <v>141</v>
      </c>
      <c r="AL24" s="66"/>
      <c r="AM24" s="11"/>
      <c r="AP24" s="21"/>
    </row>
    <row r="25" spans="1:42" ht="63.75" customHeight="1" x14ac:dyDescent="0.2">
      <c r="A25" s="12"/>
      <c r="B25" s="14"/>
      <c r="C25" s="22" t="s">
        <v>75</v>
      </c>
      <c r="D25" s="22" t="s">
        <v>136</v>
      </c>
      <c r="E25" s="43"/>
      <c r="F25" s="44"/>
      <c r="G25" s="40"/>
      <c r="H25" s="43"/>
      <c r="I25" s="44"/>
      <c r="J25" s="40"/>
      <c r="K25" s="41">
        <v>12</v>
      </c>
      <c r="L25" s="23" t="s">
        <v>131</v>
      </c>
      <c r="M25" s="19">
        <v>37604000</v>
      </c>
      <c r="N25" s="41">
        <v>3</v>
      </c>
      <c r="O25" s="115" t="str">
        <f t="shared" si="1"/>
        <v>Bln</v>
      </c>
      <c r="P25" s="19">
        <v>0</v>
      </c>
      <c r="Q25" s="41">
        <v>3</v>
      </c>
      <c r="R25" s="115" t="str">
        <f t="shared" si="2"/>
        <v>Bln</v>
      </c>
      <c r="S25" s="19">
        <v>5165000</v>
      </c>
      <c r="T25" s="43"/>
      <c r="U25" s="44"/>
      <c r="V25" s="40"/>
      <c r="W25" s="43"/>
      <c r="X25" s="44"/>
      <c r="Y25" s="40"/>
      <c r="Z25" s="141">
        <f t="shared" si="3"/>
        <v>6</v>
      </c>
      <c r="AA25" s="102" t="str">
        <f t="shared" si="4"/>
        <v>Bln</v>
      </c>
      <c r="AB25" s="67">
        <f t="shared" si="5"/>
        <v>50</v>
      </c>
      <c r="AC25" s="32" t="s">
        <v>141</v>
      </c>
      <c r="AD25" s="38">
        <f t="shared" si="6"/>
        <v>5165000</v>
      </c>
      <c r="AE25" s="66">
        <f t="shared" si="7"/>
        <v>13.735240931815765</v>
      </c>
      <c r="AF25" s="32" t="s">
        <v>141</v>
      </c>
      <c r="AG25" s="141">
        <f t="shared" si="8"/>
        <v>6</v>
      </c>
      <c r="AH25" s="102" t="str">
        <f t="shared" si="9"/>
        <v>Bln</v>
      </c>
      <c r="AI25" s="38">
        <f t="shared" si="10"/>
        <v>5165000</v>
      </c>
      <c r="AJ25" s="66"/>
      <c r="AK25" s="32" t="s">
        <v>141</v>
      </c>
      <c r="AL25" s="66"/>
      <c r="AM25" s="11"/>
      <c r="AP25" s="21"/>
    </row>
    <row r="26" spans="1:42" ht="66.75" customHeight="1" x14ac:dyDescent="0.2">
      <c r="A26" s="12"/>
      <c r="B26" s="14"/>
      <c r="C26" s="22" t="s">
        <v>76</v>
      </c>
      <c r="D26" s="26" t="s">
        <v>136</v>
      </c>
      <c r="E26" s="15"/>
      <c r="F26" s="16"/>
      <c r="G26" s="50"/>
      <c r="H26" s="15"/>
      <c r="I26" s="16"/>
      <c r="J26" s="18"/>
      <c r="K26" s="41">
        <v>12</v>
      </c>
      <c r="L26" s="23" t="s">
        <v>131</v>
      </c>
      <c r="M26" s="19">
        <v>9942900</v>
      </c>
      <c r="N26" s="41">
        <v>3</v>
      </c>
      <c r="O26" s="115" t="str">
        <f t="shared" si="1"/>
        <v>Bln</v>
      </c>
      <c r="P26" s="19">
        <v>0</v>
      </c>
      <c r="Q26" s="41">
        <v>3</v>
      </c>
      <c r="R26" s="115" t="str">
        <f t="shared" si="2"/>
        <v>Bln</v>
      </c>
      <c r="S26" s="19">
        <v>5883700</v>
      </c>
      <c r="T26" s="15"/>
      <c r="U26" s="16"/>
      <c r="V26" s="19"/>
      <c r="W26" s="15"/>
      <c r="X26" s="16"/>
      <c r="Y26" s="19"/>
      <c r="Z26" s="141">
        <f t="shared" si="3"/>
        <v>6</v>
      </c>
      <c r="AA26" s="102" t="str">
        <f t="shared" si="4"/>
        <v>Bln</v>
      </c>
      <c r="AB26" s="67">
        <f t="shared" si="5"/>
        <v>50</v>
      </c>
      <c r="AC26" s="32" t="s">
        <v>141</v>
      </c>
      <c r="AD26" s="38">
        <f t="shared" si="6"/>
        <v>5883700</v>
      </c>
      <c r="AE26" s="66">
        <f t="shared" si="7"/>
        <v>59.174888613985857</v>
      </c>
      <c r="AF26" s="32" t="s">
        <v>141</v>
      </c>
      <c r="AG26" s="141">
        <f t="shared" si="8"/>
        <v>6</v>
      </c>
      <c r="AH26" s="102" t="str">
        <f t="shared" si="9"/>
        <v>Bln</v>
      </c>
      <c r="AI26" s="38">
        <f t="shared" si="10"/>
        <v>5883700</v>
      </c>
      <c r="AJ26" s="66"/>
      <c r="AK26" s="32" t="s">
        <v>141</v>
      </c>
      <c r="AL26" s="66"/>
      <c r="AM26" s="11"/>
      <c r="AP26" s="21"/>
    </row>
    <row r="27" spans="1:42" ht="65.25" customHeight="1" x14ac:dyDescent="0.2">
      <c r="A27" s="12"/>
      <c r="B27" s="14"/>
      <c r="C27" s="22" t="s">
        <v>77</v>
      </c>
      <c r="D27" s="26" t="s">
        <v>136</v>
      </c>
      <c r="E27" s="15"/>
      <c r="F27" s="16"/>
      <c r="G27" s="50"/>
      <c r="H27" s="15"/>
      <c r="I27" s="16"/>
      <c r="J27" s="18"/>
      <c r="K27" s="41">
        <v>12</v>
      </c>
      <c r="L27" s="23" t="s">
        <v>131</v>
      </c>
      <c r="M27" s="19">
        <v>2880000</v>
      </c>
      <c r="N27" s="41">
        <v>3</v>
      </c>
      <c r="O27" s="115" t="str">
        <f t="shared" si="1"/>
        <v>Bln</v>
      </c>
      <c r="P27" s="19">
        <v>0</v>
      </c>
      <c r="Q27" s="41">
        <v>3</v>
      </c>
      <c r="R27" s="115" t="str">
        <f t="shared" si="2"/>
        <v>Bln</v>
      </c>
      <c r="S27" s="19">
        <v>1025000</v>
      </c>
      <c r="T27" s="15"/>
      <c r="U27" s="16"/>
      <c r="V27" s="19"/>
      <c r="W27" s="15"/>
      <c r="X27" s="16"/>
      <c r="Y27" s="19"/>
      <c r="Z27" s="141">
        <f t="shared" si="3"/>
        <v>6</v>
      </c>
      <c r="AA27" s="102" t="str">
        <f t="shared" si="4"/>
        <v>Bln</v>
      </c>
      <c r="AB27" s="67">
        <f t="shared" si="5"/>
        <v>50</v>
      </c>
      <c r="AC27" s="32" t="s">
        <v>141</v>
      </c>
      <c r="AD27" s="38">
        <f t="shared" si="6"/>
        <v>1025000</v>
      </c>
      <c r="AE27" s="66">
        <f t="shared" si="7"/>
        <v>35.590277777777779</v>
      </c>
      <c r="AF27" s="32" t="s">
        <v>141</v>
      </c>
      <c r="AG27" s="141">
        <f t="shared" si="8"/>
        <v>6</v>
      </c>
      <c r="AH27" s="102" t="str">
        <f t="shared" si="9"/>
        <v>Bln</v>
      </c>
      <c r="AI27" s="38">
        <f t="shared" si="10"/>
        <v>1025000</v>
      </c>
      <c r="AJ27" s="66"/>
      <c r="AK27" s="32" t="s">
        <v>141</v>
      </c>
      <c r="AL27" s="66"/>
      <c r="AM27" s="11"/>
      <c r="AP27" s="21"/>
    </row>
    <row r="28" spans="1:42" ht="66.75" customHeight="1" x14ac:dyDescent="0.2">
      <c r="A28" s="12"/>
      <c r="B28" s="14"/>
      <c r="C28" s="22" t="s">
        <v>78</v>
      </c>
      <c r="D28" s="26" t="s">
        <v>136</v>
      </c>
      <c r="E28" s="15"/>
      <c r="F28" s="16"/>
      <c r="G28" s="50"/>
      <c r="H28" s="15"/>
      <c r="I28" s="16"/>
      <c r="J28" s="18"/>
      <c r="K28" s="41">
        <v>12</v>
      </c>
      <c r="L28" s="23" t="s">
        <v>131</v>
      </c>
      <c r="M28" s="19">
        <v>105924525</v>
      </c>
      <c r="N28" s="41">
        <v>3</v>
      </c>
      <c r="O28" s="115" t="str">
        <f t="shared" si="1"/>
        <v>Bln</v>
      </c>
      <c r="P28" s="19">
        <v>12900000</v>
      </c>
      <c r="Q28" s="41">
        <v>3</v>
      </c>
      <c r="R28" s="115" t="str">
        <f t="shared" si="2"/>
        <v>Bln</v>
      </c>
      <c r="S28" s="19">
        <f>26549000-P28</f>
        <v>13649000</v>
      </c>
      <c r="T28" s="15"/>
      <c r="U28" s="16"/>
      <c r="V28" s="19"/>
      <c r="W28" s="15"/>
      <c r="X28" s="16"/>
      <c r="Y28" s="19"/>
      <c r="Z28" s="141">
        <f t="shared" si="3"/>
        <v>6</v>
      </c>
      <c r="AA28" s="102" t="str">
        <f t="shared" si="4"/>
        <v>Bln</v>
      </c>
      <c r="AB28" s="67">
        <f t="shared" si="5"/>
        <v>50</v>
      </c>
      <c r="AC28" s="32" t="s">
        <v>141</v>
      </c>
      <c r="AD28" s="38">
        <f t="shared" si="6"/>
        <v>26549000</v>
      </c>
      <c r="AE28" s="66">
        <f t="shared" si="7"/>
        <v>25.064072744248794</v>
      </c>
      <c r="AF28" s="32" t="s">
        <v>141</v>
      </c>
      <c r="AG28" s="141">
        <f t="shared" si="8"/>
        <v>6</v>
      </c>
      <c r="AH28" s="102" t="str">
        <f t="shared" si="9"/>
        <v>Bln</v>
      </c>
      <c r="AI28" s="38">
        <f t="shared" si="10"/>
        <v>26549000</v>
      </c>
      <c r="AJ28" s="66"/>
      <c r="AK28" s="32" t="s">
        <v>141</v>
      </c>
      <c r="AL28" s="66"/>
      <c r="AM28" s="11"/>
      <c r="AP28" s="21"/>
    </row>
    <row r="29" spans="1:42" ht="77.25" customHeight="1" x14ac:dyDescent="0.2">
      <c r="A29" s="12"/>
      <c r="B29" s="14"/>
      <c r="C29" s="91" t="s">
        <v>79</v>
      </c>
      <c r="D29" s="14" t="s">
        <v>140</v>
      </c>
      <c r="E29" s="15"/>
      <c r="F29" s="16"/>
      <c r="G29" s="50"/>
      <c r="H29" s="15"/>
      <c r="I29" s="16"/>
      <c r="J29" s="18"/>
      <c r="K29" s="98">
        <v>100</v>
      </c>
      <c r="L29" s="95" t="s">
        <v>141</v>
      </c>
      <c r="M29" s="40">
        <f>SUM(M30)</f>
        <v>3461000</v>
      </c>
      <c r="N29" s="98">
        <v>25</v>
      </c>
      <c r="O29" s="83" t="str">
        <f t="shared" si="1"/>
        <v>%</v>
      </c>
      <c r="P29" s="40">
        <f>SUM(P30)</f>
        <v>0</v>
      </c>
      <c r="Q29" s="43">
        <v>25</v>
      </c>
      <c r="R29" s="83" t="str">
        <f t="shared" si="2"/>
        <v>%</v>
      </c>
      <c r="S29" s="40">
        <f>SUM(S30)</f>
        <v>3461000</v>
      </c>
      <c r="T29" s="15"/>
      <c r="U29" s="16"/>
      <c r="V29" s="19"/>
      <c r="W29" s="15"/>
      <c r="X29" s="16"/>
      <c r="Y29" s="19"/>
      <c r="Z29" s="140">
        <f t="shared" si="3"/>
        <v>50</v>
      </c>
      <c r="AA29" s="101" t="str">
        <f t="shared" si="4"/>
        <v>%</v>
      </c>
      <c r="AB29" s="68">
        <f t="shared" si="5"/>
        <v>50</v>
      </c>
      <c r="AC29" s="71" t="s">
        <v>141</v>
      </c>
      <c r="AD29" s="75">
        <f t="shared" si="6"/>
        <v>3461000</v>
      </c>
      <c r="AE29" s="70">
        <f t="shared" si="7"/>
        <v>100</v>
      </c>
      <c r="AF29" s="71" t="s">
        <v>141</v>
      </c>
      <c r="AG29" s="140">
        <f t="shared" si="8"/>
        <v>50</v>
      </c>
      <c r="AH29" s="101" t="str">
        <f t="shared" si="9"/>
        <v>%</v>
      </c>
      <c r="AI29" s="75">
        <f t="shared" si="10"/>
        <v>3461000</v>
      </c>
      <c r="AJ29" s="70"/>
      <c r="AK29" s="71" t="s">
        <v>141</v>
      </c>
      <c r="AL29" s="70"/>
      <c r="AM29" s="11"/>
      <c r="AP29" s="21"/>
    </row>
    <row r="30" spans="1:42" ht="68.25" customHeight="1" x14ac:dyDescent="0.2">
      <c r="A30" s="12"/>
      <c r="B30" s="14"/>
      <c r="C30" s="22" t="s">
        <v>80</v>
      </c>
      <c r="D30" s="26" t="s">
        <v>73</v>
      </c>
      <c r="E30" s="43"/>
      <c r="F30" s="44"/>
      <c r="G30" s="40"/>
      <c r="H30" s="43"/>
      <c r="I30" s="44"/>
      <c r="J30" s="40"/>
      <c r="K30" s="41">
        <v>12</v>
      </c>
      <c r="L30" s="23" t="s">
        <v>131</v>
      </c>
      <c r="M30" s="19">
        <v>3461000</v>
      </c>
      <c r="N30" s="41">
        <v>3</v>
      </c>
      <c r="O30" s="115" t="str">
        <f t="shared" si="1"/>
        <v>Bln</v>
      </c>
      <c r="P30" s="19">
        <v>0</v>
      </c>
      <c r="Q30" s="43">
        <v>3</v>
      </c>
      <c r="R30" s="115" t="str">
        <f t="shared" si="2"/>
        <v>Bln</v>
      </c>
      <c r="S30" s="19">
        <v>3461000</v>
      </c>
      <c r="T30" s="43"/>
      <c r="U30" s="44"/>
      <c r="V30" s="40"/>
      <c r="W30" s="43"/>
      <c r="X30" s="44"/>
      <c r="Y30" s="40"/>
      <c r="Z30" s="141">
        <f t="shared" si="3"/>
        <v>6</v>
      </c>
      <c r="AA30" s="102" t="str">
        <f t="shared" si="4"/>
        <v>Bln</v>
      </c>
      <c r="AB30" s="67">
        <f t="shared" si="5"/>
        <v>50</v>
      </c>
      <c r="AC30" s="32" t="s">
        <v>141</v>
      </c>
      <c r="AD30" s="38">
        <f t="shared" si="6"/>
        <v>3461000</v>
      </c>
      <c r="AE30" s="66">
        <f t="shared" si="7"/>
        <v>100</v>
      </c>
      <c r="AF30" s="32" t="s">
        <v>141</v>
      </c>
      <c r="AG30" s="141">
        <f t="shared" si="8"/>
        <v>6</v>
      </c>
      <c r="AH30" s="102" t="str">
        <f t="shared" si="9"/>
        <v>Bln</v>
      </c>
      <c r="AI30" s="38">
        <f t="shared" si="10"/>
        <v>3461000</v>
      </c>
      <c r="AJ30" s="66"/>
      <c r="AK30" s="32" t="s">
        <v>141</v>
      </c>
      <c r="AL30" s="66"/>
      <c r="AM30" s="11"/>
      <c r="AP30" s="21"/>
    </row>
    <row r="31" spans="1:42" ht="78.75" x14ac:dyDescent="0.2">
      <c r="A31" s="12"/>
      <c r="B31" s="14"/>
      <c r="C31" s="91" t="s">
        <v>81</v>
      </c>
      <c r="D31" s="14" t="s">
        <v>140</v>
      </c>
      <c r="E31" s="15"/>
      <c r="F31" s="16"/>
      <c r="G31" s="50"/>
      <c r="H31" s="15"/>
      <c r="I31" s="16"/>
      <c r="J31" s="18"/>
      <c r="K31" s="98">
        <v>100</v>
      </c>
      <c r="L31" s="95" t="s">
        <v>141</v>
      </c>
      <c r="M31" s="40">
        <f>SUM(M32:M34)</f>
        <v>78411000</v>
      </c>
      <c r="N31" s="98">
        <v>25</v>
      </c>
      <c r="O31" s="83" t="str">
        <f t="shared" si="1"/>
        <v>%</v>
      </c>
      <c r="P31" s="40">
        <f>SUM(P32:P34)</f>
        <v>4500000</v>
      </c>
      <c r="Q31" s="43">
        <v>25</v>
      </c>
      <c r="R31" s="83" t="str">
        <f t="shared" si="2"/>
        <v>%</v>
      </c>
      <c r="S31" s="40">
        <f>SUM(S32:S34)</f>
        <v>22475146</v>
      </c>
      <c r="T31" s="15"/>
      <c r="U31" s="16"/>
      <c r="V31" s="19"/>
      <c r="W31" s="15"/>
      <c r="X31" s="16"/>
      <c r="Y31" s="19"/>
      <c r="Z31" s="140">
        <f t="shared" si="3"/>
        <v>50</v>
      </c>
      <c r="AA31" s="101" t="str">
        <f t="shared" si="4"/>
        <v>%</v>
      </c>
      <c r="AB31" s="68">
        <f t="shared" si="5"/>
        <v>50</v>
      </c>
      <c r="AC31" s="71" t="s">
        <v>141</v>
      </c>
      <c r="AD31" s="75">
        <f t="shared" si="6"/>
        <v>26975146</v>
      </c>
      <c r="AE31" s="70">
        <f t="shared" si="7"/>
        <v>34.402247133692974</v>
      </c>
      <c r="AF31" s="71" t="s">
        <v>141</v>
      </c>
      <c r="AG31" s="140">
        <f t="shared" si="8"/>
        <v>50</v>
      </c>
      <c r="AH31" s="101" t="str">
        <f t="shared" si="9"/>
        <v>%</v>
      </c>
      <c r="AI31" s="75">
        <f t="shared" si="10"/>
        <v>26975146</v>
      </c>
      <c r="AJ31" s="70"/>
      <c r="AK31" s="71" t="s">
        <v>141</v>
      </c>
      <c r="AL31" s="70"/>
      <c r="AM31" s="11"/>
      <c r="AP31" s="21"/>
    </row>
    <row r="32" spans="1:42" ht="45" x14ac:dyDescent="0.2">
      <c r="A32" s="12"/>
      <c r="B32" s="14"/>
      <c r="C32" s="22" t="s">
        <v>82</v>
      </c>
      <c r="D32" s="26" t="s">
        <v>73</v>
      </c>
      <c r="E32" s="15"/>
      <c r="F32" s="16"/>
      <c r="G32" s="50"/>
      <c r="H32" s="15"/>
      <c r="I32" s="16"/>
      <c r="J32" s="18"/>
      <c r="K32" s="41">
        <v>12</v>
      </c>
      <c r="L32" s="23" t="s">
        <v>131</v>
      </c>
      <c r="M32" s="19">
        <v>150000</v>
      </c>
      <c r="N32" s="41">
        <v>3</v>
      </c>
      <c r="O32" s="115" t="str">
        <f t="shared" si="1"/>
        <v>Bln</v>
      </c>
      <c r="P32" s="19">
        <v>0</v>
      </c>
      <c r="Q32" s="41">
        <v>3</v>
      </c>
      <c r="R32" s="115" t="str">
        <f t="shared" si="2"/>
        <v>Bln</v>
      </c>
      <c r="S32" s="19">
        <v>0</v>
      </c>
      <c r="T32" s="15"/>
      <c r="U32" s="16"/>
      <c r="V32" s="19"/>
      <c r="W32" s="15"/>
      <c r="X32" s="16"/>
      <c r="Y32" s="19"/>
      <c r="Z32" s="141">
        <f t="shared" si="3"/>
        <v>6</v>
      </c>
      <c r="AA32" s="102" t="str">
        <f t="shared" si="4"/>
        <v>Bln</v>
      </c>
      <c r="AB32" s="67">
        <f t="shared" si="5"/>
        <v>50</v>
      </c>
      <c r="AC32" s="32" t="s">
        <v>141</v>
      </c>
      <c r="AD32" s="38">
        <f t="shared" si="6"/>
        <v>0</v>
      </c>
      <c r="AE32" s="66">
        <f t="shared" si="7"/>
        <v>0</v>
      </c>
      <c r="AF32" s="32" t="s">
        <v>141</v>
      </c>
      <c r="AG32" s="141">
        <f t="shared" si="8"/>
        <v>6</v>
      </c>
      <c r="AH32" s="102" t="str">
        <f t="shared" si="9"/>
        <v>Bln</v>
      </c>
      <c r="AI32" s="38">
        <f t="shared" si="10"/>
        <v>0</v>
      </c>
      <c r="AJ32" s="66"/>
      <c r="AK32" s="32" t="s">
        <v>141</v>
      </c>
      <c r="AL32" s="66"/>
      <c r="AM32" s="11"/>
      <c r="AP32" s="21"/>
    </row>
    <row r="33" spans="1:42" ht="60" x14ac:dyDescent="0.2">
      <c r="A33" s="12"/>
      <c r="B33" s="14"/>
      <c r="C33" s="22" t="s">
        <v>83</v>
      </c>
      <c r="D33" s="26" t="s">
        <v>73</v>
      </c>
      <c r="E33" s="15"/>
      <c r="F33" s="16"/>
      <c r="G33" s="50"/>
      <c r="H33" s="15"/>
      <c r="I33" s="16"/>
      <c r="J33" s="18"/>
      <c r="K33" s="41">
        <v>12</v>
      </c>
      <c r="L33" s="23" t="s">
        <v>131</v>
      </c>
      <c r="M33" s="19">
        <v>54867000</v>
      </c>
      <c r="N33" s="41">
        <v>3</v>
      </c>
      <c r="O33" s="115" t="str">
        <f t="shared" si="1"/>
        <v>Bln</v>
      </c>
      <c r="P33" s="19">
        <v>0</v>
      </c>
      <c r="Q33" s="41">
        <v>3</v>
      </c>
      <c r="R33" s="115" t="str">
        <f t="shared" si="2"/>
        <v>Bln</v>
      </c>
      <c r="S33" s="19">
        <v>15410346</v>
      </c>
      <c r="T33" s="15"/>
      <c r="U33" s="16"/>
      <c r="V33" s="19"/>
      <c r="W33" s="15"/>
      <c r="X33" s="16"/>
      <c r="Y33" s="19"/>
      <c r="Z33" s="141">
        <f t="shared" si="3"/>
        <v>6</v>
      </c>
      <c r="AA33" s="102" t="str">
        <f t="shared" si="4"/>
        <v>Bln</v>
      </c>
      <c r="AB33" s="67">
        <f t="shared" si="5"/>
        <v>50</v>
      </c>
      <c r="AC33" s="32" t="s">
        <v>141</v>
      </c>
      <c r="AD33" s="38">
        <f t="shared" si="6"/>
        <v>15410346</v>
      </c>
      <c r="AE33" s="66">
        <f t="shared" si="7"/>
        <v>28.086729728251953</v>
      </c>
      <c r="AF33" s="32" t="s">
        <v>141</v>
      </c>
      <c r="AG33" s="141">
        <f t="shared" si="8"/>
        <v>6</v>
      </c>
      <c r="AH33" s="102" t="str">
        <f t="shared" si="9"/>
        <v>Bln</v>
      </c>
      <c r="AI33" s="38">
        <f t="shared" si="10"/>
        <v>15410346</v>
      </c>
      <c r="AJ33" s="66"/>
      <c r="AK33" s="32" t="s">
        <v>141</v>
      </c>
      <c r="AL33" s="66"/>
      <c r="AM33" s="11"/>
      <c r="AP33" s="21"/>
    </row>
    <row r="34" spans="1:42" ht="45" x14ac:dyDescent="0.2">
      <c r="A34" s="12"/>
      <c r="B34" s="14"/>
      <c r="C34" s="22" t="s">
        <v>84</v>
      </c>
      <c r="D34" s="26" t="s">
        <v>73</v>
      </c>
      <c r="E34" s="15"/>
      <c r="F34" s="16"/>
      <c r="G34" s="50"/>
      <c r="H34" s="15"/>
      <c r="I34" s="16"/>
      <c r="J34" s="18"/>
      <c r="K34" s="41">
        <v>12</v>
      </c>
      <c r="L34" s="23" t="s">
        <v>131</v>
      </c>
      <c r="M34" s="19">
        <v>23394000</v>
      </c>
      <c r="N34" s="41">
        <v>3</v>
      </c>
      <c r="O34" s="115" t="str">
        <f t="shared" si="1"/>
        <v>Bln</v>
      </c>
      <c r="P34" s="19">
        <v>4500000</v>
      </c>
      <c r="Q34" s="41">
        <v>3</v>
      </c>
      <c r="R34" s="115" t="str">
        <f t="shared" si="2"/>
        <v>Bln</v>
      </c>
      <c r="S34" s="19">
        <f>11564800-P34</f>
        <v>7064800</v>
      </c>
      <c r="T34" s="15"/>
      <c r="U34" s="16"/>
      <c r="V34" s="19"/>
      <c r="W34" s="15"/>
      <c r="X34" s="16"/>
      <c r="Y34" s="19"/>
      <c r="Z34" s="141">
        <f t="shared" si="3"/>
        <v>6</v>
      </c>
      <c r="AA34" s="102" t="str">
        <f t="shared" si="4"/>
        <v>Bln</v>
      </c>
      <c r="AB34" s="67">
        <f t="shared" si="5"/>
        <v>50</v>
      </c>
      <c r="AC34" s="32" t="s">
        <v>141</v>
      </c>
      <c r="AD34" s="38">
        <f t="shared" si="6"/>
        <v>11564800</v>
      </c>
      <c r="AE34" s="66">
        <f t="shared" si="7"/>
        <v>49.434897837052233</v>
      </c>
      <c r="AF34" s="32" t="s">
        <v>141</v>
      </c>
      <c r="AG34" s="141">
        <f t="shared" si="8"/>
        <v>6</v>
      </c>
      <c r="AH34" s="102" t="str">
        <f t="shared" si="9"/>
        <v>Bln</v>
      </c>
      <c r="AI34" s="38">
        <f t="shared" si="10"/>
        <v>11564800</v>
      </c>
      <c r="AJ34" s="66"/>
      <c r="AK34" s="32" t="s">
        <v>141</v>
      </c>
      <c r="AL34" s="66"/>
      <c r="AM34" s="11"/>
      <c r="AP34" s="21"/>
    </row>
    <row r="35" spans="1:42" ht="103.5" customHeight="1" x14ac:dyDescent="0.2">
      <c r="A35" s="12"/>
      <c r="B35" s="14"/>
      <c r="C35" s="91" t="s">
        <v>85</v>
      </c>
      <c r="D35" s="14" t="s">
        <v>140</v>
      </c>
      <c r="E35" s="15"/>
      <c r="F35" s="16"/>
      <c r="G35" s="50"/>
      <c r="H35" s="15"/>
      <c r="I35" s="16"/>
      <c r="J35" s="18"/>
      <c r="K35" s="98">
        <v>100</v>
      </c>
      <c r="L35" s="95" t="s">
        <v>141</v>
      </c>
      <c r="M35" s="40">
        <f>SUM(M36:M37)</f>
        <v>110044000</v>
      </c>
      <c r="N35" s="98">
        <v>25</v>
      </c>
      <c r="O35" s="83" t="str">
        <f t="shared" si="1"/>
        <v>%</v>
      </c>
      <c r="P35" s="40">
        <f>SUM(P36:P37)</f>
        <v>4690000</v>
      </c>
      <c r="Q35" s="98">
        <v>25</v>
      </c>
      <c r="R35" s="83" t="str">
        <f t="shared" si="2"/>
        <v>%</v>
      </c>
      <c r="S35" s="40">
        <f>SUM(S36:S37)</f>
        <v>27079700</v>
      </c>
      <c r="T35" s="15"/>
      <c r="U35" s="16"/>
      <c r="V35" s="19"/>
      <c r="W35" s="15"/>
      <c r="X35" s="16"/>
      <c r="Y35" s="19"/>
      <c r="Z35" s="140">
        <f t="shared" si="3"/>
        <v>50</v>
      </c>
      <c r="AA35" s="101" t="str">
        <f t="shared" si="4"/>
        <v>%</v>
      </c>
      <c r="AB35" s="68">
        <f t="shared" si="5"/>
        <v>50</v>
      </c>
      <c r="AC35" s="71" t="s">
        <v>141</v>
      </c>
      <c r="AD35" s="75">
        <f t="shared" si="6"/>
        <v>31769700</v>
      </c>
      <c r="AE35" s="70">
        <f t="shared" si="7"/>
        <v>28.869997455563229</v>
      </c>
      <c r="AF35" s="71" t="s">
        <v>141</v>
      </c>
      <c r="AG35" s="140">
        <f t="shared" si="8"/>
        <v>50</v>
      </c>
      <c r="AH35" s="101" t="str">
        <f t="shared" si="9"/>
        <v>%</v>
      </c>
      <c r="AI35" s="75">
        <f t="shared" si="10"/>
        <v>31769700</v>
      </c>
      <c r="AJ35" s="70"/>
      <c r="AK35" s="71" t="s">
        <v>141</v>
      </c>
      <c r="AL35" s="70"/>
      <c r="AM35" s="11"/>
      <c r="AP35" s="21"/>
    </row>
    <row r="36" spans="1:42" ht="111.75" customHeight="1" x14ac:dyDescent="0.2">
      <c r="A36" s="12"/>
      <c r="B36" s="14"/>
      <c r="C36" s="26" t="s">
        <v>86</v>
      </c>
      <c r="D36" s="26" t="s">
        <v>73</v>
      </c>
      <c r="E36" s="15"/>
      <c r="F36" s="16"/>
      <c r="G36" s="50"/>
      <c r="H36" s="15"/>
      <c r="I36" s="16"/>
      <c r="J36" s="18"/>
      <c r="K36" s="41">
        <v>12</v>
      </c>
      <c r="L36" s="23" t="s">
        <v>131</v>
      </c>
      <c r="M36" s="19">
        <v>101744000</v>
      </c>
      <c r="N36" s="41">
        <v>3</v>
      </c>
      <c r="O36" s="115" t="str">
        <f t="shared" si="1"/>
        <v>Bln</v>
      </c>
      <c r="P36" s="19">
        <v>4500000</v>
      </c>
      <c r="Q36" s="41">
        <v>3</v>
      </c>
      <c r="R36" s="115" t="str">
        <f t="shared" si="2"/>
        <v>Bln</v>
      </c>
      <c r="S36" s="19">
        <f>29954700-P36</f>
        <v>25454700</v>
      </c>
      <c r="T36" s="15"/>
      <c r="U36" s="16"/>
      <c r="V36" s="19"/>
      <c r="W36" s="15"/>
      <c r="X36" s="16"/>
      <c r="Y36" s="19"/>
      <c r="Z36" s="141">
        <f t="shared" si="3"/>
        <v>6</v>
      </c>
      <c r="AA36" s="102" t="str">
        <f t="shared" si="4"/>
        <v>Bln</v>
      </c>
      <c r="AB36" s="67">
        <f t="shared" si="5"/>
        <v>50</v>
      </c>
      <c r="AC36" s="32" t="s">
        <v>141</v>
      </c>
      <c r="AD36" s="38">
        <f t="shared" si="6"/>
        <v>29954700</v>
      </c>
      <c r="AE36" s="66">
        <f t="shared" si="7"/>
        <v>29.441244692561725</v>
      </c>
      <c r="AF36" s="32" t="s">
        <v>141</v>
      </c>
      <c r="AG36" s="141">
        <f t="shared" si="8"/>
        <v>6</v>
      </c>
      <c r="AH36" s="102" t="str">
        <f t="shared" si="9"/>
        <v>Bln</v>
      </c>
      <c r="AI36" s="38">
        <f t="shared" si="10"/>
        <v>29954700</v>
      </c>
      <c r="AJ36" s="66"/>
      <c r="AK36" s="32" t="s">
        <v>141</v>
      </c>
      <c r="AL36" s="66"/>
      <c r="AM36" s="11"/>
      <c r="AP36" s="21"/>
    </row>
    <row r="37" spans="1:42" ht="84" customHeight="1" x14ac:dyDescent="0.2">
      <c r="A37" s="87"/>
      <c r="B37" s="87"/>
      <c r="C37" s="22" t="s">
        <v>87</v>
      </c>
      <c r="D37" s="26" t="s">
        <v>73</v>
      </c>
      <c r="E37" s="54"/>
      <c r="F37" s="44"/>
      <c r="G37" s="40"/>
      <c r="H37" s="45"/>
      <c r="I37" s="44"/>
      <c r="J37" s="40"/>
      <c r="K37" s="41">
        <v>12</v>
      </c>
      <c r="L37" s="23" t="s">
        <v>131</v>
      </c>
      <c r="M37" s="19">
        <v>8300000</v>
      </c>
      <c r="N37" s="41">
        <v>3</v>
      </c>
      <c r="O37" s="115" t="str">
        <f t="shared" si="1"/>
        <v>Bln</v>
      </c>
      <c r="P37" s="19">
        <v>190000</v>
      </c>
      <c r="Q37" s="41">
        <v>3</v>
      </c>
      <c r="R37" s="115" t="str">
        <f t="shared" ref="R37:R77" si="11">L37</f>
        <v>Bln</v>
      </c>
      <c r="S37" s="19">
        <f>1815000-P37</f>
        <v>1625000</v>
      </c>
      <c r="T37" s="45"/>
      <c r="U37" s="44"/>
      <c r="V37" s="40"/>
      <c r="W37" s="45"/>
      <c r="X37" s="44"/>
      <c r="Y37" s="40"/>
      <c r="Z37" s="141">
        <f t="shared" si="3"/>
        <v>6</v>
      </c>
      <c r="AA37" s="102" t="str">
        <f t="shared" si="4"/>
        <v>Bln</v>
      </c>
      <c r="AB37" s="67">
        <f t="shared" si="5"/>
        <v>50</v>
      </c>
      <c r="AC37" s="32" t="s">
        <v>141</v>
      </c>
      <c r="AD37" s="38">
        <f t="shared" si="6"/>
        <v>1815000</v>
      </c>
      <c r="AE37" s="66">
        <f t="shared" si="7"/>
        <v>21.867469879518072</v>
      </c>
      <c r="AF37" s="32" t="s">
        <v>141</v>
      </c>
      <c r="AG37" s="141">
        <f t="shared" si="8"/>
        <v>6</v>
      </c>
      <c r="AH37" s="102" t="str">
        <f t="shared" si="9"/>
        <v>Bln</v>
      </c>
      <c r="AI37" s="38">
        <f t="shared" si="10"/>
        <v>1815000</v>
      </c>
      <c r="AJ37" s="66"/>
      <c r="AK37" s="32" t="s">
        <v>141</v>
      </c>
      <c r="AL37" s="66"/>
      <c r="AM37" s="11"/>
      <c r="AP37" s="21"/>
    </row>
    <row r="38" spans="1:42" ht="96" customHeight="1" x14ac:dyDescent="0.2">
      <c r="A38" s="48">
        <v>12</v>
      </c>
      <c r="B38" s="49" t="s">
        <v>46</v>
      </c>
      <c r="C38" s="91" t="s">
        <v>88</v>
      </c>
      <c r="D38" s="14" t="s">
        <v>152</v>
      </c>
      <c r="E38" s="15"/>
      <c r="F38" s="16"/>
      <c r="G38" s="50"/>
      <c r="H38" s="42"/>
      <c r="I38" s="16"/>
      <c r="J38" s="18"/>
      <c r="K38" s="43">
        <v>68.42</v>
      </c>
      <c r="L38" s="44" t="s">
        <v>141</v>
      </c>
      <c r="M38" s="40">
        <f>M39</f>
        <v>27452800</v>
      </c>
      <c r="N38" s="43">
        <v>100</v>
      </c>
      <c r="O38" s="83" t="str">
        <f t="shared" ref="O38:O77" si="12">L38</f>
        <v>%</v>
      </c>
      <c r="P38" s="40">
        <f>P39</f>
        <v>0</v>
      </c>
      <c r="Q38" s="43">
        <v>0</v>
      </c>
      <c r="R38" s="83" t="str">
        <f t="shared" si="11"/>
        <v>%</v>
      </c>
      <c r="S38" s="40">
        <f>S39</f>
        <v>21221000</v>
      </c>
      <c r="T38" s="15"/>
      <c r="U38" s="16"/>
      <c r="V38" s="19"/>
      <c r="W38" s="15"/>
      <c r="X38" s="16"/>
      <c r="Y38" s="19"/>
      <c r="Z38" s="140">
        <f t="shared" si="3"/>
        <v>100</v>
      </c>
      <c r="AA38" s="101" t="str">
        <f t="shared" si="4"/>
        <v>%</v>
      </c>
      <c r="AB38" s="68">
        <f t="shared" si="5"/>
        <v>146.15609470914936</v>
      </c>
      <c r="AC38" s="71" t="s">
        <v>141</v>
      </c>
      <c r="AD38" s="75">
        <f t="shared" si="6"/>
        <v>21221000</v>
      </c>
      <c r="AE38" s="70">
        <f t="shared" si="7"/>
        <v>77.299947546334067</v>
      </c>
      <c r="AF38" s="71" t="s">
        <v>141</v>
      </c>
      <c r="AG38" s="140">
        <f t="shared" si="8"/>
        <v>100</v>
      </c>
      <c r="AH38" s="101" t="str">
        <f t="shared" si="9"/>
        <v>%</v>
      </c>
      <c r="AI38" s="75">
        <f t="shared" si="10"/>
        <v>21221000</v>
      </c>
      <c r="AJ38" s="70"/>
      <c r="AK38" s="71" t="s">
        <v>141</v>
      </c>
      <c r="AL38" s="70"/>
      <c r="AM38" s="11"/>
      <c r="AP38" s="21"/>
    </row>
    <row r="39" spans="1:42" ht="121.5" customHeight="1" x14ac:dyDescent="0.2">
      <c r="A39" s="71"/>
      <c r="B39" s="14"/>
      <c r="C39" s="91" t="s">
        <v>89</v>
      </c>
      <c r="D39" s="14" t="s">
        <v>153</v>
      </c>
      <c r="E39" s="45"/>
      <c r="F39" s="44"/>
      <c r="G39" s="40"/>
      <c r="H39" s="45"/>
      <c r="I39" s="44"/>
      <c r="J39" s="40"/>
      <c r="K39" s="54">
        <v>39</v>
      </c>
      <c r="L39" s="99" t="s">
        <v>154</v>
      </c>
      <c r="M39" s="40">
        <f>SUM(M40)</f>
        <v>27452800</v>
      </c>
      <c r="N39" s="54">
        <v>39</v>
      </c>
      <c r="O39" s="114" t="str">
        <f t="shared" si="12"/>
        <v>Institusi</v>
      </c>
      <c r="P39" s="40">
        <f>SUM(P40)</f>
        <v>0</v>
      </c>
      <c r="Q39" s="43">
        <v>0</v>
      </c>
      <c r="R39" s="114" t="str">
        <f t="shared" si="11"/>
        <v>Institusi</v>
      </c>
      <c r="S39" s="40">
        <f>SUM(S40)</f>
        <v>21221000</v>
      </c>
      <c r="T39" s="45"/>
      <c r="U39" s="44"/>
      <c r="V39" s="40"/>
      <c r="W39" s="45"/>
      <c r="X39" s="44"/>
      <c r="Y39" s="40"/>
      <c r="Z39" s="140">
        <f t="shared" si="3"/>
        <v>39</v>
      </c>
      <c r="AA39" s="101" t="str">
        <f t="shared" si="4"/>
        <v>Institusi</v>
      </c>
      <c r="AB39" s="68">
        <f t="shared" si="5"/>
        <v>100</v>
      </c>
      <c r="AC39" s="71" t="s">
        <v>141</v>
      </c>
      <c r="AD39" s="75">
        <f t="shared" si="6"/>
        <v>21221000</v>
      </c>
      <c r="AE39" s="70">
        <f t="shared" si="7"/>
        <v>77.299947546334067</v>
      </c>
      <c r="AF39" s="71" t="s">
        <v>141</v>
      </c>
      <c r="AG39" s="140">
        <f t="shared" si="8"/>
        <v>39</v>
      </c>
      <c r="AH39" s="101" t="str">
        <f t="shared" si="9"/>
        <v>Institusi</v>
      </c>
      <c r="AI39" s="75">
        <f t="shared" si="10"/>
        <v>21221000</v>
      </c>
      <c r="AJ39" s="70"/>
      <c r="AK39" s="71" t="s">
        <v>141</v>
      </c>
      <c r="AL39" s="70"/>
      <c r="AM39" s="11"/>
      <c r="AP39" s="21"/>
    </row>
    <row r="40" spans="1:42" ht="83.25" customHeight="1" x14ac:dyDescent="0.2">
      <c r="A40" s="12"/>
      <c r="B40" s="13"/>
      <c r="C40" s="22" t="s">
        <v>90</v>
      </c>
      <c r="D40" s="26" t="s">
        <v>153</v>
      </c>
      <c r="E40" s="15"/>
      <c r="F40" s="47"/>
      <c r="G40" s="50"/>
      <c r="H40" s="42"/>
      <c r="I40" s="47"/>
      <c r="J40" s="18"/>
      <c r="K40" s="42">
        <v>39</v>
      </c>
      <c r="L40" s="47" t="s">
        <v>154</v>
      </c>
      <c r="M40" s="19">
        <v>27452800</v>
      </c>
      <c r="N40" s="42">
        <v>39</v>
      </c>
      <c r="O40" s="116" t="str">
        <f t="shared" si="12"/>
        <v>Institusi</v>
      </c>
      <c r="P40" s="19">
        <v>0</v>
      </c>
      <c r="Q40" s="15">
        <v>0</v>
      </c>
      <c r="R40" s="116" t="str">
        <f t="shared" si="11"/>
        <v>Institusi</v>
      </c>
      <c r="S40" s="19">
        <v>21221000</v>
      </c>
      <c r="T40" s="15"/>
      <c r="U40" s="47"/>
      <c r="V40" s="19"/>
      <c r="W40" s="15"/>
      <c r="X40" s="47"/>
      <c r="Y40" s="19"/>
      <c r="Z40" s="141">
        <f t="shared" si="3"/>
        <v>39</v>
      </c>
      <c r="AA40" s="102" t="str">
        <f t="shared" si="4"/>
        <v>Institusi</v>
      </c>
      <c r="AB40" s="67">
        <f t="shared" si="5"/>
        <v>100</v>
      </c>
      <c r="AC40" s="32" t="s">
        <v>141</v>
      </c>
      <c r="AD40" s="38">
        <f t="shared" si="6"/>
        <v>21221000</v>
      </c>
      <c r="AE40" s="66">
        <f t="shared" si="7"/>
        <v>77.299947546334067</v>
      </c>
      <c r="AF40" s="32" t="s">
        <v>141</v>
      </c>
      <c r="AG40" s="141">
        <f t="shared" si="8"/>
        <v>39</v>
      </c>
      <c r="AH40" s="102" t="str">
        <f t="shared" si="9"/>
        <v>Institusi</v>
      </c>
      <c r="AI40" s="38">
        <f t="shared" si="10"/>
        <v>21221000</v>
      </c>
      <c r="AJ40" s="66"/>
      <c r="AK40" s="32" t="s">
        <v>141</v>
      </c>
      <c r="AL40" s="66"/>
      <c r="AM40" s="11"/>
      <c r="AP40" s="21"/>
    </row>
    <row r="41" spans="1:42" ht="126" x14ac:dyDescent="0.2">
      <c r="A41" s="71"/>
      <c r="B41" s="14"/>
      <c r="C41" s="91" t="s">
        <v>91</v>
      </c>
      <c r="D41" s="112" t="s">
        <v>155</v>
      </c>
      <c r="E41" s="43"/>
      <c r="F41" s="44"/>
      <c r="G41" s="40"/>
      <c r="H41" s="43"/>
      <c r="I41" s="44"/>
      <c r="J41" s="40"/>
      <c r="K41" s="45">
        <v>18.920000000000002</v>
      </c>
      <c r="L41" s="44" t="s">
        <v>141</v>
      </c>
      <c r="M41" s="40">
        <f>M42</f>
        <v>11342300</v>
      </c>
      <c r="N41" s="54">
        <v>0</v>
      </c>
      <c r="O41" s="83" t="str">
        <f t="shared" si="12"/>
        <v>%</v>
      </c>
      <c r="P41" s="40">
        <f>P42</f>
        <v>0</v>
      </c>
      <c r="Q41" s="54">
        <v>0</v>
      </c>
      <c r="R41" s="83" t="str">
        <f t="shared" si="11"/>
        <v>%</v>
      </c>
      <c r="S41" s="40">
        <f>S42</f>
        <v>0</v>
      </c>
      <c r="T41" s="45"/>
      <c r="U41" s="44"/>
      <c r="V41" s="40"/>
      <c r="W41" s="45"/>
      <c r="X41" s="44"/>
      <c r="Y41" s="40"/>
      <c r="Z41" s="140">
        <f t="shared" si="3"/>
        <v>0</v>
      </c>
      <c r="AA41" s="101" t="str">
        <f t="shared" si="4"/>
        <v>%</v>
      </c>
      <c r="AB41" s="68">
        <f t="shared" si="5"/>
        <v>0</v>
      </c>
      <c r="AC41" s="71" t="s">
        <v>141</v>
      </c>
      <c r="AD41" s="75">
        <f t="shared" si="6"/>
        <v>0</v>
      </c>
      <c r="AE41" s="70">
        <f t="shared" si="7"/>
        <v>0</v>
      </c>
      <c r="AF41" s="71" t="s">
        <v>141</v>
      </c>
      <c r="AG41" s="140">
        <f t="shared" si="8"/>
        <v>0</v>
      </c>
      <c r="AH41" s="101" t="str">
        <f t="shared" si="9"/>
        <v>%</v>
      </c>
      <c r="AI41" s="75">
        <f t="shared" si="10"/>
        <v>0</v>
      </c>
      <c r="AJ41" s="70"/>
      <c r="AK41" s="71" t="s">
        <v>141</v>
      </c>
      <c r="AL41" s="70"/>
      <c r="AM41" s="11"/>
      <c r="AP41" s="21"/>
    </row>
    <row r="42" spans="1:42" ht="110.25" x14ac:dyDescent="0.2">
      <c r="A42" s="71"/>
      <c r="B42" s="14"/>
      <c r="C42" s="91" t="s">
        <v>92</v>
      </c>
      <c r="D42" s="14" t="s">
        <v>157</v>
      </c>
      <c r="E42" s="43"/>
      <c r="F42" s="99"/>
      <c r="G42" s="121"/>
      <c r="H42" s="54"/>
      <c r="I42" s="99"/>
      <c r="J42" s="122"/>
      <c r="K42" s="43">
        <v>12</v>
      </c>
      <c r="L42" s="99" t="s">
        <v>158</v>
      </c>
      <c r="M42" s="40">
        <f>SUM(M43)</f>
        <v>11342300</v>
      </c>
      <c r="N42" s="43">
        <v>0</v>
      </c>
      <c r="O42" s="114" t="str">
        <f t="shared" si="12"/>
        <v>Organisasi</v>
      </c>
      <c r="P42" s="40">
        <f>SUM(P43)</f>
        <v>0</v>
      </c>
      <c r="Q42" s="43">
        <v>0</v>
      </c>
      <c r="R42" s="114" t="str">
        <f t="shared" si="11"/>
        <v>Organisasi</v>
      </c>
      <c r="S42" s="40">
        <f>SUM(S43)</f>
        <v>0</v>
      </c>
      <c r="T42" s="43"/>
      <c r="U42" s="99"/>
      <c r="V42" s="40"/>
      <c r="W42" s="43"/>
      <c r="X42" s="99"/>
      <c r="Y42" s="40"/>
      <c r="Z42" s="140">
        <f t="shared" si="3"/>
        <v>0</v>
      </c>
      <c r="AA42" s="101" t="str">
        <f t="shared" si="4"/>
        <v>Organisasi</v>
      </c>
      <c r="AB42" s="68">
        <f t="shared" si="5"/>
        <v>0</v>
      </c>
      <c r="AC42" s="71" t="s">
        <v>141</v>
      </c>
      <c r="AD42" s="75">
        <f t="shared" si="6"/>
        <v>0</v>
      </c>
      <c r="AE42" s="70">
        <f t="shared" si="7"/>
        <v>0</v>
      </c>
      <c r="AF42" s="71" t="s">
        <v>141</v>
      </c>
      <c r="AG42" s="140">
        <f t="shared" si="8"/>
        <v>0</v>
      </c>
      <c r="AH42" s="101" t="str">
        <f t="shared" si="9"/>
        <v>Organisasi</v>
      </c>
      <c r="AI42" s="75">
        <f t="shared" si="10"/>
        <v>0</v>
      </c>
      <c r="AJ42" s="70"/>
      <c r="AK42" s="71" t="s">
        <v>141</v>
      </c>
      <c r="AL42" s="70"/>
      <c r="AM42" s="11"/>
      <c r="AP42" s="21"/>
    </row>
    <row r="43" spans="1:42" ht="114" customHeight="1" x14ac:dyDescent="0.2">
      <c r="A43" s="71"/>
      <c r="B43" s="14"/>
      <c r="C43" s="22" t="s">
        <v>93</v>
      </c>
      <c r="D43" s="26" t="s">
        <v>157</v>
      </c>
      <c r="E43" s="43"/>
      <c r="F43" s="44"/>
      <c r="G43" s="40"/>
      <c r="H43" s="43"/>
      <c r="I43" s="44"/>
      <c r="J43" s="40"/>
      <c r="K43" s="15">
        <v>12</v>
      </c>
      <c r="L43" s="47" t="s">
        <v>158</v>
      </c>
      <c r="M43" s="19">
        <v>11342300</v>
      </c>
      <c r="N43" s="15">
        <v>0</v>
      </c>
      <c r="O43" s="116" t="str">
        <f t="shared" si="12"/>
        <v>Organisasi</v>
      </c>
      <c r="P43" s="19">
        <v>0</v>
      </c>
      <c r="Q43" s="15">
        <v>0</v>
      </c>
      <c r="R43" s="116" t="str">
        <f t="shared" si="11"/>
        <v>Organisasi</v>
      </c>
      <c r="S43" s="19">
        <v>0</v>
      </c>
      <c r="T43" s="15"/>
      <c r="U43" s="16"/>
      <c r="V43" s="19"/>
      <c r="W43" s="15"/>
      <c r="X43" s="16"/>
      <c r="Y43" s="19"/>
      <c r="Z43" s="141">
        <f t="shared" si="3"/>
        <v>0</v>
      </c>
      <c r="AA43" s="102" t="str">
        <f t="shared" si="4"/>
        <v>Organisasi</v>
      </c>
      <c r="AB43" s="67">
        <f t="shared" si="5"/>
        <v>0</v>
      </c>
      <c r="AC43" s="32" t="s">
        <v>141</v>
      </c>
      <c r="AD43" s="38">
        <f t="shared" si="6"/>
        <v>0</v>
      </c>
      <c r="AE43" s="66">
        <f t="shared" si="7"/>
        <v>0</v>
      </c>
      <c r="AF43" s="32" t="s">
        <v>141</v>
      </c>
      <c r="AG43" s="141">
        <f t="shared" si="8"/>
        <v>0</v>
      </c>
      <c r="AH43" s="102" t="str">
        <f t="shared" si="9"/>
        <v>Organisasi</v>
      </c>
      <c r="AI43" s="38">
        <f t="shared" si="10"/>
        <v>0</v>
      </c>
      <c r="AJ43" s="66"/>
      <c r="AK43" s="32" t="s">
        <v>141</v>
      </c>
      <c r="AL43" s="66"/>
      <c r="AM43" s="11"/>
      <c r="AP43" s="21"/>
    </row>
    <row r="44" spans="1:42" ht="133.5" customHeight="1" x14ac:dyDescent="0.2">
      <c r="A44" s="71"/>
      <c r="B44" s="14"/>
      <c r="C44" s="91" t="s">
        <v>94</v>
      </c>
      <c r="D44" s="112" t="s">
        <v>159</v>
      </c>
      <c r="E44" s="15"/>
      <c r="F44" s="16"/>
      <c r="G44" s="50"/>
      <c r="H44" s="42"/>
      <c r="I44" s="16"/>
      <c r="J44" s="18"/>
      <c r="K44" s="45">
        <f>210/128948*100</f>
        <v>0.1628563451934113</v>
      </c>
      <c r="L44" s="99" t="s">
        <v>141</v>
      </c>
      <c r="M44" s="40">
        <f>M45+M47</f>
        <v>352118500</v>
      </c>
      <c r="N44" s="43">
        <v>0</v>
      </c>
      <c r="O44" s="83" t="str">
        <f t="shared" si="12"/>
        <v>%</v>
      </c>
      <c r="P44" s="40">
        <f>P45+P47</f>
        <v>13946200</v>
      </c>
      <c r="Q44" s="45">
        <f>210/128948*100</f>
        <v>0.1628563451934113</v>
      </c>
      <c r="R44" s="83" t="str">
        <f t="shared" si="11"/>
        <v>%</v>
      </c>
      <c r="S44" s="40">
        <f>S45+S47</f>
        <v>32788500</v>
      </c>
      <c r="T44" s="15"/>
      <c r="U44" s="47"/>
      <c r="V44" s="19"/>
      <c r="W44" s="15"/>
      <c r="X44" s="47"/>
      <c r="Y44" s="19"/>
      <c r="Z44" s="140">
        <f t="shared" si="3"/>
        <v>0.1628563451934113</v>
      </c>
      <c r="AA44" s="101" t="str">
        <f t="shared" si="4"/>
        <v>%</v>
      </c>
      <c r="AB44" s="68">
        <f t="shared" si="5"/>
        <v>100</v>
      </c>
      <c r="AC44" s="71" t="s">
        <v>141</v>
      </c>
      <c r="AD44" s="75">
        <f t="shared" si="6"/>
        <v>46734700</v>
      </c>
      <c r="AE44" s="70">
        <f t="shared" si="7"/>
        <v>13.272435273920568</v>
      </c>
      <c r="AF44" s="71" t="s">
        <v>141</v>
      </c>
      <c r="AG44" s="140">
        <f t="shared" si="8"/>
        <v>0.1628563451934113</v>
      </c>
      <c r="AH44" s="101" t="str">
        <f t="shared" si="9"/>
        <v>%</v>
      </c>
      <c r="AI44" s="75">
        <f t="shared" si="10"/>
        <v>46734700</v>
      </c>
      <c r="AJ44" s="70"/>
      <c r="AK44" s="71" t="s">
        <v>141</v>
      </c>
      <c r="AL44" s="70"/>
      <c r="AM44" s="11"/>
      <c r="AP44" s="21"/>
    </row>
    <row r="45" spans="1:42" ht="124.5" customHeight="1" x14ac:dyDescent="0.2">
      <c r="A45" s="71"/>
      <c r="B45" s="14"/>
      <c r="C45" s="14" t="s">
        <v>95</v>
      </c>
      <c r="D45" s="14" t="s">
        <v>160</v>
      </c>
      <c r="E45" s="45"/>
      <c r="F45" s="44"/>
      <c r="G45" s="58"/>
      <c r="H45" s="84"/>
      <c r="I45" s="83"/>
      <c r="J45" s="58"/>
      <c r="K45" s="82">
        <v>210</v>
      </c>
      <c r="L45" s="114" t="s">
        <v>162</v>
      </c>
      <c r="M45" s="58">
        <f>SUM(M46)</f>
        <v>23025000</v>
      </c>
      <c r="N45" s="82">
        <v>0</v>
      </c>
      <c r="O45" s="114" t="str">
        <f t="shared" si="12"/>
        <v>Orang</v>
      </c>
      <c r="P45" s="58">
        <f>SUM(P46)</f>
        <v>10000000</v>
      </c>
      <c r="Q45" s="117">
        <v>210</v>
      </c>
      <c r="R45" s="114" t="str">
        <f t="shared" si="11"/>
        <v>Orang</v>
      </c>
      <c r="S45" s="58">
        <f>SUM(S46)</f>
        <v>0</v>
      </c>
      <c r="T45" s="84"/>
      <c r="U45" s="83"/>
      <c r="V45" s="58"/>
      <c r="W45" s="84"/>
      <c r="X45" s="83"/>
      <c r="Y45" s="58"/>
      <c r="Z45" s="142">
        <f t="shared" si="3"/>
        <v>210</v>
      </c>
      <c r="AA45" s="104" t="str">
        <f t="shared" si="4"/>
        <v>Orang</v>
      </c>
      <c r="AB45" s="111">
        <f t="shared" si="5"/>
        <v>100</v>
      </c>
      <c r="AC45" s="48" t="s">
        <v>141</v>
      </c>
      <c r="AD45" s="69">
        <f t="shared" si="6"/>
        <v>10000000</v>
      </c>
      <c r="AE45" s="72">
        <f t="shared" si="7"/>
        <v>43.431053203040179</v>
      </c>
      <c r="AF45" s="48" t="s">
        <v>141</v>
      </c>
      <c r="AG45" s="142">
        <f t="shared" si="8"/>
        <v>210</v>
      </c>
      <c r="AH45" s="104" t="str">
        <f t="shared" si="9"/>
        <v>Orang</v>
      </c>
      <c r="AI45" s="69">
        <f t="shared" si="10"/>
        <v>10000000</v>
      </c>
      <c r="AJ45" s="72"/>
      <c r="AK45" s="48" t="s">
        <v>141</v>
      </c>
      <c r="AL45" s="72"/>
      <c r="AM45" s="11"/>
      <c r="AP45" s="21"/>
    </row>
    <row r="46" spans="1:42" ht="97.5" customHeight="1" x14ac:dyDescent="0.2">
      <c r="A46" s="71"/>
      <c r="B46" s="14"/>
      <c r="C46" s="26" t="s">
        <v>96</v>
      </c>
      <c r="D46" s="26" t="s">
        <v>160</v>
      </c>
      <c r="E46" s="45"/>
      <c r="F46" s="44"/>
      <c r="G46" s="85"/>
      <c r="H46" s="45"/>
      <c r="I46" s="44"/>
      <c r="J46" s="18"/>
      <c r="K46" s="118">
        <v>210</v>
      </c>
      <c r="L46" s="116" t="s">
        <v>162</v>
      </c>
      <c r="M46" s="93">
        <v>23025000</v>
      </c>
      <c r="N46" s="17">
        <v>0</v>
      </c>
      <c r="O46" s="115" t="str">
        <f t="shared" si="12"/>
        <v>Orang</v>
      </c>
      <c r="P46" s="93">
        <v>10000000</v>
      </c>
      <c r="Q46" s="118">
        <v>210</v>
      </c>
      <c r="R46" s="115" t="str">
        <f t="shared" si="11"/>
        <v>Orang</v>
      </c>
      <c r="S46" s="19">
        <v>0</v>
      </c>
      <c r="T46" s="17"/>
      <c r="U46" s="16"/>
      <c r="V46" s="19"/>
      <c r="W46" s="17"/>
      <c r="X46" s="16"/>
      <c r="Y46" s="19"/>
      <c r="Z46" s="141">
        <f t="shared" si="3"/>
        <v>210</v>
      </c>
      <c r="AA46" s="102" t="str">
        <f t="shared" si="4"/>
        <v>Orang</v>
      </c>
      <c r="AB46" s="67">
        <f t="shared" si="5"/>
        <v>100</v>
      </c>
      <c r="AC46" s="32" t="s">
        <v>141</v>
      </c>
      <c r="AD46" s="38">
        <f t="shared" si="6"/>
        <v>10000000</v>
      </c>
      <c r="AE46" s="66">
        <f t="shared" si="7"/>
        <v>43.431053203040179</v>
      </c>
      <c r="AF46" s="32" t="s">
        <v>141</v>
      </c>
      <c r="AG46" s="141">
        <f t="shared" si="8"/>
        <v>210</v>
      </c>
      <c r="AH46" s="102" t="str">
        <f t="shared" si="9"/>
        <v>Orang</v>
      </c>
      <c r="AI46" s="38">
        <f t="shared" si="10"/>
        <v>10000000</v>
      </c>
      <c r="AJ46" s="66"/>
      <c r="AK46" s="32" t="s">
        <v>141</v>
      </c>
      <c r="AL46" s="66"/>
      <c r="AM46" s="11"/>
      <c r="AP46" s="21"/>
    </row>
    <row r="47" spans="1:42" ht="216.75" customHeight="1" x14ac:dyDescent="0.2">
      <c r="A47" s="12"/>
      <c r="B47" s="13"/>
      <c r="C47" s="91" t="s">
        <v>97</v>
      </c>
      <c r="D47" s="14" t="s">
        <v>161</v>
      </c>
      <c r="E47" s="55"/>
      <c r="F47" s="16"/>
      <c r="G47" s="50"/>
      <c r="H47" s="56"/>
      <c r="I47" s="16"/>
      <c r="J47" s="18"/>
      <c r="K47" s="119">
        <v>3</v>
      </c>
      <c r="L47" s="99" t="s">
        <v>163</v>
      </c>
      <c r="M47" s="40">
        <f>SUM(M48)</f>
        <v>329093500</v>
      </c>
      <c r="N47" s="119">
        <v>1</v>
      </c>
      <c r="O47" s="114" t="str">
        <f t="shared" si="12"/>
        <v>Lembaga</v>
      </c>
      <c r="P47" s="40">
        <f>SUM(P48)</f>
        <v>3946200</v>
      </c>
      <c r="Q47" s="119">
        <v>1</v>
      </c>
      <c r="R47" s="114" t="str">
        <f t="shared" si="11"/>
        <v>Lembaga</v>
      </c>
      <c r="S47" s="40">
        <f>SUM(S48)</f>
        <v>32788500</v>
      </c>
      <c r="T47" s="46"/>
      <c r="U47" s="16"/>
      <c r="V47" s="19"/>
      <c r="W47" s="46"/>
      <c r="X47" s="16"/>
      <c r="Y47" s="19"/>
      <c r="Z47" s="143">
        <f t="shared" si="3"/>
        <v>2</v>
      </c>
      <c r="AA47" s="101" t="str">
        <f t="shared" si="4"/>
        <v>Lembaga</v>
      </c>
      <c r="AB47" s="68">
        <f t="shared" si="5"/>
        <v>66.666666666666657</v>
      </c>
      <c r="AC47" s="71" t="s">
        <v>141</v>
      </c>
      <c r="AD47" s="75">
        <f t="shared" si="6"/>
        <v>36734700</v>
      </c>
      <c r="AE47" s="70">
        <f t="shared" si="7"/>
        <v>11.162390019857577</v>
      </c>
      <c r="AF47" s="71" t="s">
        <v>141</v>
      </c>
      <c r="AG47" s="143">
        <f t="shared" si="8"/>
        <v>2</v>
      </c>
      <c r="AH47" s="101" t="str">
        <f t="shared" si="9"/>
        <v>Lembaga</v>
      </c>
      <c r="AI47" s="75">
        <f t="shared" si="10"/>
        <v>36734700</v>
      </c>
      <c r="AJ47" s="70"/>
      <c r="AK47" s="71" t="s">
        <v>141</v>
      </c>
      <c r="AL47" s="70"/>
      <c r="AM47" s="11"/>
      <c r="AP47" s="21"/>
    </row>
    <row r="48" spans="1:42" ht="125.25" customHeight="1" x14ac:dyDescent="0.2">
      <c r="A48" s="12"/>
      <c r="B48" s="13"/>
      <c r="C48" s="22" t="s">
        <v>98</v>
      </c>
      <c r="D48" s="26" t="s">
        <v>161</v>
      </c>
      <c r="E48" s="15"/>
      <c r="F48" s="47"/>
      <c r="G48" s="50"/>
      <c r="H48" s="42"/>
      <c r="I48" s="47"/>
      <c r="J48" s="18"/>
      <c r="K48" s="46">
        <v>3</v>
      </c>
      <c r="L48" s="47" t="s">
        <v>163</v>
      </c>
      <c r="M48" s="19">
        <v>329093500</v>
      </c>
      <c r="N48" s="46">
        <v>1</v>
      </c>
      <c r="O48" s="116" t="str">
        <f t="shared" si="12"/>
        <v>Lembaga</v>
      </c>
      <c r="P48" s="19">
        <v>3946200</v>
      </c>
      <c r="Q48" s="15">
        <v>1</v>
      </c>
      <c r="R48" s="116" t="str">
        <f t="shared" si="11"/>
        <v>Lembaga</v>
      </c>
      <c r="S48" s="19">
        <f>36734700-P48</f>
        <v>32788500</v>
      </c>
      <c r="T48" s="15"/>
      <c r="U48" s="47"/>
      <c r="V48" s="19"/>
      <c r="W48" s="15"/>
      <c r="X48" s="47"/>
      <c r="Y48" s="19"/>
      <c r="Z48" s="141">
        <f t="shared" si="3"/>
        <v>2</v>
      </c>
      <c r="AA48" s="102" t="str">
        <f t="shared" si="4"/>
        <v>Lembaga</v>
      </c>
      <c r="AB48" s="67">
        <f t="shared" si="5"/>
        <v>66.666666666666657</v>
      </c>
      <c r="AC48" s="32" t="s">
        <v>141</v>
      </c>
      <c r="AD48" s="38">
        <f t="shared" si="6"/>
        <v>36734700</v>
      </c>
      <c r="AE48" s="66">
        <f t="shared" si="7"/>
        <v>11.162390019857577</v>
      </c>
      <c r="AF48" s="32" t="s">
        <v>141</v>
      </c>
      <c r="AG48" s="141">
        <f t="shared" si="8"/>
        <v>2</v>
      </c>
      <c r="AH48" s="102" t="str">
        <f t="shared" si="9"/>
        <v>Lembaga</v>
      </c>
      <c r="AI48" s="38">
        <f t="shared" si="10"/>
        <v>36734700</v>
      </c>
      <c r="AJ48" s="66"/>
      <c r="AK48" s="32" t="s">
        <v>141</v>
      </c>
      <c r="AL48" s="66"/>
      <c r="AM48" s="11"/>
      <c r="AP48" s="21"/>
    </row>
    <row r="49" spans="1:42" ht="78.75" x14ac:dyDescent="0.2">
      <c r="A49" s="12"/>
      <c r="B49" s="13"/>
      <c r="C49" s="91" t="s">
        <v>99</v>
      </c>
      <c r="D49" s="113" t="s">
        <v>164</v>
      </c>
      <c r="E49" s="15"/>
      <c r="F49" s="47"/>
      <c r="G49" s="50"/>
      <c r="H49" s="42"/>
      <c r="I49" s="47"/>
      <c r="J49" s="18"/>
      <c r="K49" s="43">
        <v>100</v>
      </c>
      <c r="L49" s="99" t="s">
        <v>141</v>
      </c>
      <c r="M49" s="40">
        <f>M50+M52</f>
        <v>97123500</v>
      </c>
      <c r="N49" s="43">
        <v>100</v>
      </c>
      <c r="O49" s="83" t="str">
        <f t="shared" si="12"/>
        <v>%</v>
      </c>
      <c r="P49" s="40">
        <f>P50+P52</f>
        <v>0</v>
      </c>
      <c r="Q49" s="43">
        <v>0</v>
      </c>
      <c r="R49" s="83" t="str">
        <f t="shared" si="11"/>
        <v>%</v>
      </c>
      <c r="S49" s="40">
        <f>S50+S52</f>
        <v>12552500</v>
      </c>
      <c r="T49" s="43"/>
      <c r="U49" s="99"/>
      <c r="V49" s="40"/>
      <c r="W49" s="43"/>
      <c r="X49" s="99"/>
      <c r="Y49" s="40"/>
      <c r="Z49" s="140">
        <f t="shared" si="3"/>
        <v>100</v>
      </c>
      <c r="AA49" s="101" t="str">
        <f t="shared" si="4"/>
        <v>%</v>
      </c>
      <c r="AB49" s="68">
        <f t="shared" si="5"/>
        <v>100</v>
      </c>
      <c r="AC49" s="71" t="s">
        <v>141</v>
      </c>
      <c r="AD49" s="75">
        <f t="shared" si="6"/>
        <v>12552500</v>
      </c>
      <c r="AE49" s="70">
        <f t="shared" si="7"/>
        <v>12.924266526638764</v>
      </c>
      <c r="AF49" s="71" t="s">
        <v>141</v>
      </c>
      <c r="AG49" s="140">
        <f t="shared" si="8"/>
        <v>100</v>
      </c>
      <c r="AH49" s="101" t="str">
        <f t="shared" si="9"/>
        <v>%</v>
      </c>
      <c r="AI49" s="75">
        <f t="shared" si="10"/>
        <v>12552500</v>
      </c>
      <c r="AJ49" s="70"/>
      <c r="AK49" s="71" t="s">
        <v>141</v>
      </c>
      <c r="AL49" s="70"/>
      <c r="AM49" s="11"/>
      <c r="AP49" s="21"/>
    </row>
    <row r="50" spans="1:42" ht="118.5" customHeight="1" x14ac:dyDescent="0.2">
      <c r="A50" s="12"/>
      <c r="B50" s="13"/>
      <c r="C50" s="91" t="s">
        <v>100</v>
      </c>
      <c r="D50" s="14" t="s">
        <v>165</v>
      </c>
      <c r="E50" s="15"/>
      <c r="F50" s="47"/>
      <c r="G50" s="50"/>
      <c r="H50" s="42"/>
      <c r="I50" s="47"/>
      <c r="J50" s="18"/>
      <c r="K50" s="43">
        <f>34+12+225+13</f>
        <v>284</v>
      </c>
      <c r="L50" s="99" t="s">
        <v>168</v>
      </c>
      <c r="M50" s="40">
        <f>SUM(M51)</f>
        <v>8245500</v>
      </c>
      <c r="N50" s="43">
        <v>34</v>
      </c>
      <c r="O50" s="83" t="str">
        <f t="shared" si="12"/>
        <v>buah</v>
      </c>
      <c r="P50" s="40">
        <f>SUM(P51)</f>
        <v>0</v>
      </c>
      <c r="Q50" s="43">
        <v>12</v>
      </c>
      <c r="R50" s="83" t="str">
        <f t="shared" si="11"/>
        <v>buah</v>
      </c>
      <c r="S50" s="40">
        <f>SUM(S51)</f>
        <v>7210000</v>
      </c>
      <c r="T50" s="43"/>
      <c r="U50" s="99"/>
      <c r="V50" s="40"/>
      <c r="W50" s="43"/>
      <c r="X50" s="99"/>
      <c r="Y50" s="40"/>
      <c r="Z50" s="140">
        <f t="shared" si="3"/>
        <v>46</v>
      </c>
      <c r="AA50" s="101" t="str">
        <f t="shared" si="4"/>
        <v>buah</v>
      </c>
      <c r="AB50" s="68">
        <f t="shared" si="5"/>
        <v>16.197183098591552</v>
      </c>
      <c r="AC50" s="71" t="s">
        <v>141</v>
      </c>
      <c r="AD50" s="75">
        <f t="shared" si="6"/>
        <v>7210000</v>
      </c>
      <c r="AE50" s="70">
        <f t="shared" si="7"/>
        <v>87.441634831120012</v>
      </c>
      <c r="AF50" s="71" t="s">
        <v>141</v>
      </c>
      <c r="AG50" s="140">
        <f t="shared" si="8"/>
        <v>46</v>
      </c>
      <c r="AH50" s="101" t="str">
        <f t="shared" si="9"/>
        <v>buah</v>
      </c>
      <c r="AI50" s="75">
        <f t="shared" si="10"/>
        <v>7210000</v>
      </c>
      <c r="AJ50" s="70"/>
      <c r="AK50" s="71" t="s">
        <v>141</v>
      </c>
      <c r="AL50" s="70"/>
      <c r="AM50" s="11"/>
      <c r="AP50" s="21"/>
    </row>
    <row r="51" spans="1:42" ht="140.25" customHeight="1" x14ac:dyDescent="0.2">
      <c r="A51" s="12"/>
      <c r="B51" s="13"/>
      <c r="C51" s="22" t="s">
        <v>101</v>
      </c>
      <c r="D51" s="26" t="s">
        <v>165</v>
      </c>
      <c r="E51" s="15"/>
      <c r="F51" s="47"/>
      <c r="G51" s="50"/>
      <c r="H51" s="42"/>
      <c r="I51" s="47"/>
      <c r="J51" s="18"/>
      <c r="K51" s="15">
        <v>284</v>
      </c>
      <c r="L51" s="47" t="s">
        <v>168</v>
      </c>
      <c r="M51" s="19">
        <v>8245500</v>
      </c>
      <c r="N51" s="15">
        <v>34</v>
      </c>
      <c r="O51" s="115" t="str">
        <f t="shared" ref="O51" si="13">L51</f>
        <v>buah</v>
      </c>
      <c r="P51" s="19">
        <f>SUM(P52)</f>
        <v>0</v>
      </c>
      <c r="Q51" s="15">
        <v>12</v>
      </c>
      <c r="R51" s="115" t="str">
        <f t="shared" ref="R51" si="14">L51</f>
        <v>buah</v>
      </c>
      <c r="S51" s="19">
        <v>7210000</v>
      </c>
      <c r="T51" s="15"/>
      <c r="U51" s="47"/>
      <c r="V51" s="19"/>
      <c r="W51" s="15"/>
      <c r="X51" s="47"/>
      <c r="Y51" s="19"/>
      <c r="Z51" s="141">
        <f t="shared" si="3"/>
        <v>46</v>
      </c>
      <c r="AA51" s="102" t="str">
        <f t="shared" si="4"/>
        <v>buah</v>
      </c>
      <c r="AB51" s="67">
        <f t="shared" si="5"/>
        <v>16.197183098591552</v>
      </c>
      <c r="AC51" s="32" t="s">
        <v>141</v>
      </c>
      <c r="AD51" s="38">
        <f t="shared" si="6"/>
        <v>7210000</v>
      </c>
      <c r="AE51" s="66">
        <f t="shared" si="7"/>
        <v>87.441634831120012</v>
      </c>
      <c r="AF51" s="32" t="s">
        <v>141</v>
      </c>
      <c r="AG51" s="141">
        <f t="shared" si="8"/>
        <v>46</v>
      </c>
      <c r="AH51" s="102" t="str">
        <f t="shared" si="9"/>
        <v>buah</v>
      </c>
      <c r="AI51" s="38">
        <f t="shared" si="10"/>
        <v>7210000</v>
      </c>
      <c r="AJ51" s="66"/>
      <c r="AK51" s="32" t="s">
        <v>141</v>
      </c>
      <c r="AL51" s="66"/>
      <c r="AM51" s="11"/>
      <c r="AP51" s="21"/>
    </row>
    <row r="52" spans="1:42" ht="150" customHeight="1" x14ac:dyDescent="0.2">
      <c r="A52" s="12"/>
      <c r="B52" s="13"/>
      <c r="C52" s="14" t="s">
        <v>102</v>
      </c>
      <c r="D52" s="14" t="s">
        <v>166</v>
      </c>
      <c r="E52" s="15"/>
      <c r="F52" s="47"/>
      <c r="G52" s="50"/>
      <c r="H52" s="42"/>
      <c r="I52" s="47"/>
      <c r="J52" s="18"/>
      <c r="K52" s="43">
        <f>17+14+13+10</f>
        <v>54</v>
      </c>
      <c r="L52" s="99" t="s">
        <v>169</v>
      </c>
      <c r="M52" s="40">
        <f>SUM(M53:M55)</f>
        <v>88878000</v>
      </c>
      <c r="N52" s="43">
        <v>17</v>
      </c>
      <c r="O52" s="114" t="str">
        <f t="shared" si="12"/>
        <v>indikator</v>
      </c>
      <c r="P52" s="40">
        <f>SUM(P53:P55)</f>
        <v>0</v>
      </c>
      <c r="Q52" s="43">
        <v>14</v>
      </c>
      <c r="R52" s="114" t="str">
        <f t="shared" si="11"/>
        <v>indikator</v>
      </c>
      <c r="S52" s="40">
        <f>SUM(S53:S55)</f>
        <v>5342500</v>
      </c>
      <c r="T52" s="15"/>
      <c r="U52" s="47"/>
      <c r="V52" s="19"/>
      <c r="W52" s="15"/>
      <c r="X52" s="47"/>
      <c r="Y52" s="19"/>
      <c r="Z52" s="140">
        <f t="shared" si="3"/>
        <v>31</v>
      </c>
      <c r="AA52" s="101" t="str">
        <f t="shared" si="4"/>
        <v>indikator</v>
      </c>
      <c r="AB52" s="68">
        <f t="shared" si="5"/>
        <v>57.407407407407405</v>
      </c>
      <c r="AC52" s="71" t="s">
        <v>141</v>
      </c>
      <c r="AD52" s="75">
        <f t="shared" si="6"/>
        <v>5342500</v>
      </c>
      <c r="AE52" s="70">
        <f t="shared" si="7"/>
        <v>6.0110488534845521</v>
      </c>
      <c r="AF52" s="71" t="s">
        <v>141</v>
      </c>
      <c r="AG52" s="140">
        <f t="shared" si="8"/>
        <v>31</v>
      </c>
      <c r="AH52" s="101" t="str">
        <f t="shared" si="9"/>
        <v>indikator</v>
      </c>
      <c r="AI52" s="75">
        <f t="shared" si="10"/>
        <v>5342500</v>
      </c>
      <c r="AJ52" s="70"/>
      <c r="AK52" s="71" t="s">
        <v>141</v>
      </c>
      <c r="AL52" s="70"/>
      <c r="AM52" s="11"/>
      <c r="AP52" s="21"/>
    </row>
    <row r="53" spans="1:42" ht="125.25" customHeight="1" x14ac:dyDescent="0.2">
      <c r="A53" s="12"/>
      <c r="B53" s="13"/>
      <c r="C53" s="26" t="s">
        <v>103</v>
      </c>
      <c r="D53" s="26" t="s">
        <v>166</v>
      </c>
      <c r="E53" s="79"/>
      <c r="F53" s="47"/>
      <c r="G53" s="50"/>
      <c r="H53" s="42"/>
      <c r="I53" s="47"/>
      <c r="J53" s="18"/>
      <c r="K53" s="15">
        <f>17+14+13+10</f>
        <v>54</v>
      </c>
      <c r="L53" s="47" t="s">
        <v>169</v>
      </c>
      <c r="M53" s="19">
        <v>18015000</v>
      </c>
      <c r="N53" s="15">
        <v>17</v>
      </c>
      <c r="O53" s="116" t="str">
        <f t="shared" ref="O53" si="15">L53</f>
        <v>indikator</v>
      </c>
      <c r="P53" s="19">
        <f>SUM(P54:P56)</f>
        <v>0</v>
      </c>
      <c r="Q53" s="15">
        <v>14</v>
      </c>
      <c r="R53" s="116" t="str">
        <f t="shared" ref="R53" si="16">L53</f>
        <v>indikator</v>
      </c>
      <c r="S53" s="19">
        <v>5342500</v>
      </c>
      <c r="T53" s="15"/>
      <c r="U53" s="47"/>
      <c r="V53" s="19"/>
      <c r="W53" s="15"/>
      <c r="X53" s="47"/>
      <c r="Y53" s="19"/>
      <c r="Z53" s="141">
        <f t="shared" si="3"/>
        <v>31</v>
      </c>
      <c r="AA53" s="102" t="str">
        <f t="shared" si="4"/>
        <v>indikator</v>
      </c>
      <c r="AB53" s="67">
        <f t="shared" si="5"/>
        <v>57.407407407407405</v>
      </c>
      <c r="AC53" s="32" t="s">
        <v>141</v>
      </c>
      <c r="AD53" s="38">
        <f t="shared" si="6"/>
        <v>5342500</v>
      </c>
      <c r="AE53" s="66">
        <f t="shared" si="7"/>
        <v>29.655842353594224</v>
      </c>
      <c r="AF53" s="32" t="s">
        <v>141</v>
      </c>
      <c r="AG53" s="141">
        <f t="shared" si="8"/>
        <v>31</v>
      </c>
      <c r="AH53" s="102" t="str">
        <f t="shared" si="9"/>
        <v>indikator</v>
      </c>
      <c r="AI53" s="38">
        <f t="shared" si="10"/>
        <v>5342500</v>
      </c>
      <c r="AJ53" s="66"/>
      <c r="AK53" s="32" t="s">
        <v>141</v>
      </c>
      <c r="AL53" s="66"/>
      <c r="AM53" s="11"/>
      <c r="AP53" s="21"/>
    </row>
    <row r="54" spans="1:42" ht="125.25" customHeight="1" x14ac:dyDescent="0.2">
      <c r="A54" s="12"/>
      <c r="B54" s="13"/>
      <c r="C54" s="22" t="s">
        <v>105</v>
      </c>
      <c r="D54" s="26" t="s">
        <v>166</v>
      </c>
      <c r="E54" s="15"/>
      <c r="F54" s="16"/>
      <c r="G54" s="50"/>
      <c r="H54" s="42"/>
      <c r="I54" s="16"/>
      <c r="J54" s="18"/>
      <c r="K54" s="15">
        <f>17+14+13+10</f>
        <v>54</v>
      </c>
      <c r="L54" s="47" t="s">
        <v>169</v>
      </c>
      <c r="M54" s="19">
        <v>20051600</v>
      </c>
      <c r="N54" s="15">
        <v>17</v>
      </c>
      <c r="O54" s="116" t="str">
        <f t="shared" si="12"/>
        <v>indikator</v>
      </c>
      <c r="P54" s="19">
        <v>0</v>
      </c>
      <c r="Q54" s="15">
        <v>14</v>
      </c>
      <c r="R54" s="116" t="str">
        <f t="shared" si="11"/>
        <v>indikator</v>
      </c>
      <c r="S54" s="19">
        <v>0</v>
      </c>
      <c r="T54" s="15"/>
      <c r="U54" s="16"/>
      <c r="V54" s="19"/>
      <c r="W54" s="15"/>
      <c r="X54" s="16"/>
      <c r="Y54" s="19"/>
      <c r="Z54" s="141">
        <f t="shared" si="3"/>
        <v>31</v>
      </c>
      <c r="AA54" s="102" t="str">
        <f t="shared" si="4"/>
        <v>indikator</v>
      </c>
      <c r="AB54" s="67">
        <f t="shared" si="5"/>
        <v>57.407407407407405</v>
      </c>
      <c r="AC54" s="32" t="s">
        <v>141</v>
      </c>
      <c r="AD54" s="38">
        <f t="shared" si="6"/>
        <v>0</v>
      </c>
      <c r="AE54" s="66">
        <f t="shared" si="7"/>
        <v>0</v>
      </c>
      <c r="AF54" s="32" t="s">
        <v>141</v>
      </c>
      <c r="AG54" s="141">
        <f t="shared" si="8"/>
        <v>31</v>
      </c>
      <c r="AH54" s="102" t="str">
        <f t="shared" si="9"/>
        <v>indikator</v>
      </c>
      <c r="AI54" s="38">
        <f t="shared" si="10"/>
        <v>0</v>
      </c>
      <c r="AJ54" s="66"/>
      <c r="AK54" s="32" t="s">
        <v>141</v>
      </c>
      <c r="AL54" s="66"/>
      <c r="AM54" s="11"/>
      <c r="AP54" s="21"/>
    </row>
    <row r="55" spans="1:42" ht="171" customHeight="1" x14ac:dyDescent="0.2">
      <c r="A55" s="12"/>
      <c r="B55" s="13"/>
      <c r="C55" s="22" t="s">
        <v>104</v>
      </c>
      <c r="D55" s="26" t="s">
        <v>167</v>
      </c>
      <c r="E55" s="15"/>
      <c r="F55" s="16"/>
      <c r="G55" s="50"/>
      <c r="H55" s="17"/>
      <c r="I55" s="16"/>
      <c r="J55" s="18"/>
      <c r="K55" s="15">
        <v>1</v>
      </c>
      <c r="L55" s="47" t="s">
        <v>170</v>
      </c>
      <c r="M55" s="19">
        <v>50811400</v>
      </c>
      <c r="N55" s="15" t="s">
        <v>156</v>
      </c>
      <c r="O55" s="116" t="str">
        <f t="shared" si="12"/>
        <v>Kegiatan</v>
      </c>
      <c r="P55" s="19">
        <v>0</v>
      </c>
      <c r="Q55" s="15">
        <v>0</v>
      </c>
      <c r="R55" s="116" t="str">
        <f t="shared" si="11"/>
        <v>Kegiatan</v>
      </c>
      <c r="S55" s="19">
        <v>0</v>
      </c>
      <c r="T55" s="15"/>
      <c r="U55" s="16"/>
      <c r="V55" s="19"/>
      <c r="W55" s="15"/>
      <c r="X55" s="16"/>
      <c r="Y55" s="19"/>
      <c r="Z55" s="141">
        <f t="shared" si="3"/>
        <v>0</v>
      </c>
      <c r="AA55" s="102" t="str">
        <f t="shared" si="4"/>
        <v>Kegiatan</v>
      </c>
      <c r="AB55" s="67">
        <f t="shared" si="5"/>
        <v>0</v>
      </c>
      <c r="AC55" s="32" t="s">
        <v>141</v>
      </c>
      <c r="AD55" s="38">
        <f t="shared" si="6"/>
        <v>0</v>
      </c>
      <c r="AE55" s="66">
        <f t="shared" si="7"/>
        <v>0</v>
      </c>
      <c r="AF55" s="32" t="s">
        <v>141</v>
      </c>
      <c r="AG55" s="141">
        <f t="shared" si="8"/>
        <v>0</v>
      </c>
      <c r="AH55" s="102" t="str">
        <f t="shared" si="9"/>
        <v>Kegiatan</v>
      </c>
      <c r="AI55" s="38">
        <f t="shared" si="10"/>
        <v>0</v>
      </c>
      <c r="AJ55" s="66"/>
      <c r="AK55" s="32" t="s">
        <v>141</v>
      </c>
      <c r="AL55" s="66"/>
      <c r="AM55" s="11"/>
      <c r="AP55" s="21"/>
    </row>
    <row r="56" spans="1:42" ht="111.75" customHeight="1" x14ac:dyDescent="0.25">
      <c r="A56" s="12"/>
      <c r="B56" s="13"/>
      <c r="C56" s="91" t="s">
        <v>106</v>
      </c>
      <c r="D56" s="91" t="s">
        <v>142</v>
      </c>
      <c r="E56" s="94"/>
      <c r="F56" s="95"/>
      <c r="G56" s="59"/>
      <c r="H56" s="94"/>
      <c r="I56" s="95"/>
      <c r="J56" s="39"/>
      <c r="K56" s="94">
        <v>100</v>
      </c>
      <c r="L56" s="95" t="s">
        <v>141</v>
      </c>
      <c r="M56" s="39">
        <f>M57</f>
        <v>17162400</v>
      </c>
      <c r="N56" s="94">
        <v>100</v>
      </c>
      <c r="O56" s="83" t="str">
        <f t="shared" si="12"/>
        <v>%</v>
      </c>
      <c r="P56" s="39">
        <f>P57</f>
        <v>0</v>
      </c>
      <c r="Q56" s="94">
        <v>0</v>
      </c>
      <c r="R56" s="83" t="str">
        <f t="shared" si="11"/>
        <v>%</v>
      </c>
      <c r="S56" s="39">
        <f>S57</f>
        <v>7312400</v>
      </c>
      <c r="T56" s="96"/>
      <c r="U56" s="95"/>
      <c r="V56" s="39"/>
      <c r="W56" s="96"/>
      <c r="X56" s="95"/>
      <c r="Y56" s="39"/>
      <c r="Z56" s="144">
        <f t="shared" si="3"/>
        <v>100</v>
      </c>
      <c r="AA56" s="105" t="str">
        <f t="shared" si="4"/>
        <v>%</v>
      </c>
      <c r="AB56" s="110">
        <f t="shared" si="5"/>
        <v>100</v>
      </c>
      <c r="AC56" s="78" t="s">
        <v>141</v>
      </c>
      <c r="AD56" s="73">
        <f t="shared" si="6"/>
        <v>7312400</v>
      </c>
      <c r="AE56" s="74">
        <f t="shared" si="7"/>
        <v>42.607094578846784</v>
      </c>
      <c r="AF56" s="78" t="s">
        <v>141</v>
      </c>
      <c r="AG56" s="144">
        <f t="shared" si="8"/>
        <v>100</v>
      </c>
      <c r="AH56" s="105" t="str">
        <f t="shared" si="9"/>
        <v>%</v>
      </c>
      <c r="AI56" s="73">
        <f t="shared" si="10"/>
        <v>7312400</v>
      </c>
      <c r="AJ56" s="74"/>
      <c r="AK56" s="78" t="s">
        <v>141</v>
      </c>
      <c r="AL56" s="74"/>
      <c r="AM56" s="76"/>
      <c r="AP56" s="21"/>
    </row>
    <row r="57" spans="1:42" ht="113.25" customHeight="1" x14ac:dyDescent="0.2">
      <c r="A57" s="12"/>
      <c r="B57" s="13"/>
      <c r="C57" s="91" t="s">
        <v>107</v>
      </c>
      <c r="D57" s="14" t="s">
        <v>171</v>
      </c>
      <c r="E57" s="15"/>
      <c r="F57" s="47"/>
      <c r="G57" s="50"/>
      <c r="H57" s="42"/>
      <c r="I57" s="47"/>
      <c r="J57" s="18"/>
      <c r="K57" s="43">
        <v>100</v>
      </c>
      <c r="L57" s="99" t="s">
        <v>141</v>
      </c>
      <c r="M57" s="39">
        <f>SUM(M58:M59)</f>
        <v>17162400</v>
      </c>
      <c r="N57" s="43">
        <v>100</v>
      </c>
      <c r="O57" s="83" t="str">
        <f t="shared" si="12"/>
        <v>%</v>
      </c>
      <c r="P57" s="39">
        <f>SUM(P58:P59)</f>
        <v>0</v>
      </c>
      <c r="Q57" s="43">
        <v>0</v>
      </c>
      <c r="R57" s="83" t="str">
        <f t="shared" si="11"/>
        <v>%</v>
      </c>
      <c r="S57" s="39">
        <f>SUM(S58:S59)</f>
        <v>7312400</v>
      </c>
      <c r="T57" s="43"/>
      <c r="U57" s="99"/>
      <c r="V57" s="40"/>
      <c r="W57" s="43"/>
      <c r="X57" s="99"/>
      <c r="Y57" s="40"/>
      <c r="Z57" s="140">
        <f t="shared" si="3"/>
        <v>100</v>
      </c>
      <c r="AA57" s="101" t="str">
        <f t="shared" si="4"/>
        <v>%</v>
      </c>
      <c r="AB57" s="68">
        <f t="shared" si="5"/>
        <v>100</v>
      </c>
      <c r="AC57" s="71" t="s">
        <v>141</v>
      </c>
      <c r="AD57" s="75">
        <f t="shared" si="6"/>
        <v>7312400</v>
      </c>
      <c r="AE57" s="70">
        <f t="shared" si="7"/>
        <v>42.607094578846784</v>
      </c>
      <c r="AF57" s="71" t="s">
        <v>141</v>
      </c>
      <c r="AG57" s="140">
        <f t="shared" si="8"/>
        <v>100</v>
      </c>
      <c r="AH57" s="101" t="str">
        <f t="shared" si="9"/>
        <v>%</v>
      </c>
      <c r="AI57" s="75">
        <f t="shared" si="10"/>
        <v>7312400</v>
      </c>
      <c r="AJ57" s="70"/>
      <c r="AK57" s="71" t="s">
        <v>141</v>
      </c>
      <c r="AL57" s="70"/>
      <c r="AM57" s="11"/>
      <c r="AP57" s="21"/>
    </row>
    <row r="58" spans="1:42" ht="150" x14ac:dyDescent="0.2">
      <c r="A58" s="12"/>
      <c r="B58" s="13"/>
      <c r="C58" s="22" t="s">
        <v>108</v>
      </c>
      <c r="D58" s="26" t="s">
        <v>171</v>
      </c>
      <c r="E58" s="15"/>
      <c r="F58" s="47"/>
      <c r="G58" s="50"/>
      <c r="H58" s="42"/>
      <c r="I58" s="16"/>
      <c r="J58" s="18"/>
      <c r="K58" s="15">
        <v>100</v>
      </c>
      <c r="L58" s="47" t="s">
        <v>141</v>
      </c>
      <c r="M58" s="19">
        <v>9600000</v>
      </c>
      <c r="N58" s="15">
        <v>100</v>
      </c>
      <c r="O58" s="83" t="str">
        <f t="shared" si="12"/>
        <v>%</v>
      </c>
      <c r="P58" s="19">
        <v>0</v>
      </c>
      <c r="Q58" s="15">
        <v>0</v>
      </c>
      <c r="R58" s="83" t="str">
        <f t="shared" si="11"/>
        <v>%</v>
      </c>
      <c r="S58" s="19">
        <v>1350000</v>
      </c>
      <c r="T58" s="15"/>
      <c r="U58" s="47"/>
      <c r="V58" s="19"/>
      <c r="W58" s="15"/>
      <c r="X58" s="47"/>
      <c r="Y58" s="19"/>
      <c r="Z58" s="141">
        <f t="shared" si="3"/>
        <v>100</v>
      </c>
      <c r="AA58" s="102" t="str">
        <f t="shared" si="4"/>
        <v>%</v>
      </c>
      <c r="AB58" s="67">
        <f t="shared" si="5"/>
        <v>100</v>
      </c>
      <c r="AC58" s="32" t="s">
        <v>141</v>
      </c>
      <c r="AD58" s="38">
        <f t="shared" si="6"/>
        <v>1350000</v>
      </c>
      <c r="AE58" s="66">
        <f t="shared" si="7"/>
        <v>14.0625</v>
      </c>
      <c r="AF58" s="32" t="s">
        <v>141</v>
      </c>
      <c r="AG58" s="141">
        <f t="shared" si="8"/>
        <v>100</v>
      </c>
      <c r="AH58" s="102" t="str">
        <f t="shared" si="9"/>
        <v>%</v>
      </c>
      <c r="AI58" s="38">
        <f t="shared" si="10"/>
        <v>1350000</v>
      </c>
      <c r="AJ58" s="66"/>
      <c r="AK58" s="32" t="s">
        <v>141</v>
      </c>
      <c r="AL58" s="66"/>
      <c r="AM58" s="11"/>
      <c r="AP58" s="21"/>
    </row>
    <row r="59" spans="1:42" ht="136.5" customHeight="1" x14ac:dyDescent="0.2">
      <c r="A59" s="12"/>
      <c r="B59" s="13"/>
      <c r="C59" s="22" t="s">
        <v>109</v>
      </c>
      <c r="D59" s="26" t="s">
        <v>172</v>
      </c>
      <c r="E59" s="15"/>
      <c r="F59" s="47"/>
      <c r="G59" s="50"/>
      <c r="H59" s="42"/>
      <c r="I59" s="16"/>
      <c r="J59" s="18"/>
      <c r="K59" s="15">
        <v>2</v>
      </c>
      <c r="L59" s="47" t="s">
        <v>168</v>
      </c>
      <c r="M59" s="19">
        <v>7562400</v>
      </c>
      <c r="N59" s="15">
        <v>0</v>
      </c>
      <c r="O59" s="115" t="str">
        <f t="shared" si="12"/>
        <v>buah</v>
      </c>
      <c r="P59" s="19">
        <v>0</v>
      </c>
      <c r="Q59" s="15">
        <v>1</v>
      </c>
      <c r="R59" s="115" t="str">
        <f t="shared" si="11"/>
        <v>buah</v>
      </c>
      <c r="S59" s="19">
        <v>5962400</v>
      </c>
      <c r="T59" s="15"/>
      <c r="U59" s="47"/>
      <c r="V59" s="19"/>
      <c r="W59" s="15"/>
      <c r="X59" s="47"/>
      <c r="Y59" s="19"/>
      <c r="Z59" s="141">
        <f t="shared" si="3"/>
        <v>1</v>
      </c>
      <c r="AA59" s="102" t="str">
        <f t="shared" si="4"/>
        <v>buah</v>
      </c>
      <c r="AB59" s="67">
        <f t="shared" si="5"/>
        <v>50</v>
      </c>
      <c r="AC59" s="32" t="s">
        <v>141</v>
      </c>
      <c r="AD59" s="38">
        <f t="shared" si="6"/>
        <v>5962400</v>
      </c>
      <c r="AE59" s="66">
        <f t="shared" si="7"/>
        <v>78.842695440600863</v>
      </c>
      <c r="AF59" s="32" t="s">
        <v>141</v>
      </c>
      <c r="AG59" s="141">
        <f t="shared" si="8"/>
        <v>1</v>
      </c>
      <c r="AH59" s="102" t="str">
        <f t="shared" si="9"/>
        <v>buah</v>
      </c>
      <c r="AI59" s="38">
        <f t="shared" si="10"/>
        <v>5962400</v>
      </c>
      <c r="AJ59" s="66"/>
      <c r="AK59" s="32" t="s">
        <v>141</v>
      </c>
      <c r="AL59" s="66"/>
      <c r="AM59" s="11"/>
      <c r="AP59" s="21"/>
    </row>
    <row r="60" spans="1:42" ht="94.9" customHeight="1" x14ac:dyDescent="0.2">
      <c r="A60" s="12"/>
      <c r="B60" s="13"/>
      <c r="C60" s="91" t="s">
        <v>113</v>
      </c>
      <c r="D60" s="113" t="s">
        <v>151</v>
      </c>
      <c r="E60" s="15"/>
      <c r="F60" s="47"/>
      <c r="G60" s="50"/>
      <c r="H60" s="42"/>
      <c r="I60" s="16"/>
      <c r="J60" s="18"/>
      <c r="K60" s="45">
        <f>8/395*100</f>
        <v>2.0253164556962027</v>
      </c>
      <c r="L60" s="99" t="s">
        <v>141</v>
      </c>
      <c r="M60" s="40">
        <f>M61+M63</f>
        <v>28178100</v>
      </c>
      <c r="N60" s="54">
        <v>0</v>
      </c>
      <c r="O60" s="83" t="str">
        <f t="shared" si="12"/>
        <v>%</v>
      </c>
      <c r="P60" s="40">
        <f>P61+P63</f>
        <v>0</v>
      </c>
      <c r="Q60" s="45">
        <f>6/395*100</f>
        <v>1.5189873417721518</v>
      </c>
      <c r="R60" s="83" t="str">
        <f t="shared" si="11"/>
        <v>%</v>
      </c>
      <c r="S60" s="40">
        <f>S61+S63</f>
        <v>7700000</v>
      </c>
      <c r="T60" s="43"/>
      <c r="U60" s="99"/>
      <c r="V60" s="40"/>
      <c r="W60" s="43"/>
      <c r="X60" s="99"/>
      <c r="Y60" s="40"/>
      <c r="Z60" s="140">
        <f t="shared" si="3"/>
        <v>1.5189873417721518</v>
      </c>
      <c r="AA60" s="101" t="str">
        <f t="shared" si="4"/>
        <v>%</v>
      </c>
      <c r="AB60" s="68">
        <f t="shared" si="5"/>
        <v>74.999999999999986</v>
      </c>
      <c r="AC60" s="71" t="s">
        <v>141</v>
      </c>
      <c r="AD60" s="75">
        <f t="shared" si="6"/>
        <v>7700000</v>
      </c>
      <c r="AE60" s="70">
        <f t="shared" si="7"/>
        <v>27.326185938725466</v>
      </c>
      <c r="AF60" s="71" t="s">
        <v>141</v>
      </c>
      <c r="AG60" s="140">
        <f t="shared" si="8"/>
        <v>1.5189873417721518</v>
      </c>
      <c r="AH60" s="101" t="str">
        <f t="shared" si="9"/>
        <v>%</v>
      </c>
      <c r="AI60" s="75">
        <f t="shared" si="10"/>
        <v>7700000</v>
      </c>
      <c r="AJ60" s="70"/>
      <c r="AK60" s="71" t="s">
        <v>141</v>
      </c>
      <c r="AL60" s="70"/>
      <c r="AM60" s="11"/>
      <c r="AP60" s="21"/>
    </row>
    <row r="61" spans="1:42" ht="190.5" customHeight="1" x14ac:dyDescent="0.2">
      <c r="A61" s="12"/>
      <c r="B61" s="13"/>
      <c r="C61" s="91" t="s">
        <v>114</v>
      </c>
      <c r="D61" s="112" t="s">
        <v>173</v>
      </c>
      <c r="E61" s="15"/>
      <c r="F61" s="47"/>
      <c r="G61" s="50"/>
      <c r="H61" s="42"/>
      <c r="I61" s="16"/>
      <c r="J61" s="18"/>
      <c r="K61" s="43">
        <v>2</v>
      </c>
      <c r="L61" s="99" t="s">
        <v>154</v>
      </c>
      <c r="M61" s="40">
        <f>SUM(M62)</f>
        <v>12130800</v>
      </c>
      <c r="N61" s="43">
        <v>0</v>
      </c>
      <c r="O61" s="114" t="str">
        <f t="shared" si="12"/>
        <v>Institusi</v>
      </c>
      <c r="P61" s="40">
        <f>SUM(P62)</f>
        <v>0</v>
      </c>
      <c r="Q61" s="43">
        <v>0</v>
      </c>
      <c r="R61" s="114" t="str">
        <f t="shared" si="11"/>
        <v>Institusi</v>
      </c>
      <c r="S61" s="40">
        <f>SUM(S62)</f>
        <v>0</v>
      </c>
      <c r="T61" s="43"/>
      <c r="U61" s="99"/>
      <c r="V61" s="40"/>
      <c r="W61" s="43"/>
      <c r="X61" s="99"/>
      <c r="Y61" s="40"/>
      <c r="Z61" s="140">
        <f t="shared" si="3"/>
        <v>0</v>
      </c>
      <c r="AA61" s="101" t="str">
        <f t="shared" si="4"/>
        <v>Institusi</v>
      </c>
      <c r="AB61" s="68">
        <f t="shared" si="5"/>
        <v>0</v>
      </c>
      <c r="AC61" s="71" t="s">
        <v>141</v>
      </c>
      <c r="AD61" s="75">
        <f t="shared" si="6"/>
        <v>0</v>
      </c>
      <c r="AE61" s="70">
        <f t="shared" si="7"/>
        <v>0</v>
      </c>
      <c r="AF61" s="71" t="s">
        <v>141</v>
      </c>
      <c r="AG61" s="140">
        <f t="shared" si="8"/>
        <v>0</v>
      </c>
      <c r="AH61" s="101" t="str">
        <f t="shared" si="9"/>
        <v>Institusi</v>
      </c>
      <c r="AI61" s="75">
        <f t="shared" si="10"/>
        <v>0</v>
      </c>
      <c r="AJ61" s="70"/>
      <c r="AK61" s="71" t="s">
        <v>141</v>
      </c>
      <c r="AL61" s="70"/>
      <c r="AM61" s="11"/>
      <c r="AP61" s="21"/>
    </row>
    <row r="62" spans="1:42" ht="95.25" customHeight="1" x14ac:dyDescent="0.2">
      <c r="A62" s="12"/>
      <c r="B62" s="13"/>
      <c r="C62" s="22" t="s">
        <v>115</v>
      </c>
      <c r="D62" s="120" t="s">
        <v>173</v>
      </c>
      <c r="E62" s="15"/>
      <c r="F62" s="47"/>
      <c r="G62" s="50"/>
      <c r="H62" s="42"/>
      <c r="I62" s="16"/>
      <c r="J62" s="18"/>
      <c r="K62" s="15">
        <v>2</v>
      </c>
      <c r="L62" s="47" t="s">
        <v>154</v>
      </c>
      <c r="M62" s="19">
        <v>12130800</v>
      </c>
      <c r="N62" s="15">
        <v>0</v>
      </c>
      <c r="O62" s="116" t="str">
        <f t="shared" si="12"/>
        <v>Institusi</v>
      </c>
      <c r="P62" s="19">
        <v>0</v>
      </c>
      <c r="Q62" s="15">
        <v>0</v>
      </c>
      <c r="R62" s="116" t="str">
        <f t="shared" si="11"/>
        <v>Institusi</v>
      </c>
      <c r="S62" s="19">
        <v>0</v>
      </c>
      <c r="T62" s="15"/>
      <c r="U62" s="47"/>
      <c r="V62" s="19"/>
      <c r="W62" s="15"/>
      <c r="X62" s="47"/>
      <c r="Y62" s="19"/>
      <c r="Z62" s="141">
        <f t="shared" si="3"/>
        <v>0</v>
      </c>
      <c r="AA62" s="102" t="str">
        <f t="shared" si="4"/>
        <v>Institusi</v>
      </c>
      <c r="AB62" s="67">
        <f t="shared" si="5"/>
        <v>0</v>
      </c>
      <c r="AC62" s="32" t="s">
        <v>141</v>
      </c>
      <c r="AD62" s="38">
        <f t="shared" si="6"/>
        <v>0</v>
      </c>
      <c r="AE62" s="66">
        <f t="shared" si="7"/>
        <v>0</v>
      </c>
      <c r="AF62" s="32" t="s">
        <v>141</v>
      </c>
      <c r="AG62" s="141">
        <f t="shared" si="8"/>
        <v>0</v>
      </c>
      <c r="AH62" s="102" t="str">
        <f t="shared" si="9"/>
        <v>Institusi</v>
      </c>
      <c r="AI62" s="38">
        <f t="shared" si="10"/>
        <v>0</v>
      </c>
      <c r="AJ62" s="66"/>
      <c r="AK62" s="32" t="s">
        <v>141</v>
      </c>
      <c r="AL62" s="66"/>
      <c r="AM62" s="11"/>
      <c r="AP62" s="21"/>
    </row>
    <row r="63" spans="1:42" ht="94.5" x14ac:dyDescent="0.2">
      <c r="A63" s="12"/>
      <c r="B63" s="13"/>
      <c r="C63" s="91" t="s">
        <v>116</v>
      </c>
      <c r="D63" s="112" t="s">
        <v>173</v>
      </c>
      <c r="E63" s="15"/>
      <c r="F63" s="47"/>
      <c r="G63" s="50"/>
      <c r="H63" s="42"/>
      <c r="I63" s="16"/>
      <c r="J63" s="18"/>
      <c r="K63" s="43">
        <v>4</v>
      </c>
      <c r="L63" s="99" t="s">
        <v>154</v>
      </c>
      <c r="M63" s="40">
        <f>SUM(M64)</f>
        <v>16047300</v>
      </c>
      <c r="N63" s="43">
        <v>0</v>
      </c>
      <c r="O63" s="114" t="str">
        <f t="shared" si="12"/>
        <v>Institusi</v>
      </c>
      <c r="P63" s="40">
        <f>SUM(P64)</f>
        <v>0</v>
      </c>
      <c r="Q63" s="43">
        <v>4</v>
      </c>
      <c r="R63" s="114" t="str">
        <f t="shared" si="11"/>
        <v>Institusi</v>
      </c>
      <c r="S63" s="40">
        <f>SUM(S64)</f>
        <v>7700000</v>
      </c>
      <c r="T63" s="43"/>
      <c r="U63" s="99"/>
      <c r="V63" s="40"/>
      <c r="W63" s="43"/>
      <c r="X63" s="99"/>
      <c r="Y63" s="40"/>
      <c r="Z63" s="140">
        <f t="shared" si="3"/>
        <v>4</v>
      </c>
      <c r="AA63" s="101" t="str">
        <f t="shared" si="4"/>
        <v>Institusi</v>
      </c>
      <c r="AB63" s="68">
        <f t="shared" si="5"/>
        <v>100</v>
      </c>
      <c r="AC63" s="71" t="s">
        <v>141</v>
      </c>
      <c r="AD63" s="75">
        <f t="shared" si="6"/>
        <v>7700000</v>
      </c>
      <c r="AE63" s="70">
        <f t="shared" si="7"/>
        <v>47.983149813364243</v>
      </c>
      <c r="AF63" s="71" t="s">
        <v>141</v>
      </c>
      <c r="AG63" s="140">
        <f t="shared" si="8"/>
        <v>4</v>
      </c>
      <c r="AH63" s="101" t="str">
        <f t="shared" si="9"/>
        <v>Institusi</v>
      </c>
      <c r="AI63" s="75">
        <f t="shared" si="10"/>
        <v>7700000</v>
      </c>
      <c r="AJ63" s="70"/>
      <c r="AK63" s="71" t="s">
        <v>141</v>
      </c>
      <c r="AL63" s="70"/>
      <c r="AM63" s="11"/>
      <c r="AP63" s="21"/>
    </row>
    <row r="64" spans="1:42" ht="126" customHeight="1" x14ac:dyDescent="0.2">
      <c r="A64" s="12"/>
      <c r="B64" s="13"/>
      <c r="C64" s="127" t="s">
        <v>117</v>
      </c>
      <c r="D64" s="120" t="s">
        <v>173</v>
      </c>
      <c r="E64" s="15"/>
      <c r="F64" s="47"/>
      <c r="G64" s="134"/>
      <c r="H64" s="42"/>
      <c r="I64" s="16"/>
      <c r="J64" s="100"/>
      <c r="K64" s="15">
        <v>4</v>
      </c>
      <c r="L64" s="47" t="s">
        <v>154</v>
      </c>
      <c r="M64" s="93">
        <v>16047300</v>
      </c>
      <c r="N64" s="15">
        <v>0</v>
      </c>
      <c r="O64" s="116" t="str">
        <f t="shared" si="12"/>
        <v>Institusi</v>
      </c>
      <c r="P64" s="93">
        <v>0</v>
      </c>
      <c r="Q64" s="15">
        <v>4</v>
      </c>
      <c r="R64" s="116" t="str">
        <f t="shared" si="11"/>
        <v>Institusi</v>
      </c>
      <c r="S64" s="93">
        <v>7700000</v>
      </c>
      <c r="T64" s="15"/>
      <c r="U64" s="47"/>
      <c r="V64" s="19"/>
      <c r="W64" s="15"/>
      <c r="X64" s="47"/>
      <c r="Y64" s="19"/>
      <c r="Z64" s="141">
        <f t="shared" si="3"/>
        <v>4</v>
      </c>
      <c r="AA64" s="102" t="str">
        <f t="shared" si="4"/>
        <v>Institusi</v>
      </c>
      <c r="AB64" s="67">
        <f t="shared" si="5"/>
        <v>100</v>
      </c>
      <c r="AC64" s="32" t="s">
        <v>141</v>
      </c>
      <c r="AD64" s="135">
        <f t="shared" si="6"/>
        <v>7700000</v>
      </c>
      <c r="AE64" s="66">
        <f t="shared" si="7"/>
        <v>47.983149813364243</v>
      </c>
      <c r="AF64" s="32" t="s">
        <v>141</v>
      </c>
      <c r="AG64" s="141">
        <f t="shared" si="8"/>
        <v>4</v>
      </c>
      <c r="AH64" s="102" t="str">
        <f t="shared" si="9"/>
        <v>Institusi</v>
      </c>
      <c r="AI64" s="135">
        <f t="shared" si="10"/>
        <v>7700000</v>
      </c>
      <c r="AJ64" s="66"/>
      <c r="AK64" s="32" t="s">
        <v>141</v>
      </c>
      <c r="AL64" s="66"/>
      <c r="AM64" s="11"/>
      <c r="AP64" s="21"/>
    </row>
    <row r="65" spans="1:42" ht="106.5" customHeight="1" x14ac:dyDescent="0.2">
      <c r="A65" s="12"/>
      <c r="B65" s="125"/>
      <c r="C65" s="49" t="s">
        <v>110</v>
      </c>
      <c r="D65" s="126" t="s">
        <v>174</v>
      </c>
      <c r="E65" s="15"/>
      <c r="F65" s="128"/>
      <c r="G65" s="100"/>
      <c r="H65" s="132"/>
      <c r="I65" s="129"/>
      <c r="J65" s="100"/>
      <c r="K65" s="133">
        <f>60/120*100</f>
        <v>50</v>
      </c>
      <c r="L65" s="130" t="s">
        <v>141</v>
      </c>
      <c r="M65" s="58">
        <f>M67+M74+M80</f>
        <v>3217347225</v>
      </c>
      <c r="N65" s="133">
        <v>0</v>
      </c>
      <c r="O65" s="131" t="str">
        <f t="shared" si="12"/>
        <v>%</v>
      </c>
      <c r="P65" s="58">
        <f>P67+P74+P80</f>
        <v>243599189</v>
      </c>
      <c r="Q65" s="133">
        <v>35.83</v>
      </c>
      <c r="R65" s="131" t="str">
        <f t="shared" si="11"/>
        <v>%</v>
      </c>
      <c r="S65" s="58">
        <f>S67+S74+S80</f>
        <v>331405186.40259743</v>
      </c>
      <c r="T65" s="133"/>
      <c r="U65" s="99"/>
      <c r="V65" s="40"/>
      <c r="W65" s="43"/>
      <c r="X65" s="99"/>
      <c r="Y65" s="40"/>
      <c r="Z65" s="140">
        <f>SUM(N65,Q65,T65,W65)</f>
        <v>35.83</v>
      </c>
      <c r="AA65" s="101" t="str">
        <f t="shared" si="4"/>
        <v>%</v>
      </c>
      <c r="AB65" s="68">
        <f>Z65/K65*100</f>
        <v>71.66</v>
      </c>
      <c r="AC65" s="137" t="s">
        <v>141</v>
      </c>
      <c r="AD65" s="69">
        <f t="shared" si="6"/>
        <v>575004375.40259743</v>
      </c>
      <c r="AE65" s="138">
        <f>AD65/M65*100</f>
        <v>17.872002466336141</v>
      </c>
      <c r="AF65" s="71" t="s">
        <v>141</v>
      </c>
      <c r="AG65" s="140">
        <f>SUM(H65,Z65)</f>
        <v>35.83</v>
      </c>
      <c r="AH65" s="139" t="str">
        <f t="shared" si="9"/>
        <v>%</v>
      </c>
      <c r="AI65" s="69">
        <f>SUM(J65,AD65)</f>
        <v>575004375.40259743</v>
      </c>
      <c r="AJ65" s="138"/>
      <c r="AK65" s="71" t="s">
        <v>141</v>
      </c>
      <c r="AL65" s="70"/>
      <c r="AM65" s="11"/>
      <c r="AP65" s="21"/>
    </row>
    <row r="66" spans="1:42" ht="96" customHeight="1" x14ac:dyDescent="0.2">
      <c r="A66" s="12"/>
      <c r="B66" s="125"/>
      <c r="C66" s="91"/>
      <c r="D66" s="126" t="s">
        <v>143</v>
      </c>
      <c r="E66" s="15"/>
      <c r="F66" s="128"/>
      <c r="G66" s="24"/>
      <c r="H66" s="132"/>
      <c r="I66" s="129"/>
      <c r="J66" s="24"/>
      <c r="K66" s="133">
        <v>79.59</v>
      </c>
      <c r="L66" s="130" t="s">
        <v>141</v>
      </c>
      <c r="M66" s="39"/>
      <c r="N66" s="133">
        <v>0</v>
      </c>
      <c r="O66" s="131" t="str">
        <f t="shared" si="12"/>
        <v>%</v>
      </c>
      <c r="P66" s="39"/>
      <c r="Q66" s="133">
        <v>0</v>
      </c>
      <c r="R66" s="131" t="str">
        <f t="shared" si="11"/>
        <v>%</v>
      </c>
      <c r="S66" s="39"/>
      <c r="T66" s="133"/>
      <c r="U66" s="99"/>
      <c r="V66" s="40"/>
      <c r="W66" s="43"/>
      <c r="X66" s="99"/>
      <c r="Y66" s="40"/>
      <c r="Z66" s="140">
        <f t="shared" si="3"/>
        <v>0</v>
      </c>
      <c r="AA66" s="101" t="str">
        <f t="shared" si="4"/>
        <v>%</v>
      </c>
      <c r="AB66" s="68">
        <f t="shared" si="5"/>
        <v>0</v>
      </c>
      <c r="AC66" s="137" t="s">
        <v>141</v>
      </c>
      <c r="AD66" s="73"/>
      <c r="AE66" s="138"/>
      <c r="AF66" s="71"/>
      <c r="AG66" s="140">
        <f>SUM(H66,Z66)</f>
        <v>0</v>
      </c>
      <c r="AH66" s="130" t="str">
        <f>O66</f>
        <v>%</v>
      </c>
      <c r="AI66" s="73"/>
      <c r="AJ66" s="138"/>
      <c r="AK66" s="71"/>
      <c r="AL66" s="70"/>
      <c r="AM66" s="11"/>
      <c r="AP66" s="21"/>
    </row>
    <row r="67" spans="1:42" ht="155.25" customHeight="1" x14ac:dyDescent="0.2">
      <c r="A67" s="12"/>
      <c r="B67" s="13"/>
      <c r="C67" s="91" t="s">
        <v>111</v>
      </c>
      <c r="D67" s="14" t="s">
        <v>176</v>
      </c>
      <c r="E67" s="15"/>
      <c r="F67" s="47"/>
      <c r="G67" s="53"/>
      <c r="H67" s="42"/>
      <c r="I67" s="16"/>
      <c r="J67" s="24"/>
      <c r="K67" s="43">
        <f>250+150+150+150</f>
        <v>700</v>
      </c>
      <c r="L67" s="99" t="s">
        <v>162</v>
      </c>
      <c r="M67" s="39">
        <f>SUM(M68:M71)</f>
        <v>1065843400</v>
      </c>
      <c r="N67" s="43">
        <v>263</v>
      </c>
      <c r="O67" s="83" t="str">
        <f t="shared" si="12"/>
        <v>Orang</v>
      </c>
      <c r="P67" s="39">
        <f>SUM(P68:Y71)</f>
        <v>243599189</v>
      </c>
      <c r="Q67" s="43">
        <v>198</v>
      </c>
      <c r="R67" s="83" t="str">
        <f t="shared" si="11"/>
        <v>Orang</v>
      </c>
      <c r="S67" s="39">
        <f>SUM(S68:AB71)</f>
        <v>239599686.4025974</v>
      </c>
      <c r="T67" s="43"/>
      <c r="U67" s="99"/>
      <c r="V67" s="40"/>
      <c r="W67" s="43"/>
      <c r="X67" s="99"/>
      <c r="Y67" s="40"/>
      <c r="Z67" s="140">
        <f t="shared" si="3"/>
        <v>461</v>
      </c>
      <c r="AA67" s="101" t="str">
        <f t="shared" si="4"/>
        <v>Orang</v>
      </c>
      <c r="AB67" s="68">
        <f t="shared" si="5"/>
        <v>65.857142857142861</v>
      </c>
      <c r="AC67" s="71" t="s">
        <v>141</v>
      </c>
      <c r="AD67" s="73">
        <f t="shared" si="6"/>
        <v>483198875.40259743</v>
      </c>
      <c r="AE67" s="70">
        <f t="shared" si="7"/>
        <v>45.334884599613552</v>
      </c>
      <c r="AF67" s="71" t="s">
        <v>141</v>
      </c>
      <c r="AG67" s="140">
        <f t="shared" si="8"/>
        <v>461</v>
      </c>
      <c r="AH67" s="101" t="str">
        <f t="shared" si="9"/>
        <v>Orang</v>
      </c>
      <c r="AI67" s="73">
        <f t="shared" si="10"/>
        <v>483198875.40259743</v>
      </c>
      <c r="AJ67" s="70"/>
      <c r="AK67" s="71" t="s">
        <v>141</v>
      </c>
      <c r="AL67" s="70"/>
      <c r="AM67" s="11"/>
      <c r="AP67" s="21"/>
    </row>
    <row r="68" spans="1:42" ht="113.25" customHeight="1" x14ac:dyDescent="0.2">
      <c r="A68" s="12"/>
      <c r="B68" s="13"/>
      <c r="C68" s="22" t="s">
        <v>112</v>
      </c>
      <c r="D68" s="26" t="s">
        <v>176</v>
      </c>
      <c r="E68" s="15"/>
      <c r="F68" s="47"/>
      <c r="G68" s="50"/>
      <c r="H68" s="42"/>
      <c r="I68" s="16"/>
      <c r="J68" s="18"/>
      <c r="K68" s="15">
        <f>250+150+150+150</f>
        <v>700</v>
      </c>
      <c r="L68" s="47" t="s">
        <v>162</v>
      </c>
      <c r="M68" s="19">
        <v>61882400</v>
      </c>
      <c r="N68" s="15">
        <v>263</v>
      </c>
      <c r="O68" s="115" t="str">
        <f t="shared" si="12"/>
        <v>Orang</v>
      </c>
      <c r="P68" s="19">
        <v>0</v>
      </c>
      <c r="Q68" s="15">
        <v>198</v>
      </c>
      <c r="R68" s="115" t="str">
        <f t="shared" si="11"/>
        <v>Orang</v>
      </c>
      <c r="S68" s="19">
        <v>0</v>
      </c>
      <c r="T68" s="15"/>
      <c r="U68" s="47"/>
      <c r="V68" s="19"/>
      <c r="W68" s="15"/>
      <c r="X68" s="47"/>
      <c r="Y68" s="19"/>
      <c r="Z68" s="141">
        <f t="shared" si="3"/>
        <v>461</v>
      </c>
      <c r="AA68" s="102" t="str">
        <f t="shared" si="4"/>
        <v>Orang</v>
      </c>
      <c r="AB68" s="67">
        <f t="shared" si="5"/>
        <v>65.857142857142861</v>
      </c>
      <c r="AC68" s="32" t="s">
        <v>141</v>
      </c>
      <c r="AD68" s="38">
        <f t="shared" si="6"/>
        <v>0</v>
      </c>
      <c r="AE68" s="66">
        <f t="shared" si="7"/>
        <v>0</v>
      </c>
      <c r="AF68" s="32" t="s">
        <v>141</v>
      </c>
      <c r="AG68" s="141">
        <f t="shared" si="8"/>
        <v>461</v>
      </c>
      <c r="AH68" s="102" t="str">
        <f t="shared" si="9"/>
        <v>Orang</v>
      </c>
      <c r="AI68" s="38">
        <f t="shared" si="10"/>
        <v>0</v>
      </c>
      <c r="AJ68" s="66"/>
      <c r="AK68" s="32" t="s">
        <v>141</v>
      </c>
      <c r="AL68" s="66"/>
      <c r="AM68" s="11"/>
      <c r="AP68" s="21"/>
    </row>
    <row r="69" spans="1:42" ht="75" x14ac:dyDescent="0.2">
      <c r="A69" s="12"/>
      <c r="B69" s="13"/>
      <c r="C69" s="22" t="s">
        <v>144</v>
      </c>
      <c r="D69" s="26" t="s">
        <v>175</v>
      </c>
      <c r="E69" s="15"/>
      <c r="F69" s="47"/>
      <c r="G69" s="50"/>
      <c r="H69" s="42"/>
      <c r="I69" s="16"/>
      <c r="J69" s="18"/>
      <c r="K69" s="15">
        <f>3+3+3+2</f>
        <v>11</v>
      </c>
      <c r="L69" s="47" t="s">
        <v>168</v>
      </c>
      <c r="M69" s="19">
        <v>168187000</v>
      </c>
      <c r="N69" s="15">
        <v>3</v>
      </c>
      <c r="O69" s="115" t="str">
        <f t="shared" si="12"/>
        <v>buah</v>
      </c>
      <c r="P69" s="19">
        <v>4000000</v>
      </c>
      <c r="Q69" s="15">
        <v>3</v>
      </c>
      <c r="R69" s="115" t="str">
        <f t="shared" si="11"/>
        <v>buah</v>
      </c>
      <c r="S69" s="19">
        <f>36174000-P69</f>
        <v>32174000</v>
      </c>
      <c r="T69" s="15"/>
      <c r="U69" s="47"/>
      <c r="V69" s="19"/>
      <c r="W69" s="15"/>
      <c r="X69" s="47"/>
      <c r="Y69" s="19"/>
      <c r="Z69" s="141">
        <f t="shared" si="3"/>
        <v>6</v>
      </c>
      <c r="AA69" s="102" t="str">
        <f t="shared" si="4"/>
        <v>buah</v>
      </c>
      <c r="AB69" s="67">
        <f t="shared" si="5"/>
        <v>54.54545454545454</v>
      </c>
      <c r="AC69" s="32" t="s">
        <v>141</v>
      </c>
      <c r="AD69" s="38">
        <f t="shared" si="6"/>
        <v>36174000</v>
      </c>
      <c r="AE69" s="66">
        <f t="shared" si="7"/>
        <v>21.508202179716626</v>
      </c>
      <c r="AF69" s="32" t="s">
        <v>141</v>
      </c>
      <c r="AG69" s="141">
        <f t="shared" si="8"/>
        <v>6</v>
      </c>
      <c r="AH69" s="102" t="str">
        <f t="shared" si="9"/>
        <v>buah</v>
      </c>
      <c r="AI69" s="38">
        <f t="shared" si="10"/>
        <v>36174000</v>
      </c>
      <c r="AJ69" s="66"/>
      <c r="AK69" s="32" t="s">
        <v>141</v>
      </c>
      <c r="AL69" s="66"/>
      <c r="AM69" s="11"/>
      <c r="AP69" s="21"/>
    </row>
    <row r="70" spans="1:42" ht="84" customHeight="1" x14ac:dyDescent="0.2">
      <c r="A70" s="12"/>
      <c r="B70" s="13"/>
      <c r="C70" s="22" t="s">
        <v>145</v>
      </c>
      <c r="D70" s="26" t="s">
        <v>177</v>
      </c>
      <c r="E70" s="15"/>
      <c r="F70" s="47"/>
      <c r="G70" s="50"/>
      <c r="H70" s="42"/>
      <c r="I70" s="16"/>
      <c r="J70" s="18"/>
      <c r="K70" s="15">
        <v>11</v>
      </c>
      <c r="L70" s="47" t="s">
        <v>188</v>
      </c>
      <c r="M70" s="19">
        <v>810084000</v>
      </c>
      <c r="N70" s="15">
        <v>11</v>
      </c>
      <c r="O70" s="116" t="str">
        <f t="shared" si="12"/>
        <v>Balai KKB Kec.</v>
      </c>
      <c r="P70" s="19">
        <v>0</v>
      </c>
      <c r="Q70" s="15">
        <v>0</v>
      </c>
      <c r="R70" s="116" t="str">
        <f t="shared" si="11"/>
        <v>Balai KKB Kec.</v>
      </c>
      <c r="S70" s="19">
        <v>189974988</v>
      </c>
      <c r="T70" s="15"/>
      <c r="U70" s="47"/>
      <c r="V70" s="19"/>
      <c r="W70" s="15"/>
      <c r="X70" s="47"/>
      <c r="Y70" s="19"/>
      <c r="Z70" s="141">
        <f t="shared" si="3"/>
        <v>11</v>
      </c>
      <c r="AA70" s="102" t="str">
        <f t="shared" si="4"/>
        <v>Balai KKB Kec.</v>
      </c>
      <c r="AB70" s="67">
        <f t="shared" si="5"/>
        <v>100</v>
      </c>
      <c r="AC70" s="32" t="s">
        <v>141</v>
      </c>
      <c r="AD70" s="38">
        <f t="shared" si="6"/>
        <v>189974988</v>
      </c>
      <c r="AE70" s="66">
        <f t="shared" si="7"/>
        <v>23.451270238641918</v>
      </c>
      <c r="AF70" s="32" t="s">
        <v>141</v>
      </c>
      <c r="AG70" s="141">
        <f t="shared" si="8"/>
        <v>11</v>
      </c>
      <c r="AH70" s="102" t="str">
        <f t="shared" si="9"/>
        <v>Balai KKB Kec.</v>
      </c>
      <c r="AI70" s="38">
        <f t="shared" si="10"/>
        <v>189974988</v>
      </c>
      <c r="AJ70" s="66"/>
      <c r="AK70" s="32" t="s">
        <v>141</v>
      </c>
      <c r="AL70" s="66"/>
      <c r="AM70" s="11"/>
      <c r="AP70" s="21"/>
    </row>
    <row r="71" spans="1:42" ht="61.5" customHeight="1" x14ac:dyDescent="0.2">
      <c r="A71" s="12"/>
      <c r="B71" s="13"/>
      <c r="C71" s="22" t="s">
        <v>118</v>
      </c>
      <c r="D71" s="26" t="s">
        <v>178</v>
      </c>
      <c r="E71" s="15"/>
      <c r="F71" s="47"/>
      <c r="G71" s="50"/>
      <c r="H71" s="42"/>
      <c r="I71" s="16"/>
      <c r="J71" s="18"/>
      <c r="K71" s="15">
        <v>40</v>
      </c>
      <c r="L71" s="47" t="s">
        <v>189</v>
      </c>
      <c r="M71" s="19">
        <v>25690000</v>
      </c>
      <c r="N71" s="15">
        <v>0</v>
      </c>
      <c r="O71" s="115" t="str">
        <f t="shared" si="12"/>
        <v>IMP</v>
      </c>
      <c r="P71" s="19">
        <v>0</v>
      </c>
      <c r="Q71" s="15">
        <v>0</v>
      </c>
      <c r="R71" s="115" t="str">
        <f t="shared" si="11"/>
        <v>IMP</v>
      </c>
      <c r="S71" s="19">
        <v>17450000</v>
      </c>
      <c r="T71" s="15"/>
      <c r="U71" s="47"/>
      <c r="V71" s="19"/>
      <c r="W71" s="15"/>
      <c r="X71" s="47"/>
      <c r="Y71" s="19"/>
      <c r="Z71" s="141">
        <f t="shared" si="3"/>
        <v>0</v>
      </c>
      <c r="AA71" s="102" t="str">
        <f t="shared" si="4"/>
        <v>IMP</v>
      </c>
      <c r="AB71" s="67">
        <f t="shared" si="5"/>
        <v>0</v>
      </c>
      <c r="AC71" s="32" t="s">
        <v>141</v>
      </c>
      <c r="AD71" s="38">
        <f t="shared" si="6"/>
        <v>17450000</v>
      </c>
      <c r="AE71" s="66">
        <f t="shared" si="7"/>
        <v>67.925262748151027</v>
      </c>
      <c r="AF71" s="32" t="s">
        <v>141</v>
      </c>
      <c r="AG71" s="141">
        <f t="shared" si="8"/>
        <v>0</v>
      </c>
      <c r="AH71" s="102" t="str">
        <f t="shared" si="9"/>
        <v>IMP</v>
      </c>
      <c r="AI71" s="38">
        <f t="shared" si="10"/>
        <v>17450000</v>
      </c>
      <c r="AJ71" s="66"/>
      <c r="AK71" s="32" t="s">
        <v>141</v>
      </c>
      <c r="AL71" s="66"/>
      <c r="AM71" s="11"/>
      <c r="AP71" s="21"/>
    </row>
    <row r="72" spans="1:42" ht="84.75" customHeight="1" x14ac:dyDescent="0.2">
      <c r="A72" s="12"/>
      <c r="B72" s="13"/>
      <c r="C72" s="91" t="s">
        <v>146</v>
      </c>
      <c r="D72" s="14" t="s">
        <v>179</v>
      </c>
      <c r="E72" s="15"/>
      <c r="F72" s="47"/>
      <c r="G72" s="50"/>
      <c r="H72" s="42"/>
      <c r="I72" s="16"/>
      <c r="J72" s="18"/>
      <c r="K72" s="43">
        <v>31265</v>
      </c>
      <c r="L72" s="99" t="s">
        <v>190</v>
      </c>
      <c r="M72" s="40">
        <f>SUM(M73)</f>
        <v>710400000</v>
      </c>
      <c r="N72" s="43">
        <v>29379</v>
      </c>
      <c r="O72" s="83" t="str">
        <f t="shared" si="12"/>
        <v>PUS</v>
      </c>
      <c r="P72" s="40">
        <f>SUM(P73)</f>
        <v>0</v>
      </c>
      <c r="Q72" s="43">
        <v>32576</v>
      </c>
      <c r="R72" s="83" t="str">
        <f t="shared" si="11"/>
        <v>PUS</v>
      </c>
      <c r="S72" s="40">
        <f>SUM(S73)</f>
        <v>276560000</v>
      </c>
      <c r="T72" s="15"/>
      <c r="U72" s="47"/>
      <c r="V72" s="19"/>
      <c r="W72" s="15"/>
      <c r="X72" s="47"/>
      <c r="Y72" s="19"/>
      <c r="Z72" s="140">
        <f t="shared" si="3"/>
        <v>61955</v>
      </c>
      <c r="AA72" s="101" t="str">
        <f t="shared" si="4"/>
        <v>PUS</v>
      </c>
      <c r="AB72" s="68">
        <f t="shared" si="5"/>
        <v>198.16088277626739</v>
      </c>
      <c r="AC72" s="71" t="s">
        <v>141</v>
      </c>
      <c r="AD72" s="75">
        <f t="shared" si="6"/>
        <v>276560000</v>
      </c>
      <c r="AE72" s="70">
        <f t="shared" si="7"/>
        <v>38.93018018018018</v>
      </c>
      <c r="AF72" s="71" t="s">
        <v>141</v>
      </c>
      <c r="AG72" s="140">
        <f t="shared" si="8"/>
        <v>61955</v>
      </c>
      <c r="AH72" s="101" t="str">
        <f t="shared" si="9"/>
        <v>PUS</v>
      </c>
      <c r="AI72" s="75">
        <f t="shared" si="10"/>
        <v>276560000</v>
      </c>
      <c r="AJ72" s="70"/>
      <c r="AK72" s="71" t="s">
        <v>141</v>
      </c>
      <c r="AL72" s="70"/>
      <c r="AM72" s="11"/>
      <c r="AP72" s="21"/>
    </row>
    <row r="73" spans="1:42" ht="78.75" customHeight="1" x14ac:dyDescent="0.2">
      <c r="A73" s="12"/>
      <c r="B73" s="13"/>
      <c r="C73" s="22" t="s">
        <v>147</v>
      </c>
      <c r="D73" s="26" t="s">
        <v>180</v>
      </c>
      <c r="E73" s="15"/>
      <c r="F73" s="47"/>
      <c r="G73" s="50"/>
      <c r="H73" s="42"/>
      <c r="I73" s="16"/>
      <c r="J73" s="18"/>
      <c r="K73" s="15">
        <v>720</v>
      </c>
      <c r="L73" s="47" t="s">
        <v>191</v>
      </c>
      <c r="M73" s="19">
        <v>710400000</v>
      </c>
      <c r="N73" s="15">
        <v>0</v>
      </c>
      <c r="O73" s="115" t="str">
        <f t="shared" si="12"/>
        <v>kader</v>
      </c>
      <c r="P73" s="19">
        <v>0</v>
      </c>
      <c r="Q73" s="15">
        <v>720</v>
      </c>
      <c r="R73" s="115" t="str">
        <f t="shared" si="11"/>
        <v>kader</v>
      </c>
      <c r="S73" s="19">
        <v>276560000</v>
      </c>
      <c r="T73" s="15"/>
      <c r="U73" s="47"/>
      <c r="V73" s="19"/>
      <c r="W73" s="15"/>
      <c r="X73" s="47"/>
      <c r="Y73" s="19"/>
      <c r="Z73" s="141">
        <f t="shared" si="3"/>
        <v>720</v>
      </c>
      <c r="AA73" s="102" t="str">
        <f t="shared" si="4"/>
        <v>kader</v>
      </c>
      <c r="AB73" s="67">
        <f t="shared" si="5"/>
        <v>100</v>
      </c>
      <c r="AC73" s="32" t="s">
        <v>141</v>
      </c>
      <c r="AD73" s="38">
        <f t="shared" si="6"/>
        <v>276560000</v>
      </c>
      <c r="AE73" s="66">
        <f t="shared" si="7"/>
        <v>38.93018018018018</v>
      </c>
      <c r="AF73" s="32" t="s">
        <v>141</v>
      </c>
      <c r="AG73" s="141">
        <f t="shared" si="8"/>
        <v>720</v>
      </c>
      <c r="AH73" s="102" t="str">
        <f t="shared" si="9"/>
        <v>kader</v>
      </c>
      <c r="AI73" s="38">
        <f t="shared" si="10"/>
        <v>276560000</v>
      </c>
      <c r="AJ73" s="66"/>
      <c r="AK73" s="32" t="s">
        <v>141</v>
      </c>
      <c r="AL73" s="66"/>
      <c r="AM73" s="11"/>
      <c r="AP73" s="21"/>
    </row>
    <row r="74" spans="1:42" ht="146.25" customHeight="1" x14ac:dyDescent="0.2">
      <c r="A74" s="12"/>
      <c r="B74" s="13"/>
      <c r="C74" s="91" t="s">
        <v>119</v>
      </c>
      <c r="D74" s="14" t="s">
        <v>179</v>
      </c>
      <c r="E74" s="15"/>
      <c r="F74" s="47"/>
      <c r="G74" s="50"/>
      <c r="H74" s="42"/>
      <c r="I74" s="16"/>
      <c r="J74" s="18"/>
      <c r="K74" s="119">
        <v>31265</v>
      </c>
      <c r="L74" s="99" t="s">
        <v>190</v>
      </c>
      <c r="M74" s="40">
        <f>SUM(M75:M79)</f>
        <v>1581338825</v>
      </c>
      <c r="N74" s="119">
        <v>29379</v>
      </c>
      <c r="O74" s="83" t="str">
        <f t="shared" si="12"/>
        <v>PUS</v>
      </c>
      <c r="P74" s="40">
        <f>SUM(P75:P79)</f>
        <v>0</v>
      </c>
      <c r="Q74" s="119">
        <v>32576</v>
      </c>
      <c r="R74" s="83" t="str">
        <f t="shared" si="11"/>
        <v>PUS</v>
      </c>
      <c r="S74" s="40">
        <f>SUM(S75:S79)</f>
        <v>91805500</v>
      </c>
      <c r="T74" s="43"/>
      <c r="U74" s="99"/>
      <c r="V74" s="40"/>
      <c r="W74" s="43"/>
      <c r="X74" s="99"/>
      <c r="Y74" s="40"/>
      <c r="Z74" s="140">
        <f t="shared" si="3"/>
        <v>61955</v>
      </c>
      <c r="AA74" s="101" t="str">
        <f t="shared" si="4"/>
        <v>PUS</v>
      </c>
      <c r="AB74" s="68">
        <f t="shared" si="5"/>
        <v>198.16088277626739</v>
      </c>
      <c r="AC74" s="71" t="s">
        <v>141</v>
      </c>
      <c r="AD74" s="75">
        <f t="shared" si="6"/>
        <v>91805500</v>
      </c>
      <c r="AE74" s="70">
        <f t="shared" si="7"/>
        <v>5.8055553021661881</v>
      </c>
      <c r="AF74" s="71" t="s">
        <v>141</v>
      </c>
      <c r="AG74" s="140">
        <f t="shared" si="8"/>
        <v>61955</v>
      </c>
      <c r="AH74" s="101" t="str">
        <f t="shared" si="9"/>
        <v>PUS</v>
      </c>
      <c r="AI74" s="75">
        <f t="shared" si="10"/>
        <v>91805500</v>
      </c>
      <c r="AJ74" s="70"/>
      <c r="AK74" s="71" t="s">
        <v>141</v>
      </c>
      <c r="AL74" s="70"/>
      <c r="AM74" s="11"/>
      <c r="AP74" s="21"/>
    </row>
    <row r="75" spans="1:42" ht="153" customHeight="1" x14ac:dyDescent="0.2">
      <c r="A75" s="12"/>
      <c r="B75" s="13"/>
      <c r="C75" s="22" t="s">
        <v>148</v>
      </c>
      <c r="D75" s="26" t="s">
        <v>181</v>
      </c>
      <c r="E75" s="15"/>
      <c r="F75" s="47"/>
      <c r="G75" s="50"/>
      <c r="H75" s="42"/>
      <c r="I75" s="16"/>
      <c r="J75" s="18"/>
      <c r="K75" s="15">
        <v>26</v>
      </c>
      <c r="L75" s="47" t="s">
        <v>192</v>
      </c>
      <c r="M75" s="19">
        <v>653036000</v>
      </c>
      <c r="N75" s="15">
        <v>26</v>
      </c>
      <c r="O75" s="116" t="str">
        <f t="shared" si="12"/>
        <v>faskes</v>
      </c>
      <c r="P75" s="19">
        <v>0</v>
      </c>
      <c r="Q75" s="15">
        <v>0</v>
      </c>
      <c r="R75" s="116" t="str">
        <f t="shared" si="11"/>
        <v>faskes</v>
      </c>
      <c r="S75" s="19">
        <v>45395500</v>
      </c>
      <c r="T75" s="15"/>
      <c r="U75" s="47"/>
      <c r="V75" s="19"/>
      <c r="W75" s="15"/>
      <c r="X75" s="47"/>
      <c r="Y75" s="19"/>
      <c r="Z75" s="141">
        <f t="shared" si="3"/>
        <v>26</v>
      </c>
      <c r="AA75" s="102" t="str">
        <f t="shared" si="4"/>
        <v>faskes</v>
      </c>
      <c r="AB75" s="67">
        <f t="shared" si="5"/>
        <v>100</v>
      </c>
      <c r="AC75" s="32" t="s">
        <v>141</v>
      </c>
      <c r="AD75" s="38">
        <f t="shared" si="6"/>
        <v>45395500</v>
      </c>
      <c r="AE75" s="66">
        <f t="shared" si="7"/>
        <v>6.9514544374276452</v>
      </c>
      <c r="AF75" s="32" t="s">
        <v>141</v>
      </c>
      <c r="AG75" s="141">
        <f t="shared" si="8"/>
        <v>26</v>
      </c>
      <c r="AH75" s="102" t="str">
        <f t="shared" si="9"/>
        <v>faskes</v>
      </c>
      <c r="AI75" s="38">
        <f t="shared" si="10"/>
        <v>45395500</v>
      </c>
      <c r="AJ75" s="66"/>
      <c r="AK75" s="32" t="s">
        <v>141</v>
      </c>
      <c r="AL75" s="66"/>
      <c r="AM75" s="11"/>
      <c r="AP75" s="21"/>
    </row>
    <row r="76" spans="1:42" ht="90" x14ac:dyDescent="0.2">
      <c r="A76" s="12"/>
      <c r="B76" s="13"/>
      <c r="C76" s="22" t="s">
        <v>120</v>
      </c>
      <c r="D76" s="26" t="s">
        <v>179</v>
      </c>
      <c r="E76" s="15"/>
      <c r="F76" s="47"/>
      <c r="G76" s="50"/>
      <c r="H76" s="42"/>
      <c r="I76" s="16"/>
      <c r="J76" s="18"/>
      <c r="K76" s="15">
        <v>31265</v>
      </c>
      <c r="L76" s="47" t="s">
        <v>190</v>
      </c>
      <c r="M76" s="19">
        <v>110000000</v>
      </c>
      <c r="N76" s="15">
        <v>29379</v>
      </c>
      <c r="O76" s="115" t="str">
        <f t="shared" ref="O76" si="17">L76</f>
        <v>PUS</v>
      </c>
      <c r="P76" s="19">
        <f>SUM(P77:P81)</f>
        <v>0</v>
      </c>
      <c r="Q76" s="15">
        <v>32576</v>
      </c>
      <c r="R76" s="115" t="str">
        <f t="shared" ref="R76" si="18">L76</f>
        <v>PUS</v>
      </c>
      <c r="S76" s="19">
        <v>30850000</v>
      </c>
      <c r="T76" s="15"/>
      <c r="U76" s="47"/>
      <c r="V76" s="19"/>
      <c r="W76" s="15"/>
      <c r="X76" s="47"/>
      <c r="Y76" s="19"/>
      <c r="Z76" s="141">
        <f t="shared" si="3"/>
        <v>61955</v>
      </c>
      <c r="AA76" s="102" t="str">
        <f t="shared" si="4"/>
        <v>PUS</v>
      </c>
      <c r="AB76" s="67">
        <f t="shared" si="5"/>
        <v>198.16088277626739</v>
      </c>
      <c r="AC76" s="32" t="s">
        <v>141</v>
      </c>
      <c r="AD76" s="38">
        <f t="shared" si="6"/>
        <v>30850000</v>
      </c>
      <c r="AE76" s="66">
        <f t="shared" si="7"/>
        <v>28.045454545454547</v>
      </c>
      <c r="AF76" s="32" t="s">
        <v>141</v>
      </c>
      <c r="AG76" s="141">
        <f t="shared" si="8"/>
        <v>61955</v>
      </c>
      <c r="AH76" s="102" t="str">
        <f t="shared" si="9"/>
        <v>PUS</v>
      </c>
      <c r="AI76" s="38">
        <f t="shared" si="10"/>
        <v>30850000</v>
      </c>
      <c r="AJ76" s="66"/>
      <c r="AK76" s="32" t="s">
        <v>141</v>
      </c>
      <c r="AL76" s="66"/>
      <c r="AM76" s="11"/>
      <c r="AP76" s="21"/>
    </row>
    <row r="77" spans="1:42" ht="88.5" customHeight="1" x14ac:dyDescent="0.2">
      <c r="A77" s="12"/>
      <c r="B77" s="13"/>
      <c r="C77" s="22" t="s">
        <v>182</v>
      </c>
      <c r="D77" s="26" t="s">
        <v>183</v>
      </c>
      <c r="E77" s="15"/>
      <c r="F77" s="47"/>
      <c r="G77" s="50"/>
      <c r="H77" s="42"/>
      <c r="I77" s="16"/>
      <c r="J77" s="18"/>
      <c r="K77" s="15">
        <v>11</v>
      </c>
      <c r="L77" s="47" t="s">
        <v>193</v>
      </c>
      <c r="M77" s="19">
        <v>765610000</v>
      </c>
      <c r="N77" s="15">
        <v>11</v>
      </c>
      <c r="O77" s="115" t="str">
        <f t="shared" si="12"/>
        <v>Balai</v>
      </c>
      <c r="P77" s="19">
        <v>0</v>
      </c>
      <c r="Q77" s="15">
        <v>0</v>
      </c>
      <c r="R77" s="115" t="str">
        <f t="shared" si="11"/>
        <v>Balai</v>
      </c>
      <c r="S77" s="19">
        <v>0</v>
      </c>
      <c r="T77" s="15"/>
      <c r="U77" s="47"/>
      <c r="V77" s="19"/>
      <c r="W77" s="15"/>
      <c r="X77" s="47"/>
      <c r="Y77" s="19"/>
      <c r="Z77" s="141">
        <f t="shared" si="3"/>
        <v>11</v>
      </c>
      <c r="AA77" s="102" t="str">
        <f t="shared" si="4"/>
        <v>Balai</v>
      </c>
      <c r="AB77" s="67">
        <f t="shared" si="5"/>
        <v>100</v>
      </c>
      <c r="AC77" s="32" t="s">
        <v>141</v>
      </c>
      <c r="AD77" s="38">
        <f t="shared" si="6"/>
        <v>0</v>
      </c>
      <c r="AE77" s="66">
        <f t="shared" si="7"/>
        <v>0</v>
      </c>
      <c r="AF77" s="32" t="s">
        <v>141</v>
      </c>
      <c r="AG77" s="141">
        <f t="shared" si="8"/>
        <v>11</v>
      </c>
      <c r="AH77" s="102" t="str">
        <f t="shared" si="9"/>
        <v>Balai</v>
      </c>
      <c r="AI77" s="38">
        <f t="shared" si="10"/>
        <v>0</v>
      </c>
      <c r="AJ77" s="66"/>
      <c r="AK77" s="32" t="s">
        <v>141</v>
      </c>
      <c r="AL77" s="66"/>
      <c r="AM77" s="11"/>
      <c r="AP77" s="21"/>
    </row>
    <row r="78" spans="1:42" ht="99.75" customHeight="1" x14ac:dyDescent="0.2">
      <c r="A78" s="12"/>
      <c r="B78" s="13"/>
      <c r="C78" s="22" t="s">
        <v>121</v>
      </c>
      <c r="D78" s="26" t="s">
        <v>184</v>
      </c>
      <c r="E78" s="15"/>
      <c r="F78" s="47"/>
      <c r="G78" s="50"/>
      <c r="H78" s="42"/>
      <c r="I78" s="16"/>
      <c r="J78" s="18"/>
      <c r="K78" s="15">
        <v>70</v>
      </c>
      <c r="L78" s="47" t="s">
        <v>162</v>
      </c>
      <c r="M78" s="19">
        <v>10095000</v>
      </c>
      <c r="N78" s="15">
        <v>0</v>
      </c>
      <c r="O78" s="115" t="str">
        <f t="shared" ref="O78:O86" si="19">L78</f>
        <v>Orang</v>
      </c>
      <c r="P78" s="19">
        <v>0</v>
      </c>
      <c r="Q78" s="15">
        <v>70</v>
      </c>
      <c r="R78" s="115" t="str">
        <f t="shared" ref="R78:R86" si="20">L78</f>
        <v>Orang</v>
      </c>
      <c r="S78" s="19">
        <v>0</v>
      </c>
      <c r="T78" s="15"/>
      <c r="U78" s="47"/>
      <c r="V78" s="19"/>
      <c r="W78" s="15"/>
      <c r="X78" s="47"/>
      <c r="Y78" s="19"/>
      <c r="Z78" s="141">
        <f t="shared" ref="Z78:Z86" si="21">SUM(N78,Q78,T78,W78)</f>
        <v>70</v>
      </c>
      <c r="AA78" s="102" t="str">
        <f t="shared" ref="AA78:AA86" si="22">L78</f>
        <v>Orang</v>
      </c>
      <c r="AB78" s="67">
        <f t="shared" ref="AB78:AB86" si="23">Z78/K78*100</f>
        <v>100</v>
      </c>
      <c r="AC78" s="32" t="s">
        <v>141</v>
      </c>
      <c r="AD78" s="38">
        <f t="shared" ref="AD78:AD86" si="24">SUM(P78,S78,V78,Y78)</f>
        <v>0</v>
      </c>
      <c r="AE78" s="66">
        <f t="shared" ref="AE78:AE86" si="25">AD78/M78*100</f>
        <v>0</v>
      </c>
      <c r="AF78" s="32" t="s">
        <v>141</v>
      </c>
      <c r="AG78" s="141">
        <f t="shared" ref="AG78:AG86" si="26">SUM(H78,Z78)</f>
        <v>70</v>
      </c>
      <c r="AH78" s="102" t="str">
        <f t="shared" ref="AH78:AH86" si="27">O78</f>
        <v>Orang</v>
      </c>
      <c r="AI78" s="38">
        <f t="shared" ref="AI78:AI86" si="28">SUM(J78,AD78)</f>
        <v>0</v>
      </c>
      <c r="AJ78" s="66"/>
      <c r="AK78" s="32" t="s">
        <v>141</v>
      </c>
      <c r="AL78" s="66"/>
      <c r="AM78" s="11"/>
      <c r="AP78" s="21"/>
    </row>
    <row r="79" spans="1:42" ht="64.5" customHeight="1" x14ac:dyDescent="0.2">
      <c r="A79" s="12"/>
      <c r="B79" s="13"/>
      <c r="C79" s="22" t="s">
        <v>122</v>
      </c>
      <c r="D79" s="26" t="s">
        <v>185</v>
      </c>
      <c r="E79" s="15"/>
      <c r="F79" s="47"/>
      <c r="G79" s="50"/>
      <c r="H79" s="42"/>
      <c r="I79" s="16"/>
      <c r="J79" s="18"/>
      <c r="K79" s="15">
        <f>2+3+3+3</f>
        <v>11</v>
      </c>
      <c r="L79" s="47" t="s">
        <v>194</v>
      </c>
      <c r="M79" s="19">
        <v>42597825</v>
      </c>
      <c r="N79" s="15">
        <v>2</v>
      </c>
      <c r="O79" s="115" t="str">
        <f t="shared" si="19"/>
        <v>Titik</v>
      </c>
      <c r="P79" s="19">
        <v>0</v>
      </c>
      <c r="Q79" s="15">
        <v>3</v>
      </c>
      <c r="R79" s="115" t="str">
        <f t="shared" si="20"/>
        <v>Titik</v>
      </c>
      <c r="S79" s="19">
        <v>15560000</v>
      </c>
      <c r="T79" s="15"/>
      <c r="U79" s="47"/>
      <c r="V79" s="19"/>
      <c r="W79" s="15"/>
      <c r="X79" s="47"/>
      <c r="Y79" s="19"/>
      <c r="Z79" s="141">
        <f t="shared" si="21"/>
        <v>5</v>
      </c>
      <c r="AA79" s="102" t="str">
        <f t="shared" si="22"/>
        <v>Titik</v>
      </c>
      <c r="AB79" s="67">
        <f t="shared" si="23"/>
        <v>45.454545454545453</v>
      </c>
      <c r="AC79" s="32" t="s">
        <v>141</v>
      </c>
      <c r="AD79" s="38">
        <f t="shared" si="24"/>
        <v>15560000</v>
      </c>
      <c r="AE79" s="66">
        <f t="shared" si="25"/>
        <v>36.527686566156845</v>
      </c>
      <c r="AF79" s="32" t="s">
        <v>141</v>
      </c>
      <c r="AG79" s="141">
        <f t="shared" si="26"/>
        <v>5</v>
      </c>
      <c r="AH79" s="102" t="str">
        <f t="shared" si="27"/>
        <v>Titik</v>
      </c>
      <c r="AI79" s="38">
        <f t="shared" si="28"/>
        <v>15560000</v>
      </c>
      <c r="AJ79" s="66"/>
      <c r="AK79" s="32" t="s">
        <v>141</v>
      </c>
      <c r="AL79" s="66"/>
      <c r="AM79" s="11"/>
      <c r="AP79" s="21"/>
    </row>
    <row r="80" spans="1:42" s="123" customFormat="1" ht="198.75" customHeight="1" x14ac:dyDescent="0.25">
      <c r="A80" s="12"/>
      <c r="B80" s="13"/>
      <c r="C80" s="91" t="s">
        <v>123</v>
      </c>
      <c r="D80" s="14" t="s">
        <v>179</v>
      </c>
      <c r="E80" s="43"/>
      <c r="F80" s="99"/>
      <c r="G80" s="121"/>
      <c r="H80" s="54"/>
      <c r="I80" s="44"/>
      <c r="J80" s="122"/>
      <c r="K80" s="43">
        <v>31265</v>
      </c>
      <c r="L80" s="99" t="s">
        <v>190</v>
      </c>
      <c r="M80" s="40">
        <f>SUM(M81:M82)</f>
        <v>570165000</v>
      </c>
      <c r="N80" s="43">
        <v>29379</v>
      </c>
      <c r="O80" s="83" t="s">
        <v>190</v>
      </c>
      <c r="P80" s="40">
        <v>0</v>
      </c>
      <c r="Q80" s="43">
        <v>32576</v>
      </c>
      <c r="R80" s="83" t="s">
        <v>190</v>
      </c>
      <c r="S80" s="40">
        <v>0</v>
      </c>
      <c r="T80" s="43"/>
      <c r="U80" s="99"/>
      <c r="V80" s="40"/>
      <c r="W80" s="43"/>
      <c r="X80" s="99"/>
      <c r="Y80" s="40"/>
      <c r="Z80" s="140">
        <f t="shared" si="21"/>
        <v>61955</v>
      </c>
      <c r="AA80" s="101" t="str">
        <f t="shared" si="22"/>
        <v>PUS</v>
      </c>
      <c r="AB80" s="68">
        <f t="shared" si="23"/>
        <v>198.16088277626739</v>
      </c>
      <c r="AC80" s="71" t="s">
        <v>141</v>
      </c>
      <c r="AD80" s="75">
        <f t="shared" si="24"/>
        <v>0</v>
      </c>
      <c r="AE80" s="70">
        <f t="shared" si="25"/>
        <v>0</v>
      </c>
      <c r="AF80" s="71" t="s">
        <v>141</v>
      </c>
      <c r="AG80" s="140">
        <f t="shared" si="26"/>
        <v>61955</v>
      </c>
      <c r="AH80" s="101" t="str">
        <f t="shared" si="27"/>
        <v>PUS</v>
      </c>
      <c r="AI80" s="75">
        <f t="shared" si="28"/>
        <v>0</v>
      </c>
      <c r="AJ80" s="70"/>
      <c r="AK80" s="71" t="s">
        <v>141</v>
      </c>
      <c r="AL80" s="70"/>
      <c r="AM80" s="76"/>
      <c r="AP80" s="124"/>
    </row>
    <row r="81" spans="1:42" ht="124.5" customHeight="1" x14ac:dyDescent="0.2">
      <c r="A81" s="12"/>
      <c r="B81" s="13"/>
      <c r="C81" s="22" t="s">
        <v>124</v>
      </c>
      <c r="D81" s="26" t="s">
        <v>186</v>
      </c>
      <c r="E81" s="15"/>
      <c r="F81" s="47"/>
      <c r="G81" s="50"/>
      <c r="H81" s="42"/>
      <c r="I81" s="16"/>
      <c r="J81" s="18"/>
      <c r="K81" s="15">
        <v>1</v>
      </c>
      <c r="L81" s="47" t="s">
        <v>170</v>
      </c>
      <c r="M81" s="19">
        <v>10045000</v>
      </c>
      <c r="N81" s="15">
        <v>0</v>
      </c>
      <c r="O81" s="116" t="str">
        <f t="shared" si="19"/>
        <v>Kegiatan</v>
      </c>
      <c r="P81" s="19">
        <v>0</v>
      </c>
      <c r="Q81" s="15">
        <v>1</v>
      </c>
      <c r="R81" s="116" t="str">
        <f t="shared" si="20"/>
        <v>Kegiatan</v>
      </c>
      <c r="S81" s="19">
        <v>0</v>
      </c>
      <c r="T81" s="15"/>
      <c r="U81" s="47"/>
      <c r="V81" s="19"/>
      <c r="W81" s="15"/>
      <c r="X81" s="47"/>
      <c r="Y81" s="19"/>
      <c r="Z81" s="141">
        <f t="shared" si="21"/>
        <v>1</v>
      </c>
      <c r="AA81" s="102" t="str">
        <f t="shared" si="22"/>
        <v>Kegiatan</v>
      </c>
      <c r="AB81" s="67">
        <f t="shared" si="23"/>
        <v>100</v>
      </c>
      <c r="AC81" s="32" t="s">
        <v>141</v>
      </c>
      <c r="AD81" s="38">
        <f t="shared" si="24"/>
        <v>0</v>
      </c>
      <c r="AE81" s="66">
        <f t="shared" si="25"/>
        <v>0</v>
      </c>
      <c r="AF81" s="32" t="s">
        <v>141</v>
      </c>
      <c r="AG81" s="141">
        <f t="shared" si="26"/>
        <v>1</v>
      </c>
      <c r="AH81" s="102" t="str">
        <f t="shared" si="27"/>
        <v>Kegiatan</v>
      </c>
      <c r="AI81" s="38">
        <f t="shared" si="28"/>
        <v>0</v>
      </c>
      <c r="AJ81" s="66"/>
      <c r="AK81" s="32" t="s">
        <v>141</v>
      </c>
      <c r="AL81" s="66"/>
      <c r="AM81" s="11"/>
      <c r="AP81" s="21"/>
    </row>
    <row r="82" spans="1:42" ht="110.25" customHeight="1" x14ac:dyDescent="0.2">
      <c r="A82" s="12"/>
      <c r="B82" s="13"/>
      <c r="C82" s="22" t="s">
        <v>149</v>
      </c>
      <c r="D82" s="26" t="s">
        <v>187</v>
      </c>
      <c r="E82" s="15"/>
      <c r="F82" s="47"/>
      <c r="G82" s="50"/>
      <c r="H82" s="42"/>
      <c r="I82" s="16"/>
      <c r="J82" s="18"/>
      <c r="K82" s="15">
        <v>22</v>
      </c>
      <c r="L82" s="47" t="s">
        <v>195</v>
      </c>
      <c r="M82" s="19">
        <v>560120000</v>
      </c>
      <c r="N82" s="15">
        <v>0</v>
      </c>
      <c r="O82" s="116" t="str">
        <f t="shared" si="19"/>
        <v>Kampung KB</v>
      </c>
      <c r="P82" s="19">
        <v>0</v>
      </c>
      <c r="Q82" s="15">
        <v>8</v>
      </c>
      <c r="R82" s="116" t="str">
        <f t="shared" si="20"/>
        <v>Kampung KB</v>
      </c>
      <c r="S82" s="19">
        <v>92820000</v>
      </c>
      <c r="T82" s="15"/>
      <c r="U82" s="47"/>
      <c r="V82" s="19"/>
      <c r="W82" s="15"/>
      <c r="X82" s="47"/>
      <c r="Y82" s="19"/>
      <c r="Z82" s="141">
        <f t="shared" si="21"/>
        <v>8</v>
      </c>
      <c r="AA82" s="102" t="str">
        <f t="shared" si="22"/>
        <v>Kampung KB</v>
      </c>
      <c r="AB82" s="67">
        <f t="shared" si="23"/>
        <v>36.363636363636367</v>
      </c>
      <c r="AC82" s="32" t="s">
        <v>141</v>
      </c>
      <c r="AD82" s="38">
        <f t="shared" si="24"/>
        <v>92820000</v>
      </c>
      <c r="AE82" s="66">
        <f t="shared" si="25"/>
        <v>16.571448975219596</v>
      </c>
      <c r="AF82" s="32" t="s">
        <v>141</v>
      </c>
      <c r="AG82" s="141">
        <f t="shared" si="26"/>
        <v>8</v>
      </c>
      <c r="AH82" s="102" t="str">
        <f t="shared" si="27"/>
        <v>Kampung KB</v>
      </c>
      <c r="AI82" s="38">
        <f t="shared" si="28"/>
        <v>92820000</v>
      </c>
      <c r="AJ82" s="66"/>
      <c r="AK82" s="32" t="s">
        <v>141</v>
      </c>
      <c r="AL82" s="66"/>
      <c r="AM82" s="11"/>
      <c r="AP82" s="21"/>
    </row>
    <row r="83" spans="1:42" ht="87.75" customHeight="1" x14ac:dyDescent="0.2">
      <c r="A83" s="12"/>
      <c r="B83" s="13"/>
      <c r="C83" s="91" t="s">
        <v>125</v>
      </c>
      <c r="D83" s="14" t="s">
        <v>196</v>
      </c>
      <c r="E83" s="15"/>
      <c r="F83" s="47"/>
      <c r="G83" s="50"/>
      <c r="H83" s="42"/>
      <c r="I83" s="16"/>
      <c r="J83" s="18"/>
      <c r="K83" s="43">
        <f>210/299*100</f>
        <v>70.23411371237458</v>
      </c>
      <c r="L83" s="99" t="s">
        <v>141</v>
      </c>
      <c r="M83" s="40">
        <f>M84</f>
        <v>48848800</v>
      </c>
      <c r="N83" s="43">
        <v>0</v>
      </c>
      <c r="O83" s="83" t="str">
        <f t="shared" si="19"/>
        <v>%</v>
      </c>
      <c r="P83" s="40">
        <f>P84</f>
        <v>952800</v>
      </c>
      <c r="Q83" s="43">
        <f>120/299*100</f>
        <v>40.133779264214049</v>
      </c>
      <c r="R83" s="83" t="str">
        <f t="shared" si="20"/>
        <v>%</v>
      </c>
      <c r="S83" s="40">
        <f>S84</f>
        <v>16050000</v>
      </c>
      <c r="T83" s="15"/>
      <c r="U83" s="47"/>
      <c r="V83" s="19"/>
      <c r="W83" s="15"/>
      <c r="X83" s="47"/>
      <c r="Y83" s="19"/>
      <c r="Z83" s="140">
        <f t="shared" si="21"/>
        <v>40.133779264214049</v>
      </c>
      <c r="AA83" s="101" t="str">
        <f t="shared" si="22"/>
        <v>%</v>
      </c>
      <c r="AB83" s="68">
        <f t="shared" si="23"/>
        <v>57.142857142857153</v>
      </c>
      <c r="AC83" s="71" t="s">
        <v>141</v>
      </c>
      <c r="AD83" s="75">
        <f t="shared" si="24"/>
        <v>17002800</v>
      </c>
      <c r="AE83" s="70">
        <f t="shared" si="25"/>
        <v>34.806996282406118</v>
      </c>
      <c r="AF83" s="71" t="s">
        <v>141</v>
      </c>
      <c r="AG83" s="140">
        <f t="shared" si="26"/>
        <v>40.133779264214049</v>
      </c>
      <c r="AH83" s="101" t="str">
        <f t="shared" si="27"/>
        <v>%</v>
      </c>
      <c r="AI83" s="75">
        <f t="shared" si="28"/>
        <v>17002800</v>
      </c>
      <c r="AJ83" s="70"/>
      <c r="AK83" s="71" t="s">
        <v>141</v>
      </c>
      <c r="AL83" s="70"/>
      <c r="AM83" s="11"/>
      <c r="AP83" s="21"/>
    </row>
    <row r="84" spans="1:42" ht="110.25" x14ac:dyDescent="0.2">
      <c r="A84" s="12"/>
      <c r="B84" s="13"/>
      <c r="C84" s="91" t="s">
        <v>126</v>
      </c>
      <c r="D84" s="14" t="s">
        <v>197</v>
      </c>
      <c r="E84" s="15"/>
      <c r="F84" s="47"/>
      <c r="G84" s="50"/>
      <c r="H84" s="42"/>
      <c r="I84" s="16"/>
      <c r="J84" s="18"/>
      <c r="K84" s="43">
        <f>120+60+30</f>
        <v>210</v>
      </c>
      <c r="L84" s="99" t="s">
        <v>199</v>
      </c>
      <c r="M84" s="40">
        <f>SUM(M85:M86)</f>
        <v>48848800</v>
      </c>
      <c r="N84" s="43">
        <v>0</v>
      </c>
      <c r="O84" s="114" t="str">
        <f t="shared" si="19"/>
        <v>Kelompok</v>
      </c>
      <c r="P84" s="40">
        <f>SUM(P85:P86)</f>
        <v>952800</v>
      </c>
      <c r="Q84" s="43">
        <v>120</v>
      </c>
      <c r="R84" s="114" t="str">
        <f t="shared" si="20"/>
        <v>Kelompok</v>
      </c>
      <c r="S84" s="40">
        <f>SUM(S85:S86)</f>
        <v>16050000</v>
      </c>
      <c r="T84" s="15"/>
      <c r="U84" s="47"/>
      <c r="V84" s="19"/>
      <c r="W84" s="15"/>
      <c r="X84" s="47"/>
      <c r="Y84" s="19"/>
      <c r="Z84" s="140">
        <f t="shared" si="21"/>
        <v>120</v>
      </c>
      <c r="AA84" s="101" t="str">
        <f t="shared" si="22"/>
        <v>Kelompok</v>
      </c>
      <c r="AB84" s="68">
        <f t="shared" si="23"/>
        <v>57.142857142857139</v>
      </c>
      <c r="AC84" s="71" t="s">
        <v>141</v>
      </c>
      <c r="AD84" s="75">
        <f t="shared" si="24"/>
        <v>17002800</v>
      </c>
      <c r="AE84" s="70">
        <f t="shared" si="25"/>
        <v>34.806996282406118</v>
      </c>
      <c r="AF84" s="71" t="s">
        <v>141</v>
      </c>
      <c r="AG84" s="140">
        <f t="shared" si="26"/>
        <v>120</v>
      </c>
      <c r="AH84" s="101" t="str">
        <f t="shared" si="27"/>
        <v>Kelompok</v>
      </c>
      <c r="AI84" s="75">
        <f t="shared" si="28"/>
        <v>17002800</v>
      </c>
      <c r="AJ84" s="70"/>
      <c r="AK84" s="71" t="s">
        <v>141</v>
      </c>
      <c r="AL84" s="70"/>
      <c r="AM84" s="11"/>
      <c r="AP84" s="21"/>
    </row>
    <row r="85" spans="1:42" ht="159" customHeight="1" x14ac:dyDescent="0.2">
      <c r="A85" s="12"/>
      <c r="B85" s="13"/>
      <c r="C85" s="22" t="s">
        <v>127</v>
      </c>
      <c r="D85" s="26" t="s">
        <v>197</v>
      </c>
      <c r="E85" s="15"/>
      <c r="F85" s="47"/>
      <c r="G85" s="50"/>
      <c r="H85" s="42"/>
      <c r="I85" s="16"/>
      <c r="J85" s="18"/>
      <c r="K85" s="15">
        <f>120+60+30</f>
        <v>210</v>
      </c>
      <c r="L85" s="47" t="s">
        <v>199</v>
      </c>
      <c r="M85" s="19">
        <v>32620000</v>
      </c>
      <c r="N85" s="15">
        <v>0</v>
      </c>
      <c r="O85" s="116" t="str">
        <f t="shared" si="19"/>
        <v>Kelompok</v>
      </c>
      <c r="P85" s="19">
        <v>0</v>
      </c>
      <c r="Q85" s="15">
        <v>120</v>
      </c>
      <c r="R85" s="116" t="str">
        <f t="shared" si="20"/>
        <v>Kelompok</v>
      </c>
      <c r="S85" s="19">
        <v>2550000</v>
      </c>
      <c r="T85" s="15"/>
      <c r="U85" s="47"/>
      <c r="V85" s="19"/>
      <c r="W85" s="15"/>
      <c r="X85" s="47"/>
      <c r="Y85" s="19"/>
      <c r="Z85" s="141">
        <f t="shared" si="21"/>
        <v>120</v>
      </c>
      <c r="AA85" s="102" t="str">
        <f t="shared" si="22"/>
        <v>Kelompok</v>
      </c>
      <c r="AB85" s="67">
        <f t="shared" si="23"/>
        <v>57.142857142857139</v>
      </c>
      <c r="AC85" s="32" t="s">
        <v>141</v>
      </c>
      <c r="AD85" s="38">
        <f t="shared" si="24"/>
        <v>2550000</v>
      </c>
      <c r="AE85" s="66">
        <f t="shared" si="25"/>
        <v>7.8172900061312083</v>
      </c>
      <c r="AF85" s="32" t="s">
        <v>141</v>
      </c>
      <c r="AG85" s="141">
        <f t="shared" si="26"/>
        <v>120</v>
      </c>
      <c r="AH85" s="102" t="str">
        <f t="shared" si="27"/>
        <v>Kelompok</v>
      </c>
      <c r="AI85" s="38">
        <f t="shared" si="28"/>
        <v>2550000</v>
      </c>
      <c r="AJ85" s="66"/>
      <c r="AK85" s="32" t="s">
        <v>141</v>
      </c>
      <c r="AL85" s="66"/>
      <c r="AM85" s="11"/>
      <c r="AP85" s="21"/>
    </row>
    <row r="86" spans="1:42" ht="141.75" customHeight="1" x14ac:dyDescent="0.2">
      <c r="A86" s="12"/>
      <c r="B86" s="13"/>
      <c r="C86" s="22" t="s">
        <v>128</v>
      </c>
      <c r="D86" s="26" t="s">
        <v>198</v>
      </c>
      <c r="E86" s="15"/>
      <c r="F86" s="47"/>
      <c r="G86" s="50"/>
      <c r="H86" s="42"/>
      <c r="I86" s="16"/>
      <c r="J86" s="18"/>
      <c r="K86" s="15">
        <v>2</v>
      </c>
      <c r="L86" s="47" t="s">
        <v>170</v>
      </c>
      <c r="M86" s="19">
        <v>16228800</v>
      </c>
      <c r="N86" s="15">
        <v>1</v>
      </c>
      <c r="O86" s="116" t="str">
        <f t="shared" si="19"/>
        <v>Kegiatan</v>
      </c>
      <c r="P86" s="19">
        <v>952800</v>
      </c>
      <c r="Q86" s="15">
        <v>0</v>
      </c>
      <c r="R86" s="116" t="str">
        <f t="shared" si="20"/>
        <v>Kegiatan</v>
      </c>
      <c r="S86" s="19">
        <f>14452800-P86</f>
        <v>13500000</v>
      </c>
      <c r="T86" s="15"/>
      <c r="U86" s="47"/>
      <c r="V86" s="19"/>
      <c r="W86" s="15"/>
      <c r="X86" s="47"/>
      <c r="Y86" s="19"/>
      <c r="Z86" s="141">
        <f t="shared" si="21"/>
        <v>1</v>
      </c>
      <c r="AA86" s="102" t="str">
        <f t="shared" si="22"/>
        <v>Kegiatan</v>
      </c>
      <c r="AB86" s="67">
        <f t="shared" si="23"/>
        <v>50</v>
      </c>
      <c r="AC86" s="32" t="s">
        <v>141</v>
      </c>
      <c r="AD86" s="38">
        <f t="shared" si="24"/>
        <v>14452800</v>
      </c>
      <c r="AE86" s="66">
        <f t="shared" si="25"/>
        <v>89.056492162082222</v>
      </c>
      <c r="AF86" s="32" t="s">
        <v>141</v>
      </c>
      <c r="AG86" s="141">
        <f t="shared" si="26"/>
        <v>1</v>
      </c>
      <c r="AH86" s="102" t="str">
        <f t="shared" si="27"/>
        <v>Kegiatan</v>
      </c>
      <c r="AI86" s="38">
        <f t="shared" si="28"/>
        <v>14452800</v>
      </c>
      <c r="AJ86" s="66"/>
      <c r="AK86" s="32" t="s">
        <v>141</v>
      </c>
      <c r="AL86" s="66"/>
      <c r="AM86" s="11"/>
      <c r="AP86" s="21"/>
    </row>
    <row r="87" spans="1:42" ht="15" x14ac:dyDescent="0.2">
      <c r="A87" s="232" t="s">
        <v>24</v>
      </c>
      <c r="B87" s="233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4"/>
      <c r="AB87" s="81">
        <f>AVERAGE(AB13:AB86)</f>
        <v>63.253691674737738</v>
      </c>
      <c r="AC87" s="77"/>
      <c r="AD87" s="60"/>
      <c r="AE87" s="81">
        <f>AVERAGE(AE13,AE38,AE41,AE44,AE49,AE56,AE60,AE65,AE83)</f>
        <v>29.763646172750807</v>
      </c>
      <c r="AF87" s="61"/>
      <c r="AG87" s="60"/>
      <c r="AH87" s="108"/>
      <c r="AI87" s="60"/>
      <c r="AJ87" s="60"/>
      <c r="AK87" s="61"/>
      <c r="AL87" s="62"/>
      <c r="AM87" s="11"/>
    </row>
    <row r="88" spans="1:42" ht="15" x14ac:dyDescent="0.2">
      <c r="A88" s="232" t="s">
        <v>25</v>
      </c>
      <c r="B88" s="233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4"/>
      <c r="AB88" s="28" t="str">
        <f>IF(AB87&gt;=91,"Sangat Tinggi",IF(AB87&gt;=76,"Tinggi",IF(AB87&gt;=66,"Sedang",IF(AB87&gt;=51,"Rendah",IF(AB87&lt;=50,"Sangat Rendah")))))</f>
        <v>Rendah</v>
      </c>
      <c r="AC88" s="77"/>
      <c r="AD88" s="64"/>
      <c r="AE88" s="28" t="str">
        <f>IF(AE87&gt;=91,"Sangat Tinggi",IF(AE87&gt;=76,"Tinggi",IF(AE87&gt;=66,"Sedang",IF(AE87&gt;=51,"Rendah",IF(AE87&lt;=50,"Sangat Rendah")))))</f>
        <v>Sangat Rendah</v>
      </c>
      <c r="AF88" s="61"/>
      <c r="AG88" s="63"/>
      <c r="AH88" s="108"/>
      <c r="AI88" s="64"/>
      <c r="AJ88" s="63"/>
      <c r="AK88" s="61"/>
      <c r="AL88" s="65"/>
      <c r="AM88" s="11"/>
    </row>
    <row r="89" spans="1:42" ht="15" x14ac:dyDescent="0.2">
      <c r="A89" s="231" t="s">
        <v>55</v>
      </c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  <c r="AA89" s="231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11"/>
    </row>
    <row r="90" spans="1:42" ht="15" x14ac:dyDescent="0.2">
      <c r="A90" s="231" t="s">
        <v>56</v>
      </c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11"/>
    </row>
    <row r="91" spans="1:42" ht="15" x14ac:dyDescent="0.2">
      <c r="A91" s="231" t="s">
        <v>57</v>
      </c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11"/>
    </row>
    <row r="92" spans="1:42" ht="15" x14ac:dyDescent="0.2">
      <c r="A92" s="231" t="s">
        <v>58</v>
      </c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9"/>
    </row>
    <row r="93" spans="1:42" ht="15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106"/>
      <c r="AB93" s="30"/>
      <c r="AC93" s="31"/>
      <c r="AD93" s="30"/>
      <c r="AE93" s="30"/>
      <c r="AF93" s="31"/>
      <c r="AG93" s="30"/>
      <c r="AH93" s="106"/>
      <c r="AI93" s="30"/>
      <c r="AJ93" s="30"/>
      <c r="AK93" s="31"/>
      <c r="AL93" s="30"/>
    </row>
    <row r="94" spans="1:42" ht="15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235" t="s">
        <v>49</v>
      </c>
      <c r="AA94" s="235"/>
      <c r="AB94" s="235"/>
      <c r="AC94" s="235"/>
      <c r="AD94" s="235"/>
      <c r="AE94" s="235"/>
      <c r="AF94" s="31"/>
      <c r="AG94" s="30"/>
      <c r="AH94" s="235" t="s">
        <v>50</v>
      </c>
      <c r="AI94" s="235"/>
      <c r="AJ94" s="235"/>
      <c r="AK94" s="235"/>
      <c r="AL94" s="235"/>
      <c r="AM94" s="235"/>
    </row>
    <row r="95" spans="1:42" ht="15.75" x14ac:dyDescent="0.25">
      <c r="A95" s="36"/>
      <c r="B95" s="37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235" t="s">
        <v>200</v>
      </c>
      <c r="AA95" s="235"/>
      <c r="AB95" s="235"/>
      <c r="AC95" s="235"/>
      <c r="AD95" s="235"/>
      <c r="AE95" s="235"/>
      <c r="AF95" s="31"/>
      <c r="AG95" s="30"/>
      <c r="AH95" s="235" t="s">
        <v>200</v>
      </c>
      <c r="AI95" s="235"/>
      <c r="AJ95" s="235"/>
      <c r="AK95" s="235"/>
      <c r="AL95" s="235"/>
      <c r="AM95" s="235"/>
    </row>
    <row r="96" spans="1:42" ht="15" x14ac:dyDescent="0.2">
      <c r="Z96" s="235" t="s">
        <v>202</v>
      </c>
      <c r="AA96" s="235"/>
      <c r="AB96" s="235"/>
      <c r="AC96" s="235"/>
      <c r="AD96" s="235"/>
      <c r="AE96" s="235"/>
      <c r="AH96" s="235" t="s">
        <v>51</v>
      </c>
      <c r="AI96" s="235"/>
      <c r="AJ96" s="235"/>
      <c r="AK96" s="235"/>
      <c r="AL96" s="235"/>
      <c r="AM96" s="235"/>
    </row>
    <row r="97" spans="1:39" ht="15" x14ac:dyDescent="0.2">
      <c r="Z97" s="235" t="s">
        <v>52</v>
      </c>
      <c r="AA97" s="235"/>
      <c r="AB97" s="235"/>
      <c r="AC97" s="235"/>
      <c r="AD97" s="235"/>
      <c r="AE97" s="235"/>
      <c r="AH97" s="235" t="s">
        <v>52</v>
      </c>
      <c r="AI97" s="235"/>
      <c r="AJ97" s="235"/>
      <c r="AK97" s="235"/>
      <c r="AL97" s="235"/>
      <c r="AM97" s="235"/>
    </row>
    <row r="98" spans="1:39" ht="25.5" x14ac:dyDescent="0.2">
      <c r="A98" s="33" t="s">
        <v>26</v>
      </c>
      <c r="B98" s="33" t="s">
        <v>27</v>
      </c>
      <c r="C98" s="33" t="s">
        <v>28</v>
      </c>
      <c r="Z98" s="30"/>
      <c r="AA98" s="106"/>
      <c r="AB98" s="30"/>
      <c r="AC98" s="31"/>
      <c r="AD98" s="30"/>
      <c r="AH98" s="109"/>
      <c r="AI98" s="31"/>
      <c r="AJ98" s="30"/>
      <c r="AK98" s="31"/>
      <c r="AL98" s="30"/>
    </row>
    <row r="99" spans="1:39" ht="25.5" x14ac:dyDescent="0.25">
      <c r="A99" s="34" t="s">
        <v>29</v>
      </c>
      <c r="B99" s="34" t="s">
        <v>30</v>
      </c>
      <c r="C99" s="34" t="s">
        <v>31</v>
      </c>
      <c r="Z99" s="236" t="s">
        <v>203</v>
      </c>
      <c r="AA99" s="236"/>
      <c r="AB99" s="236"/>
      <c r="AC99" s="236"/>
      <c r="AD99" s="236"/>
      <c r="AE99" s="236"/>
      <c r="AH99" s="236" t="s">
        <v>53</v>
      </c>
      <c r="AI99" s="236"/>
      <c r="AJ99" s="236"/>
      <c r="AK99" s="236"/>
      <c r="AL99" s="236"/>
      <c r="AM99" s="236"/>
    </row>
    <row r="100" spans="1:39" ht="25.5" x14ac:dyDescent="0.2">
      <c r="A100" s="34" t="s">
        <v>32</v>
      </c>
      <c r="B100" s="34" t="s">
        <v>33</v>
      </c>
      <c r="C100" s="34" t="s">
        <v>34</v>
      </c>
      <c r="Z100" s="237" t="s">
        <v>204</v>
      </c>
      <c r="AA100" s="237"/>
      <c r="AB100" s="237"/>
      <c r="AC100" s="237"/>
      <c r="AD100" s="237"/>
      <c r="AE100" s="237"/>
      <c r="AH100" s="237" t="s">
        <v>54</v>
      </c>
      <c r="AI100" s="237"/>
      <c r="AJ100" s="237"/>
      <c r="AK100" s="237"/>
      <c r="AL100" s="237"/>
      <c r="AM100" s="237"/>
    </row>
    <row r="101" spans="1:39" ht="25.5" x14ac:dyDescent="0.2">
      <c r="A101" s="34" t="s">
        <v>35</v>
      </c>
      <c r="B101" s="34" t="s">
        <v>36</v>
      </c>
      <c r="C101" s="34" t="s">
        <v>37</v>
      </c>
    </row>
    <row r="102" spans="1:39" ht="25.5" x14ac:dyDescent="0.2">
      <c r="A102" s="34" t="s">
        <v>38</v>
      </c>
      <c r="B102" s="34" t="s">
        <v>39</v>
      </c>
      <c r="C102" s="34" t="s">
        <v>40</v>
      </c>
    </row>
    <row r="103" spans="1:39" ht="25.5" x14ac:dyDescent="0.2">
      <c r="A103" s="34" t="s">
        <v>41</v>
      </c>
      <c r="B103" s="35" t="s">
        <v>42</v>
      </c>
      <c r="C103" s="34" t="s">
        <v>43</v>
      </c>
    </row>
  </sheetData>
  <mergeCells count="82">
    <mergeCell ref="A88:AA88"/>
    <mergeCell ref="A90:AL90"/>
    <mergeCell ref="A91:AL91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A92:AL92"/>
    <mergeCell ref="A89:AL89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87:AA87"/>
    <mergeCell ref="AJ11:AK11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Z94:AE94"/>
    <mergeCell ref="AH94:AM94"/>
    <mergeCell ref="Z95:AE95"/>
    <mergeCell ref="AH95:AM95"/>
    <mergeCell ref="Z96:AE96"/>
    <mergeCell ref="AH96:AM96"/>
    <mergeCell ref="Z97:AE97"/>
    <mergeCell ref="AH97:AM97"/>
    <mergeCell ref="Z99:AE99"/>
    <mergeCell ref="AH99:AM99"/>
    <mergeCell ref="Z100:AE100"/>
    <mergeCell ref="AH100:AM100"/>
  </mergeCells>
  <printOptions horizontalCentered="1"/>
  <pageMargins left="0.23622047244094491" right="0.23622047244094491" top="3.937007874015748E-2" bottom="3.937007874015748E-2" header="0" footer="0"/>
  <pageSetup paperSize="256" scale="37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Dinas PPKBPPPA (cascading baru)</vt:lpstr>
      <vt:lpstr>Dinas PPKBPPPA</vt:lpstr>
      <vt:lpstr>'Dinas PPKBPPPA'!OLE_LINK1</vt:lpstr>
      <vt:lpstr>'Dinas PPKBPPPA (cascading baru)'!OLE_LINK1</vt:lpstr>
      <vt:lpstr>'Dinas PPKBPPPA'!Print_Area</vt:lpstr>
      <vt:lpstr>'Dinas PPKBPPPA (cascading baru)'!Print_Area</vt:lpstr>
      <vt:lpstr>'Dinas PPKBPPPA'!Print_Titles</vt:lpstr>
      <vt:lpstr>'Dinas PPKBPPPA (cascading baru)'!Print_Titles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2021-07-27T03:41:23Z</cp:lastPrinted>
  <dcterms:created xsi:type="dcterms:W3CDTF">2020-03-18T05:59:44Z</dcterms:created>
  <dcterms:modified xsi:type="dcterms:W3CDTF">2021-12-27T04:10:07Z</dcterms:modified>
</cp:coreProperties>
</file>