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0730" windowHeight="11160"/>
  </bookViews>
  <sheets>
    <sheet name="Dispera,KPLH" sheetId="1" r:id="rId1"/>
  </sheets>
  <definedNames>
    <definedName name="_xlnm.Print_Area" localSheetId="0">'Dispera,KPLH'!$A$1:$AM$120</definedName>
    <definedName name="_xlnm.Print_Titles" localSheetId="0">'Dispera,KPLH'!$7:$12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6" i="1" l="1"/>
  <c r="W96" i="1"/>
  <c r="T96" i="1"/>
  <c r="Q96" i="1"/>
  <c r="N96" i="1"/>
  <c r="K96" i="1"/>
  <c r="H96" i="1"/>
  <c r="E96" i="1"/>
  <c r="Z92" i="1"/>
  <c r="W92" i="1"/>
  <c r="T92" i="1"/>
  <c r="Q92" i="1"/>
  <c r="N92" i="1"/>
  <c r="K92" i="1"/>
  <c r="H92" i="1"/>
  <c r="E92" i="1"/>
  <c r="Z99" i="1"/>
  <c r="W99" i="1"/>
  <c r="T99" i="1"/>
  <c r="Q99" i="1"/>
  <c r="N99" i="1"/>
  <c r="K99" i="1"/>
  <c r="E99" i="1"/>
  <c r="Z89" i="1"/>
  <c r="Z76" i="1"/>
  <c r="W76" i="1"/>
  <c r="T76" i="1"/>
  <c r="Q76" i="1"/>
  <c r="N76" i="1"/>
  <c r="K76" i="1"/>
  <c r="Z75" i="1"/>
  <c r="AB75" i="1" s="1"/>
  <c r="Z74" i="1"/>
  <c r="AA75" i="1"/>
  <c r="R75" i="1"/>
  <c r="X75" i="1" s="1"/>
  <c r="O75" i="1"/>
  <c r="AH75" i="1" s="1"/>
  <c r="AB77" i="1"/>
  <c r="AB78" i="1"/>
  <c r="W87" i="1"/>
  <c r="AB90" i="1"/>
  <c r="W90" i="1"/>
  <c r="T90" i="1"/>
  <c r="K90" i="1"/>
  <c r="AB93" i="1"/>
  <c r="W93" i="1"/>
  <c r="H93" i="1"/>
  <c r="E93" i="1"/>
  <c r="K93" i="1"/>
  <c r="AB97" i="1"/>
  <c r="Q97" i="1"/>
  <c r="K97" i="1"/>
  <c r="AB98" i="1"/>
  <c r="H97" i="1"/>
  <c r="E97" i="1"/>
  <c r="Z100" i="1"/>
  <c r="W106" i="1"/>
  <c r="T106" i="1"/>
  <c r="Q106" i="1"/>
  <c r="N106" i="1"/>
  <c r="K106" i="1"/>
  <c r="Z114" i="1"/>
  <c r="X113" i="1"/>
  <c r="U113" i="1"/>
  <c r="Z113" i="1"/>
  <c r="AA113" i="1"/>
  <c r="O113" i="1"/>
  <c r="R113" i="1"/>
  <c r="AA108" i="1"/>
  <c r="Z108" i="1"/>
  <c r="AG108" i="1" s="1"/>
  <c r="AB108" i="1" s="1"/>
  <c r="R108" i="1"/>
  <c r="X108" i="1" s="1"/>
  <c r="O108" i="1"/>
  <c r="AH108" i="1" s="1"/>
  <c r="AA109" i="1"/>
  <c r="Z109" i="1"/>
  <c r="AG109" i="1" s="1"/>
  <c r="AB109" i="1" s="1"/>
  <c r="R109" i="1"/>
  <c r="X109" i="1" s="1"/>
  <c r="O109" i="1"/>
  <c r="AH109" i="1" s="1"/>
  <c r="AA110" i="1"/>
  <c r="R110" i="1"/>
  <c r="X110" i="1" s="1"/>
  <c r="O110" i="1"/>
  <c r="U110" i="1" s="1"/>
  <c r="Z91" i="1"/>
  <c r="Z80" i="1"/>
  <c r="Z79" i="1"/>
  <c r="G79" i="1"/>
  <c r="AA82" i="1"/>
  <c r="Z82" i="1"/>
  <c r="AG82" i="1" s="1"/>
  <c r="R82" i="1"/>
  <c r="X82" i="1" s="1"/>
  <c r="O82" i="1"/>
  <c r="AH82" i="1" s="1"/>
  <c r="AA81" i="1"/>
  <c r="Z81" i="1"/>
  <c r="AG81" i="1" s="1"/>
  <c r="R81" i="1"/>
  <c r="X81" i="1" s="1"/>
  <c r="O81" i="1"/>
  <c r="AH81" i="1" s="1"/>
  <c r="AA80" i="1"/>
  <c r="AB80" i="1"/>
  <c r="R80" i="1"/>
  <c r="X80" i="1" s="1"/>
  <c r="O80" i="1"/>
  <c r="AH80" i="1" s="1"/>
  <c r="AA84" i="1"/>
  <c r="Z84" i="1"/>
  <c r="AG84" i="1" s="1"/>
  <c r="R84" i="1"/>
  <c r="X84" i="1" s="1"/>
  <c r="O84" i="1"/>
  <c r="AH84" i="1" s="1"/>
  <c r="AA83" i="1"/>
  <c r="Z83" i="1"/>
  <c r="AG83" i="1" s="1"/>
  <c r="R83" i="1"/>
  <c r="X83" i="1" s="1"/>
  <c r="O83" i="1"/>
  <c r="AH83" i="1" s="1"/>
  <c r="AA85" i="1"/>
  <c r="Z85" i="1"/>
  <c r="AG85" i="1" s="1"/>
  <c r="R85" i="1"/>
  <c r="X85" i="1" s="1"/>
  <c r="O85" i="1"/>
  <c r="AH85" i="1" s="1"/>
  <c r="E69" i="1"/>
  <c r="H69" i="1"/>
  <c r="T57" i="1"/>
  <c r="N57" i="1"/>
  <c r="H57" i="1"/>
  <c r="K57" i="1"/>
  <c r="K58" i="1"/>
  <c r="W44" i="1"/>
  <c r="T44" i="1"/>
  <c r="H44" i="1"/>
  <c r="K44" i="1"/>
  <c r="H70" i="1"/>
  <c r="W70" i="1"/>
  <c r="W69" i="1" s="1"/>
  <c r="T70" i="1"/>
  <c r="T69" i="1" s="1"/>
  <c r="Q70" i="1"/>
  <c r="Q69" i="1" s="1"/>
  <c r="N70" i="1"/>
  <c r="N69" i="1" s="1"/>
  <c r="K70" i="1"/>
  <c r="K69" i="1" s="1"/>
  <c r="E45" i="1"/>
  <c r="H45" i="1"/>
  <c r="E58" i="1"/>
  <c r="E57" i="1" s="1"/>
  <c r="W58" i="1"/>
  <c r="W57" i="1" s="1"/>
  <c r="Q58" i="1"/>
  <c r="Q57" i="1" s="1"/>
  <c r="H58" i="1"/>
  <c r="W45" i="1"/>
  <c r="Z45" i="1" s="1"/>
  <c r="K45" i="1"/>
  <c r="G71" i="1"/>
  <c r="AA72" i="1"/>
  <c r="Z72" i="1"/>
  <c r="AG72" i="1" s="1"/>
  <c r="AB72" i="1" s="1"/>
  <c r="R72" i="1"/>
  <c r="X72" i="1" s="1"/>
  <c r="O72" i="1"/>
  <c r="AH72" i="1" s="1"/>
  <c r="AA73" i="1"/>
  <c r="Z73" i="1"/>
  <c r="R73" i="1"/>
  <c r="X73" i="1" s="1"/>
  <c r="O73" i="1"/>
  <c r="AH73" i="1" s="1"/>
  <c r="AA61" i="1"/>
  <c r="Z61" i="1"/>
  <c r="AG61" i="1" s="1"/>
  <c r="AB61" i="1" s="1"/>
  <c r="R61" i="1"/>
  <c r="X61" i="1" s="1"/>
  <c r="O61" i="1"/>
  <c r="AH61" i="1" s="1"/>
  <c r="AA60" i="1"/>
  <c r="Z60" i="1"/>
  <c r="AG60" i="1" s="1"/>
  <c r="AB60" i="1" s="1"/>
  <c r="R60" i="1"/>
  <c r="X60" i="1" s="1"/>
  <c r="O60" i="1"/>
  <c r="AH60" i="1" s="1"/>
  <c r="AA63" i="1"/>
  <c r="Z63" i="1"/>
  <c r="AG63" i="1" s="1"/>
  <c r="AB63" i="1" s="1"/>
  <c r="AD63" i="1"/>
  <c r="R63" i="1"/>
  <c r="X63" i="1" s="1"/>
  <c r="O63" i="1"/>
  <c r="AH63" i="1" s="1"/>
  <c r="AA62" i="1"/>
  <c r="Z62" i="1"/>
  <c r="AG62" i="1" s="1"/>
  <c r="AB62" i="1" s="1"/>
  <c r="AD62" i="1"/>
  <c r="R62" i="1"/>
  <c r="X62" i="1" s="1"/>
  <c r="O62" i="1"/>
  <c r="U62" i="1" s="1"/>
  <c r="AD65" i="1"/>
  <c r="AA65" i="1"/>
  <c r="Z65" i="1"/>
  <c r="AG65" i="1" s="1"/>
  <c r="AB65" i="1" s="1"/>
  <c r="R65" i="1"/>
  <c r="X65" i="1" s="1"/>
  <c r="O65" i="1"/>
  <c r="AH65" i="1" s="1"/>
  <c r="AA64" i="1"/>
  <c r="Z64" i="1"/>
  <c r="AG64" i="1" s="1"/>
  <c r="AB64" i="1" s="1"/>
  <c r="AD64" i="1"/>
  <c r="R64" i="1"/>
  <c r="X64" i="1" s="1"/>
  <c r="O64" i="1"/>
  <c r="U64" i="1" s="1"/>
  <c r="AD66" i="1"/>
  <c r="AA66" i="1"/>
  <c r="Z66" i="1"/>
  <c r="AG66" i="1" s="1"/>
  <c r="AB66" i="1" s="1"/>
  <c r="R66" i="1"/>
  <c r="X66" i="1" s="1"/>
  <c r="O66" i="1"/>
  <c r="AH66" i="1" s="1"/>
  <c r="AA67" i="1"/>
  <c r="Z67" i="1"/>
  <c r="AG67" i="1" s="1"/>
  <c r="AB67" i="1" s="1"/>
  <c r="AD67" i="1"/>
  <c r="R67" i="1"/>
  <c r="X67" i="1" s="1"/>
  <c r="O67" i="1"/>
  <c r="AH67" i="1" s="1"/>
  <c r="AA68" i="1"/>
  <c r="Z68" i="1"/>
  <c r="AG68" i="1" s="1"/>
  <c r="AB68" i="1" s="1"/>
  <c r="AD68" i="1"/>
  <c r="R68" i="1"/>
  <c r="X68" i="1" s="1"/>
  <c r="O68" i="1"/>
  <c r="AH68" i="1" s="1"/>
  <c r="Z56" i="1"/>
  <c r="G47" i="1"/>
  <c r="O47" i="1"/>
  <c r="U47" i="1" s="1"/>
  <c r="R47" i="1"/>
  <c r="O48" i="1"/>
  <c r="U48" i="1" s="1"/>
  <c r="R48" i="1"/>
  <c r="X48" i="1" s="1"/>
  <c r="O49" i="1"/>
  <c r="U49" i="1" s="1"/>
  <c r="R49" i="1"/>
  <c r="X49" i="1" s="1"/>
  <c r="O50" i="1"/>
  <c r="U50" i="1" s="1"/>
  <c r="R50" i="1"/>
  <c r="X50" i="1" s="1"/>
  <c r="O51" i="1"/>
  <c r="U51" i="1" s="1"/>
  <c r="R51" i="1"/>
  <c r="X51" i="1" s="1"/>
  <c r="O52" i="1"/>
  <c r="U52" i="1" s="1"/>
  <c r="R52" i="1"/>
  <c r="X52" i="1" s="1"/>
  <c r="O53" i="1"/>
  <c r="U53" i="1" s="1"/>
  <c r="R53" i="1"/>
  <c r="X53" i="1" s="1"/>
  <c r="O54" i="1"/>
  <c r="U54" i="1" s="1"/>
  <c r="R54" i="1"/>
  <c r="X54" i="1" s="1"/>
  <c r="O55" i="1"/>
  <c r="U55" i="1" s="1"/>
  <c r="R55" i="1"/>
  <c r="X55" i="1" s="1"/>
  <c r="AA48" i="1"/>
  <c r="Z48" i="1"/>
  <c r="AG48" i="1" s="1"/>
  <c r="AB48" i="1" s="1"/>
  <c r="AA52" i="1"/>
  <c r="Z52" i="1"/>
  <c r="AG52" i="1" s="1"/>
  <c r="AB52" i="1" s="1"/>
  <c r="AA51" i="1"/>
  <c r="Z51" i="1"/>
  <c r="AA50" i="1"/>
  <c r="Z50" i="1"/>
  <c r="AG50" i="1" s="1"/>
  <c r="AB50" i="1" s="1"/>
  <c r="AA49" i="1"/>
  <c r="Z49" i="1"/>
  <c r="AA54" i="1"/>
  <c r="Z54" i="1"/>
  <c r="AG54" i="1" s="1"/>
  <c r="AB54" i="1" s="1"/>
  <c r="AA53" i="1"/>
  <c r="Z53" i="1"/>
  <c r="AA55" i="1"/>
  <c r="Z55" i="1"/>
  <c r="AG75" i="1" l="1"/>
  <c r="U75" i="1"/>
  <c r="U108" i="1"/>
  <c r="U109" i="1"/>
  <c r="U72" i="1"/>
  <c r="U83" i="1"/>
  <c r="AB83" i="1"/>
  <c r="AG80" i="1"/>
  <c r="U81" i="1"/>
  <c r="AB81" i="1"/>
  <c r="U80" i="1"/>
  <c r="U82" i="1"/>
  <c r="AB82" i="1"/>
  <c r="U84" i="1"/>
  <c r="AB84" i="1"/>
  <c r="U85" i="1"/>
  <c r="AB85" i="1"/>
  <c r="AG73" i="1"/>
  <c r="AB73" i="1" s="1"/>
  <c r="U73" i="1"/>
  <c r="U66" i="1"/>
  <c r="U60" i="1"/>
  <c r="AH64" i="1"/>
  <c r="AH62" i="1"/>
  <c r="U61" i="1"/>
  <c r="U63" i="1"/>
  <c r="U65" i="1"/>
  <c r="U67" i="1"/>
  <c r="U68" i="1"/>
  <c r="AG55" i="1"/>
  <c r="AB55" i="1" s="1"/>
  <c r="AG51" i="1"/>
  <c r="AB51" i="1" s="1"/>
  <c r="AH50" i="1"/>
  <c r="AH52" i="1"/>
  <c r="AH48" i="1"/>
  <c r="AH54" i="1"/>
  <c r="AH55" i="1"/>
  <c r="AG53" i="1"/>
  <c r="AB53" i="1" s="1"/>
  <c r="AG49" i="1"/>
  <c r="AB49" i="1" s="1"/>
  <c r="AH49" i="1"/>
  <c r="AH51" i="1"/>
  <c r="AH53" i="1"/>
  <c r="Y19" i="1" l="1"/>
  <c r="W42" i="1"/>
  <c r="T42" i="1"/>
  <c r="T40" i="1" s="1"/>
  <c r="Y18" i="1" l="1"/>
  <c r="Y17" i="1" s="1"/>
  <c r="Y106" i="1"/>
  <c r="Y103" i="1" s="1"/>
  <c r="W103" i="1"/>
  <c r="Y100" i="1"/>
  <c r="Y99" i="1" s="1"/>
  <c r="Y97" i="1"/>
  <c r="Y96" i="1" s="1"/>
  <c r="Y93" i="1"/>
  <c r="Y92" i="1" s="1"/>
  <c r="Y90" i="1"/>
  <c r="Y89" i="1" s="1"/>
  <c r="Y87" i="1"/>
  <c r="Y74" i="1" s="1"/>
  <c r="Y77" i="1"/>
  <c r="Y70" i="1"/>
  <c r="Y69" i="1" s="1"/>
  <c r="Y58" i="1"/>
  <c r="Y57" i="1" s="1"/>
  <c r="Y45" i="1"/>
  <c r="Y44" i="1" s="1"/>
  <c r="Y42" i="1"/>
  <c r="Y40" i="1" s="1"/>
  <c r="W41" i="1"/>
  <c r="W40" i="1"/>
  <c r="Y36" i="1"/>
  <c r="Y32" i="1"/>
  <c r="Y25" i="1"/>
  <c r="Y20" i="1"/>
  <c r="W17" i="1"/>
  <c r="Y16" i="1" l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Z110" i="1" l="1"/>
  <c r="AB110" i="1" s="1"/>
  <c r="Z101" i="1"/>
  <c r="G43" i="1" l="1"/>
  <c r="G46" i="1"/>
  <c r="G59" i="1"/>
  <c r="T103" i="1"/>
  <c r="Q103" i="1"/>
  <c r="E106" i="1"/>
  <c r="G112" i="1"/>
  <c r="Z112" i="1"/>
  <c r="Z111" i="1"/>
  <c r="Z107" i="1"/>
  <c r="G111" i="1"/>
  <c r="G107" i="1"/>
  <c r="G98" i="1"/>
  <c r="G95" i="1"/>
  <c r="G94" i="1"/>
  <c r="E94" i="1"/>
  <c r="E95" i="1"/>
  <c r="G91" i="1"/>
  <c r="V77" i="1"/>
  <c r="P77" i="1"/>
  <c r="M77" i="1"/>
  <c r="J77" i="1"/>
  <c r="AA77" i="1"/>
  <c r="Z77" i="1"/>
  <c r="AG77" i="1" s="1"/>
  <c r="R77" i="1"/>
  <c r="X77" i="1" s="1"/>
  <c r="O77" i="1"/>
  <c r="AH77" i="1" s="1"/>
  <c r="G77" i="1"/>
  <c r="G88" i="1"/>
  <c r="E88" i="1"/>
  <c r="AA79" i="1"/>
  <c r="AG79" i="1"/>
  <c r="S77" i="1"/>
  <c r="R79" i="1"/>
  <c r="X79" i="1" s="1"/>
  <c r="O79" i="1"/>
  <c r="AH79" i="1" s="1"/>
  <c r="O76" i="1"/>
  <c r="U76" i="1" s="1"/>
  <c r="R76" i="1"/>
  <c r="X76" i="1" s="1"/>
  <c r="AA76" i="1"/>
  <c r="AB76" i="1" l="1"/>
  <c r="W104" i="1"/>
  <c r="W105" i="1"/>
  <c r="N103" i="1"/>
  <c r="AH76" i="1"/>
  <c r="AD79" i="1"/>
  <c r="AI79" i="1" s="1"/>
  <c r="AD77" i="1"/>
  <c r="U79" i="1"/>
  <c r="AB79" i="1"/>
  <c r="U77" i="1"/>
  <c r="AG76" i="1"/>
  <c r="AE79" i="1" l="1"/>
  <c r="AE77" i="1"/>
  <c r="AI77" i="1"/>
  <c r="AA56" i="1" l="1"/>
  <c r="AG56" i="1"/>
  <c r="R56" i="1"/>
  <c r="X56" i="1" s="1"/>
  <c r="O56" i="1"/>
  <c r="U56" i="1" s="1"/>
  <c r="AD46" i="1"/>
  <c r="AI46" i="1" s="1"/>
  <c r="AA46" i="1"/>
  <c r="Z46" i="1"/>
  <c r="AG46" i="1" s="1"/>
  <c r="R46" i="1"/>
  <c r="X46" i="1" s="1"/>
  <c r="O46" i="1"/>
  <c r="U46" i="1" s="1"/>
  <c r="E46" i="1"/>
  <c r="T41" i="1"/>
  <c r="K42" i="1"/>
  <c r="V100" i="1"/>
  <c r="V99" i="1" s="1"/>
  <c r="V97" i="1"/>
  <c r="V96" i="1" s="1"/>
  <c r="V70" i="1"/>
  <c r="V69" i="1" s="1"/>
  <c r="V58" i="1"/>
  <c r="V57" i="1" s="1"/>
  <c r="V45" i="1"/>
  <c r="V44" i="1" s="1"/>
  <c r="V42" i="1"/>
  <c r="V40" i="1" s="1"/>
  <c r="T17" i="1"/>
  <c r="E43" i="1"/>
  <c r="E42" i="1" s="1"/>
  <c r="Q90" i="1"/>
  <c r="E90" i="1"/>
  <c r="H90" i="1"/>
  <c r="E101" i="1"/>
  <c r="Z103" i="1"/>
  <c r="Z106" i="1"/>
  <c r="AB107" i="1"/>
  <c r="AH104" i="1"/>
  <c r="AH105" i="1"/>
  <c r="AH110" i="1"/>
  <c r="AB56" i="1" l="1"/>
  <c r="AH56" i="1"/>
  <c r="AE46" i="1"/>
  <c r="AB46" i="1"/>
  <c r="AH46" i="1"/>
  <c r="AG110" i="1"/>
  <c r="G114" i="1"/>
  <c r="G102" i="1"/>
  <c r="G101" i="1"/>
  <c r="G97" i="1"/>
  <c r="G96" i="1" s="1"/>
  <c r="G93" i="1"/>
  <c r="G92" i="1" s="1"/>
  <c r="G90" i="1"/>
  <c r="G89" i="1" s="1"/>
  <c r="G87" i="1"/>
  <c r="G70" i="1"/>
  <c r="G69" i="1" s="1"/>
  <c r="G58" i="1"/>
  <c r="G57" i="1" s="1"/>
  <c r="G45" i="1"/>
  <c r="G44" i="1" s="1"/>
  <c r="G42" i="1"/>
  <c r="G40" i="1" s="1"/>
  <c r="G39" i="1"/>
  <c r="G38" i="1"/>
  <c r="G37" i="1"/>
  <c r="G35" i="1"/>
  <c r="G34" i="1"/>
  <c r="G33" i="1"/>
  <c r="G31" i="1"/>
  <c r="G30" i="1"/>
  <c r="G29" i="1"/>
  <c r="G28" i="1"/>
  <c r="G27" i="1"/>
  <c r="G26" i="1"/>
  <c r="G24" i="1"/>
  <c r="G23" i="1"/>
  <c r="G22" i="1"/>
  <c r="G21" i="1"/>
  <c r="G19" i="1"/>
  <c r="G18" i="1"/>
  <c r="G106" i="1" l="1"/>
  <c r="G103" i="1" s="1"/>
  <c r="G100" i="1"/>
  <c r="G99" i="1" s="1"/>
  <c r="G17" i="1"/>
  <c r="G32" i="1"/>
  <c r="G36" i="1"/>
  <c r="G20" i="1"/>
  <c r="G25" i="1"/>
  <c r="G74" i="1"/>
  <c r="AA105" i="1"/>
  <c r="AA104" i="1"/>
  <c r="AB111" i="1"/>
  <c r="AG114" i="1"/>
  <c r="AB114" i="1" s="1"/>
  <c r="K87" i="1"/>
  <c r="H87" i="1"/>
  <c r="E87" i="1"/>
  <c r="G16" i="1" l="1"/>
  <c r="R32" i="1"/>
  <c r="X32" i="1" s="1"/>
  <c r="O32" i="1"/>
  <c r="U32" i="1" s="1"/>
  <c r="H106" i="1" l="1"/>
  <c r="K103" i="1" l="1"/>
  <c r="K104" i="1"/>
  <c r="K105" i="1"/>
  <c r="N104" i="1"/>
  <c r="Z104" i="1" s="1"/>
  <c r="AB104" i="1" s="1"/>
  <c r="T104" i="1"/>
  <c r="T105" i="1"/>
  <c r="Q104" i="1"/>
  <c r="Q105" i="1"/>
  <c r="N105" i="1"/>
  <c r="H103" i="1"/>
  <c r="H104" i="1"/>
  <c r="H105" i="1"/>
  <c r="E103" i="1"/>
  <c r="E105" i="1"/>
  <c r="E104" i="1"/>
  <c r="AA41" i="1"/>
  <c r="Z41" i="1"/>
  <c r="O41" i="1"/>
  <c r="R41" i="1"/>
  <c r="X41" i="1" s="1"/>
  <c r="S114" i="1"/>
  <c r="AG104" i="1" l="1"/>
  <c r="Z105" i="1"/>
  <c r="AB105" i="1" s="1"/>
  <c r="AH41" i="1"/>
  <c r="U41" i="1"/>
  <c r="AD114" i="1"/>
  <c r="AB41" i="1"/>
  <c r="AG41" i="1"/>
  <c r="AG105" i="1" l="1"/>
  <c r="AE114" i="1"/>
  <c r="AI114" i="1"/>
  <c r="S111" i="1"/>
  <c r="S107" i="1"/>
  <c r="V106" i="1" s="1"/>
  <c r="V103" i="1" s="1"/>
  <c r="S100" i="1"/>
  <c r="S99" i="1" s="1"/>
  <c r="S97" i="1"/>
  <c r="S96" i="1" s="1"/>
  <c r="V93" i="1"/>
  <c r="V92" i="1" s="1"/>
  <c r="S70" i="1"/>
  <c r="S69" i="1" s="1"/>
  <c r="S59" i="1"/>
  <c r="S58" i="1" s="1"/>
  <c r="S57" i="1" s="1"/>
  <c r="S45" i="1"/>
  <c r="S44" i="1" s="1"/>
  <c r="S42" i="1"/>
  <c r="S40" i="1" s="1"/>
  <c r="S90" i="1" l="1"/>
  <c r="S89" i="1" s="1"/>
  <c r="V90" i="1"/>
  <c r="V89" i="1" s="1"/>
  <c r="S87" i="1"/>
  <c r="V87" i="1"/>
  <c r="V74" i="1" s="1"/>
  <c r="S106" i="1"/>
  <c r="S103" i="1" s="1"/>
  <c r="S93" i="1"/>
  <c r="S92" i="1" s="1"/>
  <c r="S31" i="1"/>
  <c r="AP24" i="1"/>
  <c r="V36" i="1" l="1"/>
  <c r="S74" i="1"/>
  <c r="V25" i="1"/>
  <c r="V32" i="1"/>
  <c r="S20" i="1"/>
  <c r="V20" i="1"/>
  <c r="S17" i="1"/>
  <c r="V17" i="1"/>
  <c r="S32" i="1"/>
  <c r="S36" i="1"/>
  <c r="S25" i="1"/>
  <c r="Q17" i="1"/>
  <c r="V16" i="1" l="1"/>
  <c r="S16" i="1"/>
  <c r="R17" i="1"/>
  <c r="X17" i="1" s="1"/>
  <c r="R18" i="1"/>
  <c r="X18" i="1" s="1"/>
  <c r="R19" i="1"/>
  <c r="X19" i="1" s="1"/>
  <c r="R20" i="1"/>
  <c r="X20" i="1" s="1"/>
  <c r="R21" i="1"/>
  <c r="X21" i="1" s="1"/>
  <c r="R22" i="1"/>
  <c r="X22" i="1" s="1"/>
  <c r="R23" i="1"/>
  <c r="X23" i="1" s="1"/>
  <c r="R24" i="1"/>
  <c r="X24" i="1" s="1"/>
  <c r="R25" i="1"/>
  <c r="X25" i="1" s="1"/>
  <c r="R26" i="1"/>
  <c r="X26" i="1" s="1"/>
  <c r="R27" i="1"/>
  <c r="X27" i="1" s="1"/>
  <c r="R28" i="1"/>
  <c r="X28" i="1" s="1"/>
  <c r="R29" i="1"/>
  <c r="X29" i="1" s="1"/>
  <c r="R30" i="1"/>
  <c r="X30" i="1" s="1"/>
  <c r="R31" i="1"/>
  <c r="X31" i="1" s="1"/>
  <c r="R33" i="1"/>
  <c r="X33" i="1" s="1"/>
  <c r="R34" i="1"/>
  <c r="X34" i="1" s="1"/>
  <c r="R35" i="1"/>
  <c r="X35" i="1" s="1"/>
  <c r="R36" i="1"/>
  <c r="X36" i="1" s="1"/>
  <c r="R37" i="1"/>
  <c r="X37" i="1" s="1"/>
  <c r="R38" i="1"/>
  <c r="X38" i="1" s="1"/>
  <c r="R39" i="1"/>
  <c r="X39" i="1" s="1"/>
  <c r="R40" i="1"/>
  <c r="X40" i="1" s="1"/>
  <c r="R42" i="1"/>
  <c r="X42" i="1" s="1"/>
  <c r="R43" i="1"/>
  <c r="X43" i="1" s="1"/>
  <c r="R44" i="1"/>
  <c r="X44" i="1" s="1"/>
  <c r="R45" i="1"/>
  <c r="X45" i="1" s="1"/>
  <c r="X47" i="1"/>
  <c r="R57" i="1"/>
  <c r="X57" i="1" s="1"/>
  <c r="R58" i="1"/>
  <c r="X58" i="1" s="1"/>
  <c r="R59" i="1"/>
  <c r="X59" i="1" s="1"/>
  <c r="R69" i="1"/>
  <c r="X69" i="1" s="1"/>
  <c r="R70" i="1"/>
  <c r="X70" i="1" s="1"/>
  <c r="R71" i="1"/>
  <c r="X71" i="1" s="1"/>
  <c r="R74" i="1"/>
  <c r="X74" i="1" s="1"/>
  <c r="R78" i="1"/>
  <c r="X78" i="1" s="1"/>
  <c r="R86" i="1"/>
  <c r="X86" i="1" s="1"/>
  <c r="R87" i="1"/>
  <c r="X87" i="1" s="1"/>
  <c r="R88" i="1"/>
  <c r="X88" i="1" s="1"/>
  <c r="R89" i="1"/>
  <c r="X89" i="1" s="1"/>
  <c r="R90" i="1"/>
  <c r="X90" i="1" s="1"/>
  <c r="R91" i="1"/>
  <c r="X91" i="1" s="1"/>
  <c r="R92" i="1"/>
  <c r="X92" i="1" s="1"/>
  <c r="R93" i="1"/>
  <c r="X93" i="1" s="1"/>
  <c r="R94" i="1"/>
  <c r="X94" i="1" s="1"/>
  <c r="R95" i="1"/>
  <c r="X95" i="1" s="1"/>
  <c r="R96" i="1"/>
  <c r="X96" i="1" s="1"/>
  <c r="R97" i="1"/>
  <c r="X97" i="1" s="1"/>
  <c r="R98" i="1"/>
  <c r="X98" i="1" s="1"/>
  <c r="R99" i="1"/>
  <c r="X99" i="1" s="1"/>
  <c r="R100" i="1"/>
  <c r="X100" i="1" s="1"/>
  <c r="R101" i="1"/>
  <c r="X101" i="1" s="1"/>
  <c r="R102" i="1"/>
  <c r="X102" i="1" s="1"/>
  <c r="R107" i="1"/>
  <c r="X107" i="1" s="1"/>
  <c r="R111" i="1"/>
  <c r="X111" i="1" s="1"/>
  <c r="R112" i="1"/>
  <c r="X112" i="1" s="1"/>
  <c r="R16" i="1"/>
  <c r="X16" i="1" s="1"/>
  <c r="O17" i="1"/>
  <c r="U17" i="1" s="1"/>
  <c r="O18" i="1"/>
  <c r="U18" i="1" s="1"/>
  <c r="O19" i="1"/>
  <c r="U19" i="1" s="1"/>
  <c r="O20" i="1"/>
  <c r="U20" i="1" s="1"/>
  <c r="O21" i="1"/>
  <c r="U21" i="1" s="1"/>
  <c r="O22" i="1"/>
  <c r="U22" i="1" s="1"/>
  <c r="O23" i="1"/>
  <c r="U23" i="1" s="1"/>
  <c r="O24" i="1"/>
  <c r="U24" i="1" s="1"/>
  <c r="O25" i="1"/>
  <c r="U25" i="1" s="1"/>
  <c r="O26" i="1"/>
  <c r="U26" i="1" s="1"/>
  <c r="O27" i="1"/>
  <c r="U27" i="1" s="1"/>
  <c r="O28" i="1"/>
  <c r="U28" i="1" s="1"/>
  <c r="O29" i="1"/>
  <c r="U29" i="1" s="1"/>
  <c r="O30" i="1"/>
  <c r="U30" i="1" s="1"/>
  <c r="O31" i="1"/>
  <c r="U31" i="1" s="1"/>
  <c r="O33" i="1"/>
  <c r="U33" i="1" s="1"/>
  <c r="O34" i="1"/>
  <c r="U34" i="1" s="1"/>
  <c r="O35" i="1"/>
  <c r="U35" i="1" s="1"/>
  <c r="O36" i="1"/>
  <c r="U36" i="1" s="1"/>
  <c r="O37" i="1"/>
  <c r="U37" i="1" s="1"/>
  <c r="O38" i="1"/>
  <c r="U38" i="1" s="1"/>
  <c r="O39" i="1"/>
  <c r="U39" i="1" s="1"/>
  <c r="O40" i="1"/>
  <c r="U40" i="1" s="1"/>
  <c r="O42" i="1"/>
  <c r="U42" i="1" s="1"/>
  <c r="O43" i="1"/>
  <c r="U43" i="1" s="1"/>
  <c r="O44" i="1"/>
  <c r="U44" i="1" s="1"/>
  <c r="O45" i="1"/>
  <c r="U45" i="1" s="1"/>
  <c r="O57" i="1"/>
  <c r="U57" i="1" s="1"/>
  <c r="O58" i="1"/>
  <c r="U58" i="1" s="1"/>
  <c r="O59" i="1"/>
  <c r="U59" i="1" s="1"/>
  <c r="O69" i="1"/>
  <c r="U69" i="1" s="1"/>
  <c r="O70" i="1"/>
  <c r="U70" i="1" s="1"/>
  <c r="O71" i="1"/>
  <c r="U71" i="1" s="1"/>
  <c r="O74" i="1"/>
  <c r="U74" i="1" s="1"/>
  <c r="O78" i="1"/>
  <c r="U78" i="1" s="1"/>
  <c r="O86" i="1"/>
  <c r="U86" i="1" s="1"/>
  <c r="O87" i="1"/>
  <c r="U87" i="1" s="1"/>
  <c r="O88" i="1"/>
  <c r="U88" i="1" s="1"/>
  <c r="O89" i="1"/>
  <c r="U89" i="1" s="1"/>
  <c r="O90" i="1"/>
  <c r="U90" i="1" s="1"/>
  <c r="O91" i="1"/>
  <c r="U91" i="1" s="1"/>
  <c r="O92" i="1"/>
  <c r="U92" i="1" s="1"/>
  <c r="O93" i="1"/>
  <c r="U93" i="1" s="1"/>
  <c r="O94" i="1"/>
  <c r="U94" i="1" s="1"/>
  <c r="O95" i="1"/>
  <c r="U95" i="1" s="1"/>
  <c r="O96" i="1"/>
  <c r="U96" i="1" s="1"/>
  <c r="O97" i="1"/>
  <c r="U97" i="1" s="1"/>
  <c r="O98" i="1"/>
  <c r="U98" i="1" s="1"/>
  <c r="O99" i="1"/>
  <c r="U99" i="1" s="1"/>
  <c r="O100" i="1"/>
  <c r="U100" i="1" s="1"/>
  <c r="O101" i="1"/>
  <c r="U101" i="1" s="1"/>
  <c r="O102" i="1"/>
  <c r="U102" i="1" s="1"/>
  <c r="O107" i="1"/>
  <c r="U107" i="1" s="1"/>
  <c r="O111" i="1"/>
  <c r="U111" i="1" s="1"/>
  <c r="O112" i="1"/>
  <c r="U112" i="1" s="1"/>
  <c r="O16" i="1"/>
  <c r="U16" i="1" s="1"/>
  <c r="AH112" i="1" l="1"/>
  <c r="AD112" i="1"/>
  <c r="AI112" i="1" s="1"/>
  <c r="AA112" i="1"/>
  <c r="AG112" i="1"/>
  <c r="AB112" i="1" s="1"/>
  <c r="AH111" i="1"/>
  <c r="AD111" i="1"/>
  <c r="AI111" i="1" s="1"/>
  <c r="AA111" i="1"/>
  <c r="AG111" i="1"/>
  <c r="AH107" i="1"/>
  <c r="AD107" i="1"/>
  <c r="AI107" i="1" s="1"/>
  <c r="AA107" i="1"/>
  <c r="AG107" i="1"/>
  <c r="AH106" i="1"/>
  <c r="AA106" i="1"/>
  <c r="AG106" i="1"/>
  <c r="AH103" i="1"/>
  <c r="AA103" i="1"/>
  <c r="AG103" i="1"/>
  <c r="AH102" i="1"/>
  <c r="AD102" i="1"/>
  <c r="AI102" i="1" s="1"/>
  <c r="AA102" i="1"/>
  <c r="Z102" i="1"/>
  <c r="AB102" i="1" s="1"/>
  <c r="AH101" i="1"/>
  <c r="AD101" i="1"/>
  <c r="AI101" i="1" s="1"/>
  <c r="AA101" i="1"/>
  <c r="AB101" i="1"/>
  <c r="AH100" i="1"/>
  <c r="AA100" i="1"/>
  <c r="AB100" i="1"/>
  <c r="AH99" i="1"/>
  <c r="AA99" i="1"/>
  <c r="AB99" i="1"/>
  <c r="AH98" i="1"/>
  <c r="AD98" i="1"/>
  <c r="AI98" i="1" s="1"/>
  <c r="AA98" i="1"/>
  <c r="Z98" i="1"/>
  <c r="AH97" i="1"/>
  <c r="AA97" i="1"/>
  <c r="Z97" i="1"/>
  <c r="AH96" i="1"/>
  <c r="AA96" i="1"/>
  <c r="AG96" i="1"/>
  <c r="AB96" i="1" s="1"/>
  <c r="AH95" i="1"/>
  <c r="AD95" i="1"/>
  <c r="AI95" i="1" s="1"/>
  <c r="AA95" i="1"/>
  <c r="Z95" i="1"/>
  <c r="AB95" i="1" s="1"/>
  <c r="AH94" i="1"/>
  <c r="AD94" i="1"/>
  <c r="AI94" i="1" s="1"/>
  <c r="AA94" i="1"/>
  <c r="Z94" i="1"/>
  <c r="AB94" i="1" s="1"/>
  <c r="AH93" i="1"/>
  <c r="AA93" i="1"/>
  <c r="Z93" i="1"/>
  <c r="AG93" i="1" s="1"/>
  <c r="AH92" i="1"/>
  <c r="AA92" i="1"/>
  <c r="AG92" i="1"/>
  <c r="AB92" i="1" s="1"/>
  <c r="AH91" i="1"/>
  <c r="AD91" i="1"/>
  <c r="AI91" i="1" s="1"/>
  <c r="AA91" i="1"/>
  <c r="AH90" i="1"/>
  <c r="AA90" i="1"/>
  <c r="Z90" i="1"/>
  <c r="AH89" i="1"/>
  <c r="AA89" i="1"/>
  <c r="AH88" i="1"/>
  <c r="AD88" i="1"/>
  <c r="AI88" i="1" s="1"/>
  <c r="AA88" i="1"/>
  <c r="Z88" i="1"/>
  <c r="AB88" i="1" s="1"/>
  <c r="AH87" i="1"/>
  <c r="AA87" i="1"/>
  <c r="Z87" i="1"/>
  <c r="AH86" i="1"/>
  <c r="AA86" i="1"/>
  <c r="Z86" i="1"/>
  <c r="AB86" i="1" s="1"/>
  <c r="AH78" i="1"/>
  <c r="AA78" i="1"/>
  <c r="Z78" i="1"/>
  <c r="AH74" i="1"/>
  <c r="AA74" i="1"/>
  <c r="AB74" i="1"/>
  <c r="AH71" i="1"/>
  <c r="AD71" i="1"/>
  <c r="AI71" i="1" s="1"/>
  <c r="AA71" i="1"/>
  <c r="Z71" i="1"/>
  <c r="AH70" i="1"/>
  <c r="AA70" i="1"/>
  <c r="Z70" i="1"/>
  <c r="AG70" i="1" s="1"/>
  <c r="AB70" i="1" s="1"/>
  <c r="AH69" i="1"/>
  <c r="AA69" i="1"/>
  <c r="Z69" i="1"/>
  <c r="AG69" i="1" s="1"/>
  <c r="AB69" i="1" s="1"/>
  <c r="AH59" i="1"/>
  <c r="AD59" i="1"/>
  <c r="AI59" i="1" s="1"/>
  <c r="AA59" i="1"/>
  <c r="Z59" i="1"/>
  <c r="AH58" i="1"/>
  <c r="AA58" i="1"/>
  <c r="Z58" i="1"/>
  <c r="AH57" i="1"/>
  <c r="AA57" i="1"/>
  <c r="AH47" i="1"/>
  <c r="AD47" i="1"/>
  <c r="AI47" i="1" s="1"/>
  <c r="AA47" i="1"/>
  <c r="Z47" i="1"/>
  <c r="AH45" i="1"/>
  <c r="AA45" i="1"/>
  <c r="AH44" i="1"/>
  <c r="AA44" i="1"/>
  <c r="AH43" i="1"/>
  <c r="AD43" i="1"/>
  <c r="AI43" i="1" s="1"/>
  <c r="AA43" i="1"/>
  <c r="Z43" i="1"/>
  <c r="AB43" i="1" s="1"/>
  <c r="AH42" i="1"/>
  <c r="AA42" i="1"/>
  <c r="Z42" i="1"/>
  <c r="AB42" i="1" s="1"/>
  <c r="AH40" i="1"/>
  <c r="AA40" i="1"/>
  <c r="Z40" i="1"/>
  <c r="AB40" i="1" s="1"/>
  <c r="AH39" i="1"/>
  <c r="AD39" i="1"/>
  <c r="AE39" i="1" s="1"/>
  <c r="AA39" i="1"/>
  <c r="Z39" i="1"/>
  <c r="AB39" i="1" s="1"/>
  <c r="AH38" i="1"/>
  <c r="AD38" i="1"/>
  <c r="AE38" i="1" s="1"/>
  <c r="AA38" i="1"/>
  <c r="Z38" i="1"/>
  <c r="AB38" i="1" s="1"/>
  <c r="AH37" i="1"/>
  <c r="AD37" i="1"/>
  <c r="AE37" i="1" s="1"/>
  <c r="AA37" i="1"/>
  <c r="Z37" i="1"/>
  <c r="AB37" i="1" s="1"/>
  <c r="AH36" i="1"/>
  <c r="AA36" i="1"/>
  <c r="Z36" i="1"/>
  <c r="AB36" i="1" s="1"/>
  <c r="AH35" i="1"/>
  <c r="AD35" i="1"/>
  <c r="AE35" i="1" s="1"/>
  <c r="AA35" i="1"/>
  <c r="Z35" i="1"/>
  <c r="AB35" i="1" s="1"/>
  <c r="AH34" i="1"/>
  <c r="AD34" i="1"/>
  <c r="AE34" i="1" s="1"/>
  <c r="AA34" i="1"/>
  <c r="Z34" i="1"/>
  <c r="AB34" i="1" s="1"/>
  <c r="AH33" i="1"/>
  <c r="AD33" i="1"/>
  <c r="AE33" i="1" s="1"/>
  <c r="AA33" i="1"/>
  <c r="Z33" i="1"/>
  <c r="AB33" i="1" s="1"/>
  <c r="AH32" i="1"/>
  <c r="AA32" i="1"/>
  <c r="Z32" i="1"/>
  <c r="AG32" i="1" s="1"/>
  <c r="AH31" i="1"/>
  <c r="AD31" i="1"/>
  <c r="AI31" i="1" s="1"/>
  <c r="AA31" i="1"/>
  <c r="Z31" i="1"/>
  <c r="AG31" i="1" s="1"/>
  <c r="AH30" i="1"/>
  <c r="AD30" i="1"/>
  <c r="AI30" i="1" s="1"/>
  <c r="AA30" i="1"/>
  <c r="Z30" i="1"/>
  <c r="AG30" i="1" s="1"/>
  <c r="AH29" i="1"/>
  <c r="AD29" i="1"/>
  <c r="AI29" i="1" s="1"/>
  <c r="AA29" i="1"/>
  <c r="Z29" i="1"/>
  <c r="AG29" i="1" s="1"/>
  <c r="AH28" i="1"/>
  <c r="AD28" i="1"/>
  <c r="AI28" i="1" s="1"/>
  <c r="AA28" i="1"/>
  <c r="Z28" i="1"/>
  <c r="AG28" i="1" s="1"/>
  <c r="AH27" i="1"/>
  <c r="AD27" i="1"/>
  <c r="AI27" i="1" s="1"/>
  <c r="AA27" i="1"/>
  <c r="Z27" i="1"/>
  <c r="AG27" i="1" s="1"/>
  <c r="AH26" i="1"/>
  <c r="AD26" i="1"/>
  <c r="AI26" i="1" s="1"/>
  <c r="AA26" i="1"/>
  <c r="Z26" i="1"/>
  <c r="AG26" i="1" s="1"/>
  <c r="AH25" i="1"/>
  <c r="AA25" i="1"/>
  <c r="Z25" i="1"/>
  <c r="AG25" i="1" s="1"/>
  <c r="AH24" i="1"/>
  <c r="AD24" i="1"/>
  <c r="AI24" i="1" s="1"/>
  <c r="AA24" i="1"/>
  <c r="Z24" i="1"/>
  <c r="AG24" i="1" s="1"/>
  <c r="AH23" i="1"/>
  <c r="AD23" i="1"/>
  <c r="AI23" i="1" s="1"/>
  <c r="AA23" i="1"/>
  <c r="Z23" i="1"/>
  <c r="AG23" i="1" s="1"/>
  <c r="AH22" i="1"/>
  <c r="AD22" i="1"/>
  <c r="AI22" i="1" s="1"/>
  <c r="AA22" i="1"/>
  <c r="Z22" i="1"/>
  <c r="AG22" i="1" s="1"/>
  <c r="AH21" i="1"/>
  <c r="AD21" i="1"/>
  <c r="AI21" i="1" s="1"/>
  <c r="AA21" i="1"/>
  <c r="Z21" i="1"/>
  <c r="AG21" i="1" s="1"/>
  <c r="AH20" i="1"/>
  <c r="AA20" i="1"/>
  <c r="AH19" i="1"/>
  <c r="AD19" i="1"/>
  <c r="AI19" i="1" s="1"/>
  <c r="AA19" i="1"/>
  <c r="Z19" i="1"/>
  <c r="AG19" i="1" s="1"/>
  <c r="AH18" i="1"/>
  <c r="AD18" i="1"/>
  <c r="AI18" i="1" s="1"/>
  <c r="AA18" i="1"/>
  <c r="Z18" i="1"/>
  <c r="AG18" i="1" s="1"/>
  <c r="AH17" i="1"/>
  <c r="AA17" i="1"/>
  <c r="AH16" i="1"/>
  <c r="AA16" i="1"/>
  <c r="Z16" i="1"/>
  <c r="AG16" i="1" s="1"/>
  <c r="AI37" i="1" l="1"/>
  <c r="AI33" i="1"/>
  <c r="AE31" i="1"/>
  <c r="AE26" i="1"/>
  <c r="AE23" i="1"/>
  <c r="AE22" i="1"/>
  <c r="AE19" i="1"/>
  <c r="AE18" i="1"/>
  <c r="AG34" i="1"/>
  <c r="AG87" i="1"/>
  <c r="AB87" i="1" s="1"/>
  <c r="AG40" i="1"/>
  <c r="AE27" i="1"/>
  <c r="AG36" i="1"/>
  <c r="AI39" i="1"/>
  <c r="AG58" i="1"/>
  <c r="AB58" i="1" s="1"/>
  <c r="AG71" i="1"/>
  <c r="AB71" i="1" s="1"/>
  <c r="AG74" i="1"/>
  <c r="AG88" i="1"/>
  <c r="AE107" i="1"/>
  <c r="AE30" i="1"/>
  <c r="AI35" i="1"/>
  <c r="AG59" i="1"/>
  <c r="AB59" i="1" s="1"/>
  <c r="AG99" i="1"/>
  <c r="AG100" i="1"/>
  <c r="AG38" i="1"/>
  <c r="AG91" i="1"/>
  <c r="AB91" i="1" s="1"/>
  <c r="AG95" i="1"/>
  <c r="AE24" i="1"/>
  <c r="AE28" i="1"/>
  <c r="AE111" i="1"/>
  <c r="AE21" i="1"/>
  <c r="AE29" i="1"/>
  <c r="AG33" i="1"/>
  <c r="AI34" i="1"/>
  <c r="AG35" i="1"/>
  <c r="AG37" i="1"/>
  <c r="AI38" i="1"/>
  <c r="AG39" i="1"/>
  <c r="AG42" i="1"/>
  <c r="AG47" i="1"/>
  <c r="AB47" i="1" s="1"/>
  <c r="AG78" i="1"/>
  <c r="AG97" i="1"/>
  <c r="AG101" i="1"/>
  <c r="AE112" i="1"/>
  <c r="AG43" i="1"/>
  <c r="AG86" i="1"/>
  <c r="AG90" i="1"/>
  <c r="AG94" i="1"/>
  <c r="AG98" i="1"/>
  <c r="AG102" i="1"/>
  <c r="AB18" i="1"/>
  <c r="AB19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E43" i="1"/>
  <c r="AE47" i="1"/>
  <c r="AE59" i="1"/>
  <c r="AE71" i="1"/>
  <c r="AE88" i="1"/>
  <c r="AE91" i="1"/>
  <c r="AE94" i="1"/>
  <c r="AE95" i="1"/>
  <c r="AE98" i="1"/>
  <c r="AE101" i="1"/>
  <c r="AE102" i="1"/>
  <c r="AB103" i="1"/>
  <c r="AB16" i="1"/>
  <c r="AB106" i="1"/>
  <c r="N20" i="1"/>
  <c r="Z20" i="1" s="1"/>
  <c r="AG20" i="1" s="1"/>
  <c r="K20" i="1"/>
  <c r="N17" i="1"/>
  <c r="Z17" i="1" s="1"/>
  <c r="AB17" i="1" l="1"/>
  <c r="AG17" i="1"/>
  <c r="AB20" i="1"/>
  <c r="N44" i="1"/>
  <c r="Z44" i="1" s="1"/>
  <c r="AG44" i="1" s="1"/>
  <c r="AB44" i="1" s="1"/>
  <c r="Z57" i="1"/>
  <c r="AG57" i="1" l="1"/>
  <c r="AB57" i="1" s="1"/>
  <c r="AG89" i="1"/>
  <c r="AB89" i="1" s="1"/>
  <c r="AG45" i="1"/>
  <c r="AB45" i="1" s="1"/>
  <c r="P106" i="1"/>
  <c r="P25" i="1"/>
  <c r="AD25" i="1" s="1"/>
  <c r="P20" i="1"/>
  <c r="AD20" i="1" s="1"/>
  <c r="P103" i="1" l="1"/>
  <c r="AD103" i="1" s="1"/>
  <c r="AD106" i="1"/>
  <c r="AI25" i="1"/>
  <c r="AI20" i="1"/>
  <c r="P100" i="1"/>
  <c r="P97" i="1"/>
  <c r="P93" i="1"/>
  <c r="P90" i="1"/>
  <c r="P87" i="1"/>
  <c r="AD87" i="1" s="1"/>
  <c r="P70" i="1"/>
  <c r="P58" i="1"/>
  <c r="P42" i="1"/>
  <c r="P45" i="1"/>
  <c r="P36" i="1"/>
  <c r="AD36" i="1" s="1"/>
  <c r="P32" i="1"/>
  <c r="AD32" i="1" s="1"/>
  <c r="P17" i="1"/>
  <c r="AD17" i="1" s="1"/>
  <c r="M106" i="1"/>
  <c r="M103" i="1" s="1"/>
  <c r="M100" i="1"/>
  <c r="M99" i="1" s="1"/>
  <c r="M97" i="1"/>
  <c r="M96" i="1" s="1"/>
  <c r="M93" i="1"/>
  <c r="M92" i="1" s="1"/>
  <c r="M90" i="1"/>
  <c r="M89" i="1" s="1"/>
  <c r="M87" i="1"/>
  <c r="M70" i="1"/>
  <c r="M69" i="1" s="1"/>
  <c r="M58" i="1"/>
  <c r="M57" i="1" s="1"/>
  <c r="M42" i="1"/>
  <c r="M40" i="1" s="1"/>
  <c r="M17" i="1"/>
  <c r="M20" i="1"/>
  <c r="AE20" i="1" s="1"/>
  <c r="M25" i="1"/>
  <c r="AE25" i="1" s="1"/>
  <c r="M32" i="1"/>
  <c r="M36" i="1"/>
  <c r="M45" i="1"/>
  <c r="M44" i="1" s="1"/>
  <c r="AE87" i="1" l="1"/>
  <c r="AI87" i="1"/>
  <c r="M74" i="1"/>
  <c r="AI106" i="1"/>
  <c r="AE106" i="1"/>
  <c r="P44" i="1"/>
  <c r="AD44" i="1" s="1"/>
  <c r="AD45" i="1"/>
  <c r="P74" i="1"/>
  <c r="AD74" i="1" s="1"/>
  <c r="P96" i="1"/>
  <c r="AD96" i="1" s="1"/>
  <c r="AD97" i="1"/>
  <c r="AI17" i="1"/>
  <c r="AE17" i="1"/>
  <c r="P40" i="1"/>
  <c r="AD40" i="1" s="1"/>
  <c r="AD42" i="1"/>
  <c r="P99" i="1"/>
  <c r="AD99" i="1" s="1"/>
  <c r="AD100" i="1"/>
  <c r="M16" i="1"/>
  <c r="AE32" i="1"/>
  <c r="AI32" i="1"/>
  <c r="P57" i="1"/>
  <c r="AD57" i="1" s="1"/>
  <c r="AD58" i="1"/>
  <c r="P89" i="1"/>
  <c r="AD89" i="1" s="1"/>
  <c r="AD90" i="1"/>
  <c r="AE36" i="1"/>
  <c r="AI36" i="1"/>
  <c r="P69" i="1"/>
  <c r="AD69" i="1" s="1"/>
  <c r="AD70" i="1"/>
  <c r="AE70" i="1" s="1"/>
  <c r="P92" i="1"/>
  <c r="AD92" i="1" s="1"/>
  <c r="AD93" i="1"/>
  <c r="AE93" i="1" s="1"/>
  <c r="AI103" i="1"/>
  <c r="AE103" i="1"/>
  <c r="P16" i="1"/>
  <c r="AD16" i="1" s="1"/>
  <c r="AP23" i="1"/>
  <c r="AP22" i="1"/>
  <c r="AP21" i="1"/>
  <c r="AP20" i="1"/>
  <c r="AP16" i="1" l="1"/>
  <c r="AI70" i="1"/>
  <c r="AI99" i="1"/>
  <c r="AE99" i="1"/>
  <c r="AI45" i="1"/>
  <c r="AE45" i="1"/>
  <c r="AI89" i="1"/>
  <c r="AE89" i="1"/>
  <c r="AI97" i="1"/>
  <c r="AE97" i="1"/>
  <c r="AI93" i="1"/>
  <c r="AI58" i="1"/>
  <c r="AE58" i="1"/>
  <c r="AE40" i="1"/>
  <c r="AI40" i="1"/>
  <c r="AI96" i="1"/>
  <c r="AE96" i="1"/>
  <c r="AI90" i="1"/>
  <c r="AE90" i="1"/>
  <c r="AI69" i="1"/>
  <c r="AE69" i="1"/>
  <c r="AI42" i="1"/>
  <c r="AE42" i="1"/>
  <c r="AI44" i="1"/>
  <c r="AE44" i="1"/>
  <c r="AI16" i="1"/>
  <c r="AE16" i="1"/>
  <c r="AI92" i="1"/>
  <c r="AE92" i="1"/>
  <c r="AI57" i="1"/>
  <c r="AE57" i="1"/>
  <c r="AI100" i="1"/>
  <c r="AE100" i="1"/>
  <c r="AI74" i="1"/>
  <c r="AE74" i="1"/>
  <c r="AE115" i="1" l="1"/>
  <c r="AE116" i="1" s="1"/>
  <c r="AB115" i="1" l="1"/>
  <c r="AB116" i="1" s="1"/>
  <c r="AB113" i="1"/>
</calcChain>
</file>

<file path=xl/comments1.xml><?xml version="1.0" encoding="utf-8"?>
<comments xmlns="http://schemas.openxmlformats.org/spreadsheetml/2006/main">
  <authors>
    <author>W10 PRO</author>
  </authors>
  <commentList>
    <comment ref="K18" authorId="0" shapeId="0">
      <text>
        <r>
          <rPr>
            <sz val="12"/>
            <color indexed="81"/>
            <rFont val="Tahoma"/>
            <family val="2"/>
          </rPr>
          <t>Renja Murni, Renja Perubahan, RKA Murni, RKA Perubahan</t>
        </r>
      </text>
    </comment>
    <comment ref="K19" authorId="0" shapeId="0">
      <text>
        <r>
          <rPr>
            <sz val="12"/>
            <color indexed="81"/>
            <rFont val="Tahoma"/>
            <family val="2"/>
          </rPr>
          <t>Lap TW 1,2,3, LKJ</t>
        </r>
      </text>
    </comment>
  </commentList>
</comments>
</file>

<file path=xl/sharedStrings.xml><?xml version="1.0" encoding="utf-8"?>
<sst xmlns="http://schemas.openxmlformats.org/spreadsheetml/2006/main" count="853" uniqueCount="258">
  <si>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</si>
  <si>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</si>
  <si>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</si>
  <si>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</si>
  <si>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</si>
  <si>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</si>
  <si>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</si>
  <si>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</si>
  <si>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</si>
  <si>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</si>
  <si>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</si>
  <si>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</si>
  <si>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</si>
  <si>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</si>
  <si>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</si>
  <si>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</si>
  <si>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</si>
  <si>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</si>
  <si>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</si>
  <si>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</si>
  <si>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</si>
  <si>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</si>
  <si>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</si>
  <si>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</si>
  <si>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</si>
  <si>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</si>
  <si>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</si>
  <si>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6,1 Renstra kolom 19</t>
  </si>
  <si>
    <t>tabel  6,1 Renstra kolom 10</t>
  </si>
  <si>
    <t>tabel  6,1 renstra kolom 11</t>
  </si>
  <si>
    <t>sistem emonev triwulan II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</si>
  <si>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</si>
  <si>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</si>
  <si>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</si>
  <si>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</si>
  <si>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</si>
  <si>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</si>
  <si>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</si>
  <si>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</si>
  <si>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</si>
  <si>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</si>
  <si>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</si>
  <si>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</si>
  <si>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</si>
  <si>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</si>
  <si>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</si>
  <si>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</si>
  <si>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</si>
  <si>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</si>
  <si>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</si>
  <si>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</si>
  <si>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</si>
  <si>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</si>
  <si>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</si>
  <si>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Bln</t>
  </si>
  <si>
    <t>%</t>
  </si>
  <si>
    <t>Pelayanan administrasi sesuai standar</t>
  </si>
  <si>
    <t>Meningkatnya Infrastruktur Ekonomi dan Sosial Yang Berkualitas</t>
  </si>
  <si>
    <t>DINAS PERUMAHAN RAKYAT, KAWASAN PERMUKIMAN DAN LINGKUNGAN HIDUP</t>
  </si>
  <si>
    <t>Dinas Perumahan Rakyat, Kawasan Permukiman dan Lingkungan Hidup</t>
  </si>
  <si>
    <t>Meningkatnya Kualitas Lingkungan Hidup</t>
  </si>
  <si>
    <t>Peningkatan Peran Serta Masyarakat dalam Pengelolaan Persampahan</t>
  </si>
  <si>
    <t>[kolom (12)(K) : kolom (7)(K)] x 100%</t>
  </si>
  <si>
    <t>[kolom (12)(Rp) : kolom (7)(Rp)] x 100%</t>
  </si>
  <si>
    <t>Realisasi dan Tingkat Capaian Kinerja dan Anggaran Renja Perangkat Daerah yang Dievaluasi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</si>
  <si>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</si>
  <si>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</si>
  <si>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</si>
  <si>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</si>
  <si>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</si>
  <si>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</si>
  <si>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Perumahan Rakyat, KPLH</t>
  </si>
  <si>
    <t>RONALDY PRANA PUTRA, S.STP, M.Si</t>
  </si>
  <si>
    <t>NIP. 19850416 200312 1 001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</si>
  <si>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</si>
  <si>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</si>
  <si>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</si>
  <si>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</si>
  <si>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</si>
  <si>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Perencanaan, Pengangnggaran dan Evaluasi Kinerja Perangkat Daerah</t>
  </si>
  <si>
    <t>Penyusunan Dokumen Perencanaan Perangkat Daerah</t>
  </si>
  <si>
    <t>Evaluasi Kinerja Perangkat Daerah</t>
  </si>
  <si>
    <t>Administrasi Keuangan Perangkat Daerah</t>
  </si>
  <si>
    <t>Penyedian Gaji dan Tunjangan ASN</t>
  </si>
  <si>
    <t>Koordinasi dan Penyusunan Laporan Keuangan Akhir Tahun SKPD</t>
  </si>
  <si>
    <t>Laporan Keuangan yang Memenuhi Aspek Kualitas</t>
  </si>
  <si>
    <t>Lap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</si>
  <si>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</si>
  <si>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</si>
  <si>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</si>
  <si>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Penyedian Komponen Instalasi Listrik/Penerangan Bangunan kantor</t>
  </si>
  <si>
    <t>Penyedian Peralatan dan Perlengkapan Kantor</t>
  </si>
  <si>
    <t>Penyedian Bahan Logistik Kantor</t>
  </si>
  <si>
    <t>Penyedian Barang Cetakan dan Penggandaan</t>
  </si>
  <si>
    <t>Penyediaan Bahan Bacaan dan Peraturan Perundang-undangan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</si>
  <si>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</si>
  <si>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</si>
  <si>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</si>
  <si>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</si>
  <si>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</si>
  <si>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</si>
  <si>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</si>
  <si>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</si>
  <si>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</si>
  <si>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Kawasan Permukiman</t>
  </si>
  <si>
    <t>Peningkatan Kualitas Kawasan Permukiman Kumuh dengan Luas di Bawah 10 (sepuluh) Ha</t>
  </si>
  <si>
    <t>Kerja Sama Perbaikan Rumah Tidak Layak Huni Beserta PSU</t>
  </si>
  <si>
    <t>Program Pengembangan Perumahan</t>
  </si>
  <si>
    <t>Identifikasi Perumahan di Lokasi Rawan Bencana atau Terkena Relokasi Program Kabupaten/Kota</t>
  </si>
  <si>
    <t>Program Peningkatan Prasarana, Sarana dan Utilitas Umum (PSU)</t>
  </si>
  <si>
    <t>Urusan Penyelenggaraan PSU Perumahan</t>
  </si>
  <si>
    <t>Penyediaan Prasarana, Sarana, dan Utilitas Umum di Perumahan untuk Menunjang Fungsi Hunian</t>
  </si>
  <si>
    <t>Program Pengelolaan Tanah Kosong</t>
  </si>
  <si>
    <t>Inventarisasi dan Pemanfaatan Tanah Kosong</t>
  </si>
  <si>
    <t>Pelaksanaan Inventarisasi Tanah Kosong</t>
  </si>
  <si>
    <t>Program Pengendalian Pencemaran dan/atau Kerusakan Lingkungan Hidup</t>
  </si>
  <si>
    <t>Pencegahan Pencemaran dan/atau Kerusakan Lingkungan Hidup Kabupaten/Kota</t>
  </si>
  <si>
    <t>Koordinasi, Sinkronisasi, dan Pelaksanaan Pencegahan Pencemaran Lingkungan Hidup Dilaksanakan terhadap Media Tanah, Air, Udara, dan Laut</t>
  </si>
  <si>
    <t>Penanggulangan Pencemaran dan/atau Kerusakan Lingkungan Hidup Kabupaten/Kota</t>
  </si>
  <si>
    <t>Pemberian Informasi Peringatan Pencemaran dan/atau Kerusakan Lingkungan Hidup pada Masyarakat</t>
  </si>
  <si>
    <t>Program Pengelolaan Keanekaragaman Hayati (Kehati)</t>
  </si>
  <si>
    <t>Pengelolaan Keanekaragaman Hayati Kabupaten/Kota</t>
  </si>
  <si>
    <t>Pengelolaan Ruang Terbuka Hijau (RTH)</t>
  </si>
  <si>
    <t>Program Peningkatan Pendidikan, Pelatihan dan Penyuluhan Lingkungan Hidup untuk Masyarakat</t>
  </si>
  <si>
    <t>Penyelenggaraan Pendidikan, Pelatihan, dan Penyuluhan Lingkungan Hidup untuk Lembaga Kemasyarakatan Tingkat Daerah Kabupaten/Kota</t>
  </si>
  <si>
    <t>Peningkatan Kapasitas dan Kompetensi Sumber Daya Manusia Bidang Lingkungan Hidup untuk Lembaga Kemayarakatan</t>
  </si>
  <si>
    <t>Pendampingan Gerakan Peduli Lingkungan Hidup</t>
  </si>
  <si>
    <t>Program Penghargaan Lingkungan Hidup untuk Masyarakat</t>
  </si>
  <si>
    <t>Pemberian Penghargaan Lingkungan Hidup Tingkat Daerah Kabupaten/Kota</t>
  </si>
  <si>
    <t>Penilaian Kinerja Masyarakat/Lembaga Masyarakat/Dunia Usaha/Dunia Pendidikan/Filantropi dalam Perlindungan dan Pengelolaan Lingkungan Hidup</t>
  </si>
  <si>
    <t>Program Penanganan Pengaduan Lingkungan Hidup</t>
  </si>
  <si>
    <t>Penyelesian Pengaduan Masyarakat di Bidang Perlindungan dan Pengelolaan Lingkungan Hidup (PPLH) Kabupaten/Kota</t>
  </si>
  <si>
    <t>Penglolaan Pengaduan Masyarakat terhadap PPLH Kabupaten/Kota</t>
  </si>
  <si>
    <t>Koordinasi dan Sinkronisasi Penerapan Sanksi Administrasi, Penyelesaian Sengketa, dan/atau Penyidikan Lingkungan Hidup di Luar Pengadilan atau Melalui Pengadilan</t>
  </si>
  <si>
    <t>Program Pengelolaan Persampahan</t>
  </si>
  <si>
    <t>Pengelolaan Sampah</t>
  </si>
  <si>
    <t>Pengurangan Sampah dengan Melakukan Pembatasan, Pendauran Ulang dan Pemanfaatan Kembali</t>
  </si>
  <si>
    <t>Penanganan Sampah dengan Melakukan Pemilahan, Pengumpulan, Pengangkutan, Pengolahan, Pemrosesan Akhir Sampah di TPA/TPST/SPA Kabupaten/Kota</t>
  </si>
  <si>
    <t>Koordinasi dan Sinkronisasi Penyediaan Sarana dan Prasarana Pengelolaan Persampahan</t>
  </si>
  <si>
    <t>Jumlah dokumen Perencanaan dan Evaluasi Kinerja Disperakplh yang berkualitas</t>
  </si>
  <si>
    <t>Jumlah dokumen administrasi Keuangan sesuai standar</t>
  </si>
  <si>
    <t>Ha</t>
  </si>
  <si>
    <t>Kegiatan</t>
  </si>
  <si>
    <t>Persentase Penegakan Hukum Lingkungan</t>
  </si>
  <si>
    <t>Ton/Th</t>
  </si>
  <si>
    <t>Jumlah tonase sampah yang dikelola secara 3R</t>
  </si>
  <si>
    <t>Jumlah tonase penanganan  Sampah di Kabupaten  yang dikelola secara kontrol landfill di TPA</t>
  </si>
  <si>
    <t>Jumlah luasan layanan Pengelolaan persampahan</t>
  </si>
  <si>
    <r>
      <t>KM</t>
    </r>
    <r>
      <rPr>
        <vertAlign val="superscript"/>
        <sz val="12"/>
        <color theme="1"/>
        <rFont val="Arial"/>
        <family val="2"/>
      </rPr>
      <t>2</t>
    </r>
  </si>
  <si>
    <t>Dokumen Perencanaan yang Memenuhi Aspek Kualitas</t>
  </si>
  <si>
    <t>Dokumen Evaluasi yang Memenuhi Aspek Kualitas</t>
  </si>
  <si>
    <t>Tingkat Kepuasan Pelayanan</t>
  </si>
  <si>
    <t>Jumlah rumah yang dilayani bantuan PSU pada perumahan</t>
  </si>
  <si>
    <t>Unit</t>
  </si>
  <si>
    <t>Jumlah Kegiatan Penanggulangan Pencemaran dan/atau Kerusakan Lingkungan Hidup</t>
  </si>
  <si>
    <t>Jumlah volume timbunan sampah yang ditangani diwilayah layanan persampahan</t>
  </si>
  <si>
    <t>Persentase penyediaan dan rehabilitasi rumah layak huni bagi korban bencana kabupaten</t>
  </si>
  <si>
    <t>Persentase fasilitasi penyediaan rumah layak huni bagi masyarakat terdampak relokasi program pemerintah kabupaten</t>
  </si>
  <si>
    <t>Persentase Pendataan Penyediaan dan Rehabilitasi Rumah Korban Bencana atau Relokasi Program</t>
  </si>
  <si>
    <t>Pendataan Penyediaan dan Rehabilitasi Rumah Korban Bencana atau Relokasi Program Kabupaten/Kota</t>
  </si>
  <si>
    <t>Jumlah kegiatan Identifikasi Perumahan di Lokasi Rawan Bencana atau Terkena Relokasi Program</t>
  </si>
  <si>
    <t>Keg</t>
  </si>
  <si>
    <t>Persentase Luas RTH Publik di wilayah perkotaan</t>
  </si>
  <si>
    <t>Jumlah kegiatan pembinaan desa/kelurahan program kampung iklim</t>
  </si>
  <si>
    <t>Jumlah kegiatan pendampingan komunitas lingkungan hidup (saka kalpataru/duta lingkungan/forum komunitas hijau)</t>
  </si>
  <si>
    <t>Jumlah sekolah adiwiyata yang dibina</t>
  </si>
  <si>
    <t>Persentase Penyelesaian pengaduan Lingkungan Hidup yang ditindaklanjuti</t>
  </si>
  <si>
    <t>Jumlah pelayanan pengaduan lingkungan hidup yang disediakan</t>
  </si>
  <si>
    <t>pelayanan</t>
  </si>
  <si>
    <t>Sekolah</t>
  </si>
  <si>
    <t>Bulan</t>
  </si>
  <si>
    <t>Jumlah pelayanan administrasi umum sesuai dengan kebutuhan</t>
  </si>
  <si>
    <t>Jumlah penyediaan jasa penunjang urusan pemerintahan daerah sesuai kebutuhan</t>
  </si>
  <si>
    <t>Jumlah komponen instalasi listrik/penerangan bangunan kantor sesuai kebutuhan</t>
  </si>
  <si>
    <t>Jumlah penyediaan peralatan dan perlengkapan kantor sesuai kebutuhan</t>
  </si>
  <si>
    <t>Jumlah penyediaan bahan logistik kantor sesuai kebutuhan</t>
  </si>
  <si>
    <t>Jumlah penyediaan barang cetakan dan penggandaan sesuai kebutuhan</t>
  </si>
  <si>
    <t>Jumlah Penyediaan Bahan Bacaan dan Peraturan Perundang-undangan sesuai kebutuhan</t>
  </si>
  <si>
    <t>Jumlah rapat koordinasi dan konsultasi SKPD yang diikuti sesuai kebutuhan</t>
  </si>
  <si>
    <t>Jumlah penyedian jasa surat menyurat</t>
  </si>
  <si>
    <t>Jumlah penyediaan jasa komunikasi, sumber daya air dan listrik sesuai kebutuhan</t>
  </si>
  <si>
    <t>Jumlah penyediaan jasa pelayanan umum kantor sesuai kebutuhan</t>
  </si>
  <si>
    <t>Jumlah Pemeliharaan Barang Milik Daerah Penunjang Urusan Pemerintahan Daerah</t>
  </si>
  <si>
    <t>Jumlah Penyediaan Jasa Pemeliharaan, Biaya Pemeliharaan, Pajak, dan Perizinan Kendaraan Dinas Operasional atau Lapangan tepat waktu</t>
  </si>
  <si>
    <t>Jumlah Pemeliharaan/Rehabilitasi Gedung Kantor dan Bangunan Lainnya sesuai standar</t>
  </si>
  <si>
    <t>Jumlah Pemeliharaan/Rehabilitasi Sarana dan Prasarana Gedung Kantor atau Bangunan Lainnya sesuai standar</t>
  </si>
  <si>
    <t>-</t>
  </si>
  <si>
    <t>Faktor pendorong keberhasilan pencapaian: kerja sama dan sinergisitas  dalam tim dalam melakukan eksekusi kegiatan yang telah direncanakan dengan tepat waktu</t>
  </si>
  <si>
    <t>Faktor penghambat pencapaian kinerja: adanya pandemi covid 19 mengakibatkan kegiatan yang melibatkan komunitas pihak 3 tidak dapat dilaksanakan</t>
  </si>
  <si>
    <t>Tindak lanjut yang diperlukan dalam triwulan berikutnya*): menyesuaikan target kinerja secara realistis pada renja perubahan dengan memperhatikan kondisi pandemi covid 19</t>
  </si>
  <si>
    <t>Tindak lanjut yang diperlukan dalam Renja Perangkat Daerah Kabupaten berikutnya*): melakukan penyesuaian target kinerja yang tidak terealisasi berdasarkan capaian pada tahun berjalan</t>
  </si>
  <si>
    <t>Perbaikan  Rumah Tidak Layak Huni</t>
  </si>
  <si>
    <t>Jumlah Perbaikan Rumah Tidak Layak Huni untuk Meningkatkan Kualitas Fungsi Hunian dalam Kawasan Permukiman</t>
  </si>
  <si>
    <t>Persentase Perumahan yang Berkualitas</t>
  </si>
  <si>
    <t>Usaha</t>
  </si>
  <si>
    <t>Persentase penanggulangan pencemaran dan kerusakan lingkungan yang berhasil diselesaikan</t>
  </si>
  <si>
    <t>Persentase jumlah sampah yang tertangani</t>
  </si>
  <si>
    <t>Persentase sampah yang terkurangi melalui program 3R</t>
  </si>
  <si>
    <t>Persentase tonase penanganan  Sampah yang dikelola secara kontrol landfill di TPA</t>
  </si>
  <si>
    <r>
      <t>Km</t>
    </r>
    <r>
      <rPr>
        <vertAlign val="superscript"/>
        <sz val="12"/>
        <color theme="1"/>
        <rFont val="Arial"/>
        <family val="2"/>
      </rPr>
      <t>2</t>
    </r>
  </si>
  <si>
    <t>Perumahan</t>
  </si>
  <si>
    <t>PERIODE PELAKSANAAN TRIWULAN IV TAHUN 2021</t>
  </si>
  <si>
    <t>Kandangan,         Desember 2021</t>
  </si>
  <si>
    <t>jumlah Kawasan Permukiman Kumuh yang ditangani</t>
  </si>
  <si>
    <t>Kawasan</t>
  </si>
  <si>
    <t>jumlah kawasan permukiman dengan drainase yang memiliki kemampuan mengalirkan limpasan sesuai standar</t>
  </si>
  <si>
    <t>jumlah kawasan permukiman dengan cakupan akses air bersih &gt;75%</t>
  </si>
  <si>
    <t>jumlah Kawasan permukiman dengan cakupan pengambilan sampah rumah tangga &gt;85%</t>
  </si>
  <si>
    <t>jumlah Kawasan Permukiman yang dilengkapi dengan septiktank dan closet individual  &gt;75%</t>
  </si>
  <si>
    <t>jumlah Kawasan Permukiman dengan Luasan  Lahan RTH sesuai standar</t>
  </si>
  <si>
    <t>jumlah Kawasan Permukiman yang memiliki akses sarana umum untuk &gt;75% warga</t>
  </si>
  <si>
    <t>jumlah Kawasan Permukiman yang memiliki jaringan PJU</t>
  </si>
  <si>
    <t>jumlah kawasan permukiman dengan kualitas permukaan jalan &gt;75% dalam kondisi baik</t>
  </si>
  <si>
    <t>Jumlah Kawasan Permukiman yang ditangani untuk pencegahan permukiman kumuh</t>
  </si>
  <si>
    <t>Jumlah perumahan terfasilitasi kecukupan PSU dalam kondisi berfungsi baik</t>
  </si>
  <si>
    <t>jumlah perumahan dengan kualias permukaan jalan &gt;75% dalam kondisi baik</t>
  </si>
  <si>
    <t>jumlah perumahan dengan drainase yang memiliki kemampuan mengalirkan limpasan sesuai standar</t>
  </si>
  <si>
    <t>jumlah perumahan dengan cakupan akses air bersih &gt;75%</t>
  </si>
  <si>
    <t>jumlah Perumahan dengan cakupan pengambilan sampah rumah tangga &gt;85%</t>
  </si>
  <si>
    <t>jumlah Perumahan yang dilengkapi dengan septiktank dan closet individual  &gt;75%</t>
  </si>
  <si>
    <t>jumlah Perumahan dengan Luasan  Lahan RTH sesuai standar</t>
  </si>
  <si>
    <t>jumlah Perumahan yang memiliki akses sarana umum untuk &gt;75% warga</t>
  </si>
  <si>
    <t>jumlah Perumahan yang memiliki jaringan PJU</t>
  </si>
  <si>
    <t>Jumlah Perumahan yang memiliki site yang telah di sahkan</t>
  </si>
  <si>
    <t>Jumlah perumahan yang telah menyerahkan lahan PSU kepada pemerintah kabupaten</t>
  </si>
  <si>
    <t>Jumlah Lahan PSU yang telah dibalik nama atas nama pemerintah kabupaten</t>
  </si>
  <si>
    <t>Persentase Jumlah Kawasan Permukiman Kumuh yang Ditangani</t>
  </si>
  <si>
    <t>Jumlah Perumahan yang telah memenuhi persyaratan administrasi pertanahan</t>
  </si>
  <si>
    <t>Persentase Kawasan Permukiman yang Berkualitas</t>
  </si>
  <si>
    <t>Persentase Perumahan Terfasilitasi Kecukupan PSU dalam Kondisi Berfungsi Baik</t>
  </si>
  <si>
    <t>Jumlah Titik Lokasi Pembuangan Air Limbah Tambang yang memenuhi standar baku mutu</t>
  </si>
  <si>
    <t>Titik Lokasi</t>
  </si>
  <si>
    <t>Jumlah Titik Lokasi Pembuangan Air Limbah Industri Kelapa Sawit yang memenuhi standar baku mutu</t>
  </si>
  <si>
    <t>Jumlah Titik Lokasi Pembuangan Air Limbah Fasilitas Kesehatan yang memenuhi standar baku mutu</t>
  </si>
  <si>
    <t>Jumlah Titik Lokasi Pembuangan Air Limbah Rumah Makan yang memenuhi standar baku mutu</t>
  </si>
  <si>
    <t>Jumlah Titik Lokasi Pembuangan Air Limbah SPBU yang memenuhi standar baku mutu</t>
  </si>
  <si>
    <t>Jumlah Titik Lokasi Pembuangan Air Limbah Industri Lainnya yang memenuhi standar baku mutu</t>
  </si>
  <si>
    <t xml:space="preserve">Jumlah cerobong asap pabrik dengan emisi gas memenuhi standar baku mutu </t>
  </si>
  <si>
    <t>Cerobong Asap Pabrik</t>
  </si>
  <si>
    <t>Jumlah aktifitas usaha dengan nilai debu PM2,5 memenuhi baku mutu udara ambien</t>
  </si>
  <si>
    <t>Aktifitas Usaha</t>
  </si>
  <si>
    <t>Jumlah Luas RTH yang dikelola dengan baik</t>
  </si>
  <si>
    <t>Persentase koordiniasi penertiban tambang ilegal yang ditindaklanjuti</t>
  </si>
  <si>
    <t>Jumlah TPS3R yang dikelola</t>
  </si>
  <si>
    <t>Jumlah peralatan pengolahan sampah organik</t>
  </si>
  <si>
    <t xml:space="preserve">Jumlah peraturan pembatasan penggunaan plastik </t>
  </si>
  <si>
    <t>Peraturan</t>
  </si>
  <si>
    <t>Jumlah Bank Sampah yang dikelola</t>
  </si>
  <si>
    <t>Tingkat partisipasi kehadiran peserta diklat pengolahan persampahan</t>
  </si>
  <si>
    <t>Persentase sekolah adiwiyata yang dibina</t>
  </si>
  <si>
    <t>Persentase Kampung Iklim yang dibina</t>
  </si>
  <si>
    <t>Jumlah hasil Verifikasi kesesuaian lapangan dan pemeriksaan laporan dokumen pengolahan air limbah memenuhi standar baku mutu</t>
  </si>
  <si>
    <t>Jumlah hasil Verifikasi kesesuaian lapangan dan pemeriksaan laporan dokumen pengujian emisi gas memenuhi standar baku mutu</t>
  </si>
  <si>
    <t>INDEKS KUALITAS AIR (IKA)</t>
  </si>
  <si>
    <t>Nilai</t>
  </si>
  <si>
    <t>INDEKS KUALITAS UDARA (IKU)</t>
  </si>
  <si>
    <t>Persentase tempat usaha masyarakat yang memenuhi standar pengelolaan lingkungan hidup</t>
  </si>
  <si>
    <t>IKTL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</si>
</sst>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00"/>
    <numFmt numFmtId="168" formatCode="_(* #,##0.000_);_(* \(#,##0.000\);_(* &quot;-&quot;_);_(@_)"/>
    <numFmt numFmtId="169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color indexed="81"/>
      <name val="Tahoma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4" fillId="0" borderId="11" xfId="0" applyFont="1" applyFill="1" applyBorder="1"/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6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9" fontId="6" fillId="0" borderId="15" xfId="0" applyNumberFormat="1" applyFont="1" applyFill="1" applyBorder="1" applyAlignment="1">
      <alignment horizontal="center" vertical="top"/>
    </xf>
    <xf numFmtId="9" fontId="8" fillId="0" borderId="2" xfId="0" quotePrefix="1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4" fontId="8" fillId="0" borderId="2" xfId="2" applyFont="1" applyFill="1" applyBorder="1" applyAlignment="1">
      <alignment horizontal="center" vertical="top"/>
    </xf>
    <xf numFmtId="4" fontId="8" fillId="0" borderId="2" xfId="0" applyNumberFormat="1" applyFont="1" applyFill="1" applyBorder="1" applyAlignment="1">
      <alignment horizontal="center" vertical="top" wrapText="1"/>
    </xf>
    <xf numFmtId="166" fontId="6" fillId="0" borderId="6" xfId="1" quotePrefix="1" applyNumberFormat="1" applyFont="1" applyFill="1" applyBorder="1" applyAlignment="1">
      <alignment vertical="top"/>
    </xf>
    <xf numFmtId="166" fontId="6" fillId="0" borderId="11" xfId="1" quotePrefix="1" applyNumberFormat="1" applyFont="1" applyFill="1" applyBorder="1" applyAlignment="1">
      <alignment vertical="top"/>
    </xf>
    <xf numFmtId="164" fontId="6" fillId="0" borderId="6" xfId="0" applyNumberFormat="1" applyFont="1" applyFill="1" applyBorder="1" applyAlignment="1">
      <alignment vertical="top"/>
    </xf>
    <xf numFmtId="164" fontId="6" fillId="0" borderId="15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164" fontId="6" fillId="0" borderId="11" xfId="0" applyNumberFormat="1" applyFont="1" applyFill="1" applyBorder="1" applyAlignment="1">
      <alignment vertical="top"/>
    </xf>
    <xf numFmtId="2" fontId="6" fillId="0" borderId="11" xfId="0" applyNumberFormat="1" applyFont="1" applyFill="1" applyBorder="1" applyAlignment="1">
      <alignment horizontal="center" vertical="top"/>
    </xf>
    <xf numFmtId="164" fontId="8" fillId="0" borderId="11" xfId="0" applyNumberFormat="1" applyFont="1" applyFill="1" applyBorder="1" applyAlignment="1">
      <alignment vertical="top"/>
    </xf>
    <xf numFmtId="164" fontId="8" fillId="0" borderId="15" xfId="0" applyNumberFormat="1" applyFont="1" applyFill="1" applyBorder="1" applyAlignment="1">
      <alignment vertical="top"/>
    </xf>
    <xf numFmtId="2" fontId="8" fillId="0" borderId="11" xfId="0" applyNumberFormat="1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top"/>
    </xf>
    <xf numFmtId="168" fontId="8" fillId="0" borderId="2" xfId="2" applyNumberFormat="1" applyFont="1" applyFill="1" applyBorder="1" applyAlignment="1">
      <alignment horizontal="center" vertical="top"/>
    </xf>
    <xf numFmtId="9" fontId="6" fillId="0" borderId="2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4" fillId="3" borderId="15" xfId="0" applyFont="1" applyFill="1" applyBorder="1"/>
    <xf numFmtId="0" fontId="6" fillId="0" borderId="15" xfId="0" applyFont="1" applyFill="1" applyBorder="1" applyAlignment="1">
      <alignment horizontal="center" vertical="top"/>
    </xf>
    <xf numFmtId="2" fontId="8" fillId="4" borderId="2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" fontId="6" fillId="0" borderId="2" xfId="2" applyNumberFormat="1" applyFont="1" applyFill="1" applyBorder="1" applyAlignment="1">
      <alignment horizontal="center" vertical="top"/>
    </xf>
    <xf numFmtId="1" fontId="8" fillId="0" borderId="2" xfId="2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9" fontId="8" fillId="0" borderId="15" xfId="0" applyNumberFormat="1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8" fillId="4" borderId="13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2" fontId="6" fillId="0" borderId="2" xfId="2" applyNumberFormat="1" applyFont="1" applyFill="1" applyBorder="1" applyAlignment="1">
      <alignment horizontal="center" vertical="top"/>
    </xf>
    <xf numFmtId="169" fontId="8" fillId="0" borderId="2" xfId="2" applyNumberFormat="1" applyFont="1" applyFill="1" applyBorder="1" applyAlignment="1">
      <alignment horizontal="center" vertical="top"/>
    </xf>
    <xf numFmtId="0" fontId="16" fillId="0" borderId="11" xfId="0" applyFont="1" applyFill="1" applyBorder="1"/>
    <xf numFmtId="0" fontId="16" fillId="0" borderId="0" xfId="0" applyFont="1" applyFill="1"/>
    <xf numFmtId="166" fontId="6" fillId="0" borderId="0" xfId="1" quotePrefix="1" applyNumberFormat="1" applyFont="1" applyFill="1" applyBorder="1" applyAlignment="1">
      <alignment vertical="top"/>
    </xf>
    <xf numFmtId="166" fontId="8" fillId="0" borderId="11" xfId="1" quotePrefix="1" applyNumberFormat="1" applyFont="1" applyFill="1" applyBorder="1" applyAlignment="1">
      <alignment vertical="top"/>
    </xf>
    <xf numFmtId="0" fontId="8" fillId="0" borderId="11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top"/>
    </xf>
    <xf numFmtId="1" fontId="6" fillId="0" borderId="15" xfId="0" applyNumberFormat="1" applyFont="1" applyFill="1" applyBorder="1" applyAlignment="1">
      <alignment horizontal="center" vertical="top"/>
    </xf>
    <xf numFmtId="0" fontId="8" fillId="0" borderId="2" xfId="2" applyNumberFormat="1" applyFont="1" applyFill="1" applyBorder="1" applyAlignment="1">
      <alignment horizontal="center" vertical="top"/>
    </xf>
    <xf numFmtId="3" fontId="6" fillId="0" borderId="2" xfId="0" applyNumberFormat="1" applyFont="1" applyFill="1" applyBorder="1" applyAlignment="1">
      <alignment horizontal="center" vertical="top" wrapText="1"/>
    </xf>
    <xf numFmtId="9" fontId="6" fillId="0" borderId="2" xfId="0" quotePrefix="1" applyNumberFormat="1" applyFont="1" applyFill="1" applyBorder="1" applyAlignment="1">
      <alignment horizontal="center" vertical="top" wrapText="1"/>
    </xf>
    <xf numFmtId="0" fontId="6" fillId="0" borderId="2" xfId="2" applyNumberFormat="1" applyFont="1" applyFill="1" applyBorder="1" applyAlignment="1">
      <alignment horizontal="center" vertical="top"/>
    </xf>
    <xf numFmtId="4" fontId="6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/>
    </xf>
    <xf numFmtId="169" fontId="8" fillId="0" borderId="2" xfId="0" applyNumberFormat="1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center" vertical="top"/>
    </xf>
    <xf numFmtId="167" fontId="8" fillId="0" borderId="2" xfId="0" applyNumberFormat="1" applyFont="1" applyFill="1" applyBorder="1" applyAlignment="1">
      <alignment horizontal="center" vertical="top"/>
    </xf>
    <xf numFmtId="9" fontId="8" fillId="0" borderId="6" xfId="0" applyNumberFormat="1" applyFont="1" applyFill="1" applyBorder="1" applyAlignment="1">
      <alignment horizontal="center" vertical="top"/>
    </xf>
    <xf numFmtId="1" fontId="8" fillId="0" borderId="6" xfId="0" applyNumberFormat="1" applyFont="1" applyFill="1" applyBorder="1" applyAlignment="1">
      <alignment horizontal="center" vertical="top"/>
    </xf>
    <xf numFmtId="9" fontId="8" fillId="0" borderId="6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/>
    </xf>
    <xf numFmtId="9" fontId="8" fillId="0" borderId="11" xfId="0" applyNumberFormat="1" applyFont="1" applyFill="1" applyBorder="1" applyAlignment="1">
      <alignment horizontal="center" vertical="top" wrapText="1"/>
    </xf>
    <xf numFmtId="0" fontId="6" fillId="0" borderId="2" xfId="4" applyNumberFormat="1" applyFont="1" applyFill="1" applyBorder="1" applyAlignment="1">
      <alignment horizontal="center" vertical="top"/>
    </xf>
    <xf numFmtId="0" fontId="18" fillId="0" borderId="2" xfId="4" applyNumberFormat="1" applyFont="1" applyFill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top" wrapText="1"/>
    </xf>
    <xf numFmtId="166" fontId="8" fillId="0" borderId="6" xfId="1" quotePrefix="1" applyNumberFormat="1" applyFont="1" applyFill="1" applyBorder="1" applyAlignment="1">
      <alignment vertical="top"/>
    </xf>
    <xf numFmtId="164" fontId="8" fillId="0" borderId="6" xfId="0" applyNumberFormat="1" applyFont="1" applyFill="1" applyBorder="1" applyAlignment="1">
      <alignment vertical="top"/>
    </xf>
    <xf numFmtId="2" fontId="8" fillId="0" borderId="6" xfId="0" applyNumberFormat="1" applyFont="1" applyFill="1" applyBorder="1" applyAlignment="1">
      <alignment horizontal="center" vertical="top"/>
    </xf>
    <xf numFmtId="3" fontId="8" fillId="0" borderId="2" xfId="2" applyNumberFormat="1" applyFont="1" applyFill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top"/>
    </xf>
    <xf numFmtId="2" fontId="6" fillId="0" borderId="2" xfId="4" applyNumberFormat="1" applyFont="1" applyFill="1" applyBorder="1" applyAlignment="1">
      <alignment horizontal="center" vertical="top" wrapText="1"/>
    </xf>
    <xf numFmtId="2" fontId="6" fillId="0" borderId="2" xfId="4" applyNumberFormat="1" applyFont="1" applyFill="1" applyBorder="1" applyAlignment="1">
      <alignment horizontal="center" vertical="top"/>
    </xf>
    <xf numFmtId="0" fontId="17" fillId="0" borderId="2" xfId="0" quotePrefix="1" applyFont="1" applyBorder="1" applyAlignment="1">
      <alignment horizontal="center" vertical="top" wrapText="1"/>
    </xf>
    <xf numFmtId="2" fontId="6" fillId="0" borderId="3" xfId="4" applyNumberFormat="1" applyFont="1" applyFill="1" applyBorder="1" applyAlignment="1">
      <alignment horizontal="center" vertical="top" wrapText="1"/>
    </xf>
    <xf numFmtId="9" fontId="8" fillId="0" borderId="11" xfId="0" applyNumberFormat="1" applyFont="1" applyFill="1" applyBorder="1" applyAlignment="1">
      <alignment horizontal="center" vertical="top"/>
    </xf>
    <xf numFmtId="1" fontId="8" fillId="0" borderId="11" xfId="0" applyNumberFormat="1" applyFont="1" applyFill="1" applyBorder="1" applyAlignment="1">
      <alignment horizontal="center" vertical="top"/>
    </xf>
    <xf numFmtId="3" fontId="8" fillId="0" borderId="2" xfId="0" applyNumberFormat="1" applyFont="1" applyFill="1" applyBorder="1" applyAlignment="1">
      <alignment horizontal="center" vertical="top"/>
    </xf>
    <xf numFmtId="2" fontId="8" fillId="0" borderId="2" xfId="2" applyNumberFormat="1" applyFont="1" applyFill="1" applyBorder="1" applyAlignment="1">
      <alignment horizontal="center" vertical="top"/>
    </xf>
    <xf numFmtId="2" fontId="6" fillId="0" borderId="2" xfId="2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 vertical="center"/>
    </xf>
    <xf numFmtId="165" fontId="8" fillId="0" borderId="11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/>
    </xf>
    <xf numFmtId="0" fontId="4" fillId="0" borderId="0" xfId="0" applyFont="1" applyFill="1" applyBorder="1"/>
    <xf numFmtId="0" fontId="8" fillId="0" borderId="7" xfId="0" applyFont="1" applyFill="1" applyBorder="1" applyAlignment="1">
      <alignment horizontal="center" vertical="top"/>
    </xf>
    <xf numFmtId="2" fontId="8" fillId="0" borderId="0" xfId="0" applyNumberFormat="1" applyFont="1" applyFill="1" applyBorder="1" applyAlignment="1">
      <alignment horizontal="center" vertical="top"/>
    </xf>
  </cellXfs>
  <cellStyles count="5">
    <cellStyle name="Comma" xfId="1" builtinId="3"/>
    <cellStyle name="Comma [0]" xfId="2" builtinId="6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S131"/>
  <sheetViews>
    <sheetView tabSelected="1" showRuler="0" view="pageBreakPreview" zoomScale="70" zoomScaleNormal="40" zoomScaleSheetLayoutView="70" zoomScalePageLayoutView="55" workbookViewId="0">
      <selection activeCell="E103" sqref="E103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5" width="14.42578125" style="2" customWidth="1"/>
    <col min="6" max="6" width="11.7109375" style="2" customWidth="1"/>
    <col min="7" max="7" width="19.42578125" style="2" customWidth="1"/>
    <col min="8" max="8" width="14" style="2" customWidth="1"/>
    <col min="9" max="9" width="7.7109375" style="2" customWidth="1"/>
    <col min="10" max="10" width="20.140625" style="2" customWidth="1"/>
    <col min="11" max="11" width="13" style="2" customWidth="1"/>
    <col min="12" max="12" width="8.140625" style="2" customWidth="1"/>
    <col min="13" max="13" width="21.5703125" style="2" customWidth="1"/>
    <col min="14" max="14" width="13" style="2" customWidth="1"/>
    <col min="15" max="15" width="9" style="2" customWidth="1"/>
    <col min="16" max="16" width="21.42578125" style="2" customWidth="1"/>
    <col min="17" max="17" width="12" style="2" customWidth="1"/>
    <col min="18" max="18" width="7.7109375" style="2" customWidth="1"/>
    <col min="19" max="19" width="21.85546875" style="2" customWidth="1"/>
    <col min="20" max="20" width="11.7109375" style="2" bestFit="1" customWidth="1"/>
    <col min="21" max="21" width="8" style="2" customWidth="1"/>
    <col min="22" max="22" width="18.28515625" style="2" customWidth="1"/>
    <col min="23" max="23" width="9.5703125" style="2" customWidth="1"/>
    <col min="24" max="24" width="7.5703125" style="2" customWidth="1"/>
    <col min="25" max="25" width="17.85546875" style="2" customWidth="1"/>
    <col min="26" max="26" width="11.42578125" style="2" customWidth="1"/>
    <col min="27" max="27" width="5.5703125" style="102" customWidth="1"/>
    <col min="28" max="28" width="10.7109375" style="2" customWidth="1"/>
    <col min="29" max="29" width="5.5703125" style="4" customWidth="1"/>
    <col min="30" max="30" width="19.7109375" style="2" customWidth="1"/>
    <col min="31" max="31" width="9.85546875" style="2" customWidth="1"/>
    <col min="32" max="32" width="5.5703125" style="4" customWidth="1"/>
    <col min="33" max="33" width="11.5703125" style="2" customWidth="1"/>
    <col min="34" max="34" width="6.28515625" style="102" customWidth="1"/>
    <col min="35" max="35" width="18.5703125" style="2" customWidth="1"/>
    <col min="36" max="36" width="8" style="2" customWidth="1"/>
    <col min="37" max="37" width="5.5703125" style="4" customWidth="1"/>
    <col min="38" max="38" width="10.28515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"/>
    </row>
    <row r="2" spans="1:45" ht="23.25" x14ac:dyDescent="0.3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3"/>
    </row>
    <row r="3" spans="1:45" ht="23.25" x14ac:dyDescent="0.35">
      <c r="A3" s="154" t="s">
        <v>58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3"/>
    </row>
    <row r="4" spans="1:45" ht="23.25" x14ac:dyDescent="0.35">
      <c r="A4" s="155" t="s">
        <v>201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"/>
    </row>
    <row r="5" spans="1:45" ht="18" x14ac:dyDescent="0.2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</row>
    <row r="6" spans="1:45" ht="18" x14ac:dyDescent="0.25">
      <c r="A6" s="150" t="s">
        <v>58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</row>
    <row r="7" spans="1:45" ht="81" customHeight="1" x14ac:dyDescent="0.2">
      <c r="A7" s="157" t="s">
        <v>3</v>
      </c>
      <c r="B7" s="157" t="s">
        <v>4</v>
      </c>
      <c r="C7" s="158" t="s">
        <v>5</v>
      </c>
      <c r="D7" s="158" t="s">
        <v>6</v>
      </c>
      <c r="E7" s="159" t="s">
        <v>7</v>
      </c>
      <c r="F7" s="160"/>
      <c r="G7" s="161"/>
      <c r="H7" s="159" t="s">
        <v>74</v>
      </c>
      <c r="I7" s="160"/>
      <c r="J7" s="161"/>
      <c r="K7" s="159" t="s">
        <v>75</v>
      </c>
      <c r="L7" s="160"/>
      <c r="M7" s="160"/>
      <c r="N7" s="159" t="s">
        <v>8</v>
      </c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1"/>
      <c r="Z7" s="159" t="s">
        <v>64</v>
      </c>
      <c r="AA7" s="160"/>
      <c r="AB7" s="160"/>
      <c r="AC7" s="160"/>
      <c r="AD7" s="160"/>
      <c r="AE7" s="160"/>
      <c r="AF7" s="161"/>
      <c r="AG7" s="159" t="s">
        <v>76</v>
      </c>
      <c r="AH7" s="160"/>
      <c r="AI7" s="161"/>
      <c r="AJ7" s="159" t="s">
        <v>77</v>
      </c>
      <c r="AK7" s="160"/>
      <c r="AL7" s="160"/>
      <c r="AM7" s="171" t="s">
        <v>9</v>
      </c>
      <c r="AO7" s="4"/>
      <c r="AP7" s="4"/>
      <c r="AQ7" s="4"/>
      <c r="AR7" s="4"/>
      <c r="AS7" s="4"/>
    </row>
    <row r="8" spans="1:45" ht="18" customHeight="1" x14ac:dyDescent="0.2">
      <c r="A8" s="157"/>
      <c r="B8" s="157"/>
      <c r="C8" s="158"/>
      <c r="D8" s="158"/>
      <c r="E8" s="162"/>
      <c r="F8" s="163"/>
      <c r="G8" s="164"/>
      <c r="H8" s="162"/>
      <c r="I8" s="163"/>
      <c r="J8" s="164"/>
      <c r="K8" s="165"/>
      <c r="L8" s="166"/>
      <c r="M8" s="166"/>
      <c r="N8" s="165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7"/>
      <c r="Z8" s="165"/>
      <c r="AA8" s="166"/>
      <c r="AB8" s="166"/>
      <c r="AC8" s="166"/>
      <c r="AD8" s="166"/>
      <c r="AE8" s="166"/>
      <c r="AF8" s="167"/>
      <c r="AG8" s="165"/>
      <c r="AH8" s="166"/>
      <c r="AI8" s="167"/>
      <c r="AJ8" s="165"/>
      <c r="AK8" s="166"/>
      <c r="AL8" s="166"/>
      <c r="AM8" s="172"/>
    </row>
    <row r="9" spans="1:45" ht="15.75" customHeight="1" x14ac:dyDescent="0.2">
      <c r="A9" s="157"/>
      <c r="B9" s="157"/>
      <c r="C9" s="158"/>
      <c r="D9" s="158"/>
      <c r="E9" s="165"/>
      <c r="F9" s="166"/>
      <c r="G9" s="167"/>
      <c r="H9" s="165"/>
      <c r="I9" s="166"/>
      <c r="J9" s="167"/>
      <c r="K9" s="173">
        <v>2021</v>
      </c>
      <c r="L9" s="174"/>
      <c r="M9" s="175"/>
      <c r="N9" s="151" t="s">
        <v>10</v>
      </c>
      <c r="O9" s="152"/>
      <c r="P9" s="153"/>
      <c r="Q9" s="151" t="s">
        <v>11</v>
      </c>
      <c r="R9" s="152"/>
      <c r="S9" s="153"/>
      <c r="T9" s="151" t="s">
        <v>12</v>
      </c>
      <c r="U9" s="152"/>
      <c r="V9" s="153"/>
      <c r="W9" s="151" t="s">
        <v>13</v>
      </c>
      <c r="X9" s="152"/>
      <c r="Y9" s="153"/>
      <c r="Z9" s="151">
        <v>2021</v>
      </c>
      <c r="AA9" s="152"/>
      <c r="AB9" s="152"/>
      <c r="AC9" s="152"/>
      <c r="AD9" s="152"/>
      <c r="AE9" s="152"/>
      <c r="AF9" s="153"/>
      <c r="AG9" s="151">
        <v>2021</v>
      </c>
      <c r="AH9" s="152"/>
      <c r="AI9" s="153"/>
      <c r="AJ9" s="151">
        <v>2021</v>
      </c>
      <c r="AK9" s="152"/>
      <c r="AL9" s="153"/>
      <c r="AM9" s="5"/>
    </row>
    <row r="10" spans="1:45" s="7" customFormat="1" ht="15.75" x14ac:dyDescent="0.25">
      <c r="A10" s="176">
        <v>1</v>
      </c>
      <c r="B10" s="176">
        <v>2</v>
      </c>
      <c r="C10" s="176">
        <v>3</v>
      </c>
      <c r="D10" s="176">
        <v>4</v>
      </c>
      <c r="E10" s="168">
        <v>5</v>
      </c>
      <c r="F10" s="169"/>
      <c r="G10" s="170"/>
      <c r="H10" s="168">
        <v>6</v>
      </c>
      <c r="I10" s="169"/>
      <c r="J10" s="170"/>
      <c r="K10" s="185">
        <v>7</v>
      </c>
      <c r="L10" s="186"/>
      <c r="M10" s="187"/>
      <c r="N10" s="185">
        <v>8</v>
      </c>
      <c r="O10" s="186"/>
      <c r="P10" s="187"/>
      <c r="Q10" s="185">
        <v>9</v>
      </c>
      <c r="R10" s="186"/>
      <c r="S10" s="187"/>
      <c r="T10" s="185">
        <v>10</v>
      </c>
      <c r="U10" s="186"/>
      <c r="V10" s="187"/>
      <c r="W10" s="185">
        <v>11</v>
      </c>
      <c r="X10" s="186"/>
      <c r="Y10" s="187"/>
      <c r="Z10" s="182">
        <v>12</v>
      </c>
      <c r="AA10" s="183"/>
      <c r="AB10" s="183"/>
      <c r="AC10" s="183"/>
      <c r="AD10" s="183"/>
      <c r="AE10" s="183"/>
      <c r="AF10" s="184"/>
      <c r="AG10" s="182">
        <v>13</v>
      </c>
      <c r="AH10" s="183"/>
      <c r="AI10" s="184"/>
      <c r="AJ10" s="182">
        <v>14</v>
      </c>
      <c r="AK10" s="183"/>
      <c r="AL10" s="184"/>
      <c r="AM10" s="6">
        <v>15</v>
      </c>
    </row>
    <row r="11" spans="1:45" s="7" customFormat="1" ht="87" customHeight="1" x14ac:dyDescent="0.2">
      <c r="A11" s="214"/>
      <c r="B11" s="214"/>
      <c r="C11" s="214"/>
      <c r="D11" s="214"/>
      <c r="E11" s="178" t="s">
        <v>14</v>
      </c>
      <c r="F11" s="179"/>
      <c r="G11" s="177" t="s">
        <v>15</v>
      </c>
      <c r="H11" s="178" t="s">
        <v>14</v>
      </c>
      <c r="I11" s="179"/>
      <c r="J11" s="177" t="s">
        <v>15</v>
      </c>
      <c r="K11" s="178" t="s">
        <v>14</v>
      </c>
      <c r="L11" s="179"/>
      <c r="M11" s="176" t="s">
        <v>15</v>
      </c>
      <c r="N11" s="178" t="s">
        <v>14</v>
      </c>
      <c r="O11" s="179"/>
      <c r="P11" s="176" t="s">
        <v>15</v>
      </c>
      <c r="Q11" s="178" t="s">
        <v>14</v>
      </c>
      <c r="R11" s="179"/>
      <c r="S11" s="176" t="s">
        <v>15</v>
      </c>
      <c r="T11" s="178" t="s">
        <v>14</v>
      </c>
      <c r="U11" s="179"/>
      <c r="V11" s="176" t="s">
        <v>15</v>
      </c>
      <c r="W11" s="178" t="s">
        <v>14</v>
      </c>
      <c r="X11" s="179"/>
      <c r="Y11" s="176" t="s">
        <v>15</v>
      </c>
      <c r="Z11" s="168" t="s">
        <v>16</v>
      </c>
      <c r="AA11" s="170"/>
      <c r="AB11" s="168" t="s">
        <v>62</v>
      </c>
      <c r="AC11" s="170"/>
      <c r="AD11" s="8" t="s">
        <v>17</v>
      </c>
      <c r="AE11" s="168" t="s">
        <v>63</v>
      </c>
      <c r="AF11" s="170"/>
      <c r="AG11" s="168" t="s">
        <v>18</v>
      </c>
      <c r="AH11" s="170"/>
      <c r="AI11" s="8" t="s">
        <v>19</v>
      </c>
      <c r="AJ11" s="168" t="s">
        <v>20</v>
      </c>
      <c r="AK11" s="170"/>
      <c r="AL11" s="8" t="s">
        <v>21</v>
      </c>
      <c r="AM11" s="9"/>
    </row>
    <row r="12" spans="1:45" s="7" customFormat="1" ht="15.75" x14ac:dyDescent="0.2">
      <c r="A12" s="177"/>
      <c r="B12" s="177"/>
      <c r="C12" s="177"/>
      <c r="D12" s="177"/>
      <c r="E12" s="180"/>
      <c r="F12" s="181"/>
      <c r="G12" s="188"/>
      <c r="H12" s="180"/>
      <c r="I12" s="181"/>
      <c r="J12" s="188"/>
      <c r="K12" s="180"/>
      <c r="L12" s="181"/>
      <c r="M12" s="177"/>
      <c r="N12" s="180"/>
      <c r="O12" s="181"/>
      <c r="P12" s="177"/>
      <c r="Q12" s="180"/>
      <c r="R12" s="181"/>
      <c r="S12" s="177"/>
      <c r="T12" s="180"/>
      <c r="U12" s="181"/>
      <c r="V12" s="177"/>
      <c r="W12" s="180"/>
      <c r="X12" s="181"/>
      <c r="Y12" s="177"/>
      <c r="Z12" s="180" t="s">
        <v>14</v>
      </c>
      <c r="AA12" s="181"/>
      <c r="AB12" s="180" t="s">
        <v>14</v>
      </c>
      <c r="AC12" s="181"/>
      <c r="AD12" s="10" t="s">
        <v>15</v>
      </c>
      <c r="AE12" s="180" t="s">
        <v>15</v>
      </c>
      <c r="AF12" s="181"/>
      <c r="AG12" s="180" t="s">
        <v>14</v>
      </c>
      <c r="AH12" s="181"/>
      <c r="AI12" s="10" t="s">
        <v>15</v>
      </c>
      <c r="AJ12" s="180" t="s">
        <v>14</v>
      </c>
      <c r="AK12" s="181"/>
      <c r="AL12" s="10" t="s">
        <v>15</v>
      </c>
      <c r="AM12" s="89"/>
    </row>
    <row r="13" spans="1:45" ht="15" hidden="1" customHeight="1" x14ac:dyDescent="0.2">
      <c r="A13" s="199"/>
      <c r="B13" s="202" t="s">
        <v>22</v>
      </c>
      <c r="C13" s="190" t="s">
        <v>23</v>
      </c>
      <c r="D13" s="202" t="s">
        <v>24</v>
      </c>
      <c r="E13" s="205" t="s">
        <v>25</v>
      </c>
      <c r="F13" s="206"/>
      <c r="G13" s="199"/>
      <c r="H13" s="205" t="s">
        <v>26</v>
      </c>
      <c r="I13" s="206"/>
      <c r="J13" s="190" t="s">
        <v>27</v>
      </c>
      <c r="K13" s="193" t="s">
        <v>28</v>
      </c>
      <c r="L13" s="194"/>
      <c r="M13" s="190" t="s">
        <v>29</v>
      </c>
      <c r="N13" s="193" t="s">
        <v>30</v>
      </c>
      <c r="O13" s="194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96"/>
      <c r="AB13" s="11"/>
      <c r="AC13" s="86"/>
      <c r="AD13" s="11"/>
      <c r="AE13" s="11"/>
      <c r="AF13" s="86"/>
      <c r="AG13" s="11"/>
      <c r="AH13" s="96"/>
      <c r="AI13" s="11"/>
      <c r="AJ13" s="11"/>
      <c r="AK13" s="12"/>
      <c r="AL13" s="11"/>
      <c r="AM13" s="13"/>
    </row>
    <row r="14" spans="1:45" ht="15" hidden="1" customHeight="1" x14ac:dyDescent="0.2">
      <c r="A14" s="200"/>
      <c r="B14" s="203"/>
      <c r="C14" s="191"/>
      <c r="D14" s="203"/>
      <c r="E14" s="207"/>
      <c r="F14" s="208"/>
      <c r="G14" s="200"/>
      <c r="H14" s="207"/>
      <c r="I14" s="208"/>
      <c r="J14" s="191"/>
      <c r="K14" s="195"/>
      <c r="L14" s="196"/>
      <c r="M14" s="191"/>
      <c r="N14" s="195"/>
      <c r="O14" s="196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97"/>
      <c r="AB14" s="14"/>
      <c r="AC14" s="87"/>
      <c r="AD14" s="14"/>
      <c r="AE14" s="14"/>
      <c r="AF14" s="87"/>
      <c r="AG14" s="14"/>
      <c r="AH14" s="97"/>
      <c r="AI14" s="14"/>
      <c r="AJ14" s="14"/>
      <c r="AK14" s="15"/>
      <c r="AL14" s="14"/>
      <c r="AM14" s="13"/>
    </row>
    <row r="15" spans="1:45" ht="15" hidden="1" customHeight="1" x14ac:dyDescent="0.2">
      <c r="A15" s="201"/>
      <c r="B15" s="204"/>
      <c r="C15" s="192"/>
      <c r="D15" s="204"/>
      <c r="E15" s="209"/>
      <c r="F15" s="210"/>
      <c r="G15" s="201"/>
      <c r="H15" s="209"/>
      <c r="I15" s="210"/>
      <c r="J15" s="192"/>
      <c r="K15" s="197"/>
      <c r="L15" s="198"/>
      <c r="M15" s="192"/>
      <c r="N15" s="197"/>
      <c r="O15" s="198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98"/>
      <c r="AB15" s="16"/>
      <c r="AC15" s="88"/>
      <c r="AD15" s="16"/>
      <c r="AE15" s="16"/>
      <c r="AF15" s="88"/>
      <c r="AG15" s="16"/>
      <c r="AH15" s="98"/>
      <c r="AI15" s="16"/>
      <c r="AJ15" s="16"/>
      <c r="AK15" s="17"/>
      <c r="AL15" s="16"/>
      <c r="AM15" s="13"/>
    </row>
    <row r="16" spans="1:45" ht="126" x14ac:dyDescent="0.2">
      <c r="A16" s="52">
        <v>1</v>
      </c>
      <c r="B16" s="19" t="s">
        <v>31</v>
      </c>
      <c r="C16" s="21" t="s">
        <v>78</v>
      </c>
      <c r="D16" s="21" t="s">
        <v>151</v>
      </c>
      <c r="E16" s="47">
        <v>100</v>
      </c>
      <c r="F16" s="48" t="s">
        <v>55</v>
      </c>
      <c r="G16" s="72">
        <f>G17+G20+G25+G32+G36</f>
        <v>42833585299</v>
      </c>
      <c r="H16" s="49">
        <v>88.8</v>
      </c>
      <c r="I16" s="48" t="s">
        <v>55</v>
      </c>
      <c r="J16" s="72"/>
      <c r="K16" s="47">
        <v>100</v>
      </c>
      <c r="L16" s="48" t="s">
        <v>55</v>
      </c>
      <c r="M16" s="72">
        <f>M17+M20+M25+M32+M36</f>
        <v>13891116677</v>
      </c>
      <c r="N16" s="47">
        <v>25</v>
      </c>
      <c r="O16" s="85" t="str">
        <f>L16</f>
        <v>%</v>
      </c>
      <c r="P16" s="72">
        <f>P17+P20+P25+P32+P36</f>
        <v>2867903334</v>
      </c>
      <c r="Q16" s="93">
        <v>25</v>
      </c>
      <c r="R16" s="85" t="str">
        <f>L16</f>
        <v>%</v>
      </c>
      <c r="S16" s="72">
        <f>S17+S20+S25+S32+S36</f>
        <v>4081862335</v>
      </c>
      <c r="T16" s="93">
        <v>25</v>
      </c>
      <c r="U16" s="85" t="str">
        <f>O16</f>
        <v>%</v>
      </c>
      <c r="V16" s="72">
        <f>V17+V20+V25+V32+V36</f>
        <v>3347126075</v>
      </c>
      <c r="W16" s="93">
        <v>25</v>
      </c>
      <c r="X16" s="85" t="str">
        <f>R16</f>
        <v>%</v>
      </c>
      <c r="Y16" s="72">
        <f>Y17+Y20+Y25+Y32+Y36</f>
        <v>3020767832</v>
      </c>
      <c r="Z16" s="56">
        <f>SUM(N16,Q16,T16,W16)</f>
        <v>100</v>
      </c>
      <c r="AA16" s="85" t="str">
        <f>L16</f>
        <v>%</v>
      </c>
      <c r="AB16" s="56">
        <f>Z16/K16*100</f>
        <v>100</v>
      </c>
      <c r="AC16" s="58" t="s">
        <v>55</v>
      </c>
      <c r="AD16" s="74">
        <f>SUM(P16,S16,V16,Y16)</f>
        <v>13317659576</v>
      </c>
      <c r="AE16" s="76">
        <f>AD16/M16*100</f>
        <v>95.871771043795974</v>
      </c>
      <c r="AF16" s="52" t="s">
        <v>55</v>
      </c>
      <c r="AG16" s="59">
        <f>SUM(H16,Z16)</f>
        <v>188.8</v>
      </c>
      <c r="AH16" s="85" t="str">
        <f>O16</f>
        <v>%</v>
      </c>
      <c r="AI16" s="74">
        <f>SUM(J16,AD16)</f>
        <v>13317659576</v>
      </c>
      <c r="AJ16" s="59"/>
      <c r="AK16" s="58" t="s">
        <v>55</v>
      </c>
      <c r="AL16" s="76"/>
      <c r="AM16" s="26" t="s">
        <v>59</v>
      </c>
      <c r="AP16" s="27">
        <f t="shared" ref="AP16:AP24" si="0">P16+S16+V16+Y16</f>
        <v>13317659576</v>
      </c>
    </row>
    <row r="17" spans="1:42" ht="141.75" x14ac:dyDescent="0.2">
      <c r="A17" s="52">
        <v>2</v>
      </c>
      <c r="B17" s="53" t="s">
        <v>32</v>
      </c>
      <c r="C17" s="20" t="s">
        <v>79</v>
      </c>
      <c r="D17" s="21" t="s">
        <v>139</v>
      </c>
      <c r="E17" s="47">
        <v>15</v>
      </c>
      <c r="F17" s="48" t="s">
        <v>53</v>
      </c>
      <c r="G17" s="44">
        <f>G18+G19</f>
        <v>29014200</v>
      </c>
      <c r="H17" s="47">
        <v>15</v>
      </c>
      <c r="I17" s="48" t="s">
        <v>53</v>
      </c>
      <c r="J17" s="44"/>
      <c r="K17" s="47">
        <v>15</v>
      </c>
      <c r="L17" s="48" t="s">
        <v>53</v>
      </c>
      <c r="M17" s="44">
        <f>SUM(M18:M19)</f>
        <v>9500000</v>
      </c>
      <c r="N17" s="47">
        <f>SUM(N18:N19)</f>
        <v>1</v>
      </c>
      <c r="O17" s="85" t="str">
        <f t="shared" ref="O17:O112" si="1">L17</f>
        <v>Dok</v>
      </c>
      <c r="P17" s="44">
        <f>SUM(P18:P19)</f>
        <v>2350000</v>
      </c>
      <c r="Q17" s="47">
        <f>SUM(Q18:Q19)</f>
        <v>3</v>
      </c>
      <c r="R17" s="85" t="str">
        <f t="shared" ref="R17:R112" si="2">L17</f>
        <v>Dok</v>
      </c>
      <c r="S17" s="44">
        <f>SUM(S18:S19)</f>
        <v>1125000</v>
      </c>
      <c r="T17" s="47">
        <f>SUM(T18:T19)</f>
        <v>3</v>
      </c>
      <c r="U17" s="85" t="str">
        <f t="shared" ref="U17:U31" si="3">O17</f>
        <v>Dok</v>
      </c>
      <c r="V17" s="44">
        <f>SUM(V18:V19)</f>
        <v>2700000</v>
      </c>
      <c r="W17" s="47">
        <f>SUM(W18:W19)</f>
        <v>8</v>
      </c>
      <c r="X17" s="85" t="str">
        <f t="shared" ref="X17:X31" si="4">R17</f>
        <v>Dok</v>
      </c>
      <c r="Y17" s="44">
        <f>SUM(Y18:Y19)</f>
        <v>3325000</v>
      </c>
      <c r="Z17" s="56">
        <f>SUM(N17,Q17,T17,W17)</f>
        <v>15</v>
      </c>
      <c r="AA17" s="85" t="str">
        <f>L17</f>
        <v>Dok</v>
      </c>
      <c r="AB17" s="56">
        <f>Z17/K17*100</f>
        <v>100</v>
      </c>
      <c r="AC17" s="58" t="s">
        <v>55</v>
      </c>
      <c r="AD17" s="57">
        <f>SUM(P17,S17,V17,Y17)</f>
        <v>9500000</v>
      </c>
      <c r="AE17" s="59">
        <f>AD17/M17*100</f>
        <v>100</v>
      </c>
      <c r="AF17" s="58" t="s">
        <v>55</v>
      </c>
      <c r="AG17" s="56">
        <f>SUM(H17,Z17)</f>
        <v>30</v>
      </c>
      <c r="AH17" s="85" t="str">
        <f>O17</f>
        <v>Dok</v>
      </c>
      <c r="AI17" s="57">
        <f>SUM(J17,AD17)</f>
        <v>9500000</v>
      </c>
      <c r="AJ17" s="59"/>
      <c r="AK17" s="58" t="s">
        <v>55</v>
      </c>
      <c r="AL17" s="59"/>
      <c r="AM17" s="13"/>
      <c r="AP17" s="27"/>
    </row>
    <row r="18" spans="1:42" ht="90" x14ac:dyDescent="0.2">
      <c r="A18" s="18"/>
      <c r="B18" s="19"/>
      <c r="C18" s="28" t="s">
        <v>80</v>
      </c>
      <c r="D18" s="31" t="s">
        <v>149</v>
      </c>
      <c r="E18" s="22">
        <v>5</v>
      </c>
      <c r="F18" s="23" t="s">
        <v>53</v>
      </c>
      <c r="G18" s="25">
        <f>M18+(8187500*2)</f>
        <v>24375000</v>
      </c>
      <c r="H18" s="22">
        <v>5</v>
      </c>
      <c r="I18" s="23" t="s">
        <v>53</v>
      </c>
      <c r="J18" s="25"/>
      <c r="K18" s="22">
        <v>5</v>
      </c>
      <c r="L18" s="23" t="s">
        <v>53</v>
      </c>
      <c r="M18" s="25">
        <v>8000000</v>
      </c>
      <c r="N18" s="22">
        <v>0</v>
      </c>
      <c r="O18" s="51" t="str">
        <f t="shared" si="1"/>
        <v>Dok</v>
      </c>
      <c r="P18" s="25">
        <v>1975000</v>
      </c>
      <c r="Q18" s="22">
        <v>1</v>
      </c>
      <c r="R18" s="51" t="str">
        <f t="shared" si="2"/>
        <v>Dok</v>
      </c>
      <c r="S18" s="25">
        <v>1125000</v>
      </c>
      <c r="T18" s="22">
        <v>1</v>
      </c>
      <c r="U18" s="51" t="str">
        <f t="shared" si="3"/>
        <v>Dok</v>
      </c>
      <c r="V18" s="25">
        <v>2075000</v>
      </c>
      <c r="W18" s="22">
        <v>3</v>
      </c>
      <c r="X18" s="51" t="str">
        <f t="shared" si="4"/>
        <v>Dok</v>
      </c>
      <c r="Y18" s="25">
        <f>8000000-V18-S18-P18</f>
        <v>2825000</v>
      </c>
      <c r="Z18" s="60">
        <f t="shared" ref="Z18:Z102" si="5">SUM(N18,Q18,T18,W18)</f>
        <v>5</v>
      </c>
      <c r="AA18" s="51" t="str">
        <f t="shared" ref="AA18:AA112" si="6">L18</f>
        <v>Dok</v>
      </c>
      <c r="AB18" s="60">
        <f t="shared" ref="AB18:AB106" si="7">Z18/K18*100</f>
        <v>100</v>
      </c>
      <c r="AC18" s="36" t="s">
        <v>55</v>
      </c>
      <c r="AD18" s="42">
        <f t="shared" ref="AD18:AD112" si="8">SUM(P18,S18,V18,Y18)</f>
        <v>8000000</v>
      </c>
      <c r="AE18" s="61">
        <f t="shared" ref="AE18:AE112" si="9">AD18/M18*100</f>
        <v>100</v>
      </c>
      <c r="AF18" s="36" t="s">
        <v>55</v>
      </c>
      <c r="AG18" s="60">
        <f t="shared" ref="AG18:AG112" si="10">SUM(H18,Z18)</f>
        <v>10</v>
      </c>
      <c r="AH18" s="51" t="str">
        <f t="shared" ref="AH18:AH112" si="11">O18</f>
        <v>Dok</v>
      </c>
      <c r="AI18" s="42">
        <f t="shared" ref="AI18:AI112" si="12">SUM(J18,AD18)</f>
        <v>8000000</v>
      </c>
      <c r="AJ18" s="61"/>
      <c r="AK18" s="36" t="s">
        <v>55</v>
      </c>
      <c r="AL18" s="61"/>
      <c r="AM18" s="13"/>
      <c r="AP18" s="27"/>
    </row>
    <row r="19" spans="1:42" ht="90" x14ac:dyDescent="0.2">
      <c r="A19" s="18"/>
      <c r="B19" s="19"/>
      <c r="C19" s="28" t="s">
        <v>81</v>
      </c>
      <c r="D19" s="31" t="s">
        <v>150</v>
      </c>
      <c r="E19" s="22">
        <v>10</v>
      </c>
      <c r="F19" s="23" t="s">
        <v>53</v>
      </c>
      <c r="G19" s="30">
        <f>M19+(1569600*2)</f>
        <v>4639200</v>
      </c>
      <c r="H19" s="22">
        <v>10</v>
      </c>
      <c r="I19" s="23" t="s">
        <v>53</v>
      </c>
      <c r="J19" s="43"/>
      <c r="K19" s="22">
        <v>10</v>
      </c>
      <c r="L19" s="23" t="s">
        <v>53</v>
      </c>
      <c r="M19" s="30">
        <v>1500000</v>
      </c>
      <c r="N19" s="22">
        <v>1</v>
      </c>
      <c r="O19" s="51" t="str">
        <f t="shared" si="1"/>
        <v>Dok</v>
      </c>
      <c r="P19" s="30">
        <v>375000</v>
      </c>
      <c r="Q19" s="22">
        <v>2</v>
      </c>
      <c r="R19" s="51" t="str">
        <f t="shared" si="2"/>
        <v>Dok</v>
      </c>
      <c r="S19" s="30">
        <v>0</v>
      </c>
      <c r="T19" s="22">
        <v>2</v>
      </c>
      <c r="U19" s="51" t="str">
        <f t="shared" si="3"/>
        <v>Dok</v>
      </c>
      <c r="V19" s="30">
        <v>625000</v>
      </c>
      <c r="W19" s="22">
        <v>5</v>
      </c>
      <c r="X19" s="51" t="str">
        <f t="shared" si="4"/>
        <v>Dok</v>
      </c>
      <c r="Y19" s="30">
        <f>1500000-V19-P19</f>
        <v>500000</v>
      </c>
      <c r="Z19" s="60">
        <f t="shared" si="5"/>
        <v>10</v>
      </c>
      <c r="AA19" s="51" t="str">
        <f t="shared" si="6"/>
        <v>Dok</v>
      </c>
      <c r="AB19" s="60">
        <f t="shared" si="7"/>
        <v>100</v>
      </c>
      <c r="AC19" s="36" t="s">
        <v>55</v>
      </c>
      <c r="AD19" s="42">
        <f t="shared" si="8"/>
        <v>1500000</v>
      </c>
      <c r="AE19" s="61">
        <f t="shared" si="9"/>
        <v>100</v>
      </c>
      <c r="AF19" s="36" t="s">
        <v>55</v>
      </c>
      <c r="AG19" s="60">
        <f t="shared" si="10"/>
        <v>20</v>
      </c>
      <c r="AH19" s="51" t="str">
        <f t="shared" si="11"/>
        <v>Dok</v>
      </c>
      <c r="AI19" s="42">
        <f t="shared" si="12"/>
        <v>1500000</v>
      </c>
      <c r="AJ19" s="61"/>
      <c r="AK19" s="36" t="s">
        <v>55</v>
      </c>
      <c r="AL19" s="61"/>
      <c r="AM19" s="13"/>
      <c r="AP19" s="27"/>
    </row>
    <row r="20" spans="1:42" s="108" customFormat="1" ht="105" customHeight="1" x14ac:dyDescent="0.25">
      <c r="A20" s="18"/>
      <c r="B20" s="19"/>
      <c r="C20" s="20" t="s">
        <v>82</v>
      </c>
      <c r="D20" s="21" t="s">
        <v>140</v>
      </c>
      <c r="E20" s="47">
        <v>14</v>
      </c>
      <c r="F20" s="54" t="s">
        <v>53</v>
      </c>
      <c r="G20" s="43">
        <f>SUM(G21:G24)</f>
        <v>24649793102</v>
      </c>
      <c r="H20" s="47">
        <v>14</v>
      </c>
      <c r="I20" s="54" t="s">
        <v>53</v>
      </c>
      <c r="J20" s="43"/>
      <c r="K20" s="92">
        <f>SUM(K22:K24)</f>
        <v>14</v>
      </c>
      <c r="L20" s="54" t="s">
        <v>53</v>
      </c>
      <c r="M20" s="44">
        <f>SUM(M21:M24)</f>
        <v>7699633102</v>
      </c>
      <c r="N20" s="92">
        <f>SUM(N22:N24)</f>
        <v>3</v>
      </c>
      <c r="O20" s="85" t="str">
        <f t="shared" si="1"/>
        <v>Dok</v>
      </c>
      <c r="P20" s="44">
        <f>SUM(P21:P24)</f>
        <v>1668570694</v>
      </c>
      <c r="Q20" s="92">
        <v>4</v>
      </c>
      <c r="R20" s="85" t="str">
        <f t="shared" si="2"/>
        <v>Dok</v>
      </c>
      <c r="S20" s="44">
        <f>SUM(S21:S24)</f>
        <v>2687404660</v>
      </c>
      <c r="T20" s="92">
        <v>4</v>
      </c>
      <c r="U20" s="85" t="str">
        <f t="shared" si="3"/>
        <v>Dok</v>
      </c>
      <c r="V20" s="44">
        <f>SUM(V21:V24)</f>
        <v>1732860023</v>
      </c>
      <c r="W20" s="92">
        <v>3</v>
      </c>
      <c r="X20" s="85" t="str">
        <f t="shared" si="4"/>
        <v>Dok</v>
      </c>
      <c r="Y20" s="44">
        <f>SUM(Y21:Y24)</f>
        <v>1488985100</v>
      </c>
      <c r="Z20" s="56">
        <f t="shared" si="5"/>
        <v>14</v>
      </c>
      <c r="AA20" s="100" t="str">
        <f t="shared" si="6"/>
        <v>Dok</v>
      </c>
      <c r="AB20" s="56">
        <f t="shared" si="7"/>
        <v>100</v>
      </c>
      <c r="AC20" s="58" t="s">
        <v>55</v>
      </c>
      <c r="AD20" s="57">
        <f t="shared" si="8"/>
        <v>7577820477</v>
      </c>
      <c r="AE20" s="59">
        <f t="shared" si="9"/>
        <v>98.417942473539952</v>
      </c>
      <c r="AF20" s="58" t="s">
        <v>55</v>
      </c>
      <c r="AG20" s="56">
        <f t="shared" si="10"/>
        <v>28</v>
      </c>
      <c r="AH20" s="100" t="str">
        <f t="shared" si="11"/>
        <v>Dok</v>
      </c>
      <c r="AI20" s="57">
        <f t="shared" si="12"/>
        <v>7577820477</v>
      </c>
      <c r="AJ20" s="59"/>
      <c r="AK20" s="58" t="s">
        <v>55</v>
      </c>
      <c r="AL20" s="59"/>
      <c r="AM20" s="26"/>
      <c r="AP20" s="109">
        <f t="shared" si="0"/>
        <v>7577820477</v>
      </c>
    </row>
    <row r="21" spans="1:42" ht="70.5" customHeight="1" x14ac:dyDescent="0.2">
      <c r="A21" s="18"/>
      <c r="B21" s="19"/>
      <c r="C21" s="28" t="s">
        <v>83</v>
      </c>
      <c r="D21" s="28" t="s">
        <v>56</v>
      </c>
      <c r="E21" s="22">
        <f>12*3</f>
        <v>36</v>
      </c>
      <c r="F21" s="29" t="s">
        <v>170</v>
      </c>
      <c r="G21" s="25">
        <f>M21+(8470080000*2)</f>
        <v>24634793102</v>
      </c>
      <c r="H21" s="45">
        <v>12</v>
      </c>
      <c r="I21" s="29" t="s">
        <v>170</v>
      </c>
      <c r="J21" s="25"/>
      <c r="K21" s="45">
        <v>12</v>
      </c>
      <c r="L21" s="29" t="s">
        <v>54</v>
      </c>
      <c r="M21" s="25">
        <v>7694633102</v>
      </c>
      <c r="N21" s="45">
        <v>3</v>
      </c>
      <c r="O21" s="51" t="str">
        <f t="shared" si="1"/>
        <v>Bln</v>
      </c>
      <c r="P21" s="25">
        <v>1668195694</v>
      </c>
      <c r="Q21" s="46">
        <v>3</v>
      </c>
      <c r="R21" s="51" t="str">
        <f t="shared" si="2"/>
        <v>Bln</v>
      </c>
      <c r="S21" s="25">
        <v>2687404660</v>
      </c>
      <c r="T21" s="46">
        <v>3</v>
      </c>
      <c r="U21" s="51" t="str">
        <f t="shared" si="3"/>
        <v>Bln</v>
      </c>
      <c r="V21" s="25">
        <v>1730610023</v>
      </c>
      <c r="W21" s="46">
        <v>3</v>
      </c>
      <c r="X21" s="51" t="str">
        <f t="shared" si="4"/>
        <v>Bln</v>
      </c>
      <c r="Y21" s="25">
        <v>1486690100</v>
      </c>
      <c r="Z21" s="60">
        <f t="shared" si="5"/>
        <v>12</v>
      </c>
      <c r="AA21" s="51" t="str">
        <f t="shared" si="6"/>
        <v>Bln</v>
      </c>
      <c r="AB21" s="60">
        <f t="shared" si="7"/>
        <v>100</v>
      </c>
      <c r="AC21" s="36" t="s">
        <v>55</v>
      </c>
      <c r="AD21" s="42">
        <f t="shared" si="8"/>
        <v>7572900477</v>
      </c>
      <c r="AE21" s="61">
        <f t="shared" si="9"/>
        <v>98.41795413262318</v>
      </c>
      <c r="AF21" s="36" t="s">
        <v>55</v>
      </c>
      <c r="AG21" s="60">
        <f t="shared" si="10"/>
        <v>24</v>
      </c>
      <c r="AH21" s="51" t="str">
        <f t="shared" si="11"/>
        <v>Bln</v>
      </c>
      <c r="AI21" s="42">
        <f t="shared" si="12"/>
        <v>7572900477</v>
      </c>
      <c r="AJ21" s="61"/>
      <c r="AK21" s="36" t="s">
        <v>55</v>
      </c>
      <c r="AL21" s="61"/>
      <c r="AM21" s="13"/>
      <c r="AP21" s="27">
        <f t="shared" si="0"/>
        <v>7572900477</v>
      </c>
    </row>
    <row r="22" spans="1:42" ht="105" x14ac:dyDescent="0.2">
      <c r="A22" s="18"/>
      <c r="B22" s="19"/>
      <c r="C22" s="28" t="s">
        <v>84</v>
      </c>
      <c r="D22" s="31" t="s">
        <v>85</v>
      </c>
      <c r="E22" s="45">
        <f>1*3</f>
        <v>3</v>
      </c>
      <c r="F22" s="29" t="s">
        <v>53</v>
      </c>
      <c r="G22" s="25">
        <f>M22+(2000000*2)</f>
        <v>6000000</v>
      </c>
      <c r="H22" s="45">
        <v>1</v>
      </c>
      <c r="I22" s="29" t="s">
        <v>53</v>
      </c>
      <c r="J22" s="25"/>
      <c r="K22" s="45">
        <v>1</v>
      </c>
      <c r="L22" s="29" t="s">
        <v>53</v>
      </c>
      <c r="M22" s="25">
        <v>2000000</v>
      </c>
      <c r="N22" s="45">
        <v>0</v>
      </c>
      <c r="O22" s="51" t="str">
        <f t="shared" si="1"/>
        <v>Dok</v>
      </c>
      <c r="P22" s="25">
        <v>0</v>
      </c>
      <c r="Q22" s="45">
        <v>0</v>
      </c>
      <c r="R22" s="51" t="str">
        <f t="shared" si="2"/>
        <v>Dok</v>
      </c>
      <c r="S22" s="25">
        <v>0</v>
      </c>
      <c r="T22" s="45">
        <v>0</v>
      </c>
      <c r="U22" s="51" t="str">
        <f t="shared" si="3"/>
        <v>Dok</v>
      </c>
      <c r="V22" s="25">
        <v>0</v>
      </c>
      <c r="W22" s="45">
        <v>1</v>
      </c>
      <c r="X22" s="51" t="str">
        <f t="shared" si="4"/>
        <v>Dok</v>
      </c>
      <c r="Y22" s="25">
        <v>1920000</v>
      </c>
      <c r="Z22" s="60">
        <f t="shared" si="5"/>
        <v>1</v>
      </c>
      <c r="AA22" s="99" t="str">
        <f t="shared" si="6"/>
        <v>Dok</v>
      </c>
      <c r="AB22" s="60">
        <f t="shared" si="7"/>
        <v>100</v>
      </c>
      <c r="AC22" s="36" t="s">
        <v>55</v>
      </c>
      <c r="AD22" s="42">
        <f t="shared" si="8"/>
        <v>1920000</v>
      </c>
      <c r="AE22" s="61">
        <f t="shared" si="9"/>
        <v>96</v>
      </c>
      <c r="AF22" s="36" t="s">
        <v>55</v>
      </c>
      <c r="AG22" s="60">
        <f t="shared" si="10"/>
        <v>2</v>
      </c>
      <c r="AH22" s="99" t="str">
        <f t="shared" si="11"/>
        <v>Dok</v>
      </c>
      <c r="AI22" s="42">
        <f t="shared" si="12"/>
        <v>1920000</v>
      </c>
      <c r="AJ22" s="61"/>
      <c r="AK22" s="36" t="s">
        <v>55</v>
      </c>
      <c r="AL22" s="61"/>
      <c r="AM22" s="13"/>
      <c r="AP22" s="27">
        <f t="shared" si="0"/>
        <v>1920000</v>
      </c>
    </row>
    <row r="23" spans="1:42" ht="120" x14ac:dyDescent="0.2">
      <c r="A23" s="18"/>
      <c r="B23" s="19"/>
      <c r="C23" s="28" t="s">
        <v>87</v>
      </c>
      <c r="D23" s="31" t="s">
        <v>85</v>
      </c>
      <c r="E23" s="22">
        <f>12*3</f>
        <v>36</v>
      </c>
      <c r="F23" s="29" t="s">
        <v>86</v>
      </c>
      <c r="G23" s="25">
        <f>M23+(1500000*2)</f>
        <v>4500000</v>
      </c>
      <c r="H23" s="22">
        <v>12</v>
      </c>
      <c r="I23" s="29" t="s">
        <v>86</v>
      </c>
      <c r="J23" s="25"/>
      <c r="K23" s="45">
        <v>12</v>
      </c>
      <c r="L23" s="29" t="s">
        <v>86</v>
      </c>
      <c r="M23" s="25">
        <v>1500000</v>
      </c>
      <c r="N23" s="45">
        <v>3</v>
      </c>
      <c r="O23" s="51" t="str">
        <f t="shared" si="1"/>
        <v>Lap</v>
      </c>
      <c r="P23" s="25">
        <v>375000</v>
      </c>
      <c r="Q23" s="46">
        <v>3</v>
      </c>
      <c r="R23" s="51" t="str">
        <f t="shared" si="2"/>
        <v>Lap</v>
      </c>
      <c r="S23" s="25">
        <v>0</v>
      </c>
      <c r="T23" s="46">
        <v>3</v>
      </c>
      <c r="U23" s="51" t="str">
        <f t="shared" si="3"/>
        <v>Lap</v>
      </c>
      <c r="V23" s="25">
        <v>750000</v>
      </c>
      <c r="W23" s="46">
        <v>3</v>
      </c>
      <c r="X23" s="51" t="str">
        <f t="shared" si="4"/>
        <v>Lap</v>
      </c>
      <c r="Y23" s="25">
        <v>375000</v>
      </c>
      <c r="Z23" s="60">
        <f t="shared" si="5"/>
        <v>12</v>
      </c>
      <c r="AA23" s="51" t="str">
        <f t="shared" si="6"/>
        <v>Lap</v>
      </c>
      <c r="AB23" s="60">
        <f t="shared" si="7"/>
        <v>100</v>
      </c>
      <c r="AC23" s="36" t="s">
        <v>55</v>
      </c>
      <c r="AD23" s="42">
        <f t="shared" si="8"/>
        <v>1500000</v>
      </c>
      <c r="AE23" s="61">
        <f t="shared" si="9"/>
        <v>100</v>
      </c>
      <c r="AF23" s="36" t="s">
        <v>55</v>
      </c>
      <c r="AG23" s="60">
        <f t="shared" si="10"/>
        <v>24</v>
      </c>
      <c r="AH23" s="51" t="str">
        <f t="shared" si="11"/>
        <v>Lap</v>
      </c>
      <c r="AI23" s="42">
        <f t="shared" si="12"/>
        <v>1500000</v>
      </c>
      <c r="AJ23" s="61"/>
      <c r="AK23" s="36" t="s">
        <v>55</v>
      </c>
      <c r="AL23" s="61"/>
      <c r="AM23" s="13"/>
      <c r="AP23" s="27">
        <f t="shared" si="0"/>
        <v>1500000</v>
      </c>
    </row>
    <row r="24" spans="1:42" ht="110.25" customHeight="1" x14ac:dyDescent="0.2">
      <c r="A24" s="18"/>
      <c r="B24" s="19"/>
      <c r="C24" s="28" t="s">
        <v>88</v>
      </c>
      <c r="D24" s="31" t="s">
        <v>85</v>
      </c>
      <c r="E24" s="45">
        <f>1*3</f>
        <v>3</v>
      </c>
      <c r="F24" s="29" t="s">
        <v>86</v>
      </c>
      <c r="G24" s="25">
        <f>M24+(1500000*2)</f>
        <v>4500000</v>
      </c>
      <c r="H24" s="22">
        <v>1</v>
      </c>
      <c r="I24" s="29" t="s">
        <v>86</v>
      </c>
      <c r="J24" s="25"/>
      <c r="K24" s="45">
        <v>1</v>
      </c>
      <c r="L24" s="29" t="s">
        <v>86</v>
      </c>
      <c r="M24" s="25">
        <v>1500000</v>
      </c>
      <c r="N24" s="45">
        <v>0</v>
      </c>
      <c r="O24" s="51" t="str">
        <f t="shared" si="1"/>
        <v>Lap</v>
      </c>
      <c r="P24" s="25">
        <v>0</v>
      </c>
      <c r="Q24" s="45">
        <v>1</v>
      </c>
      <c r="R24" s="51" t="str">
        <f t="shared" si="2"/>
        <v>Lap</v>
      </c>
      <c r="S24" s="25">
        <v>0</v>
      </c>
      <c r="T24" s="45">
        <v>0</v>
      </c>
      <c r="U24" s="51" t="str">
        <f t="shared" si="3"/>
        <v>Lap</v>
      </c>
      <c r="V24" s="25">
        <v>1500000</v>
      </c>
      <c r="W24" s="45">
        <v>0</v>
      </c>
      <c r="X24" s="51" t="str">
        <f t="shared" si="4"/>
        <v>Lap</v>
      </c>
      <c r="Y24" s="25">
        <v>0</v>
      </c>
      <c r="Z24" s="60">
        <f t="shared" si="5"/>
        <v>1</v>
      </c>
      <c r="AA24" s="99" t="str">
        <f t="shared" si="6"/>
        <v>Lap</v>
      </c>
      <c r="AB24" s="60">
        <f t="shared" si="7"/>
        <v>100</v>
      </c>
      <c r="AC24" s="36" t="s">
        <v>55</v>
      </c>
      <c r="AD24" s="42">
        <f t="shared" si="8"/>
        <v>1500000</v>
      </c>
      <c r="AE24" s="61">
        <f t="shared" si="9"/>
        <v>100</v>
      </c>
      <c r="AF24" s="36" t="s">
        <v>55</v>
      </c>
      <c r="AG24" s="60">
        <f t="shared" si="10"/>
        <v>2</v>
      </c>
      <c r="AH24" s="99" t="str">
        <f t="shared" si="11"/>
        <v>Lap</v>
      </c>
      <c r="AI24" s="42">
        <f t="shared" si="12"/>
        <v>1500000</v>
      </c>
      <c r="AJ24" s="61"/>
      <c r="AK24" s="36" t="s">
        <v>55</v>
      </c>
      <c r="AL24" s="61"/>
      <c r="AM24" s="13"/>
      <c r="AP24" s="27">
        <f t="shared" si="0"/>
        <v>1500000</v>
      </c>
    </row>
    <row r="25" spans="1:42" s="108" customFormat="1" ht="110.25" x14ac:dyDescent="0.25">
      <c r="A25" s="18"/>
      <c r="B25" s="19"/>
      <c r="C25" s="19" t="s">
        <v>89</v>
      </c>
      <c r="D25" s="21" t="s">
        <v>171</v>
      </c>
      <c r="E25" s="47">
        <f t="shared" ref="E25:E39" si="13">12*3</f>
        <v>36</v>
      </c>
      <c r="F25" s="54" t="s">
        <v>54</v>
      </c>
      <c r="G25" s="43">
        <f>SUM(G26:G31)</f>
        <v>1486076975</v>
      </c>
      <c r="H25" s="47">
        <v>12</v>
      </c>
      <c r="I25" s="54" t="s">
        <v>54</v>
      </c>
      <c r="J25" s="43"/>
      <c r="K25" s="47">
        <v>12</v>
      </c>
      <c r="L25" s="54" t="s">
        <v>54</v>
      </c>
      <c r="M25" s="44">
        <f>SUM(M26:M31)</f>
        <v>442469575</v>
      </c>
      <c r="N25" s="92">
        <v>3</v>
      </c>
      <c r="O25" s="85" t="str">
        <f t="shared" si="1"/>
        <v>Bln</v>
      </c>
      <c r="P25" s="44">
        <f>SUM(P26:P31)</f>
        <v>54512900</v>
      </c>
      <c r="Q25" s="93">
        <v>3</v>
      </c>
      <c r="R25" s="85" t="str">
        <f t="shared" si="2"/>
        <v>Bln</v>
      </c>
      <c r="S25" s="44">
        <f>SUM(S26:S31)</f>
        <v>68281866</v>
      </c>
      <c r="T25" s="93">
        <v>3</v>
      </c>
      <c r="U25" s="85" t="str">
        <f t="shared" si="3"/>
        <v>Bln</v>
      </c>
      <c r="V25" s="44">
        <f>SUM(V26:V31)</f>
        <v>116991950</v>
      </c>
      <c r="W25" s="93">
        <v>3</v>
      </c>
      <c r="X25" s="85" t="str">
        <f t="shared" si="4"/>
        <v>Bln</v>
      </c>
      <c r="Y25" s="44">
        <f>SUM(Y26:Y31)</f>
        <v>139188350</v>
      </c>
      <c r="Z25" s="56">
        <f t="shared" si="5"/>
        <v>12</v>
      </c>
      <c r="AA25" s="85" t="str">
        <f t="shared" si="6"/>
        <v>Bln</v>
      </c>
      <c r="AB25" s="56">
        <f t="shared" si="7"/>
        <v>100</v>
      </c>
      <c r="AC25" s="58" t="s">
        <v>55</v>
      </c>
      <c r="AD25" s="57">
        <f t="shared" si="8"/>
        <v>378975066</v>
      </c>
      <c r="AE25" s="59">
        <f t="shared" si="9"/>
        <v>85.649971752295059</v>
      </c>
      <c r="AF25" s="58" t="s">
        <v>55</v>
      </c>
      <c r="AG25" s="56">
        <f t="shared" si="10"/>
        <v>24</v>
      </c>
      <c r="AH25" s="85" t="str">
        <f t="shared" si="11"/>
        <v>Bln</v>
      </c>
      <c r="AI25" s="57">
        <f t="shared" si="12"/>
        <v>378975066</v>
      </c>
      <c r="AJ25" s="59"/>
      <c r="AK25" s="58" t="s">
        <v>55</v>
      </c>
      <c r="AL25" s="59"/>
      <c r="AM25" s="107"/>
      <c r="AP25" s="109"/>
    </row>
    <row r="26" spans="1:42" ht="120" x14ac:dyDescent="0.2">
      <c r="A26" s="18"/>
      <c r="B26" s="19"/>
      <c r="C26" s="31" t="s">
        <v>90</v>
      </c>
      <c r="D26" s="31" t="s">
        <v>173</v>
      </c>
      <c r="E26" s="22">
        <f t="shared" si="13"/>
        <v>36</v>
      </c>
      <c r="F26" s="29" t="s">
        <v>54</v>
      </c>
      <c r="G26" s="30">
        <f>M26+(3687000*2)</f>
        <v>10107900</v>
      </c>
      <c r="H26" s="22">
        <v>12</v>
      </c>
      <c r="I26" s="29" t="s">
        <v>54</v>
      </c>
      <c r="J26" s="44"/>
      <c r="K26" s="45">
        <v>12</v>
      </c>
      <c r="L26" s="29" t="s">
        <v>54</v>
      </c>
      <c r="M26" s="25">
        <v>2733900</v>
      </c>
      <c r="N26" s="45">
        <v>3</v>
      </c>
      <c r="O26" s="51" t="str">
        <f t="shared" si="1"/>
        <v>Bln</v>
      </c>
      <c r="P26" s="25">
        <v>682600</v>
      </c>
      <c r="Q26" s="45">
        <v>3</v>
      </c>
      <c r="R26" s="51" t="str">
        <f t="shared" si="2"/>
        <v>Bln</v>
      </c>
      <c r="S26" s="25">
        <v>681400</v>
      </c>
      <c r="T26" s="45">
        <v>3</v>
      </c>
      <c r="U26" s="51" t="str">
        <f t="shared" si="3"/>
        <v>Bln</v>
      </c>
      <c r="V26" s="25">
        <v>466000</v>
      </c>
      <c r="W26" s="45">
        <v>3</v>
      </c>
      <c r="X26" s="51" t="str">
        <f t="shared" si="4"/>
        <v>Bln</v>
      </c>
      <c r="Y26" s="25">
        <v>0</v>
      </c>
      <c r="Z26" s="60">
        <f t="shared" si="5"/>
        <v>12</v>
      </c>
      <c r="AA26" s="51" t="str">
        <f t="shared" si="6"/>
        <v>Bln</v>
      </c>
      <c r="AB26" s="60">
        <f t="shared" si="7"/>
        <v>100</v>
      </c>
      <c r="AC26" s="36" t="s">
        <v>55</v>
      </c>
      <c r="AD26" s="42">
        <f t="shared" si="8"/>
        <v>1830000</v>
      </c>
      <c r="AE26" s="61">
        <f t="shared" si="9"/>
        <v>66.937342258312299</v>
      </c>
      <c r="AF26" s="36" t="s">
        <v>55</v>
      </c>
      <c r="AG26" s="60">
        <f t="shared" si="10"/>
        <v>24</v>
      </c>
      <c r="AH26" s="51" t="str">
        <f t="shared" si="11"/>
        <v>Bln</v>
      </c>
      <c r="AI26" s="42">
        <f t="shared" si="12"/>
        <v>1830000</v>
      </c>
      <c r="AJ26" s="61"/>
      <c r="AK26" s="36" t="s">
        <v>55</v>
      </c>
      <c r="AL26" s="61"/>
      <c r="AM26" s="13"/>
      <c r="AP26" s="27"/>
    </row>
    <row r="27" spans="1:42" ht="102.75" customHeight="1" x14ac:dyDescent="0.2">
      <c r="A27" s="18"/>
      <c r="B27" s="19"/>
      <c r="C27" s="31" t="s">
        <v>91</v>
      </c>
      <c r="D27" s="31" t="s">
        <v>174</v>
      </c>
      <c r="E27" s="22">
        <f t="shared" si="13"/>
        <v>36</v>
      </c>
      <c r="F27" s="29" t="s">
        <v>54</v>
      </c>
      <c r="G27" s="30">
        <f>M27+(115289400*2)</f>
        <v>330252850</v>
      </c>
      <c r="H27" s="22">
        <v>12</v>
      </c>
      <c r="I27" s="29" t="s">
        <v>54</v>
      </c>
      <c r="J27" s="25"/>
      <c r="K27" s="45">
        <v>12</v>
      </c>
      <c r="L27" s="29" t="s">
        <v>54</v>
      </c>
      <c r="M27" s="25">
        <v>99674050</v>
      </c>
      <c r="N27" s="45">
        <v>3</v>
      </c>
      <c r="O27" s="51" t="str">
        <f t="shared" si="1"/>
        <v>Bln</v>
      </c>
      <c r="P27" s="25">
        <v>31727300</v>
      </c>
      <c r="Q27" s="45">
        <v>3</v>
      </c>
      <c r="R27" s="51" t="str">
        <f t="shared" si="2"/>
        <v>Bln</v>
      </c>
      <c r="S27" s="25">
        <v>13371350</v>
      </c>
      <c r="T27" s="45">
        <v>3</v>
      </c>
      <c r="U27" s="51" t="str">
        <f t="shared" si="3"/>
        <v>Bln</v>
      </c>
      <c r="V27" s="25">
        <v>13097650</v>
      </c>
      <c r="W27" s="45">
        <v>3</v>
      </c>
      <c r="X27" s="51" t="str">
        <f t="shared" si="4"/>
        <v>Bln</v>
      </c>
      <c r="Y27" s="25">
        <v>38508150</v>
      </c>
      <c r="Z27" s="60">
        <f t="shared" si="5"/>
        <v>12</v>
      </c>
      <c r="AA27" s="51" t="str">
        <f t="shared" si="6"/>
        <v>Bln</v>
      </c>
      <c r="AB27" s="60">
        <f t="shared" si="7"/>
        <v>100</v>
      </c>
      <c r="AC27" s="36" t="s">
        <v>55</v>
      </c>
      <c r="AD27" s="42">
        <f t="shared" si="8"/>
        <v>96704450</v>
      </c>
      <c r="AE27" s="61">
        <f t="shared" si="9"/>
        <v>97.02068893558554</v>
      </c>
      <c r="AF27" s="36" t="s">
        <v>55</v>
      </c>
      <c r="AG27" s="60">
        <f t="shared" si="10"/>
        <v>24</v>
      </c>
      <c r="AH27" s="51" t="str">
        <f t="shared" si="11"/>
        <v>Bln</v>
      </c>
      <c r="AI27" s="42">
        <f t="shared" si="12"/>
        <v>96704450</v>
      </c>
      <c r="AJ27" s="61"/>
      <c r="AK27" s="36" t="s">
        <v>55</v>
      </c>
      <c r="AL27" s="61"/>
      <c r="AM27" s="13"/>
      <c r="AP27" s="27"/>
    </row>
    <row r="28" spans="1:42" ht="62.25" customHeight="1" x14ac:dyDescent="0.2">
      <c r="A28" s="18"/>
      <c r="B28" s="19"/>
      <c r="C28" s="31" t="s">
        <v>92</v>
      </c>
      <c r="D28" s="28" t="s">
        <v>175</v>
      </c>
      <c r="E28" s="22">
        <f t="shared" si="13"/>
        <v>36</v>
      </c>
      <c r="F28" s="29" t="s">
        <v>54</v>
      </c>
      <c r="G28" s="30">
        <f>M28+(57352500*2)</f>
        <v>169005000</v>
      </c>
      <c r="H28" s="22">
        <v>12</v>
      </c>
      <c r="I28" s="29" t="s">
        <v>54</v>
      </c>
      <c r="J28" s="25"/>
      <c r="K28" s="45">
        <v>12</v>
      </c>
      <c r="L28" s="29" t="s">
        <v>54</v>
      </c>
      <c r="M28" s="25">
        <v>54300000</v>
      </c>
      <c r="N28" s="45">
        <v>3</v>
      </c>
      <c r="O28" s="51" t="str">
        <f t="shared" si="1"/>
        <v>Bln</v>
      </c>
      <c r="P28" s="25">
        <v>511500</v>
      </c>
      <c r="Q28" s="45">
        <v>3</v>
      </c>
      <c r="R28" s="51" t="str">
        <f t="shared" si="2"/>
        <v>Bln</v>
      </c>
      <c r="S28" s="25">
        <v>3350000</v>
      </c>
      <c r="T28" s="45">
        <v>3</v>
      </c>
      <c r="U28" s="51" t="str">
        <f t="shared" si="3"/>
        <v>Bln</v>
      </c>
      <c r="V28" s="25">
        <v>0</v>
      </c>
      <c r="W28" s="45">
        <v>3</v>
      </c>
      <c r="X28" s="51" t="str">
        <f t="shared" si="4"/>
        <v>Bln</v>
      </c>
      <c r="Y28" s="25">
        <v>13400000</v>
      </c>
      <c r="Z28" s="60">
        <f t="shared" si="5"/>
        <v>12</v>
      </c>
      <c r="AA28" s="51" t="str">
        <f t="shared" si="6"/>
        <v>Bln</v>
      </c>
      <c r="AB28" s="60">
        <f t="shared" si="7"/>
        <v>100</v>
      </c>
      <c r="AC28" s="36" t="s">
        <v>55</v>
      </c>
      <c r="AD28" s="42">
        <f t="shared" si="8"/>
        <v>17261500</v>
      </c>
      <c r="AE28" s="61">
        <f t="shared" si="9"/>
        <v>31.789134438305709</v>
      </c>
      <c r="AF28" s="36" t="s">
        <v>55</v>
      </c>
      <c r="AG28" s="60">
        <f t="shared" si="10"/>
        <v>24</v>
      </c>
      <c r="AH28" s="51" t="str">
        <f t="shared" si="11"/>
        <v>Bln</v>
      </c>
      <c r="AI28" s="42">
        <f t="shared" si="12"/>
        <v>17261500</v>
      </c>
      <c r="AJ28" s="61"/>
      <c r="AK28" s="36" t="s">
        <v>55</v>
      </c>
      <c r="AL28" s="61"/>
      <c r="AM28" s="13"/>
      <c r="AP28" s="27"/>
    </row>
    <row r="29" spans="1:42" ht="76.5" customHeight="1" x14ac:dyDescent="0.2">
      <c r="A29" s="18"/>
      <c r="B29" s="19"/>
      <c r="C29" s="31" t="s">
        <v>93</v>
      </c>
      <c r="D29" s="28" t="s">
        <v>176</v>
      </c>
      <c r="E29" s="22">
        <f t="shared" si="13"/>
        <v>36</v>
      </c>
      <c r="F29" s="29" t="s">
        <v>54</v>
      </c>
      <c r="G29" s="30">
        <f>M29+(59542000*2)</f>
        <v>166670000</v>
      </c>
      <c r="H29" s="22">
        <v>12</v>
      </c>
      <c r="I29" s="29" t="s">
        <v>54</v>
      </c>
      <c r="J29" s="25"/>
      <c r="K29" s="45">
        <v>12</v>
      </c>
      <c r="L29" s="29" t="s">
        <v>54</v>
      </c>
      <c r="M29" s="25">
        <v>47586000</v>
      </c>
      <c r="N29" s="45">
        <v>3</v>
      </c>
      <c r="O29" s="51" t="str">
        <f t="shared" si="1"/>
        <v>Bln</v>
      </c>
      <c r="P29" s="25">
        <v>3935500</v>
      </c>
      <c r="Q29" s="45">
        <v>3</v>
      </c>
      <c r="R29" s="51" t="str">
        <f t="shared" si="2"/>
        <v>Bln</v>
      </c>
      <c r="S29" s="25">
        <v>4480500</v>
      </c>
      <c r="T29" s="45">
        <v>3</v>
      </c>
      <c r="U29" s="51" t="str">
        <f t="shared" si="3"/>
        <v>Bln</v>
      </c>
      <c r="V29" s="25">
        <v>6364500</v>
      </c>
      <c r="W29" s="45">
        <v>3</v>
      </c>
      <c r="X29" s="51" t="str">
        <f t="shared" si="4"/>
        <v>Bln</v>
      </c>
      <c r="Y29" s="25">
        <v>21278700</v>
      </c>
      <c r="Z29" s="60">
        <f t="shared" si="5"/>
        <v>12</v>
      </c>
      <c r="AA29" s="51" t="str">
        <f t="shared" si="6"/>
        <v>Bln</v>
      </c>
      <c r="AB29" s="60">
        <f t="shared" si="7"/>
        <v>100</v>
      </c>
      <c r="AC29" s="36" t="s">
        <v>55</v>
      </c>
      <c r="AD29" s="42">
        <f t="shared" si="8"/>
        <v>36059200</v>
      </c>
      <c r="AE29" s="61">
        <f t="shared" si="9"/>
        <v>75.776909174967429</v>
      </c>
      <c r="AF29" s="36" t="s">
        <v>55</v>
      </c>
      <c r="AG29" s="60">
        <f t="shared" si="10"/>
        <v>24</v>
      </c>
      <c r="AH29" s="51" t="str">
        <f t="shared" si="11"/>
        <v>Bln</v>
      </c>
      <c r="AI29" s="42">
        <f t="shared" si="12"/>
        <v>36059200</v>
      </c>
      <c r="AJ29" s="61"/>
      <c r="AK29" s="36" t="s">
        <v>55</v>
      </c>
      <c r="AL29" s="61"/>
      <c r="AM29" s="13"/>
      <c r="AP29" s="27"/>
    </row>
    <row r="30" spans="1:42" ht="135" x14ac:dyDescent="0.2">
      <c r="A30" s="18"/>
      <c r="B30" s="19"/>
      <c r="C30" s="31" t="s">
        <v>94</v>
      </c>
      <c r="D30" s="28" t="s">
        <v>177</v>
      </c>
      <c r="E30" s="22">
        <f t="shared" si="13"/>
        <v>36</v>
      </c>
      <c r="F30" s="29" t="s">
        <v>54</v>
      </c>
      <c r="G30" s="30">
        <f>M30+(5932800*2)</f>
        <v>17145600</v>
      </c>
      <c r="H30" s="22">
        <v>12</v>
      </c>
      <c r="I30" s="29" t="s">
        <v>54</v>
      </c>
      <c r="J30" s="44"/>
      <c r="K30" s="45">
        <v>12</v>
      </c>
      <c r="L30" s="29" t="s">
        <v>54</v>
      </c>
      <c r="M30" s="25">
        <v>5280000</v>
      </c>
      <c r="N30" s="45">
        <v>3</v>
      </c>
      <c r="O30" s="51" t="str">
        <f t="shared" si="1"/>
        <v>Bln</v>
      </c>
      <c r="P30" s="25">
        <v>820000</v>
      </c>
      <c r="Q30" s="45">
        <v>3</v>
      </c>
      <c r="R30" s="51" t="str">
        <f t="shared" si="2"/>
        <v>Bln</v>
      </c>
      <c r="S30" s="25">
        <v>1230000</v>
      </c>
      <c r="T30" s="45">
        <v>3</v>
      </c>
      <c r="U30" s="51" t="str">
        <f t="shared" si="3"/>
        <v>Bln</v>
      </c>
      <c r="V30" s="25">
        <v>1230000</v>
      </c>
      <c r="W30" s="45">
        <v>3</v>
      </c>
      <c r="X30" s="51" t="str">
        <f t="shared" si="4"/>
        <v>Bln</v>
      </c>
      <c r="Y30" s="25">
        <v>1640000</v>
      </c>
      <c r="Z30" s="60">
        <f t="shared" si="5"/>
        <v>12</v>
      </c>
      <c r="AA30" s="51" t="str">
        <f t="shared" si="6"/>
        <v>Bln</v>
      </c>
      <c r="AB30" s="60">
        <f t="shared" si="7"/>
        <v>100</v>
      </c>
      <c r="AC30" s="36" t="s">
        <v>55</v>
      </c>
      <c r="AD30" s="42">
        <f t="shared" si="8"/>
        <v>4920000</v>
      </c>
      <c r="AE30" s="61">
        <f t="shared" si="9"/>
        <v>93.181818181818173</v>
      </c>
      <c r="AF30" s="36" t="s">
        <v>55</v>
      </c>
      <c r="AG30" s="60">
        <f t="shared" si="10"/>
        <v>24</v>
      </c>
      <c r="AH30" s="51" t="str">
        <f t="shared" si="11"/>
        <v>Bln</v>
      </c>
      <c r="AI30" s="42">
        <f t="shared" si="12"/>
        <v>4920000</v>
      </c>
      <c r="AJ30" s="61"/>
      <c r="AK30" s="36" t="s">
        <v>55</v>
      </c>
      <c r="AL30" s="61"/>
      <c r="AM30" s="13"/>
      <c r="AP30" s="27"/>
    </row>
    <row r="31" spans="1:42" ht="102" customHeight="1" x14ac:dyDescent="0.2">
      <c r="A31" s="18"/>
      <c r="B31" s="19"/>
      <c r="C31" s="31" t="s">
        <v>95</v>
      </c>
      <c r="D31" s="28" t="s">
        <v>178</v>
      </c>
      <c r="E31" s="22">
        <f t="shared" si="13"/>
        <v>36</v>
      </c>
      <c r="F31" s="29" t="s">
        <v>54</v>
      </c>
      <c r="G31" s="30">
        <f>M31+(280000000*2)</f>
        <v>792895625</v>
      </c>
      <c r="H31" s="22">
        <v>12</v>
      </c>
      <c r="I31" s="29" t="s">
        <v>54</v>
      </c>
      <c r="J31" s="44"/>
      <c r="K31" s="45">
        <v>12</v>
      </c>
      <c r="L31" s="29" t="s">
        <v>54</v>
      </c>
      <c r="M31" s="25">
        <v>232895625</v>
      </c>
      <c r="N31" s="45">
        <v>3</v>
      </c>
      <c r="O31" s="51" t="str">
        <f t="shared" si="1"/>
        <v>Bln</v>
      </c>
      <c r="P31" s="25">
        <v>16836000</v>
      </c>
      <c r="Q31" s="45">
        <v>3</v>
      </c>
      <c r="R31" s="51" t="str">
        <f t="shared" si="2"/>
        <v>Bln</v>
      </c>
      <c r="S31" s="25">
        <f>62004616-P31</f>
        <v>45168616</v>
      </c>
      <c r="T31" s="45">
        <v>3</v>
      </c>
      <c r="U31" s="51" t="str">
        <f t="shared" si="3"/>
        <v>Bln</v>
      </c>
      <c r="V31" s="25">
        <v>95833800</v>
      </c>
      <c r="W31" s="45">
        <v>3</v>
      </c>
      <c r="X31" s="51" t="str">
        <f t="shared" si="4"/>
        <v>Bln</v>
      </c>
      <c r="Y31" s="25">
        <v>64361500</v>
      </c>
      <c r="Z31" s="60">
        <f t="shared" si="5"/>
        <v>12</v>
      </c>
      <c r="AA31" s="99" t="str">
        <f t="shared" si="6"/>
        <v>Bln</v>
      </c>
      <c r="AB31" s="60">
        <f t="shared" si="7"/>
        <v>100</v>
      </c>
      <c r="AC31" s="36" t="s">
        <v>55</v>
      </c>
      <c r="AD31" s="42">
        <f t="shared" si="8"/>
        <v>222199916</v>
      </c>
      <c r="AE31" s="61">
        <f t="shared" si="9"/>
        <v>95.407509694525174</v>
      </c>
      <c r="AF31" s="36" t="s">
        <v>55</v>
      </c>
      <c r="AG31" s="60">
        <f t="shared" si="10"/>
        <v>24</v>
      </c>
      <c r="AH31" s="99" t="str">
        <f t="shared" si="11"/>
        <v>Bln</v>
      </c>
      <c r="AI31" s="42">
        <f t="shared" si="12"/>
        <v>222199916</v>
      </c>
      <c r="AJ31" s="61"/>
      <c r="AK31" s="36" t="s">
        <v>55</v>
      </c>
      <c r="AL31" s="61"/>
      <c r="AM31" s="13"/>
      <c r="AP31" s="27"/>
    </row>
    <row r="32" spans="1:42" s="108" customFormat="1" ht="114.75" customHeight="1" x14ac:dyDescent="0.25">
      <c r="A32" s="18"/>
      <c r="B32" s="19"/>
      <c r="C32" s="21" t="s">
        <v>96</v>
      </c>
      <c r="D32" s="21" t="s">
        <v>172</v>
      </c>
      <c r="E32" s="47">
        <f t="shared" si="13"/>
        <v>36</v>
      </c>
      <c r="F32" s="54" t="s">
        <v>54</v>
      </c>
      <c r="G32" s="43">
        <f>SUM(G33:G35)</f>
        <v>15085360222</v>
      </c>
      <c r="H32" s="47">
        <v>12</v>
      </c>
      <c r="I32" s="54" t="s">
        <v>54</v>
      </c>
      <c r="J32" s="43"/>
      <c r="K32" s="92">
        <v>12</v>
      </c>
      <c r="L32" s="54" t="s">
        <v>54</v>
      </c>
      <c r="M32" s="44">
        <f>SUM(M33:M35)</f>
        <v>4825994000</v>
      </c>
      <c r="N32" s="92">
        <v>3</v>
      </c>
      <c r="O32" s="85" t="str">
        <f>L32</f>
        <v>Bln</v>
      </c>
      <c r="P32" s="44">
        <f>SUM(P33:P35)</f>
        <v>1125600570</v>
      </c>
      <c r="Q32" s="92">
        <v>3</v>
      </c>
      <c r="R32" s="85" t="str">
        <f>L32</f>
        <v>Bln</v>
      </c>
      <c r="S32" s="44">
        <f>SUM(S33:S35)</f>
        <v>1176854309</v>
      </c>
      <c r="T32" s="92">
        <v>3</v>
      </c>
      <c r="U32" s="85" t="str">
        <f>O32</f>
        <v>Bln</v>
      </c>
      <c r="V32" s="44">
        <f>SUM(V33:V35)</f>
        <v>1178562202</v>
      </c>
      <c r="W32" s="92">
        <v>3</v>
      </c>
      <c r="X32" s="85" t="str">
        <f>R32</f>
        <v>Bln</v>
      </c>
      <c r="Y32" s="44">
        <f>SUM(Y33:Y35)</f>
        <v>1203840382</v>
      </c>
      <c r="Z32" s="56">
        <f t="shared" si="5"/>
        <v>12</v>
      </c>
      <c r="AA32" s="85" t="str">
        <f t="shared" si="6"/>
        <v>Bln</v>
      </c>
      <c r="AB32" s="56">
        <f t="shared" si="7"/>
        <v>100</v>
      </c>
      <c r="AC32" s="58" t="s">
        <v>55</v>
      </c>
      <c r="AD32" s="57">
        <f t="shared" si="8"/>
        <v>4684857463</v>
      </c>
      <c r="AE32" s="59">
        <f t="shared" si="9"/>
        <v>97.075492903638093</v>
      </c>
      <c r="AF32" s="58" t="s">
        <v>55</v>
      </c>
      <c r="AG32" s="59">
        <f t="shared" si="10"/>
        <v>24</v>
      </c>
      <c r="AH32" s="85" t="str">
        <f t="shared" si="11"/>
        <v>Bln</v>
      </c>
      <c r="AI32" s="57">
        <f t="shared" si="12"/>
        <v>4684857463</v>
      </c>
      <c r="AJ32" s="59"/>
      <c r="AK32" s="58" t="s">
        <v>55</v>
      </c>
      <c r="AL32" s="76"/>
      <c r="AM32" s="107"/>
      <c r="AP32" s="109"/>
    </row>
    <row r="33" spans="1:42" ht="60" x14ac:dyDescent="0.2">
      <c r="A33" s="18"/>
      <c r="B33" s="19"/>
      <c r="C33" s="31" t="s">
        <v>97</v>
      </c>
      <c r="D33" s="31" t="s">
        <v>179</v>
      </c>
      <c r="E33" s="22">
        <f t="shared" si="13"/>
        <v>36</v>
      </c>
      <c r="F33" s="29" t="s">
        <v>54</v>
      </c>
      <c r="G33" s="30">
        <f>M33+(400000*2)</f>
        <v>1200000</v>
      </c>
      <c r="H33" s="22">
        <v>12</v>
      </c>
      <c r="I33" s="29" t="s">
        <v>54</v>
      </c>
      <c r="J33" s="25"/>
      <c r="K33" s="46">
        <v>12</v>
      </c>
      <c r="L33" s="23" t="s">
        <v>54</v>
      </c>
      <c r="M33" s="25">
        <v>400000</v>
      </c>
      <c r="N33" s="46">
        <v>3</v>
      </c>
      <c r="O33" s="51" t="str">
        <f t="shared" si="1"/>
        <v>Bln</v>
      </c>
      <c r="P33" s="25">
        <v>0</v>
      </c>
      <c r="Q33" s="46">
        <v>3</v>
      </c>
      <c r="R33" s="51" t="str">
        <f t="shared" si="2"/>
        <v>Bln</v>
      </c>
      <c r="S33" s="73">
        <v>0</v>
      </c>
      <c r="T33" s="46">
        <v>3</v>
      </c>
      <c r="U33" s="51" t="str">
        <f t="shared" ref="U33:U102" si="14">O33</f>
        <v>Bln</v>
      </c>
      <c r="V33" s="73">
        <v>0</v>
      </c>
      <c r="W33" s="46">
        <v>3</v>
      </c>
      <c r="X33" s="51" t="str">
        <f t="shared" ref="X33:X102" si="15">R33</f>
        <v>Bln</v>
      </c>
      <c r="Y33" s="73">
        <v>0</v>
      </c>
      <c r="Z33" s="60">
        <f t="shared" si="5"/>
        <v>12</v>
      </c>
      <c r="AA33" s="51" t="str">
        <f t="shared" si="6"/>
        <v>Bln</v>
      </c>
      <c r="AB33" s="60">
        <f t="shared" si="7"/>
        <v>100</v>
      </c>
      <c r="AC33" s="36" t="s">
        <v>55</v>
      </c>
      <c r="AD33" s="81">
        <f t="shared" si="8"/>
        <v>0</v>
      </c>
      <c r="AE33" s="83">
        <f t="shared" si="9"/>
        <v>0</v>
      </c>
      <c r="AF33" s="113" t="s">
        <v>55</v>
      </c>
      <c r="AG33" s="83">
        <f t="shared" si="10"/>
        <v>24</v>
      </c>
      <c r="AH33" s="99" t="str">
        <f t="shared" si="11"/>
        <v>Bln</v>
      </c>
      <c r="AI33" s="81">
        <f t="shared" si="12"/>
        <v>0</v>
      </c>
      <c r="AJ33" s="61"/>
      <c r="AK33" s="36" t="s">
        <v>55</v>
      </c>
      <c r="AL33" s="83"/>
      <c r="AM33" s="13"/>
      <c r="AP33" s="27"/>
    </row>
    <row r="34" spans="1:42" ht="120" x14ac:dyDescent="0.2">
      <c r="A34" s="18"/>
      <c r="B34" s="19"/>
      <c r="C34" s="31" t="s">
        <v>98</v>
      </c>
      <c r="D34" s="31" t="s">
        <v>180</v>
      </c>
      <c r="E34" s="22">
        <f t="shared" si="13"/>
        <v>36</v>
      </c>
      <c r="F34" s="29" t="s">
        <v>54</v>
      </c>
      <c r="G34" s="30">
        <f>M34+(5097440111*2)</f>
        <v>14994880222</v>
      </c>
      <c r="H34" s="22">
        <v>12</v>
      </c>
      <c r="I34" s="29" t="s">
        <v>54</v>
      </c>
      <c r="J34" s="25"/>
      <c r="K34" s="46">
        <v>12</v>
      </c>
      <c r="L34" s="23" t="s">
        <v>54</v>
      </c>
      <c r="M34" s="25">
        <v>4800000000</v>
      </c>
      <c r="N34" s="46">
        <v>3</v>
      </c>
      <c r="O34" s="51" t="str">
        <f t="shared" si="1"/>
        <v>Bln</v>
      </c>
      <c r="P34" s="25">
        <v>1121100570</v>
      </c>
      <c r="Q34" s="46">
        <v>3</v>
      </c>
      <c r="R34" s="51" t="str">
        <f t="shared" si="2"/>
        <v>Bln</v>
      </c>
      <c r="S34" s="25">
        <v>1170571909</v>
      </c>
      <c r="T34" s="46">
        <v>3</v>
      </c>
      <c r="U34" s="51" t="str">
        <f t="shared" si="14"/>
        <v>Bln</v>
      </c>
      <c r="V34" s="25">
        <v>1175537902</v>
      </c>
      <c r="W34" s="46">
        <v>3</v>
      </c>
      <c r="X34" s="51" t="str">
        <f t="shared" si="15"/>
        <v>Bln</v>
      </c>
      <c r="Y34" s="25">
        <v>1199316082</v>
      </c>
      <c r="Z34" s="60">
        <f t="shared" si="5"/>
        <v>12</v>
      </c>
      <c r="AA34" s="51" t="str">
        <f t="shared" si="6"/>
        <v>Bln</v>
      </c>
      <c r="AB34" s="60">
        <f t="shared" si="7"/>
        <v>100</v>
      </c>
      <c r="AC34" s="36" t="s">
        <v>55</v>
      </c>
      <c r="AD34" s="81">
        <f t="shared" si="8"/>
        <v>4666526463</v>
      </c>
      <c r="AE34" s="83">
        <f t="shared" si="9"/>
        <v>97.219301312499994</v>
      </c>
      <c r="AF34" s="113" t="s">
        <v>55</v>
      </c>
      <c r="AG34" s="83">
        <f t="shared" si="10"/>
        <v>24</v>
      </c>
      <c r="AH34" s="99" t="str">
        <f t="shared" si="11"/>
        <v>Bln</v>
      </c>
      <c r="AI34" s="81">
        <f t="shared" si="12"/>
        <v>4666526463</v>
      </c>
      <c r="AJ34" s="83"/>
      <c r="AK34" s="113" t="s">
        <v>55</v>
      </c>
      <c r="AL34" s="83"/>
      <c r="AM34" s="13"/>
      <c r="AP34" s="27"/>
    </row>
    <row r="35" spans="1:42" ht="105" x14ac:dyDescent="0.2">
      <c r="A35" s="18"/>
      <c r="B35" s="19"/>
      <c r="C35" s="31" t="s">
        <v>99</v>
      </c>
      <c r="D35" s="31" t="s">
        <v>181</v>
      </c>
      <c r="E35" s="22">
        <f t="shared" si="13"/>
        <v>36</v>
      </c>
      <c r="F35" s="29" t="s">
        <v>54</v>
      </c>
      <c r="G35" s="30">
        <f>M35+(31843000*2)</f>
        <v>89280000</v>
      </c>
      <c r="H35" s="22">
        <v>12</v>
      </c>
      <c r="I35" s="29" t="s">
        <v>54</v>
      </c>
      <c r="J35" s="25"/>
      <c r="K35" s="46">
        <v>12</v>
      </c>
      <c r="L35" s="23" t="s">
        <v>54</v>
      </c>
      <c r="M35" s="25">
        <v>25594000</v>
      </c>
      <c r="N35" s="46">
        <v>3</v>
      </c>
      <c r="O35" s="51" t="str">
        <f t="shared" si="1"/>
        <v>Bln</v>
      </c>
      <c r="P35" s="25">
        <v>4500000</v>
      </c>
      <c r="Q35" s="46">
        <v>3</v>
      </c>
      <c r="R35" s="51" t="str">
        <f t="shared" si="2"/>
        <v>Bln</v>
      </c>
      <c r="S35" s="25">
        <v>6282400</v>
      </c>
      <c r="T35" s="46">
        <v>3</v>
      </c>
      <c r="U35" s="51" t="str">
        <f t="shared" si="14"/>
        <v>Bln</v>
      </c>
      <c r="V35" s="25">
        <v>3024300</v>
      </c>
      <c r="W35" s="46">
        <v>3</v>
      </c>
      <c r="X35" s="51" t="str">
        <f t="shared" si="15"/>
        <v>Bln</v>
      </c>
      <c r="Y35" s="25">
        <v>4524300</v>
      </c>
      <c r="Z35" s="60">
        <f t="shared" si="5"/>
        <v>12</v>
      </c>
      <c r="AA35" s="51" t="str">
        <f t="shared" si="6"/>
        <v>Bln</v>
      </c>
      <c r="AB35" s="60">
        <f t="shared" si="7"/>
        <v>100</v>
      </c>
      <c r="AC35" s="36" t="s">
        <v>55</v>
      </c>
      <c r="AD35" s="42">
        <f t="shared" si="8"/>
        <v>18331000</v>
      </c>
      <c r="AE35" s="61">
        <f t="shared" si="9"/>
        <v>71.622255216066264</v>
      </c>
      <c r="AF35" s="36" t="s">
        <v>55</v>
      </c>
      <c r="AG35" s="60">
        <f t="shared" si="10"/>
        <v>24</v>
      </c>
      <c r="AH35" s="51" t="str">
        <f t="shared" si="11"/>
        <v>Bln</v>
      </c>
      <c r="AI35" s="42">
        <f t="shared" si="12"/>
        <v>18331000</v>
      </c>
      <c r="AJ35" s="61"/>
      <c r="AK35" s="36" t="s">
        <v>55</v>
      </c>
      <c r="AL35" s="61"/>
      <c r="AM35" s="13"/>
      <c r="AP35" s="27"/>
    </row>
    <row r="36" spans="1:42" s="108" customFormat="1" ht="126" x14ac:dyDescent="0.25">
      <c r="A36" s="18"/>
      <c r="B36" s="19"/>
      <c r="C36" s="21" t="s">
        <v>100</v>
      </c>
      <c r="D36" s="21" t="s">
        <v>182</v>
      </c>
      <c r="E36" s="47">
        <f t="shared" si="13"/>
        <v>36</v>
      </c>
      <c r="F36" s="54" t="s">
        <v>54</v>
      </c>
      <c r="G36" s="43">
        <f>SUM(G37:G39)</f>
        <v>1583340800</v>
      </c>
      <c r="H36" s="47">
        <v>12</v>
      </c>
      <c r="I36" s="54" t="s">
        <v>54</v>
      </c>
      <c r="J36" s="43"/>
      <c r="K36" s="92">
        <v>12</v>
      </c>
      <c r="L36" s="54" t="s">
        <v>54</v>
      </c>
      <c r="M36" s="44">
        <f>SUM(M37:M39)</f>
        <v>913520000</v>
      </c>
      <c r="N36" s="92">
        <v>3</v>
      </c>
      <c r="O36" s="85" t="str">
        <f t="shared" si="1"/>
        <v>Bln</v>
      </c>
      <c r="P36" s="44">
        <f>SUM(P37:P39)</f>
        <v>16869170</v>
      </c>
      <c r="Q36" s="92">
        <v>3</v>
      </c>
      <c r="R36" s="85" t="str">
        <f t="shared" si="2"/>
        <v>Bln</v>
      </c>
      <c r="S36" s="44">
        <f>SUM(S37:S39)</f>
        <v>148196500</v>
      </c>
      <c r="T36" s="92">
        <v>3</v>
      </c>
      <c r="U36" s="85" t="str">
        <f t="shared" si="14"/>
        <v>Bln</v>
      </c>
      <c r="V36" s="44">
        <f>SUM(V37:V39)</f>
        <v>316011900</v>
      </c>
      <c r="W36" s="92">
        <v>3</v>
      </c>
      <c r="X36" s="85" t="str">
        <f t="shared" si="15"/>
        <v>Bln</v>
      </c>
      <c r="Y36" s="44">
        <f>SUM(Y37:Y39)</f>
        <v>185429000</v>
      </c>
      <c r="Z36" s="56">
        <f t="shared" si="5"/>
        <v>12</v>
      </c>
      <c r="AA36" s="85" t="str">
        <f t="shared" si="6"/>
        <v>Bln</v>
      </c>
      <c r="AB36" s="56">
        <f t="shared" si="7"/>
        <v>100</v>
      </c>
      <c r="AC36" s="58" t="s">
        <v>55</v>
      </c>
      <c r="AD36" s="57">
        <f t="shared" si="8"/>
        <v>666506570</v>
      </c>
      <c r="AE36" s="59">
        <f t="shared" si="9"/>
        <v>72.960260311761104</v>
      </c>
      <c r="AF36" s="58" t="s">
        <v>55</v>
      </c>
      <c r="AG36" s="56">
        <f t="shared" si="10"/>
        <v>24</v>
      </c>
      <c r="AH36" s="85" t="str">
        <f t="shared" si="11"/>
        <v>Bln</v>
      </c>
      <c r="AI36" s="57">
        <f t="shared" si="12"/>
        <v>666506570</v>
      </c>
      <c r="AJ36" s="59"/>
      <c r="AK36" s="58" t="s">
        <v>55</v>
      </c>
      <c r="AL36" s="59"/>
      <c r="AM36" s="107"/>
      <c r="AP36" s="109"/>
    </row>
    <row r="37" spans="1:42" ht="210" x14ac:dyDescent="0.2">
      <c r="A37" s="18"/>
      <c r="B37" s="19"/>
      <c r="C37" s="31" t="s">
        <v>101</v>
      </c>
      <c r="D37" s="31" t="s">
        <v>183</v>
      </c>
      <c r="E37" s="22">
        <f t="shared" si="13"/>
        <v>36</v>
      </c>
      <c r="F37" s="29" t="s">
        <v>54</v>
      </c>
      <c r="G37" s="30">
        <f>M37+(164141900*2)</f>
        <v>465933800</v>
      </c>
      <c r="H37" s="22">
        <v>12</v>
      </c>
      <c r="I37" s="29" t="s">
        <v>54</v>
      </c>
      <c r="J37" s="25"/>
      <c r="K37" s="46">
        <v>12</v>
      </c>
      <c r="L37" s="23" t="s">
        <v>54</v>
      </c>
      <c r="M37" s="25">
        <v>137650000</v>
      </c>
      <c r="N37" s="46">
        <v>3</v>
      </c>
      <c r="O37" s="51" t="str">
        <f t="shared" si="1"/>
        <v>Bln</v>
      </c>
      <c r="P37" s="25">
        <v>7869170</v>
      </c>
      <c r="Q37" s="46">
        <v>3</v>
      </c>
      <c r="R37" s="51" t="str">
        <f t="shared" si="2"/>
        <v>Bln</v>
      </c>
      <c r="S37" s="25">
        <v>11209300</v>
      </c>
      <c r="T37" s="46">
        <v>3</v>
      </c>
      <c r="U37" s="51" t="str">
        <f t="shared" si="14"/>
        <v>Bln</v>
      </c>
      <c r="V37" s="25">
        <v>19396000</v>
      </c>
      <c r="W37" s="46">
        <v>3</v>
      </c>
      <c r="X37" s="51" t="str">
        <f t="shared" si="15"/>
        <v>Bln</v>
      </c>
      <c r="Y37" s="25">
        <v>23047100</v>
      </c>
      <c r="Z37" s="115">
        <f t="shared" si="5"/>
        <v>12</v>
      </c>
      <c r="AA37" s="51" t="str">
        <f t="shared" si="6"/>
        <v>Bln</v>
      </c>
      <c r="AB37" s="60">
        <f t="shared" si="7"/>
        <v>100</v>
      </c>
      <c r="AC37" s="36" t="s">
        <v>55</v>
      </c>
      <c r="AD37" s="42">
        <f t="shared" si="8"/>
        <v>61521570</v>
      </c>
      <c r="AE37" s="61">
        <f t="shared" si="9"/>
        <v>44.694202687976755</v>
      </c>
      <c r="AF37" s="36" t="s">
        <v>55</v>
      </c>
      <c r="AG37" s="70">
        <f t="shared" si="10"/>
        <v>24</v>
      </c>
      <c r="AH37" s="51" t="str">
        <f t="shared" si="11"/>
        <v>Bln</v>
      </c>
      <c r="AI37" s="42">
        <f t="shared" si="12"/>
        <v>61521570</v>
      </c>
      <c r="AJ37" s="61"/>
      <c r="AK37" s="36" t="s">
        <v>55</v>
      </c>
      <c r="AL37" s="61"/>
      <c r="AM37" s="13"/>
      <c r="AP37" s="27"/>
    </row>
    <row r="38" spans="1:42" ht="135" x14ac:dyDescent="0.2">
      <c r="A38" s="18"/>
      <c r="B38" s="19"/>
      <c r="C38" s="28" t="s">
        <v>102</v>
      </c>
      <c r="D38" s="31" t="s">
        <v>184</v>
      </c>
      <c r="E38" s="22">
        <f t="shared" si="13"/>
        <v>36</v>
      </c>
      <c r="F38" s="29" t="s">
        <v>54</v>
      </c>
      <c r="G38" s="30">
        <f>M38+(34743000*2)</f>
        <v>734680000</v>
      </c>
      <c r="H38" s="22">
        <v>12</v>
      </c>
      <c r="I38" s="29" t="s">
        <v>54</v>
      </c>
      <c r="J38" s="25"/>
      <c r="K38" s="46">
        <v>12</v>
      </c>
      <c r="L38" s="23" t="s">
        <v>54</v>
      </c>
      <c r="M38" s="25">
        <v>665194000</v>
      </c>
      <c r="N38" s="46">
        <v>3</v>
      </c>
      <c r="O38" s="51" t="str">
        <f t="shared" si="1"/>
        <v>Bln</v>
      </c>
      <c r="P38" s="25">
        <v>4500000</v>
      </c>
      <c r="Q38" s="46">
        <v>3</v>
      </c>
      <c r="R38" s="51" t="str">
        <f t="shared" si="2"/>
        <v>Bln</v>
      </c>
      <c r="S38" s="25">
        <v>122912400</v>
      </c>
      <c r="T38" s="46">
        <v>3</v>
      </c>
      <c r="U38" s="51" t="str">
        <f t="shared" si="14"/>
        <v>Bln</v>
      </c>
      <c r="V38" s="25">
        <v>286169300</v>
      </c>
      <c r="W38" s="46">
        <v>3</v>
      </c>
      <c r="X38" s="51" t="str">
        <f t="shared" si="15"/>
        <v>Bln</v>
      </c>
      <c r="Y38" s="25">
        <v>138649300</v>
      </c>
      <c r="Z38" s="60">
        <f t="shared" si="5"/>
        <v>12</v>
      </c>
      <c r="AA38" s="51" t="str">
        <f t="shared" si="6"/>
        <v>Bln</v>
      </c>
      <c r="AB38" s="60">
        <f t="shared" si="7"/>
        <v>100</v>
      </c>
      <c r="AC38" s="36" t="s">
        <v>55</v>
      </c>
      <c r="AD38" s="42">
        <f t="shared" si="8"/>
        <v>552231000</v>
      </c>
      <c r="AE38" s="61">
        <f t="shared" si="9"/>
        <v>83.018036843387051</v>
      </c>
      <c r="AF38" s="36" t="s">
        <v>55</v>
      </c>
      <c r="AG38" s="70">
        <f t="shared" si="10"/>
        <v>24</v>
      </c>
      <c r="AH38" s="51" t="str">
        <f t="shared" si="11"/>
        <v>Bln</v>
      </c>
      <c r="AI38" s="42">
        <f t="shared" si="12"/>
        <v>552231000</v>
      </c>
      <c r="AJ38" s="61"/>
      <c r="AK38" s="36" t="s">
        <v>55</v>
      </c>
      <c r="AL38" s="61"/>
      <c r="AM38" s="13"/>
      <c r="AP38" s="27"/>
    </row>
    <row r="39" spans="1:42" ht="124.5" customHeight="1" x14ac:dyDescent="0.2">
      <c r="A39" s="18"/>
      <c r="B39" s="19"/>
      <c r="C39" s="28" t="s">
        <v>103</v>
      </c>
      <c r="D39" s="31" t="s">
        <v>185</v>
      </c>
      <c r="E39" s="22">
        <f t="shared" si="13"/>
        <v>36</v>
      </c>
      <c r="F39" s="29" t="s">
        <v>54</v>
      </c>
      <c r="G39" s="30">
        <f>M39+(136025500*2)</f>
        <v>382727000</v>
      </c>
      <c r="H39" s="22">
        <v>12</v>
      </c>
      <c r="I39" s="29" t="s">
        <v>54</v>
      </c>
      <c r="J39" s="25"/>
      <c r="K39" s="46">
        <v>12</v>
      </c>
      <c r="L39" s="23" t="s">
        <v>54</v>
      </c>
      <c r="M39" s="25">
        <v>110676000</v>
      </c>
      <c r="N39" s="46">
        <v>3</v>
      </c>
      <c r="O39" s="51" t="str">
        <f t="shared" si="1"/>
        <v>Bln</v>
      </c>
      <c r="P39" s="25">
        <v>4500000</v>
      </c>
      <c r="Q39" s="46">
        <v>3</v>
      </c>
      <c r="R39" s="51" t="str">
        <f t="shared" si="2"/>
        <v>Bln</v>
      </c>
      <c r="S39" s="25">
        <v>14074800</v>
      </c>
      <c r="T39" s="46">
        <v>3</v>
      </c>
      <c r="U39" s="51" t="str">
        <f t="shared" si="14"/>
        <v>Bln</v>
      </c>
      <c r="V39" s="25">
        <v>10446600</v>
      </c>
      <c r="W39" s="46">
        <v>3</v>
      </c>
      <c r="X39" s="51" t="str">
        <f t="shared" si="15"/>
        <v>Bln</v>
      </c>
      <c r="Y39" s="25">
        <v>23732600</v>
      </c>
      <c r="Z39" s="60">
        <f t="shared" si="5"/>
        <v>12</v>
      </c>
      <c r="AA39" s="51" t="str">
        <f t="shared" si="6"/>
        <v>Bln</v>
      </c>
      <c r="AB39" s="60">
        <f t="shared" si="7"/>
        <v>100</v>
      </c>
      <c r="AC39" s="36" t="s">
        <v>55</v>
      </c>
      <c r="AD39" s="42">
        <f t="shared" si="8"/>
        <v>52754000</v>
      </c>
      <c r="AE39" s="61">
        <f t="shared" si="9"/>
        <v>47.665257146987607</v>
      </c>
      <c r="AF39" s="36" t="s">
        <v>55</v>
      </c>
      <c r="AG39" s="61">
        <f t="shared" si="10"/>
        <v>24</v>
      </c>
      <c r="AH39" s="51" t="str">
        <f t="shared" si="11"/>
        <v>Bln</v>
      </c>
      <c r="AI39" s="42">
        <f t="shared" si="12"/>
        <v>52754000</v>
      </c>
      <c r="AJ39" s="61"/>
      <c r="AK39" s="36" t="s">
        <v>55</v>
      </c>
      <c r="AL39" s="61"/>
      <c r="AM39" s="13"/>
      <c r="AP39" s="27"/>
    </row>
    <row r="40" spans="1:42" ht="154.5" customHeight="1" x14ac:dyDescent="0.2">
      <c r="A40" s="52">
        <v>7</v>
      </c>
      <c r="B40" s="53" t="s">
        <v>57</v>
      </c>
      <c r="C40" s="53" t="s">
        <v>107</v>
      </c>
      <c r="D40" s="21" t="s">
        <v>156</v>
      </c>
      <c r="E40" s="93">
        <v>100</v>
      </c>
      <c r="F40" s="48" t="s">
        <v>55</v>
      </c>
      <c r="G40" s="72">
        <f>G42</f>
        <v>278750000</v>
      </c>
      <c r="H40" s="49" t="s">
        <v>186</v>
      </c>
      <c r="I40" s="48" t="s">
        <v>55</v>
      </c>
      <c r="J40" s="72"/>
      <c r="K40" s="93">
        <v>100</v>
      </c>
      <c r="L40" s="48" t="s">
        <v>55</v>
      </c>
      <c r="M40" s="72">
        <f>M42</f>
        <v>78750000</v>
      </c>
      <c r="N40" s="93">
        <v>0</v>
      </c>
      <c r="O40" s="51" t="str">
        <f t="shared" si="1"/>
        <v>%</v>
      </c>
      <c r="P40" s="72">
        <f>P42</f>
        <v>0</v>
      </c>
      <c r="Q40" s="92">
        <v>0</v>
      </c>
      <c r="R40" s="99" t="str">
        <f t="shared" si="2"/>
        <v>%</v>
      </c>
      <c r="S40" s="72">
        <f>S42</f>
        <v>0</v>
      </c>
      <c r="T40" s="92">
        <f>T42</f>
        <v>50</v>
      </c>
      <c r="U40" s="99" t="str">
        <f t="shared" si="14"/>
        <v>%</v>
      </c>
      <c r="V40" s="72">
        <f>V42</f>
        <v>1665000</v>
      </c>
      <c r="W40" s="92">
        <f>W42</f>
        <v>50</v>
      </c>
      <c r="X40" s="99" t="str">
        <f t="shared" si="15"/>
        <v>%</v>
      </c>
      <c r="Y40" s="72">
        <f>Y42</f>
        <v>70518000</v>
      </c>
      <c r="Z40" s="114">
        <f t="shared" si="5"/>
        <v>100</v>
      </c>
      <c r="AA40" s="100" t="str">
        <f t="shared" si="6"/>
        <v>%</v>
      </c>
      <c r="AB40" s="114">
        <f t="shared" si="7"/>
        <v>100</v>
      </c>
      <c r="AC40" s="90" t="s">
        <v>55</v>
      </c>
      <c r="AD40" s="78">
        <f t="shared" si="8"/>
        <v>72183000</v>
      </c>
      <c r="AE40" s="79">
        <f t="shared" si="9"/>
        <v>91.660952380952381</v>
      </c>
      <c r="AF40" s="18" t="s">
        <v>55</v>
      </c>
      <c r="AG40" s="77">
        <f t="shared" si="10"/>
        <v>100</v>
      </c>
      <c r="AH40" s="100" t="str">
        <f t="shared" si="11"/>
        <v>%</v>
      </c>
      <c r="AI40" s="78">
        <f t="shared" si="12"/>
        <v>72183000</v>
      </c>
      <c r="AJ40" s="77"/>
      <c r="AK40" s="90" t="s">
        <v>55</v>
      </c>
      <c r="AL40" s="79"/>
      <c r="AM40" s="13"/>
      <c r="AP40" s="27"/>
    </row>
    <row r="41" spans="1:42" ht="184.5" customHeight="1" x14ac:dyDescent="0.2">
      <c r="A41" s="18"/>
      <c r="B41" s="19"/>
      <c r="C41" s="20"/>
      <c r="D41" s="21" t="s">
        <v>157</v>
      </c>
      <c r="E41" s="93">
        <v>100</v>
      </c>
      <c r="F41" s="48" t="s">
        <v>55</v>
      </c>
      <c r="G41" s="43"/>
      <c r="H41" s="49" t="s">
        <v>186</v>
      </c>
      <c r="I41" s="48" t="s">
        <v>55</v>
      </c>
      <c r="J41" s="43"/>
      <c r="K41" s="93">
        <v>100</v>
      </c>
      <c r="L41" s="48" t="s">
        <v>55</v>
      </c>
      <c r="M41" s="43"/>
      <c r="N41" s="93">
        <v>0</v>
      </c>
      <c r="O41" s="51" t="str">
        <f t="shared" si="1"/>
        <v>%</v>
      </c>
      <c r="P41" s="43"/>
      <c r="Q41" s="92">
        <v>0</v>
      </c>
      <c r="R41" s="99" t="str">
        <f t="shared" si="2"/>
        <v>%</v>
      </c>
      <c r="S41" s="43"/>
      <c r="T41" s="92">
        <f>T42</f>
        <v>50</v>
      </c>
      <c r="U41" s="99" t="str">
        <f t="shared" si="14"/>
        <v>%</v>
      </c>
      <c r="V41" s="43"/>
      <c r="W41" s="92">
        <f>W42</f>
        <v>50</v>
      </c>
      <c r="X41" s="99" t="str">
        <f t="shared" si="15"/>
        <v>%</v>
      </c>
      <c r="Y41" s="43"/>
      <c r="Z41" s="114">
        <f>SUM(N41,Q41,T41,W41)</f>
        <v>100</v>
      </c>
      <c r="AA41" s="100" t="str">
        <f>L41</f>
        <v>%</v>
      </c>
      <c r="AB41" s="114">
        <f>Z41/K41*100</f>
        <v>100</v>
      </c>
      <c r="AC41" s="90" t="s">
        <v>55</v>
      </c>
      <c r="AD41" s="75"/>
      <c r="AE41" s="77"/>
      <c r="AF41" s="90"/>
      <c r="AG41" s="77">
        <f>SUM(H41,Z41)</f>
        <v>100</v>
      </c>
      <c r="AH41" s="100" t="str">
        <f>O41</f>
        <v>%</v>
      </c>
      <c r="AI41" s="75"/>
      <c r="AJ41" s="77"/>
      <c r="AK41" s="90" t="s">
        <v>55</v>
      </c>
      <c r="AL41" s="77"/>
      <c r="AM41" s="13"/>
      <c r="AP41" s="27"/>
    </row>
    <row r="42" spans="1:42" ht="197.25" customHeight="1" x14ac:dyDescent="0.2">
      <c r="A42" s="18"/>
      <c r="B42" s="19"/>
      <c r="C42" s="20" t="s">
        <v>159</v>
      </c>
      <c r="D42" s="21" t="s">
        <v>158</v>
      </c>
      <c r="E42" s="56">
        <f>E43/E43*100</f>
        <v>100</v>
      </c>
      <c r="F42" s="48" t="s">
        <v>55</v>
      </c>
      <c r="G42" s="44">
        <f>G43</f>
        <v>278750000</v>
      </c>
      <c r="H42" s="49" t="s">
        <v>186</v>
      </c>
      <c r="I42" s="48" t="s">
        <v>55</v>
      </c>
      <c r="J42" s="44"/>
      <c r="K42" s="93">
        <f>K43/K43*100</f>
        <v>100</v>
      </c>
      <c r="L42" s="48" t="s">
        <v>55</v>
      </c>
      <c r="M42" s="44">
        <f>SUM(M43)</f>
        <v>78750000</v>
      </c>
      <c r="N42" s="93">
        <v>0</v>
      </c>
      <c r="O42" s="51" t="str">
        <f t="shared" si="1"/>
        <v>%</v>
      </c>
      <c r="P42" s="44">
        <f>SUM(P43)</f>
        <v>0</v>
      </c>
      <c r="Q42" s="93">
        <v>0</v>
      </c>
      <c r="R42" s="85" t="str">
        <f t="shared" si="2"/>
        <v>%</v>
      </c>
      <c r="S42" s="44">
        <f>SUM(S43)</f>
        <v>0</v>
      </c>
      <c r="T42" s="93">
        <f>T43/K43*100</f>
        <v>50</v>
      </c>
      <c r="U42" s="85" t="str">
        <f t="shared" si="14"/>
        <v>%</v>
      </c>
      <c r="V42" s="44">
        <f>SUM(V43)</f>
        <v>1665000</v>
      </c>
      <c r="W42" s="93">
        <f>W43/K43*100</f>
        <v>50</v>
      </c>
      <c r="X42" s="85" t="str">
        <f t="shared" si="15"/>
        <v>%</v>
      </c>
      <c r="Y42" s="44">
        <f>SUM(Y43)</f>
        <v>70518000</v>
      </c>
      <c r="Z42" s="56">
        <f t="shared" si="5"/>
        <v>100</v>
      </c>
      <c r="AA42" s="85" t="str">
        <f t="shared" si="6"/>
        <v>%</v>
      </c>
      <c r="AB42" s="56">
        <f t="shared" si="7"/>
        <v>100</v>
      </c>
      <c r="AC42" s="58" t="s">
        <v>55</v>
      </c>
      <c r="AD42" s="57">
        <f t="shared" si="8"/>
        <v>72183000</v>
      </c>
      <c r="AE42" s="59">
        <f t="shared" si="9"/>
        <v>91.660952380952381</v>
      </c>
      <c r="AF42" s="58" t="s">
        <v>55</v>
      </c>
      <c r="AG42" s="56">
        <f t="shared" si="10"/>
        <v>100</v>
      </c>
      <c r="AH42" s="85" t="str">
        <f t="shared" si="11"/>
        <v>%</v>
      </c>
      <c r="AI42" s="57">
        <f t="shared" si="12"/>
        <v>72183000</v>
      </c>
      <c r="AJ42" s="59"/>
      <c r="AK42" s="58" t="s">
        <v>55</v>
      </c>
      <c r="AL42" s="59"/>
      <c r="AM42" s="13"/>
      <c r="AP42" s="27"/>
    </row>
    <row r="43" spans="1:42" ht="150" x14ac:dyDescent="0.2">
      <c r="A43" s="18"/>
      <c r="B43" s="19"/>
      <c r="C43" s="28" t="s">
        <v>108</v>
      </c>
      <c r="D43" s="31" t="s">
        <v>160</v>
      </c>
      <c r="E43" s="50">
        <f>K43*3</f>
        <v>60</v>
      </c>
      <c r="F43" s="23" t="s">
        <v>161</v>
      </c>
      <c r="G43" s="25">
        <f>M43+(100000000*2)</f>
        <v>278750000</v>
      </c>
      <c r="H43" s="71" t="s">
        <v>186</v>
      </c>
      <c r="I43" s="23" t="s">
        <v>161</v>
      </c>
      <c r="J43" s="25"/>
      <c r="K43" s="50">
        <v>20</v>
      </c>
      <c r="L43" s="23" t="s">
        <v>161</v>
      </c>
      <c r="M43" s="25">
        <v>78750000</v>
      </c>
      <c r="N43" s="50">
        <v>0</v>
      </c>
      <c r="O43" s="51" t="str">
        <f t="shared" si="1"/>
        <v>Keg</v>
      </c>
      <c r="P43" s="25">
        <v>0</v>
      </c>
      <c r="Q43" s="22">
        <v>0</v>
      </c>
      <c r="R43" s="51" t="str">
        <f t="shared" si="2"/>
        <v>Keg</v>
      </c>
      <c r="S43" s="25">
        <v>0</v>
      </c>
      <c r="T43" s="22">
        <v>10</v>
      </c>
      <c r="U43" s="51" t="str">
        <f t="shared" si="14"/>
        <v>Keg</v>
      </c>
      <c r="V43" s="25">
        <v>1665000</v>
      </c>
      <c r="W43" s="22">
        <v>10</v>
      </c>
      <c r="X43" s="51" t="str">
        <f t="shared" si="15"/>
        <v>Keg</v>
      </c>
      <c r="Y43" s="25">
        <v>70518000</v>
      </c>
      <c r="Z43" s="60">
        <f t="shared" si="5"/>
        <v>20</v>
      </c>
      <c r="AA43" s="51" t="str">
        <f t="shared" si="6"/>
        <v>Keg</v>
      </c>
      <c r="AB43" s="60">
        <f t="shared" si="7"/>
        <v>100</v>
      </c>
      <c r="AC43" s="36" t="s">
        <v>55</v>
      </c>
      <c r="AD43" s="42">
        <f t="shared" si="8"/>
        <v>72183000</v>
      </c>
      <c r="AE43" s="61">
        <f t="shared" si="9"/>
        <v>91.660952380952381</v>
      </c>
      <c r="AF43" s="36" t="s">
        <v>55</v>
      </c>
      <c r="AG43" s="60">
        <f t="shared" si="10"/>
        <v>20</v>
      </c>
      <c r="AH43" s="51" t="str">
        <f t="shared" si="11"/>
        <v>Keg</v>
      </c>
      <c r="AI43" s="42">
        <f t="shared" si="12"/>
        <v>72183000</v>
      </c>
      <c r="AJ43" s="61"/>
      <c r="AK43" s="36" t="s">
        <v>55</v>
      </c>
      <c r="AL43" s="61"/>
      <c r="AM43" s="13"/>
      <c r="AP43" s="27"/>
    </row>
    <row r="44" spans="1:42" ht="78.75" x14ac:dyDescent="0.2">
      <c r="A44" s="18"/>
      <c r="B44" s="19"/>
      <c r="C44" s="20" t="s">
        <v>104</v>
      </c>
      <c r="D44" s="21" t="s">
        <v>228</v>
      </c>
      <c r="E44" s="49">
        <v>59.49</v>
      </c>
      <c r="F44" s="48" t="s">
        <v>55</v>
      </c>
      <c r="G44" s="43">
        <f>G45</f>
        <v>7003016000</v>
      </c>
      <c r="H44" s="49">
        <f>(H47+H56)/(43+36)*100</f>
        <v>22.784810126582279</v>
      </c>
      <c r="I44" s="48" t="s">
        <v>55</v>
      </c>
      <c r="J44" s="43"/>
      <c r="K44" s="49">
        <f>(K47+H56+K56)/(43+36)*100</f>
        <v>39.24050632911392</v>
      </c>
      <c r="L44" s="48" t="s">
        <v>55</v>
      </c>
      <c r="M44" s="43">
        <f>M45</f>
        <v>5464664000</v>
      </c>
      <c r="N44" s="93">
        <f>N45/5*100</f>
        <v>0</v>
      </c>
      <c r="O44" s="85" t="str">
        <f t="shared" si="1"/>
        <v>%</v>
      </c>
      <c r="P44" s="43">
        <f>P45</f>
        <v>0</v>
      </c>
      <c r="Q44" s="93">
        <v>0</v>
      </c>
      <c r="R44" s="85" t="str">
        <f t="shared" si="2"/>
        <v>%</v>
      </c>
      <c r="S44" s="43">
        <f>S45</f>
        <v>0</v>
      </c>
      <c r="T44" s="49">
        <f>(T47+T56)/(43+36)*100</f>
        <v>0</v>
      </c>
      <c r="U44" s="85" t="str">
        <f t="shared" si="14"/>
        <v>%</v>
      </c>
      <c r="V44" s="43">
        <f>V45</f>
        <v>2002396343</v>
      </c>
      <c r="W44" s="49">
        <f>(W47+W56)/(43+36)*100</f>
        <v>16.455696202531644</v>
      </c>
      <c r="X44" s="85" t="str">
        <f t="shared" si="15"/>
        <v>%</v>
      </c>
      <c r="Y44" s="43">
        <f>Y45</f>
        <v>1753737557</v>
      </c>
      <c r="Z44" s="59">
        <f t="shared" si="5"/>
        <v>16.455696202531644</v>
      </c>
      <c r="AA44" s="85" t="str">
        <f t="shared" si="6"/>
        <v>%</v>
      </c>
      <c r="AB44" s="56">
        <f>AG44/K44*100</f>
        <v>100.00000000000003</v>
      </c>
      <c r="AC44" s="58" t="s">
        <v>55</v>
      </c>
      <c r="AD44" s="75">
        <f t="shared" si="8"/>
        <v>3756133900</v>
      </c>
      <c r="AE44" s="77">
        <f t="shared" si="9"/>
        <v>68.734946924458669</v>
      </c>
      <c r="AF44" s="90" t="s">
        <v>55</v>
      </c>
      <c r="AG44" s="59">
        <f>SUM(H44,Z44)</f>
        <v>39.240506329113927</v>
      </c>
      <c r="AH44" s="85" t="str">
        <f t="shared" si="11"/>
        <v>%</v>
      </c>
      <c r="AI44" s="75">
        <f t="shared" si="12"/>
        <v>3756133900</v>
      </c>
      <c r="AJ44" s="59"/>
      <c r="AK44" s="58" t="s">
        <v>55</v>
      </c>
      <c r="AL44" s="77"/>
      <c r="AM44" s="13"/>
      <c r="AP44" s="27"/>
    </row>
    <row r="45" spans="1:42" ht="131.25" customHeight="1" x14ac:dyDescent="0.2">
      <c r="A45" s="18"/>
      <c r="B45" s="19"/>
      <c r="C45" s="20" t="s">
        <v>105</v>
      </c>
      <c r="D45" s="21" t="s">
        <v>226</v>
      </c>
      <c r="E45" s="49">
        <f>E47/43*100</f>
        <v>25.581395348837212</v>
      </c>
      <c r="F45" s="48" t="s">
        <v>55</v>
      </c>
      <c r="G45" s="44">
        <f>G47</f>
        <v>7003016000</v>
      </c>
      <c r="H45" s="49">
        <f>H47/43*100</f>
        <v>4.6511627906976747</v>
      </c>
      <c r="I45" s="48" t="s">
        <v>55</v>
      </c>
      <c r="J45" s="25"/>
      <c r="K45" s="49">
        <f>K47/43*100</f>
        <v>11.627906976744185</v>
      </c>
      <c r="L45" s="85" t="s">
        <v>55</v>
      </c>
      <c r="M45" s="44">
        <f>SUM(M47)</f>
        <v>5464664000</v>
      </c>
      <c r="N45" s="94">
        <v>0</v>
      </c>
      <c r="O45" s="85" t="str">
        <f t="shared" si="1"/>
        <v>%</v>
      </c>
      <c r="P45" s="44">
        <f>SUM(P47)</f>
        <v>0</v>
      </c>
      <c r="Q45" s="47">
        <v>0</v>
      </c>
      <c r="R45" s="85" t="str">
        <f t="shared" si="2"/>
        <v>%</v>
      </c>
      <c r="S45" s="44">
        <f>SUM(S47)</f>
        <v>0</v>
      </c>
      <c r="T45" s="93">
        <v>0</v>
      </c>
      <c r="U45" s="85" t="str">
        <f t="shared" si="14"/>
        <v>%</v>
      </c>
      <c r="V45" s="44">
        <f>SUM(V47)</f>
        <v>2002396343</v>
      </c>
      <c r="W45" s="49">
        <f>W47/43*100</f>
        <v>6.9767441860465116</v>
      </c>
      <c r="X45" s="85" t="str">
        <f t="shared" si="15"/>
        <v>%</v>
      </c>
      <c r="Y45" s="44">
        <f>SUM(Y47)</f>
        <v>1753737557</v>
      </c>
      <c r="Z45" s="59">
        <f>SUM(N45,Q45,T45,W45)</f>
        <v>6.9767441860465116</v>
      </c>
      <c r="AA45" s="85" t="str">
        <f t="shared" si="6"/>
        <v>%</v>
      </c>
      <c r="AB45" s="56">
        <f>AG45/K45*100</f>
        <v>100</v>
      </c>
      <c r="AC45" s="58" t="s">
        <v>55</v>
      </c>
      <c r="AD45" s="57">
        <f t="shared" si="8"/>
        <v>3756133900</v>
      </c>
      <c r="AE45" s="59">
        <f t="shared" si="9"/>
        <v>68.734946924458669</v>
      </c>
      <c r="AF45" s="58" t="s">
        <v>55</v>
      </c>
      <c r="AG45" s="59">
        <f t="shared" si="10"/>
        <v>11.627906976744185</v>
      </c>
      <c r="AH45" s="85" t="str">
        <f t="shared" si="11"/>
        <v>%</v>
      </c>
      <c r="AI45" s="57">
        <f t="shared" si="12"/>
        <v>3756133900</v>
      </c>
      <c r="AJ45" s="59"/>
      <c r="AK45" s="58" t="s">
        <v>55</v>
      </c>
      <c r="AL45" s="59"/>
      <c r="AM45" s="13"/>
      <c r="AP45" s="27"/>
    </row>
    <row r="46" spans="1:42" ht="194.25" customHeight="1" x14ac:dyDescent="0.2">
      <c r="A46" s="18"/>
      <c r="B46" s="19"/>
      <c r="C46" s="28" t="s">
        <v>191</v>
      </c>
      <c r="D46" s="31" t="s">
        <v>192</v>
      </c>
      <c r="E46" s="50">
        <f>K46*3</f>
        <v>300</v>
      </c>
      <c r="F46" s="51" t="s">
        <v>153</v>
      </c>
      <c r="G46" s="25">
        <f>M46+(2171659000*2)</f>
        <v>7152421000</v>
      </c>
      <c r="H46" s="50">
        <v>180</v>
      </c>
      <c r="I46" s="51" t="s">
        <v>153</v>
      </c>
      <c r="J46" s="25"/>
      <c r="K46" s="95">
        <v>100</v>
      </c>
      <c r="L46" s="51" t="s">
        <v>153</v>
      </c>
      <c r="M46" s="25">
        <v>2809103000</v>
      </c>
      <c r="N46" s="50">
        <v>0</v>
      </c>
      <c r="O46" s="51" t="str">
        <f t="shared" ref="O46" si="16">L46</f>
        <v>Unit</v>
      </c>
      <c r="P46" s="25">
        <v>0</v>
      </c>
      <c r="Q46" s="46">
        <v>0</v>
      </c>
      <c r="R46" s="51" t="str">
        <f t="shared" ref="R46" si="17">L46</f>
        <v>Unit</v>
      </c>
      <c r="S46" s="25">
        <v>0</v>
      </c>
      <c r="T46" s="46">
        <v>30</v>
      </c>
      <c r="U46" s="51" t="str">
        <f t="shared" ref="U46" si="18">O46</f>
        <v>Unit</v>
      </c>
      <c r="V46" s="25">
        <v>1872776000</v>
      </c>
      <c r="W46" s="46">
        <v>104</v>
      </c>
      <c r="X46" s="51" t="str">
        <f t="shared" si="15"/>
        <v>Unit</v>
      </c>
      <c r="Y46" s="25">
        <v>935334000</v>
      </c>
      <c r="Z46" s="60">
        <f t="shared" ref="Z46" si="19">SUM(N46,Q46,T46,W46)</f>
        <v>134</v>
      </c>
      <c r="AA46" s="51" t="str">
        <f t="shared" ref="AA46" si="20">L46</f>
        <v>Unit</v>
      </c>
      <c r="AB46" s="60">
        <f t="shared" ref="AB46" si="21">Z46/K46*100</f>
        <v>134</v>
      </c>
      <c r="AC46" s="36" t="s">
        <v>55</v>
      </c>
      <c r="AD46" s="42">
        <f t="shared" ref="AD46" si="22">SUM(P46,S46,V46,Y46)</f>
        <v>2808110000</v>
      </c>
      <c r="AE46" s="61">
        <f t="shared" ref="AE46" si="23">AD46/M46*100</f>
        <v>99.964650637587866</v>
      </c>
      <c r="AF46" s="23" t="s">
        <v>55</v>
      </c>
      <c r="AG46" s="60">
        <f t="shared" ref="AG46" si="24">SUM(H46,Z46)</f>
        <v>314</v>
      </c>
      <c r="AH46" s="22" t="str">
        <f t="shared" ref="AH46" si="25">O46</f>
        <v>Unit</v>
      </c>
      <c r="AI46" s="42">
        <f t="shared" ref="AI46" si="26">SUM(J46,AD46)</f>
        <v>2808110000</v>
      </c>
      <c r="AJ46" s="61"/>
      <c r="AK46" s="36" t="s">
        <v>55</v>
      </c>
      <c r="AL46" s="61"/>
      <c r="AM46" s="13"/>
      <c r="AP46" s="27"/>
    </row>
    <row r="47" spans="1:42" ht="75" x14ac:dyDescent="0.2">
      <c r="A47" s="18"/>
      <c r="B47" s="19"/>
      <c r="C47" s="132" t="s">
        <v>106</v>
      </c>
      <c r="D47" s="31" t="s">
        <v>203</v>
      </c>
      <c r="E47" s="50">
        <v>11</v>
      </c>
      <c r="F47" s="23" t="s">
        <v>204</v>
      </c>
      <c r="G47" s="133">
        <f>M47+(769176000*2)</f>
        <v>7003016000</v>
      </c>
      <c r="H47" s="50">
        <v>2</v>
      </c>
      <c r="I47" s="51" t="s">
        <v>204</v>
      </c>
      <c r="J47" s="133"/>
      <c r="K47" s="95">
        <v>5</v>
      </c>
      <c r="L47" s="51" t="s">
        <v>204</v>
      </c>
      <c r="M47" s="133">
        <v>5464664000</v>
      </c>
      <c r="N47" s="50">
        <v>0</v>
      </c>
      <c r="O47" s="51" t="str">
        <f t="shared" si="1"/>
        <v>Kawasan</v>
      </c>
      <c r="P47" s="133">
        <v>0</v>
      </c>
      <c r="Q47" s="46">
        <v>0</v>
      </c>
      <c r="R47" s="51" t="str">
        <f t="shared" si="2"/>
        <v>Kawasan</v>
      </c>
      <c r="S47" s="133">
        <v>0</v>
      </c>
      <c r="T47" s="46">
        <v>0</v>
      </c>
      <c r="U47" s="51" t="str">
        <f t="shared" si="14"/>
        <v>Kawasan</v>
      </c>
      <c r="V47" s="133">
        <v>2002396343</v>
      </c>
      <c r="W47" s="46">
        <v>3</v>
      </c>
      <c r="X47" s="51" t="str">
        <f t="shared" si="15"/>
        <v>Kawasan</v>
      </c>
      <c r="Y47" s="133">
        <v>1753737557</v>
      </c>
      <c r="Z47" s="60">
        <f t="shared" si="5"/>
        <v>3</v>
      </c>
      <c r="AA47" s="51" t="str">
        <f t="shared" si="6"/>
        <v>Kawasan</v>
      </c>
      <c r="AB47" s="60">
        <f>AG47/K47*100</f>
        <v>100</v>
      </c>
      <c r="AC47" s="36" t="s">
        <v>55</v>
      </c>
      <c r="AD47" s="134">
        <f t="shared" si="8"/>
        <v>3756133900</v>
      </c>
      <c r="AE47" s="135">
        <f t="shared" si="9"/>
        <v>68.734946924458669</v>
      </c>
      <c r="AF47" s="124" t="s">
        <v>55</v>
      </c>
      <c r="AG47" s="60">
        <f t="shared" si="10"/>
        <v>5</v>
      </c>
      <c r="AH47" s="22" t="str">
        <f t="shared" si="11"/>
        <v>Kawasan</v>
      </c>
      <c r="AI47" s="134">
        <f t="shared" si="12"/>
        <v>3756133900</v>
      </c>
      <c r="AJ47" s="61"/>
      <c r="AK47" s="36" t="s">
        <v>55</v>
      </c>
      <c r="AL47" s="135"/>
      <c r="AM47" s="13"/>
      <c r="AP47" s="27"/>
    </row>
    <row r="48" spans="1:42" ht="135" x14ac:dyDescent="0.2">
      <c r="A48" s="18"/>
      <c r="B48" s="19"/>
      <c r="C48" s="112"/>
      <c r="D48" s="31" t="s">
        <v>212</v>
      </c>
      <c r="E48" s="50">
        <v>11</v>
      </c>
      <c r="F48" s="23" t="s">
        <v>204</v>
      </c>
      <c r="G48" s="110"/>
      <c r="H48" s="50">
        <v>2</v>
      </c>
      <c r="I48" s="51" t="s">
        <v>204</v>
      </c>
      <c r="J48" s="110"/>
      <c r="K48" s="95">
        <v>5</v>
      </c>
      <c r="L48" s="51" t="s">
        <v>204</v>
      </c>
      <c r="M48" s="110"/>
      <c r="N48" s="50">
        <v>0</v>
      </c>
      <c r="O48" s="51" t="str">
        <f t="shared" ref="O48" si="27">L48</f>
        <v>Kawasan</v>
      </c>
      <c r="P48" s="110"/>
      <c r="Q48" s="46">
        <v>0</v>
      </c>
      <c r="R48" s="51" t="str">
        <f t="shared" ref="R48" si="28">L48</f>
        <v>Kawasan</v>
      </c>
      <c r="S48" s="110"/>
      <c r="T48" s="46">
        <v>0</v>
      </c>
      <c r="U48" s="51" t="str">
        <f t="shared" ref="U48" si="29">O48</f>
        <v>Kawasan</v>
      </c>
      <c r="V48" s="110"/>
      <c r="W48" s="46">
        <v>3</v>
      </c>
      <c r="X48" s="51" t="str">
        <f t="shared" si="15"/>
        <v>Kawasan</v>
      </c>
      <c r="Y48" s="110"/>
      <c r="Z48" s="60">
        <f t="shared" ref="Z48" si="30">SUM(N48,Q48,T48,W48)</f>
        <v>3</v>
      </c>
      <c r="AA48" s="51" t="str">
        <f t="shared" ref="AA48" si="31">L48</f>
        <v>Kawasan</v>
      </c>
      <c r="AB48" s="60">
        <f t="shared" ref="AB48:AB55" si="32">AG48/K48*100</f>
        <v>100</v>
      </c>
      <c r="AC48" s="36" t="s">
        <v>55</v>
      </c>
      <c r="AD48" s="80"/>
      <c r="AE48" s="82"/>
      <c r="AF48" s="142"/>
      <c r="AG48" s="60">
        <f t="shared" ref="AG48" si="33">SUM(H48,Z48)</f>
        <v>5</v>
      </c>
      <c r="AH48" s="22" t="str">
        <f t="shared" ref="AH48" si="34">O48</f>
        <v>Kawasan</v>
      </c>
      <c r="AI48" s="80"/>
      <c r="AJ48" s="61"/>
      <c r="AK48" s="36" t="s">
        <v>55</v>
      </c>
      <c r="AL48" s="82"/>
      <c r="AM48" s="13"/>
      <c r="AP48" s="27"/>
    </row>
    <row r="49" spans="1:42" ht="165" x14ac:dyDescent="0.2">
      <c r="A49" s="18"/>
      <c r="B49" s="19"/>
      <c r="C49" s="112"/>
      <c r="D49" s="31" t="s">
        <v>205</v>
      </c>
      <c r="E49" s="50">
        <v>11</v>
      </c>
      <c r="F49" s="23" t="s">
        <v>204</v>
      </c>
      <c r="G49" s="110"/>
      <c r="H49" s="50">
        <v>2</v>
      </c>
      <c r="I49" s="51" t="s">
        <v>204</v>
      </c>
      <c r="J49" s="110"/>
      <c r="K49" s="95">
        <v>5</v>
      </c>
      <c r="L49" s="51" t="s">
        <v>204</v>
      </c>
      <c r="M49" s="110"/>
      <c r="N49" s="50">
        <v>0</v>
      </c>
      <c r="O49" s="51" t="str">
        <f t="shared" si="1"/>
        <v>Kawasan</v>
      </c>
      <c r="P49" s="110"/>
      <c r="Q49" s="46">
        <v>0</v>
      </c>
      <c r="R49" s="51" t="str">
        <f t="shared" si="2"/>
        <v>Kawasan</v>
      </c>
      <c r="S49" s="110"/>
      <c r="T49" s="46">
        <v>0</v>
      </c>
      <c r="U49" s="51" t="str">
        <f t="shared" si="14"/>
        <v>Kawasan</v>
      </c>
      <c r="V49" s="110"/>
      <c r="W49" s="46">
        <v>3</v>
      </c>
      <c r="X49" s="51" t="str">
        <f t="shared" ref="X49:X52" si="35">R49</f>
        <v>Kawasan</v>
      </c>
      <c r="Y49" s="110"/>
      <c r="Z49" s="60">
        <f t="shared" si="5"/>
        <v>3</v>
      </c>
      <c r="AA49" s="51" t="str">
        <f t="shared" si="6"/>
        <v>Kawasan</v>
      </c>
      <c r="AB49" s="60">
        <f t="shared" si="32"/>
        <v>100</v>
      </c>
      <c r="AC49" s="36" t="s">
        <v>55</v>
      </c>
      <c r="AD49" s="80"/>
      <c r="AE49" s="82"/>
      <c r="AF49" s="142"/>
      <c r="AG49" s="60">
        <f t="shared" si="10"/>
        <v>5</v>
      </c>
      <c r="AH49" s="22" t="str">
        <f t="shared" si="11"/>
        <v>Kawasan</v>
      </c>
      <c r="AI49" s="80"/>
      <c r="AJ49" s="61"/>
      <c r="AK49" s="36" t="s">
        <v>55</v>
      </c>
      <c r="AL49" s="82"/>
      <c r="AM49" s="13"/>
      <c r="AP49" s="27"/>
    </row>
    <row r="50" spans="1:42" ht="105" x14ac:dyDescent="0.2">
      <c r="A50" s="18"/>
      <c r="B50" s="19"/>
      <c r="C50" s="112"/>
      <c r="D50" s="31" t="s">
        <v>206</v>
      </c>
      <c r="E50" s="50">
        <v>11</v>
      </c>
      <c r="F50" s="23" t="s">
        <v>204</v>
      </c>
      <c r="G50" s="110"/>
      <c r="H50" s="50">
        <v>2</v>
      </c>
      <c r="I50" s="51" t="s">
        <v>204</v>
      </c>
      <c r="J50" s="110"/>
      <c r="K50" s="95">
        <v>5</v>
      </c>
      <c r="L50" s="51" t="s">
        <v>204</v>
      </c>
      <c r="M50" s="110"/>
      <c r="N50" s="50">
        <v>0</v>
      </c>
      <c r="O50" s="51" t="str">
        <f t="shared" si="1"/>
        <v>Kawasan</v>
      </c>
      <c r="P50" s="110"/>
      <c r="Q50" s="46">
        <v>0</v>
      </c>
      <c r="R50" s="51" t="str">
        <f t="shared" si="2"/>
        <v>Kawasan</v>
      </c>
      <c r="S50" s="110"/>
      <c r="T50" s="46">
        <v>0</v>
      </c>
      <c r="U50" s="51" t="str">
        <f t="shared" si="14"/>
        <v>Kawasan</v>
      </c>
      <c r="V50" s="110"/>
      <c r="W50" s="46">
        <v>3</v>
      </c>
      <c r="X50" s="51" t="str">
        <f t="shared" si="35"/>
        <v>Kawasan</v>
      </c>
      <c r="Y50" s="110"/>
      <c r="Z50" s="60">
        <f t="shared" si="5"/>
        <v>3</v>
      </c>
      <c r="AA50" s="51" t="str">
        <f t="shared" si="6"/>
        <v>Kawasan</v>
      </c>
      <c r="AB50" s="60">
        <f t="shared" si="32"/>
        <v>100</v>
      </c>
      <c r="AC50" s="36" t="s">
        <v>55</v>
      </c>
      <c r="AD50" s="80"/>
      <c r="AE50" s="82"/>
      <c r="AF50" s="142"/>
      <c r="AG50" s="60">
        <f t="shared" si="10"/>
        <v>5</v>
      </c>
      <c r="AH50" s="22" t="str">
        <f t="shared" si="11"/>
        <v>Kawasan</v>
      </c>
      <c r="AI50" s="80"/>
      <c r="AJ50" s="61"/>
      <c r="AK50" s="36" t="s">
        <v>55</v>
      </c>
      <c r="AL50" s="82"/>
      <c r="AM50" s="13"/>
      <c r="AP50" s="27"/>
    </row>
    <row r="51" spans="1:42" ht="135" x14ac:dyDescent="0.2">
      <c r="A51" s="18"/>
      <c r="B51" s="19"/>
      <c r="C51" s="112"/>
      <c r="D51" s="31" t="s">
        <v>207</v>
      </c>
      <c r="E51" s="50">
        <v>11</v>
      </c>
      <c r="F51" s="23" t="s">
        <v>204</v>
      </c>
      <c r="G51" s="110"/>
      <c r="H51" s="50">
        <v>2</v>
      </c>
      <c r="I51" s="51" t="s">
        <v>204</v>
      </c>
      <c r="J51" s="110"/>
      <c r="K51" s="95">
        <v>5</v>
      </c>
      <c r="L51" s="51" t="s">
        <v>204</v>
      </c>
      <c r="M51" s="110"/>
      <c r="N51" s="50">
        <v>0</v>
      </c>
      <c r="O51" s="51" t="str">
        <f t="shared" ref="O51:O52" si="36">L51</f>
        <v>Kawasan</v>
      </c>
      <c r="P51" s="110"/>
      <c r="Q51" s="46">
        <v>0</v>
      </c>
      <c r="R51" s="51" t="str">
        <f t="shared" ref="R51:R52" si="37">L51</f>
        <v>Kawasan</v>
      </c>
      <c r="S51" s="110"/>
      <c r="T51" s="46">
        <v>0</v>
      </c>
      <c r="U51" s="51" t="str">
        <f t="shared" ref="U51:U52" si="38">O51</f>
        <v>Kawasan</v>
      </c>
      <c r="V51" s="110"/>
      <c r="W51" s="46">
        <v>3</v>
      </c>
      <c r="X51" s="51" t="str">
        <f t="shared" si="35"/>
        <v>Kawasan</v>
      </c>
      <c r="Y51" s="110"/>
      <c r="Z51" s="60">
        <f t="shared" ref="Z51:Z52" si="39">SUM(N51,Q51,T51,W51)</f>
        <v>3</v>
      </c>
      <c r="AA51" s="51" t="str">
        <f t="shared" ref="AA51:AA52" si="40">L51</f>
        <v>Kawasan</v>
      </c>
      <c r="AB51" s="60">
        <f t="shared" si="32"/>
        <v>100</v>
      </c>
      <c r="AC51" s="36" t="s">
        <v>55</v>
      </c>
      <c r="AD51" s="80"/>
      <c r="AE51" s="82"/>
      <c r="AF51" s="142"/>
      <c r="AG51" s="60">
        <f t="shared" ref="AG51:AG52" si="41">SUM(H51,Z51)</f>
        <v>5</v>
      </c>
      <c r="AH51" s="22" t="str">
        <f t="shared" ref="AH51:AH52" si="42">O51</f>
        <v>Kawasan</v>
      </c>
      <c r="AI51" s="80"/>
      <c r="AJ51" s="61"/>
      <c r="AK51" s="36" t="s">
        <v>55</v>
      </c>
      <c r="AL51" s="82"/>
      <c r="AM51" s="13"/>
      <c r="AP51" s="27"/>
    </row>
    <row r="52" spans="1:42" ht="150" x14ac:dyDescent="0.2">
      <c r="A52" s="18"/>
      <c r="B52" s="19"/>
      <c r="C52" s="112"/>
      <c r="D52" s="31" t="s">
        <v>208</v>
      </c>
      <c r="E52" s="50">
        <v>11</v>
      </c>
      <c r="F52" s="23" t="s">
        <v>204</v>
      </c>
      <c r="G52" s="110"/>
      <c r="H52" s="50">
        <v>2</v>
      </c>
      <c r="I52" s="51" t="s">
        <v>204</v>
      </c>
      <c r="J52" s="110"/>
      <c r="K52" s="95">
        <v>5</v>
      </c>
      <c r="L52" s="51" t="s">
        <v>204</v>
      </c>
      <c r="M52" s="110"/>
      <c r="N52" s="50">
        <v>0</v>
      </c>
      <c r="O52" s="51" t="str">
        <f t="shared" si="36"/>
        <v>Kawasan</v>
      </c>
      <c r="P52" s="110"/>
      <c r="Q52" s="46">
        <v>0</v>
      </c>
      <c r="R52" s="51" t="str">
        <f t="shared" si="37"/>
        <v>Kawasan</v>
      </c>
      <c r="S52" s="110"/>
      <c r="T52" s="46">
        <v>0</v>
      </c>
      <c r="U52" s="51" t="str">
        <f t="shared" si="38"/>
        <v>Kawasan</v>
      </c>
      <c r="V52" s="110"/>
      <c r="W52" s="46">
        <v>3</v>
      </c>
      <c r="X52" s="51" t="str">
        <f t="shared" si="35"/>
        <v>Kawasan</v>
      </c>
      <c r="Y52" s="110"/>
      <c r="Z52" s="60">
        <f t="shared" si="39"/>
        <v>3</v>
      </c>
      <c r="AA52" s="51" t="str">
        <f t="shared" si="40"/>
        <v>Kawasan</v>
      </c>
      <c r="AB52" s="60">
        <f t="shared" si="32"/>
        <v>100</v>
      </c>
      <c r="AC52" s="36" t="s">
        <v>55</v>
      </c>
      <c r="AD52" s="80"/>
      <c r="AE52" s="82"/>
      <c r="AF52" s="142"/>
      <c r="AG52" s="60">
        <f t="shared" si="41"/>
        <v>5</v>
      </c>
      <c r="AH52" s="22" t="str">
        <f t="shared" si="42"/>
        <v>Kawasan</v>
      </c>
      <c r="AI52" s="80"/>
      <c r="AJ52" s="61"/>
      <c r="AK52" s="36" t="s">
        <v>55</v>
      </c>
      <c r="AL52" s="82"/>
      <c r="AM52" s="13"/>
      <c r="AP52" s="27"/>
    </row>
    <row r="53" spans="1:42" ht="120" x14ac:dyDescent="0.2">
      <c r="A53" s="18"/>
      <c r="B53" s="19"/>
      <c r="C53" s="112"/>
      <c r="D53" s="31" t="s">
        <v>209</v>
      </c>
      <c r="E53" s="50">
        <v>11</v>
      </c>
      <c r="F53" s="23" t="s">
        <v>204</v>
      </c>
      <c r="G53" s="110"/>
      <c r="H53" s="50">
        <v>2</v>
      </c>
      <c r="I53" s="51" t="s">
        <v>204</v>
      </c>
      <c r="J53" s="110"/>
      <c r="K53" s="95">
        <v>5</v>
      </c>
      <c r="L53" s="51" t="s">
        <v>204</v>
      </c>
      <c r="M53" s="110"/>
      <c r="N53" s="50">
        <v>0</v>
      </c>
      <c r="O53" s="51" t="str">
        <f t="shared" ref="O53:O54" si="43">L53</f>
        <v>Kawasan</v>
      </c>
      <c r="P53" s="110"/>
      <c r="Q53" s="46">
        <v>0</v>
      </c>
      <c r="R53" s="51" t="str">
        <f t="shared" ref="R53:R54" si="44">L53</f>
        <v>Kawasan</v>
      </c>
      <c r="S53" s="110"/>
      <c r="T53" s="46">
        <v>0</v>
      </c>
      <c r="U53" s="51" t="str">
        <f t="shared" ref="U53:U54" si="45">O53</f>
        <v>Kawasan</v>
      </c>
      <c r="V53" s="110"/>
      <c r="W53" s="46">
        <v>3</v>
      </c>
      <c r="X53" s="51" t="str">
        <f t="shared" si="15"/>
        <v>Kawasan</v>
      </c>
      <c r="Y53" s="110"/>
      <c r="Z53" s="60">
        <f t="shared" ref="Z53:Z54" si="46">SUM(N53,Q53,T53,W53)</f>
        <v>3</v>
      </c>
      <c r="AA53" s="51" t="str">
        <f t="shared" ref="AA53:AA54" si="47">L53</f>
        <v>Kawasan</v>
      </c>
      <c r="AB53" s="60">
        <f t="shared" si="32"/>
        <v>100</v>
      </c>
      <c r="AC53" s="36" t="s">
        <v>55</v>
      </c>
      <c r="AD53" s="80"/>
      <c r="AE53" s="82"/>
      <c r="AF53" s="142"/>
      <c r="AG53" s="60">
        <f t="shared" ref="AG53:AG54" si="48">SUM(H53,Z53)</f>
        <v>5</v>
      </c>
      <c r="AH53" s="22" t="str">
        <f t="shared" ref="AH53:AH54" si="49">O53</f>
        <v>Kawasan</v>
      </c>
      <c r="AI53" s="80"/>
      <c r="AJ53" s="61"/>
      <c r="AK53" s="36" t="s">
        <v>55</v>
      </c>
      <c r="AL53" s="82"/>
      <c r="AM53" s="13"/>
      <c r="AP53" s="27"/>
    </row>
    <row r="54" spans="1:42" ht="105" x14ac:dyDescent="0.2">
      <c r="A54" s="18"/>
      <c r="B54" s="19"/>
      <c r="C54" s="112"/>
      <c r="D54" s="31" t="s">
        <v>210</v>
      </c>
      <c r="E54" s="50">
        <v>11</v>
      </c>
      <c r="F54" s="23" t="s">
        <v>204</v>
      </c>
      <c r="G54" s="110"/>
      <c r="H54" s="50">
        <v>2</v>
      </c>
      <c r="I54" s="51" t="s">
        <v>204</v>
      </c>
      <c r="J54" s="110"/>
      <c r="K54" s="95">
        <v>5</v>
      </c>
      <c r="L54" s="51" t="s">
        <v>204</v>
      </c>
      <c r="M54" s="110"/>
      <c r="N54" s="50">
        <v>0</v>
      </c>
      <c r="O54" s="51" t="str">
        <f t="shared" si="43"/>
        <v>Kawasan</v>
      </c>
      <c r="P54" s="110"/>
      <c r="Q54" s="46">
        <v>0</v>
      </c>
      <c r="R54" s="51" t="str">
        <f t="shared" si="44"/>
        <v>Kawasan</v>
      </c>
      <c r="S54" s="110"/>
      <c r="T54" s="46">
        <v>0</v>
      </c>
      <c r="U54" s="51" t="str">
        <f t="shared" si="45"/>
        <v>Kawasan</v>
      </c>
      <c r="V54" s="110"/>
      <c r="W54" s="46">
        <v>3</v>
      </c>
      <c r="X54" s="51" t="str">
        <f t="shared" ref="X54" si="50">R54</f>
        <v>Kawasan</v>
      </c>
      <c r="Y54" s="110"/>
      <c r="Z54" s="60">
        <f t="shared" si="46"/>
        <v>3</v>
      </c>
      <c r="AA54" s="51" t="str">
        <f t="shared" si="47"/>
        <v>Kawasan</v>
      </c>
      <c r="AB54" s="60">
        <f t="shared" si="32"/>
        <v>100</v>
      </c>
      <c r="AC54" s="36" t="s">
        <v>55</v>
      </c>
      <c r="AD54" s="80"/>
      <c r="AE54" s="82"/>
      <c r="AF54" s="142"/>
      <c r="AG54" s="60">
        <f t="shared" si="48"/>
        <v>5</v>
      </c>
      <c r="AH54" s="22" t="str">
        <f t="shared" si="49"/>
        <v>Kawasan</v>
      </c>
      <c r="AI54" s="80"/>
      <c r="AJ54" s="61"/>
      <c r="AK54" s="36" t="s">
        <v>55</v>
      </c>
      <c r="AL54" s="82"/>
      <c r="AM54" s="13"/>
      <c r="AP54" s="27"/>
    </row>
    <row r="55" spans="1:42" ht="75" x14ac:dyDescent="0.2">
      <c r="A55" s="18"/>
      <c r="B55" s="19"/>
      <c r="C55" s="112"/>
      <c r="D55" s="31" t="s">
        <v>211</v>
      </c>
      <c r="E55" s="50">
        <v>11</v>
      </c>
      <c r="F55" s="23" t="s">
        <v>204</v>
      </c>
      <c r="G55" s="110"/>
      <c r="H55" s="50">
        <v>2</v>
      </c>
      <c r="I55" s="51" t="s">
        <v>204</v>
      </c>
      <c r="J55" s="110"/>
      <c r="K55" s="95">
        <v>5</v>
      </c>
      <c r="L55" s="51" t="s">
        <v>204</v>
      </c>
      <c r="M55" s="110"/>
      <c r="N55" s="50">
        <v>0</v>
      </c>
      <c r="O55" s="51" t="str">
        <f t="shared" si="1"/>
        <v>Kawasan</v>
      </c>
      <c r="P55" s="110"/>
      <c r="Q55" s="46">
        <v>0</v>
      </c>
      <c r="R55" s="51" t="str">
        <f t="shared" si="2"/>
        <v>Kawasan</v>
      </c>
      <c r="S55" s="110"/>
      <c r="T55" s="46">
        <v>0</v>
      </c>
      <c r="U55" s="51" t="str">
        <f t="shared" si="14"/>
        <v>Kawasan</v>
      </c>
      <c r="V55" s="110"/>
      <c r="W55" s="46">
        <v>3</v>
      </c>
      <c r="X55" s="51" t="str">
        <f t="shared" ref="X55" si="51">R55</f>
        <v>Kawasan</v>
      </c>
      <c r="Y55" s="110"/>
      <c r="Z55" s="60">
        <f t="shared" si="5"/>
        <v>3</v>
      </c>
      <c r="AA55" s="51" t="str">
        <f t="shared" si="6"/>
        <v>Kawasan</v>
      </c>
      <c r="AB55" s="60">
        <f t="shared" si="32"/>
        <v>100</v>
      </c>
      <c r="AC55" s="36" t="s">
        <v>55</v>
      </c>
      <c r="AD55" s="80"/>
      <c r="AE55" s="82"/>
      <c r="AF55" s="142"/>
      <c r="AG55" s="60">
        <f t="shared" si="10"/>
        <v>5</v>
      </c>
      <c r="AH55" s="22" t="str">
        <f t="shared" si="11"/>
        <v>Kawasan</v>
      </c>
      <c r="AI55" s="80"/>
      <c r="AJ55" s="61"/>
      <c r="AK55" s="36" t="s">
        <v>55</v>
      </c>
      <c r="AL55" s="82"/>
      <c r="AM55" s="13"/>
      <c r="AP55" s="27"/>
    </row>
    <row r="56" spans="1:42" ht="135" x14ac:dyDescent="0.2">
      <c r="A56" s="18"/>
      <c r="B56" s="19"/>
      <c r="C56" s="28"/>
      <c r="D56" s="31" t="s">
        <v>213</v>
      </c>
      <c r="E56" s="50">
        <v>26</v>
      </c>
      <c r="F56" s="23" t="s">
        <v>204</v>
      </c>
      <c r="G56" s="30"/>
      <c r="H56" s="50">
        <v>16</v>
      </c>
      <c r="I56" s="51" t="s">
        <v>204</v>
      </c>
      <c r="J56" s="30"/>
      <c r="K56" s="95">
        <v>10</v>
      </c>
      <c r="L56" s="51" t="s">
        <v>204</v>
      </c>
      <c r="M56" s="30"/>
      <c r="N56" s="50">
        <v>0</v>
      </c>
      <c r="O56" s="51" t="str">
        <f t="shared" ref="O56" si="52">L56</f>
        <v>Kawasan</v>
      </c>
      <c r="P56" s="30"/>
      <c r="Q56" s="46">
        <v>0</v>
      </c>
      <c r="R56" s="51" t="str">
        <f t="shared" ref="R56" si="53">L56</f>
        <v>Kawasan</v>
      </c>
      <c r="S56" s="30"/>
      <c r="T56" s="46">
        <v>0</v>
      </c>
      <c r="U56" s="51" t="str">
        <f t="shared" ref="U56" si="54">O56</f>
        <v>Kawasan</v>
      </c>
      <c r="V56" s="30"/>
      <c r="W56" s="46">
        <v>10</v>
      </c>
      <c r="X56" s="51" t="str">
        <f t="shared" si="15"/>
        <v>Kawasan</v>
      </c>
      <c r="Y56" s="30"/>
      <c r="Z56" s="60">
        <f t="shared" ref="Z56" si="55">SUM(N56,Q56,T56,W56)</f>
        <v>10</v>
      </c>
      <c r="AA56" s="51" t="str">
        <f t="shared" ref="AA56" si="56">L56</f>
        <v>Kawasan</v>
      </c>
      <c r="AB56" s="60">
        <f t="shared" ref="AB56" si="57">Z56/K56*100</f>
        <v>100</v>
      </c>
      <c r="AC56" s="36" t="s">
        <v>55</v>
      </c>
      <c r="AD56" s="81"/>
      <c r="AE56" s="83"/>
      <c r="AF56" s="29"/>
      <c r="AG56" s="60">
        <f t="shared" ref="AG56" si="58">SUM(H56,Z56)</f>
        <v>26</v>
      </c>
      <c r="AH56" s="22" t="str">
        <f t="shared" ref="AH56" si="59">O56</f>
        <v>Kawasan</v>
      </c>
      <c r="AI56" s="81"/>
      <c r="AJ56" s="61"/>
      <c r="AK56" s="36" t="s">
        <v>55</v>
      </c>
      <c r="AL56" s="83"/>
      <c r="AM56" s="13"/>
      <c r="AP56" s="27"/>
    </row>
    <row r="57" spans="1:42" ht="99" customHeight="1" x14ac:dyDescent="0.2">
      <c r="A57" s="18"/>
      <c r="B57" s="19"/>
      <c r="C57" s="20" t="s">
        <v>109</v>
      </c>
      <c r="D57" s="21" t="s">
        <v>193</v>
      </c>
      <c r="E57" s="49">
        <f>E58</f>
        <v>65.384615384615387</v>
      </c>
      <c r="F57" s="48" t="s">
        <v>55</v>
      </c>
      <c r="G57" s="43">
        <f>G58</f>
        <v>36032206000</v>
      </c>
      <c r="H57" s="49">
        <f>H58</f>
        <v>46.153846153846153</v>
      </c>
      <c r="I57" s="48" t="s">
        <v>55</v>
      </c>
      <c r="J57" s="43"/>
      <c r="K57" s="49">
        <f>K58</f>
        <v>53.846153846153847</v>
      </c>
      <c r="L57" s="48" t="s">
        <v>55</v>
      </c>
      <c r="M57" s="43">
        <f>M58</f>
        <v>10423287000</v>
      </c>
      <c r="N57" s="49">
        <f>N58</f>
        <v>0</v>
      </c>
      <c r="O57" s="85" t="str">
        <f t="shared" si="1"/>
        <v>%</v>
      </c>
      <c r="P57" s="43">
        <f>P58</f>
        <v>139258393</v>
      </c>
      <c r="Q57" s="49">
        <f>Q58</f>
        <v>3.8461538461538463</v>
      </c>
      <c r="R57" s="85" t="str">
        <f t="shared" si="2"/>
        <v>%</v>
      </c>
      <c r="S57" s="43">
        <f>S58</f>
        <v>5661918908</v>
      </c>
      <c r="T57" s="49">
        <f>T58</f>
        <v>0</v>
      </c>
      <c r="U57" s="85" t="str">
        <f t="shared" si="14"/>
        <v>%</v>
      </c>
      <c r="V57" s="43">
        <f>V58</f>
        <v>505674839</v>
      </c>
      <c r="W57" s="49">
        <f>W58</f>
        <v>3.8461538461538463</v>
      </c>
      <c r="X57" s="85" t="str">
        <f t="shared" si="15"/>
        <v>%</v>
      </c>
      <c r="Y57" s="43">
        <f>Y58</f>
        <v>1659328795</v>
      </c>
      <c r="Z57" s="59">
        <f t="shared" si="5"/>
        <v>7.6923076923076925</v>
      </c>
      <c r="AA57" s="85" t="str">
        <f t="shared" si="6"/>
        <v>%</v>
      </c>
      <c r="AB57" s="56">
        <f t="shared" ref="AB57:AB73" si="60">AG57/K57*100</f>
        <v>100</v>
      </c>
      <c r="AC57" s="58" t="s">
        <v>55</v>
      </c>
      <c r="AD57" s="57">
        <f t="shared" si="8"/>
        <v>7966180935</v>
      </c>
      <c r="AE57" s="59">
        <f t="shared" si="9"/>
        <v>76.426763793417564</v>
      </c>
      <c r="AF57" s="58" t="s">
        <v>55</v>
      </c>
      <c r="AG57" s="59">
        <f t="shared" si="10"/>
        <v>53.846153846153847</v>
      </c>
      <c r="AH57" s="85" t="str">
        <f t="shared" si="11"/>
        <v>%</v>
      </c>
      <c r="AI57" s="57">
        <f t="shared" si="12"/>
        <v>7966180935</v>
      </c>
      <c r="AJ57" s="59"/>
      <c r="AK57" s="58" t="s">
        <v>55</v>
      </c>
      <c r="AL57" s="59"/>
      <c r="AM57" s="13"/>
      <c r="AP57" s="27"/>
    </row>
    <row r="58" spans="1:42" ht="126" x14ac:dyDescent="0.2">
      <c r="A58" s="18"/>
      <c r="B58" s="19"/>
      <c r="C58" s="20" t="s">
        <v>110</v>
      </c>
      <c r="D58" s="21" t="s">
        <v>229</v>
      </c>
      <c r="E58" s="49">
        <f>E60/26*100</f>
        <v>65.384615384615387</v>
      </c>
      <c r="F58" s="48" t="s">
        <v>55</v>
      </c>
      <c r="G58" s="44">
        <f>G59</f>
        <v>36032206000</v>
      </c>
      <c r="H58" s="49">
        <f>H60/26*100</f>
        <v>46.153846153846153</v>
      </c>
      <c r="I58" s="48" t="s">
        <v>55</v>
      </c>
      <c r="J58" s="25"/>
      <c r="K58" s="49">
        <f>K60/26*100</f>
        <v>53.846153846153847</v>
      </c>
      <c r="L58" s="48" t="s">
        <v>55</v>
      </c>
      <c r="M58" s="44">
        <f>SUM(M59)</f>
        <v>10423287000</v>
      </c>
      <c r="N58" s="118">
        <v>0</v>
      </c>
      <c r="O58" s="85" t="str">
        <f t="shared" si="1"/>
        <v>%</v>
      </c>
      <c r="P58" s="44">
        <f>SUM(P59)</f>
        <v>139258393</v>
      </c>
      <c r="Q58" s="49">
        <f>Q60/26*100</f>
        <v>3.8461538461538463</v>
      </c>
      <c r="R58" s="85" t="str">
        <f t="shared" si="2"/>
        <v>%</v>
      </c>
      <c r="S58" s="44">
        <f>SUM(S59)</f>
        <v>5661918908</v>
      </c>
      <c r="T58" s="116">
        <v>0</v>
      </c>
      <c r="U58" s="85" t="str">
        <f t="shared" si="14"/>
        <v>%</v>
      </c>
      <c r="V58" s="44">
        <f>SUM(V59)</f>
        <v>505674839</v>
      </c>
      <c r="W58" s="49">
        <f>W60/26*100</f>
        <v>3.8461538461538463</v>
      </c>
      <c r="X58" s="85" t="str">
        <f t="shared" si="15"/>
        <v>%</v>
      </c>
      <c r="Y58" s="44">
        <f>SUM(Y59)</f>
        <v>1659328795</v>
      </c>
      <c r="Z58" s="59">
        <f t="shared" si="5"/>
        <v>7.6923076923076925</v>
      </c>
      <c r="AA58" s="85" t="str">
        <f t="shared" si="6"/>
        <v>%</v>
      </c>
      <c r="AB58" s="56">
        <f t="shared" si="60"/>
        <v>100</v>
      </c>
      <c r="AC58" s="58" t="s">
        <v>55</v>
      </c>
      <c r="AD58" s="57">
        <f t="shared" si="8"/>
        <v>7966180935</v>
      </c>
      <c r="AE58" s="59">
        <f t="shared" si="9"/>
        <v>76.426763793417564</v>
      </c>
      <c r="AF58" s="58" t="s">
        <v>55</v>
      </c>
      <c r="AG58" s="105">
        <f t="shared" si="10"/>
        <v>53.846153846153847</v>
      </c>
      <c r="AH58" s="85" t="str">
        <f t="shared" si="11"/>
        <v>%</v>
      </c>
      <c r="AI58" s="57">
        <f t="shared" si="12"/>
        <v>7966180935</v>
      </c>
      <c r="AJ58" s="59"/>
      <c r="AK58" s="58" t="s">
        <v>55</v>
      </c>
      <c r="AL58" s="59"/>
      <c r="AM58" s="13"/>
      <c r="AP58" s="27"/>
    </row>
    <row r="59" spans="1:42" ht="150" x14ac:dyDescent="0.2">
      <c r="A59" s="18"/>
      <c r="B59" s="19"/>
      <c r="C59" s="132" t="s">
        <v>111</v>
      </c>
      <c r="D59" s="31" t="s">
        <v>152</v>
      </c>
      <c r="E59" s="50">
        <v>1078</v>
      </c>
      <c r="F59" s="23" t="s">
        <v>153</v>
      </c>
      <c r="G59" s="133">
        <f>M59+(12804459500*2)</f>
        <v>36032206000</v>
      </c>
      <c r="H59" s="50">
        <v>703</v>
      </c>
      <c r="I59" s="23" t="s">
        <v>153</v>
      </c>
      <c r="J59" s="133"/>
      <c r="K59" s="50">
        <v>828</v>
      </c>
      <c r="L59" s="51" t="s">
        <v>153</v>
      </c>
      <c r="M59" s="133">
        <v>10423287000</v>
      </c>
      <c r="N59" s="50">
        <v>0</v>
      </c>
      <c r="O59" s="51" t="str">
        <f t="shared" si="1"/>
        <v>Unit</v>
      </c>
      <c r="P59" s="133">
        <v>139258393</v>
      </c>
      <c r="Q59" s="50">
        <v>37</v>
      </c>
      <c r="R59" s="51" t="str">
        <f t="shared" si="2"/>
        <v>Unit</v>
      </c>
      <c r="S59" s="133">
        <f>5661918908</f>
        <v>5661918908</v>
      </c>
      <c r="T59" s="50">
        <v>71</v>
      </c>
      <c r="U59" s="51" t="str">
        <f t="shared" si="14"/>
        <v>Unit</v>
      </c>
      <c r="V59" s="133">
        <v>505674839</v>
      </c>
      <c r="W59" s="50">
        <v>17</v>
      </c>
      <c r="X59" s="51" t="str">
        <f t="shared" si="15"/>
        <v>Unit</v>
      </c>
      <c r="Y59" s="133">
        <v>1659328795</v>
      </c>
      <c r="Z59" s="60">
        <f t="shared" si="5"/>
        <v>125</v>
      </c>
      <c r="AA59" s="51" t="str">
        <f t="shared" si="6"/>
        <v>Unit</v>
      </c>
      <c r="AB59" s="60">
        <f t="shared" si="60"/>
        <v>100</v>
      </c>
      <c r="AC59" s="36" t="s">
        <v>55</v>
      </c>
      <c r="AD59" s="134">
        <f t="shared" si="8"/>
        <v>7966180935</v>
      </c>
      <c r="AE59" s="135">
        <f t="shared" si="9"/>
        <v>76.426763793417564</v>
      </c>
      <c r="AF59" s="127" t="s">
        <v>55</v>
      </c>
      <c r="AG59" s="95">
        <f t="shared" si="10"/>
        <v>828</v>
      </c>
      <c r="AH59" s="51" t="str">
        <f t="shared" si="11"/>
        <v>Unit</v>
      </c>
      <c r="AI59" s="134">
        <f t="shared" si="12"/>
        <v>7966180935</v>
      </c>
      <c r="AJ59" s="61"/>
      <c r="AK59" s="36" t="s">
        <v>55</v>
      </c>
      <c r="AL59" s="135"/>
      <c r="AM59" s="13"/>
      <c r="AP59" s="27"/>
    </row>
    <row r="60" spans="1:42" ht="120" x14ac:dyDescent="0.2">
      <c r="A60" s="18"/>
      <c r="B60" s="19"/>
      <c r="C60" s="112"/>
      <c r="D60" s="31" t="s">
        <v>214</v>
      </c>
      <c r="E60" s="50">
        <v>17</v>
      </c>
      <c r="F60" s="51" t="s">
        <v>200</v>
      </c>
      <c r="G60" s="110"/>
      <c r="H60" s="50">
        <v>12</v>
      </c>
      <c r="I60" s="51" t="s">
        <v>200</v>
      </c>
      <c r="J60" s="110"/>
      <c r="K60" s="50">
        <v>14</v>
      </c>
      <c r="L60" s="51" t="s">
        <v>200</v>
      </c>
      <c r="M60" s="110"/>
      <c r="N60" s="50">
        <v>0</v>
      </c>
      <c r="O60" s="51" t="str">
        <f t="shared" si="1"/>
        <v>Perumahan</v>
      </c>
      <c r="P60" s="110"/>
      <c r="Q60" s="50">
        <v>1</v>
      </c>
      <c r="R60" s="51" t="str">
        <f t="shared" si="2"/>
        <v>Perumahan</v>
      </c>
      <c r="S60" s="110"/>
      <c r="T60" s="50">
        <v>0</v>
      </c>
      <c r="U60" s="51" t="str">
        <f t="shared" si="14"/>
        <v>Perumahan</v>
      </c>
      <c r="V60" s="110"/>
      <c r="W60" s="50">
        <v>1</v>
      </c>
      <c r="X60" s="51" t="str">
        <f t="shared" si="15"/>
        <v>Perumahan</v>
      </c>
      <c r="Y60" s="110"/>
      <c r="Z60" s="60">
        <f t="shared" si="5"/>
        <v>2</v>
      </c>
      <c r="AA60" s="51" t="str">
        <f t="shared" si="6"/>
        <v>Perumahan</v>
      </c>
      <c r="AB60" s="60">
        <f t="shared" si="60"/>
        <v>100</v>
      </c>
      <c r="AC60" s="36" t="s">
        <v>55</v>
      </c>
      <c r="AD60" s="80"/>
      <c r="AE60" s="82"/>
      <c r="AF60" s="111"/>
      <c r="AG60" s="95">
        <f t="shared" si="10"/>
        <v>14</v>
      </c>
      <c r="AH60" s="51" t="str">
        <f t="shared" si="11"/>
        <v>Perumahan</v>
      </c>
      <c r="AI60" s="80"/>
      <c r="AJ60" s="61"/>
      <c r="AK60" s="36" t="s">
        <v>55</v>
      </c>
      <c r="AL60" s="82"/>
      <c r="AM60" s="13"/>
      <c r="AP60" s="27"/>
    </row>
    <row r="61" spans="1:42" ht="120" x14ac:dyDescent="0.2">
      <c r="A61" s="18"/>
      <c r="B61" s="19"/>
      <c r="C61" s="112"/>
      <c r="D61" s="31" t="s">
        <v>215</v>
      </c>
      <c r="E61" s="50">
        <v>17</v>
      </c>
      <c r="F61" s="51" t="s">
        <v>200</v>
      </c>
      <c r="G61" s="110"/>
      <c r="H61" s="50">
        <v>12</v>
      </c>
      <c r="I61" s="51" t="s">
        <v>200</v>
      </c>
      <c r="J61" s="110"/>
      <c r="K61" s="50">
        <v>14</v>
      </c>
      <c r="L61" s="51" t="s">
        <v>200</v>
      </c>
      <c r="M61" s="110"/>
      <c r="N61" s="50">
        <v>0</v>
      </c>
      <c r="O61" s="51" t="str">
        <f t="shared" si="1"/>
        <v>Perumahan</v>
      </c>
      <c r="P61" s="110"/>
      <c r="Q61" s="50">
        <v>1</v>
      </c>
      <c r="R61" s="51" t="str">
        <f t="shared" si="2"/>
        <v>Perumahan</v>
      </c>
      <c r="S61" s="110"/>
      <c r="T61" s="50">
        <v>0</v>
      </c>
      <c r="U61" s="51" t="str">
        <f t="shared" si="14"/>
        <v>Perumahan</v>
      </c>
      <c r="V61" s="110"/>
      <c r="W61" s="50">
        <v>1</v>
      </c>
      <c r="X61" s="51" t="str">
        <f t="shared" si="15"/>
        <v>Perumahan</v>
      </c>
      <c r="Y61" s="110"/>
      <c r="Z61" s="60">
        <f t="shared" si="5"/>
        <v>2</v>
      </c>
      <c r="AA61" s="51" t="str">
        <f t="shared" si="6"/>
        <v>Perumahan</v>
      </c>
      <c r="AB61" s="60">
        <f t="shared" si="60"/>
        <v>100</v>
      </c>
      <c r="AC61" s="36" t="s">
        <v>55</v>
      </c>
      <c r="AD61" s="80"/>
      <c r="AE61" s="82"/>
      <c r="AF61" s="111"/>
      <c r="AG61" s="95">
        <f t="shared" si="10"/>
        <v>14</v>
      </c>
      <c r="AH61" s="51" t="str">
        <f t="shared" si="11"/>
        <v>Perumahan</v>
      </c>
      <c r="AI61" s="80"/>
      <c r="AJ61" s="61"/>
      <c r="AK61" s="36" t="s">
        <v>55</v>
      </c>
      <c r="AL61" s="82"/>
      <c r="AM61" s="13"/>
      <c r="AP61" s="27"/>
    </row>
    <row r="62" spans="1:42" ht="150" x14ac:dyDescent="0.2">
      <c r="A62" s="18"/>
      <c r="B62" s="19"/>
      <c r="C62" s="112"/>
      <c r="D62" s="31" t="s">
        <v>216</v>
      </c>
      <c r="E62" s="50">
        <v>17</v>
      </c>
      <c r="F62" s="51" t="s">
        <v>200</v>
      </c>
      <c r="G62" s="110"/>
      <c r="H62" s="50">
        <v>12</v>
      </c>
      <c r="I62" s="51" t="s">
        <v>200</v>
      </c>
      <c r="J62" s="110"/>
      <c r="K62" s="50">
        <v>14</v>
      </c>
      <c r="L62" s="51" t="s">
        <v>200</v>
      </c>
      <c r="M62" s="110"/>
      <c r="N62" s="50">
        <v>0</v>
      </c>
      <c r="O62" s="51" t="str">
        <f t="shared" ref="O62:O63" si="61">L62</f>
        <v>Perumahan</v>
      </c>
      <c r="P62" s="110"/>
      <c r="Q62" s="50">
        <v>1</v>
      </c>
      <c r="R62" s="51" t="str">
        <f t="shared" ref="R62:R63" si="62">L62</f>
        <v>Perumahan</v>
      </c>
      <c r="S62" s="110"/>
      <c r="T62" s="50">
        <v>0</v>
      </c>
      <c r="U62" s="51" t="str">
        <f t="shared" ref="U62:U63" si="63">O62</f>
        <v>Perumahan</v>
      </c>
      <c r="V62" s="110"/>
      <c r="W62" s="50">
        <v>1</v>
      </c>
      <c r="X62" s="51" t="str">
        <f t="shared" ref="X62:X63" si="64">R62</f>
        <v>Perumahan</v>
      </c>
      <c r="Y62" s="110"/>
      <c r="Z62" s="60">
        <f t="shared" ref="Z62:Z63" si="65">SUM(N62,Q62,T62,W62)</f>
        <v>2</v>
      </c>
      <c r="AA62" s="51" t="str">
        <f t="shared" ref="AA62:AA63" si="66">L62</f>
        <v>Perumahan</v>
      </c>
      <c r="AB62" s="60">
        <f t="shared" si="60"/>
        <v>100</v>
      </c>
      <c r="AC62" s="36" t="s">
        <v>55</v>
      </c>
      <c r="AD62" s="80">
        <f t="shared" ref="AD62:AD63" si="67">SUM(P62,S62,V62,Y62)</f>
        <v>0</v>
      </c>
      <c r="AE62" s="82"/>
      <c r="AF62" s="111"/>
      <c r="AG62" s="95">
        <f t="shared" ref="AG62:AG63" si="68">SUM(H62,Z62)</f>
        <v>14</v>
      </c>
      <c r="AH62" s="51" t="str">
        <f t="shared" ref="AH62:AH63" si="69">O62</f>
        <v>Perumahan</v>
      </c>
      <c r="AI62" s="80"/>
      <c r="AJ62" s="61"/>
      <c r="AK62" s="36" t="s">
        <v>55</v>
      </c>
      <c r="AL62" s="82"/>
      <c r="AM62" s="13"/>
      <c r="AP62" s="27"/>
    </row>
    <row r="63" spans="1:42" ht="90" x14ac:dyDescent="0.2">
      <c r="A63" s="18"/>
      <c r="B63" s="19"/>
      <c r="C63" s="112"/>
      <c r="D63" s="31" t="s">
        <v>217</v>
      </c>
      <c r="E63" s="50">
        <v>17</v>
      </c>
      <c r="F63" s="51" t="s">
        <v>200</v>
      </c>
      <c r="G63" s="110"/>
      <c r="H63" s="50">
        <v>12</v>
      </c>
      <c r="I63" s="51" t="s">
        <v>200</v>
      </c>
      <c r="J63" s="110"/>
      <c r="K63" s="50">
        <v>14</v>
      </c>
      <c r="L63" s="51" t="s">
        <v>200</v>
      </c>
      <c r="M63" s="110"/>
      <c r="N63" s="50">
        <v>0</v>
      </c>
      <c r="O63" s="51" t="str">
        <f t="shared" si="61"/>
        <v>Perumahan</v>
      </c>
      <c r="P63" s="110"/>
      <c r="Q63" s="50">
        <v>1</v>
      </c>
      <c r="R63" s="51" t="str">
        <f t="shared" si="62"/>
        <v>Perumahan</v>
      </c>
      <c r="S63" s="110"/>
      <c r="T63" s="50">
        <v>0</v>
      </c>
      <c r="U63" s="51" t="str">
        <f t="shared" si="63"/>
        <v>Perumahan</v>
      </c>
      <c r="V63" s="110"/>
      <c r="W63" s="50">
        <v>1</v>
      </c>
      <c r="X63" s="51" t="str">
        <f t="shared" si="64"/>
        <v>Perumahan</v>
      </c>
      <c r="Y63" s="110"/>
      <c r="Z63" s="60">
        <f t="shared" si="65"/>
        <v>2</v>
      </c>
      <c r="AA63" s="51" t="str">
        <f t="shared" si="66"/>
        <v>Perumahan</v>
      </c>
      <c r="AB63" s="60">
        <f t="shared" si="60"/>
        <v>100</v>
      </c>
      <c r="AC63" s="36" t="s">
        <v>55</v>
      </c>
      <c r="AD63" s="80">
        <f t="shared" si="67"/>
        <v>0</v>
      </c>
      <c r="AE63" s="82"/>
      <c r="AF63" s="111"/>
      <c r="AG63" s="95">
        <f t="shared" si="68"/>
        <v>14</v>
      </c>
      <c r="AH63" s="51" t="str">
        <f t="shared" si="69"/>
        <v>Perumahan</v>
      </c>
      <c r="AI63" s="80"/>
      <c r="AJ63" s="61"/>
      <c r="AK63" s="36" t="s">
        <v>55</v>
      </c>
      <c r="AL63" s="82"/>
      <c r="AM63" s="13"/>
      <c r="AP63" s="27"/>
    </row>
    <row r="64" spans="1:42" ht="120" x14ac:dyDescent="0.2">
      <c r="A64" s="18"/>
      <c r="B64" s="19"/>
      <c r="C64" s="112"/>
      <c r="D64" s="31" t="s">
        <v>218</v>
      </c>
      <c r="E64" s="50">
        <v>17</v>
      </c>
      <c r="F64" s="51" t="s">
        <v>200</v>
      </c>
      <c r="G64" s="110"/>
      <c r="H64" s="50">
        <v>12</v>
      </c>
      <c r="I64" s="51" t="s">
        <v>200</v>
      </c>
      <c r="J64" s="110"/>
      <c r="K64" s="50">
        <v>14</v>
      </c>
      <c r="L64" s="51" t="s">
        <v>200</v>
      </c>
      <c r="M64" s="110"/>
      <c r="N64" s="50">
        <v>0</v>
      </c>
      <c r="O64" s="51" t="str">
        <f t="shared" si="1"/>
        <v>Perumahan</v>
      </c>
      <c r="P64" s="110"/>
      <c r="Q64" s="50">
        <v>1</v>
      </c>
      <c r="R64" s="51" t="str">
        <f t="shared" si="2"/>
        <v>Perumahan</v>
      </c>
      <c r="S64" s="110"/>
      <c r="T64" s="50">
        <v>0</v>
      </c>
      <c r="U64" s="51" t="str">
        <f t="shared" si="14"/>
        <v>Perumahan</v>
      </c>
      <c r="V64" s="110"/>
      <c r="W64" s="50">
        <v>1</v>
      </c>
      <c r="X64" s="51" t="str">
        <f t="shared" si="15"/>
        <v>Perumahan</v>
      </c>
      <c r="Y64" s="110"/>
      <c r="Z64" s="60">
        <f t="shared" si="5"/>
        <v>2</v>
      </c>
      <c r="AA64" s="51" t="str">
        <f t="shared" si="6"/>
        <v>Perumahan</v>
      </c>
      <c r="AB64" s="60">
        <f t="shared" si="60"/>
        <v>100</v>
      </c>
      <c r="AC64" s="36" t="s">
        <v>55</v>
      </c>
      <c r="AD64" s="80">
        <f t="shared" si="8"/>
        <v>0</v>
      </c>
      <c r="AE64" s="82"/>
      <c r="AF64" s="111"/>
      <c r="AG64" s="95">
        <f t="shared" si="10"/>
        <v>14</v>
      </c>
      <c r="AH64" s="51" t="str">
        <f t="shared" si="11"/>
        <v>Perumahan</v>
      </c>
      <c r="AI64" s="80"/>
      <c r="AJ64" s="61"/>
      <c r="AK64" s="36" t="s">
        <v>55</v>
      </c>
      <c r="AL64" s="82"/>
      <c r="AM64" s="13"/>
      <c r="AP64" s="27"/>
    </row>
    <row r="65" spans="1:42" ht="135" x14ac:dyDescent="0.2">
      <c r="A65" s="18"/>
      <c r="B65" s="19"/>
      <c r="C65" s="112"/>
      <c r="D65" s="31" t="s">
        <v>219</v>
      </c>
      <c r="E65" s="50">
        <v>17</v>
      </c>
      <c r="F65" s="51" t="s">
        <v>200</v>
      </c>
      <c r="G65" s="110"/>
      <c r="H65" s="50">
        <v>12</v>
      </c>
      <c r="I65" s="51" t="s">
        <v>200</v>
      </c>
      <c r="J65" s="110"/>
      <c r="K65" s="50">
        <v>14</v>
      </c>
      <c r="L65" s="51" t="s">
        <v>200</v>
      </c>
      <c r="M65" s="110"/>
      <c r="N65" s="50">
        <v>0</v>
      </c>
      <c r="O65" s="51" t="str">
        <f t="shared" ref="O65" si="70">L65</f>
        <v>Perumahan</v>
      </c>
      <c r="P65" s="110"/>
      <c r="Q65" s="50">
        <v>1</v>
      </c>
      <c r="R65" s="51" t="str">
        <f t="shared" ref="R65" si="71">L65</f>
        <v>Perumahan</v>
      </c>
      <c r="S65" s="110"/>
      <c r="T65" s="50">
        <v>0</v>
      </c>
      <c r="U65" s="51" t="str">
        <f t="shared" ref="U65" si="72">O65</f>
        <v>Perumahan</v>
      </c>
      <c r="V65" s="110"/>
      <c r="W65" s="50">
        <v>1</v>
      </c>
      <c r="X65" s="51" t="str">
        <f t="shared" ref="X65" si="73">R65</f>
        <v>Perumahan</v>
      </c>
      <c r="Y65" s="110"/>
      <c r="Z65" s="60">
        <f t="shared" ref="Z65" si="74">SUM(N65,Q65,T65,W65)</f>
        <v>2</v>
      </c>
      <c r="AA65" s="51" t="str">
        <f t="shared" ref="AA65" si="75">L65</f>
        <v>Perumahan</v>
      </c>
      <c r="AB65" s="60">
        <f t="shared" si="60"/>
        <v>100</v>
      </c>
      <c r="AC65" s="36" t="s">
        <v>55</v>
      </c>
      <c r="AD65" s="80">
        <f t="shared" ref="AD65" si="76">SUM(P65,S65,V65,Y65)</f>
        <v>0</v>
      </c>
      <c r="AE65" s="82"/>
      <c r="AF65" s="111"/>
      <c r="AG65" s="95">
        <f t="shared" ref="AG65" si="77">SUM(H65,Z65)</f>
        <v>14</v>
      </c>
      <c r="AH65" s="51" t="str">
        <f t="shared" ref="AH65" si="78">O65</f>
        <v>Perumahan</v>
      </c>
      <c r="AI65" s="80"/>
      <c r="AJ65" s="61"/>
      <c r="AK65" s="36" t="s">
        <v>55</v>
      </c>
      <c r="AL65" s="82"/>
      <c r="AM65" s="13"/>
      <c r="AP65" s="27"/>
    </row>
    <row r="66" spans="1:42" ht="105" x14ac:dyDescent="0.2">
      <c r="A66" s="18"/>
      <c r="B66" s="19"/>
      <c r="C66" s="112"/>
      <c r="D66" s="31" t="s">
        <v>220</v>
      </c>
      <c r="E66" s="50">
        <v>17</v>
      </c>
      <c r="F66" s="51" t="s">
        <v>200</v>
      </c>
      <c r="G66" s="110"/>
      <c r="H66" s="50">
        <v>12</v>
      </c>
      <c r="I66" s="51" t="s">
        <v>200</v>
      </c>
      <c r="J66" s="110"/>
      <c r="K66" s="50">
        <v>14</v>
      </c>
      <c r="L66" s="51" t="s">
        <v>200</v>
      </c>
      <c r="M66" s="110"/>
      <c r="N66" s="50">
        <v>0</v>
      </c>
      <c r="O66" s="51" t="str">
        <f t="shared" ref="O66" si="79">L66</f>
        <v>Perumahan</v>
      </c>
      <c r="P66" s="110"/>
      <c r="Q66" s="50">
        <v>1</v>
      </c>
      <c r="R66" s="51" t="str">
        <f t="shared" ref="R66" si="80">L66</f>
        <v>Perumahan</v>
      </c>
      <c r="S66" s="110"/>
      <c r="T66" s="50">
        <v>0</v>
      </c>
      <c r="U66" s="51" t="str">
        <f t="shared" ref="U66" si="81">O66</f>
        <v>Perumahan</v>
      </c>
      <c r="V66" s="110"/>
      <c r="W66" s="50">
        <v>1</v>
      </c>
      <c r="X66" s="51" t="str">
        <f t="shared" ref="X66" si="82">R66</f>
        <v>Perumahan</v>
      </c>
      <c r="Y66" s="110"/>
      <c r="Z66" s="60">
        <f t="shared" ref="Z66" si="83">SUM(N66,Q66,T66,W66)</f>
        <v>2</v>
      </c>
      <c r="AA66" s="51" t="str">
        <f t="shared" ref="AA66" si="84">L66</f>
        <v>Perumahan</v>
      </c>
      <c r="AB66" s="60">
        <f t="shared" si="60"/>
        <v>100</v>
      </c>
      <c r="AC66" s="36" t="s">
        <v>55</v>
      </c>
      <c r="AD66" s="80">
        <f t="shared" ref="AD66" si="85">SUM(P66,S66,V66,Y66)</f>
        <v>0</v>
      </c>
      <c r="AE66" s="82"/>
      <c r="AF66" s="111"/>
      <c r="AG66" s="95">
        <f t="shared" ref="AG66" si="86">SUM(H66,Z66)</f>
        <v>14</v>
      </c>
      <c r="AH66" s="51" t="str">
        <f t="shared" ref="AH66" si="87">O66</f>
        <v>Perumahan</v>
      </c>
      <c r="AI66" s="80"/>
      <c r="AJ66" s="61"/>
      <c r="AK66" s="36" t="s">
        <v>55</v>
      </c>
      <c r="AL66" s="82"/>
      <c r="AM66" s="13"/>
      <c r="AP66" s="27"/>
    </row>
    <row r="67" spans="1:42" ht="90" x14ac:dyDescent="0.2">
      <c r="A67" s="18"/>
      <c r="B67" s="19"/>
      <c r="C67" s="112"/>
      <c r="D67" s="31" t="s">
        <v>221</v>
      </c>
      <c r="E67" s="50">
        <v>17</v>
      </c>
      <c r="F67" s="51" t="s">
        <v>200</v>
      </c>
      <c r="G67" s="110"/>
      <c r="H67" s="50">
        <v>12</v>
      </c>
      <c r="I67" s="51" t="s">
        <v>200</v>
      </c>
      <c r="J67" s="110"/>
      <c r="K67" s="50">
        <v>14</v>
      </c>
      <c r="L67" s="51" t="s">
        <v>200</v>
      </c>
      <c r="M67" s="110"/>
      <c r="N67" s="50">
        <v>0</v>
      </c>
      <c r="O67" s="51" t="str">
        <f t="shared" si="1"/>
        <v>Perumahan</v>
      </c>
      <c r="P67" s="110"/>
      <c r="Q67" s="50">
        <v>1</v>
      </c>
      <c r="R67" s="51" t="str">
        <f t="shared" si="2"/>
        <v>Perumahan</v>
      </c>
      <c r="S67" s="110"/>
      <c r="T67" s="50">
        <v>0</v>
      </c>
      <c r="U67" s="51" t="str">
        <f t="shared" si="14"/>
        <v>Perumahan</v>
      </c>
      <c r="V67" s="110"/>
      <c r="W67" s="50">
        <v>1</v>
      </c>
      <c r="X67" s="51" t="str">
        <f t="shared" si="15"/>
        <v>Perumahan</v>
      </c>
      <c r="Y67" s="110"/>
      <c r="Z67" s="60">
        <f t="shared" si="5"/>
        <v>2</v>
      </c>
      <c r="AA67" s="51" t="str">
        <f t="shared" si="6"/>
        <v>Perumahan</v>
      </c>
      <c r="AB67" s="60">
        <f t="shared" si="60"/>
        <v>100</v>
      </c>
      <c r="AC67" s="36" t="s">
        <v>55</v>
      </c>
      <c r="AD67" s="80">
        <f t="shared" si="8"/>
        <v>0</v>
      </c>
      <c r="AE67" s="82"/>
      <c r="AF67" s="111"/>
      <c r="AG67" s="95">
        <f t="shared" si="10"/>
        <v>14</v>
      </c>
      <c r="AH67" s="51" t="str">
        <f t="shared" si="11"/>
        <v>Perumahan</v>
      </c>
      <c r="AI67" s="80"/>
      <c r="AJ67" s="61"/>
      <c r="AK67" s="36" t="s">
        <v>55</v>
      </c>
      <c r="AL67" s="82"/>
      <c r="AM67" s="13"/>
      <c r="AP67" s="27"/>
    </row>
    <row r="68" spans="1:42" ht="60" x14ac:dyDescent="0.2">
      <c r="A68" s="18"/>
      <c r="B68" s="19"/>
      <c r="C68" s="28"/>
      <c r="D68" s="31" t="s">
        <v>222</v>
      </c>
      <c r="E68" s="50">
        <v>17</v>
      </c>
      <c r="F68" s="51" t="s">
        <v>200</v>
      </c>
      <c r="G68" s="30"/>
      <c r="H68" s="50">
        <v>12</v>
      </c>
      <c r="I68" s="51" t="s">
        <v>200</v>
      </c>
      <c r="J68" s="30"/>
      <c r="K68" s="50">
        <v>14</v>
      </c>
      <c r="L68" s="51" t="s">
        <v>200</v>
      </c>
      <c r="M68" s="30"/>
      <c r="N68" s="50">
        <v>0</v>
      </c>
      <c r="O68" s="51" t="str">
        <f t="shared" ref="O68" si="88">L68</f>
        <v>Perumahan</v>
      </c>
      <c r="P68" s="30"/>
      <c r="Q68" s="50">
        <v>1</v>
      </c>
      <c r="R68" s="51" t="str">
        <f t="shared" ref="R68" si="89">L68</f>
        <v>Perumahan</v>
      </c>
      <c r="S68" s="30"/>
      <c r="T68" s="50">
        <v>0</v>
      </c>
      <c r="U68" s="51" t="str">
        <f t="shared" ref="U68" si="90">O68</f>
        <v>Perumahan</v>
      </c>
      <c r="V68" s="30"/>
      <c r="W68" s="50">
        <v>1</v>
      </c>
      <c r="X68" s="51" t="str">
        <f t="shared" ref="X68" si="91">R68</f>
        <v>Perumahan</v>
      </c>
      <c r="Y68" s="30"/>
      <c r="Z68" s="60">
        <f t="shared" ref="Z68" si="92">SUM(N68,Q68,T68,W68)</f>
        <v>2</v>
      </c>
      <c r="AA68" s="51" t="str">
        <f t="shared" ref="AA68" si="93">L68</f>
        <v>Perumahan</v>
      </c>
      <c r="AB68" s="60">
        <f t="shared" si="60"/>
        <v>100</v>
      </c>
      <c r="AC68" s="36" t="s">
        <v>55</v>
      </c>
      <c r="AD68" s="81">
        <f t="shared" ref="AD68" si="94">SUM(P68,S68,V68,Y68)</f>
        <v>0</v>
      </c>
      <c r="AE68" s="83"/>
      <c r="AF68" s="113"/>
      <c r="AG68" s="95">
        <f t="shared" ref="AG68" si="95">SUM(H68,Z68)</f>
        <v>14</v>
      </c>
      <c r="AH68" s="51" t="str">
        <f t="shared" ref="AH68" si="96">O68</f>
        <v>Perumahan</v>
      </c>
      <c r="AI68" s="81"/>
      <c r="AJ68" s="61"/>
      <c r="AK68" s="36" t="s">
        <v>55</v>
      </c>
      <c r="AL68" s="83"/>
      <c r="AM68" s="13"/>
      <c r="AP68" s="27"/>
    </row>
    <row r="69" spans="1:42" ht="63" x14ac:dyDescent="0.2">
      <c r="A69" s="18"/>
      <c r="B69" s="19"/>
      <c r="C69" s="20" t="s">
        <v>112</v>
      </c>
      <c r="D69" s="21" t="s">
        <v>193</v>
      </c>
      <c r="E69" s="49">
        <f>E70/26*100</f>
        <v>65.384615384615387</v>
      </c>
      <c r="F69" s="48" t="s">
        <v>55</v>
      </c>
      <c r="G69" s="43">
        <f>G70</f>
        <v>282432000</v>
      </c>
      <c r="H69" s="49">
        <f>H70/26*100</f>
        <v>46.153846153846153</v>
      </c>
      <c r="I69" s="23" t="s">
        <v>55</v>
      </c>
      <c r="J69" s="43"/>
      <c r="K69" s="49">
        <f>K70/26*100</f>
        <v>53.846153846153847</v>
      </c>
      <c r="L69" s="48" t="s">
        <v>55</v>
      </c>
      <c r="M69" s="43">
        <f>M70</f>
        <v>104644000</v>
      </c>
      <c r="N69" s="49">
        <f>N70/26*100</f>
        <v>0</v>
      </c>
      <c r="O69" s="85" t="str">
        <f t="shared" si="1"/>
        <v>%</v>
      </c>
      <c r="P69" s="43">
        <f>P70</f>
        <v>4500000</v>
      </c>
      <c r="Q69" s="49">
        <f>Q70/26*100</f>
        <v>3.8461538461538463</v>
      </c>
      <c r="R69" s="85" t="str">
        <f t="shared" si="2"/>
        <v>%</v>
      </c>
      <c r="S69" s="43">
        <f>S70</f>
        <v>10532400</v>
      </c>
      <c r="T69" s="49">
        <f>T70/26*100</f>
        <v>0</v>
      </c>
      <c r="U69" s="85" t="str">
        <f t="shared" si="14"/>
        <v>%</v>
      </c>
      <c r="V69" s="43">
        <f>V70</f>
        <v>65824300</v>
      </c>
      <c r="W69" s="49">
        <f>W70/26*100</f>
        <v>3.8461538461538463</v>
      </c>
      <c r="X69" s="85" t="str">
        <f t="shared" si="15"/>
        <v>%</v>
      </c>
      <c r="Y69" s="43">
        <f>Y70</f>
        <v>10064300</v>
      </c>
      <c r="Z69" s="59">
        <f t="shared" si="5"/>
        <v>7.6923076923076925</v>
      </c>
      <c r="AA69" s="85" t="str">
        <f t="shared" si="6"/>
        <v>%</v>
      </c>
      <c r="AB69" s="56">
        <f t="shared" si="60"/>
        <v>100</v>
      </c>
      <c r="AC69" s="58" t="s">
        <v>55</v>
      </c>
      <c r="AD69" s="57">
        <f t="shared" si="8"/>
        <v>90921000</v>
      </c>
      <c r="AE69" s="59">
        <f t="shared" si="9"/>
        <v>86.886013531592837</v>
      </c>
      <c r="AF69" s="58" t="s">
        <v>55</v>
      </c>
      <c r="AG69" s="59">
        <f t="shared" si="10"/>
        <v>53.846153846153847</v>
      </c>
      <c r="AH69" s="85" t="str">
        <f t="shared" si="11"/>
        <v>%</v>
      </c>
      <c r="AI69" s="57">
        <f t="shared" si="12"/>
        <v>90921000</v>
      </c>
      <c r="AJ69" s="59"/>
      <c r="AK69" s="58" t="s">
        <v>55</v>
      </c>
      <c r="AL69" s="59"/>
      <c r="AM69" s="13"/>
      <c r="AP69" s="27"/>
    </row>
    <row r="70" spans="1:42" ht="110.25" x14ac:dyDescent="0.2">
      <c r="A70" s="18"/>
      <c r="B70" s="19"/>
      <c r="C70" s="20" t="s">
        <v>113</v>
      </c>
      <c r="D70" s="21" t="s">
        <v>227</v>
      </c>
      <c r="E70" s="56">
        <v>17</v>
      </c>
      <c r="F70" s="85" t="s">
        <v>200</v>
      </c>
      <c r="G70" s="44">
        <f>G71</f>
        <v>282432000</v>
      </c>
      <c r="H70" s="94">
        <f>H71</f>
        <v>12</v>
      </c>
      <c r="I70" s="85" t="s">
        <v>200</v>
      </c>
      <c r="J70" s="44"/>
      <c r="K70" s="94">
        <f>K71</f>
        <v>14</v>
      </c>
      <c r="L70" s="85" t="s">
        <v>200</v>
      </c>
      <c r="M70" s="44">
        <f>SUM(M71)</f>
        <v>104644000</v>
      </c>
      <c r="N70" s="94">
        <f>N71</f>
        <v>0</v>
      </c>
      <c r="O70" s="85" t="str">
        <f t="shared" si="1"/>
        <v>Perumahan</v>
      </c>
      <c r="P70" s="44">
        <f>SUM(P71)</f>
        <v>4500000</v>
      </c>
      <c r="Q70" s="94">
        <f>Q71</f>
        <v>1</v>
      </c>
      <c r="R70" s="85" t="str">
        <f t="shared" si="2"/>
        <v>Perumahan</v>
      </c>
      <c r="S70" s="44">
        <f>SUM(S71)</f>
        <v>10532400</v>
      </c>
      <c r="T70" s="94">
        <f>T71</f>
        <v>0</v>
      </c>
      <c r="U70" s="85" t="str">
        <f t="shared" si="14"/>
        <v>Perumahan</v>
      </c>
      <c r="V70" s="44">
        <f>SUM(V71)</f>
        <v>65824300</v>
      </c>
      <c r="W70" s="94">
        <f>W71</f>
        <v>1</v>
      </c>
      <c r="X70" s="85" t="str">
        <f t="shared" si="15"/>
        <v>Perumahan</v>
      </c>
      <c r="Y70" s="44">
        <f>SUM(Y71)</f>
        <v>10064300</v>
      </c>
      <c r="Z70" s="56">
        <f t="shared" si="5"/>
        <v>2</v>
      </c>
      <c r="AA70" s="85" t="str">
        <f t="shared" si="6"/>
        <v>Perumahan</v>
      </c>
      <c r="AB70" s="56">
        <f t="shared" si="60"/>
        <v>100</v>
      </c>
      <c r="AC70" s="58" t="s">
        <v>55</v>
      </c>
      <c r="AD70" s="57">
        <f t="shared" si="8"/>
        <v>90921000</v>
      </c>
      <c r="AE70" s="59">
        <f>AD70/M70*100</f>
        <v>86.886013531592837</v>
      </c>
      <c r="AF70" s="58" t="s">
        <v>55</v>
      </c>
      <c r="AG70" s="56">
        <f>SUM(H70,Z70)</f>
        <v>14</v>
      </c>
      <c r="AH70" s="85" t="str">
        <f t="shared" si="11"/>
        <v>Perumahan</v>
      </c>
      <c r="AI70" s="57">
        <f t="shared" si="12"/>
        <v>90921000</v>
      </c>
      <c r="AJ70" s="59"/>
      <c r="AK70" s="58" t="s">
        <v>55</v>
      </c>
      <c r="AL70" s="59"/>
      <c r="AM70" s="13"/>
      <c r="AP70" s="27"/>
    </row>
    <row r="71" spans="1:42" ht="96" customHeight="1" x14ac:dyDescent="0.2">
      <c r="A71" s="18"/>
      <c r="B71" s="19"/>
      <c r="C71" s="112" t="s">
        <v>114</v>
      </c>
      <c r="D71" s="31" t="s">
        <v>223</v>
      </c>
      <c r="E71" s="50">
        <v>17</v>
      </c>
      <c r="F71" s="51" t="s">
        <v>200</v>
      </c>
      <c r="G71" s="133">
        <f>M71+(88894000*2)</f>
        <v>282432000</v>
      </c>
      <c r="H71" s="50">
        <v>12</v>
      </c>
      <c r="I71" s="51" t="s">
        <v>200</v>
      </c>
      <c r="J71" s="133"/>
      <c r="K71" s="95">
        <v>14</v>
      </c>
      <c r="L71" s="51" t="s">
        <v>200</v>
      </c>
      <c r="M71" s="133">
        <v>104644000</v>
      </c>
      <c r="N71" s="50">
        <v>0</v>
      </c>
      <c r="O71" s="51" t="str">
        <f t="shared" si="1"/>
        <v>Perumahan</v>
      </c>
      <c r="P71" s="133">
        <v>4500000</v>
      </c>
      <c r="Q71" s="46">
        <v>1</v>
      </c>
      <c r="R71" s="51" t="str">
        <f t="shared" si="2"/>
        <v>Perumahan</v>
      </c>
      <c r="S71" s="110">
        <v>10532400</v>
      </c>
      <c r="T71" s="46">
        <v>0</v>
      </c>
      <c r="U71" s="51" t="str">
        <f t="shared" si="14"/>
        <v>Perumahan</v>
      </c>
      <c r="V71" s="110">
        <v>65824300</v>
      </c>
      <c r="W71" s="46">
        <v>1</v>
      </c>
      <c r="X71" s="51" t="str">
        <f t="shared" si="15"/>
        <v>Perumahan</v>
      </c>
      <c r="Y71" s="110">
        <v>10064300</v>
      </c>
      <c r="Z71" s="125">
        <f t="shared" si="5"/>
        <v>2</v>
      </c>
      <c r="AA71" s="126" t="str">
        <f t="shared" si="6"/>
        <v>Perumahan</v>
      </c>
      <c r="AB71" s="60">
        <f t="shared" si="60"/>
        <v>100</v>
      </c>
      <c r="AC71" s="127" t="s">
        <v>55</v>
      </c>
      <c r="AD71" s="80">
        <f t="shared" si="8"/>
        <v>90921000</v>
      </c>
      <c r="AE71" s="82">
        <f t="shared" si="9"/>
        <v>86.886013531592837</v>
      </c>
      <c r="AF71" s="111" t="s">
        <v>55</v>
      </c>
      <c r="AG71" s="143">
        <f t="shared" si="10"/>
        <v>14</v>
      </c>
      <c r="AH71" s="128" t="str">
        <f t="shared" si="11"/>
        <v>Perumahan</v>
      </c>
      <c r="AI71" s="80">
        <f t="shared" si="12"/>
        <v>90921000</v>
      </c>
      <c r="AJ71" s="82"/>
      <c r="AK71" s="111" t="s">
        <v>55</v>
      </c>
      <c r="AL71" s="82"/>
      <c r="AM71" s="13"/>
      <c r="AP71" s="27"/>
    </row>
    <row r="72" spans="1:42" ht="120" x14ac:dyDescent="0.2">
      <c r="A72" s="18"/>
      <c r="B72" s="19"/>
      <c r="C72" s="112"/>
      <c r="D72" s="31" t="s">
        <v>224</v>
      </c>
      <c r="E72" s="50">
        <v>17</v>
      </c>
      <c r="F72" s="51" t="s">
        <v>200</v>
      </c>
      <c r="G72" s="110"/>
      <c r="H72" s="50">
        <v>12</v>
      </c>
      <c r="I72" s="51" t="s">
        <v>200</v>
      </c>
      <c r="J72" s="110"/>
      <c r="K72" s="95">
        <v>14</v>
      </c>
      <c r="L72" s="51" t="s">
        <v>200</v>
      </c>
      <c r="M72" s="110"/>
      <c r="N72" s="50">
        <v>0</v>
      </c>
      <c r="O72" s="51" t="str">
        <f t="shared" si="1"/>
        <v>Perumahan</v>
      </c>
      <c r="P72" s="110"/>
      <c r="Q72" s="46">
        <v>1</v>
      </c>
      <c r="R72" s="51" t="str">
        <f t="shared" si="2"/>
        <v>Perumahan</v>
      </c>
      <c r="S72" s="110"/>
      <c r="T72" s="46">
        <v>0</v>
      </c>
      <c r="U72" s="51" t="str">
        <f t="shared" si="14"/>
        <v>Perumahan</v>
      </c>
      <c r="V72" s="110"/>
      <c r="W72" s="46">
        <v>1</v>
      </c>
      <c r="X72" s="51" t="str">
        <f t="shared" si="15"/>
        <v>Perumahan</v>
      </c>
      <c r="Y72" s="110"/>
      <c r="Z72" s="125">
        <f t="shared" si="5"/>
        <v>2</v>
      </c>
      <c r="AA72" s="126" t="str">
        <f t="shared" si="6"/>
        <v>Perumahan</v>
      </c>
      <c r="AB72" s="60">
        <f t="shared" si="60"/>
        <v>100</v>
      </c>
      <c r="AC72" s="127" t="s">
        <v>55</v>
      </c>
      <c r="AD72" s="80"/>
      <c r="AE72" s="82"/>
      <c r="AF72" s="111"/>
      <c r="AG72" s="143">
        <f t="shared" si="10"/>
        <v>14</v>
      </c>
      <c r="AH72" s="128" t="str">
        <f t="shared" si="11"/>
        <v>Perumahan</v>
      </c>
      <c r="AI72" s="80"/>
      <c r="AJ72" s="82"/>
      <c r="AK72" s="111" t="s">
        <v>55</v>
      </c>
      <c r="AL72" s="82"/>
      <c r="AM72" s="13"/>
      <c r="AP72" s="27"/>
    </row>
    <row r="73" spans="1:42" ht="105" x14ac:dyDescent="0.2">
      <c r="A73" s="18"/>
      <c r="B73" s="19"/>
      <c r="C73" s="28"/>
      <c r="D73" s="31" t="s">
        <v>225</v>
      </c>
      <c r="E73" s="50">
        <v>17</v>
      </c>
      <c r="F73" s="51" t="s">
        <v>200</v>
      </c>
      <c r="G73" s="30"/>
      <c r="H73" s="50">
        <v>12</v>
      </c>
      <c r="I73" s="51" t="s">
        <v>200</v>
      </c>
      <c r="J73" s="30"/>
      <c r="K73" s="95">
        <v>14</v>
      </c>
      <c r="L73" s="51" t="s">
        <v>200</v>
      </c>
      <c r="M73" s="30"/>
      <c r="N73" s="50">
        <v>0</v>
      </c>
      <c r="O73" s="51" t="str">
        <f t="shared" ref="O73" si="97">L73</f>
        <v>Perumahan</v>
      </c>
      <c r="P73" s="30"/>
      <c r="Q73" s="46">
        <v>1</v>
      </c>
      <c r="R73" s="51" t="str">
        <f t="shared" ref="R73" si="98">L73</f>
        <v>Perumahan</v>
      </c>
      <c r="S73" s="110"/>
      <c r="T73" s="46">
        <v>0</v>
      </c>
      <c r="U73" s="51" t="str">
        <f t="shared" ref="U73" si="99">O73</f>
        <v>Perumahan</v>
      </c>
      <c r="V73" s="110"/>
      <c r="W73" s="46">
        <v>1</v>
      </c>
      <c r="X73" s="51" t="str">
        <f t="shared" ref="X73" si="100">R73</f>
        <v>Perumahan</v>
      </c>
      <c r="Y73" s="110"/>
      <c r="Z73" s="125">
        <f t="shared" ref="Z73" si="101">SUM(N73,Q73,T73,W73)</f>
        <v>2</v>
      </c>
      <c r="AA73" s="126" t="str">
        <f t="shared" ref="AA73" si="102">L73</f>
        <v>Perumahan</v>
      </c>
      <c r="AB73" s="60">
        <f t="shared" si="60"/>
        <v>100</v>
      </c>
      <c r="AC73" s="127" t="s">
        <v>55</v>
      </c>
      <c r="AD73" s="80"/>
      <c r="AE73" s="82"/>
      <c r="AF73" s="111"/>
      <c r="AG73" s="143">
        <f t="shared" ref="AG73" si="103">SUM(H73,Z73)</f>
        <v>14</v>
      </c>
      <c r="AH73" s="128" t="str">
        <f t="shared" ref="AH73" si="104">O73</f>
        <v>Perumahan</v>
      </c>
      <c r="AI73" s="80"/>
      <c r="AJ73" s="82"/>
      <c r="AK73" s="111" t="s">
        <v>55</v>
      </c>
      <c r="AL73" s="82"/>
      <c r="AM73" s="13"/>
      <c r="AP73" s="27"/>
    </row>
    <row r="74" spans="1:42" ht="134.25" customHeight="1" x14ac:dyDescent="0.2">
      <c r="A74" s="52">
        <v>6</v>
      </c>
      <c r="B74" s="53" t="s">
        <v>60</v>
      </c>
      <c r="C74" s="53" t="s">
        <v>115</v>
      </c>
      <c r="D74" s="21" t="s">
        <v>253</v>
      </c>
      <c r="E74" s="49">
        <v>57.69</v>
      </c>
      <c r="F74" s="48" t="s">
        <v>254</v>
      </c>
      <c r="G74" s="72">
        <f>G78+G87</f>
        <v>1133598441</v>
      </c>
      <c r="H74" s="49">
        <v>52.5</v>
      </c>
      <c r="I74" s="48" t="s">
        <v>254</v>
      </c>
      <c r="J74" s="72"/>
      <c r="K74" s="49">
        <v>56.67</v>
      </c>
      <c r="L74" s="48" t="s">
        <v>254</v>
      </c>
      <c r="M74" s="72">
        <f>M78+M87</f>
        <v>763126441</v>
      </c>
      <c r="N74" s="49">
        <v>50</v>
      </c>
      <c r="O74" s="85" t="str">
        <f t="shared" si="1"/>
        <v>Nilai</v>
      </c>
      <c r="P74" s="73">
        <f>P78+P87</f>
        <v>4500000</v>
      </c>
      <c r="Q74" s="49">
        <v>53.33</v>
      </c>
      <c r="R74" s="85" t="str">
        <f t="shared" si="2"/>
        <v>Nilai</v>
      </c>
      <c r="S74" s="72">
        <f>S78+S87</f>
        <v>65031540</v>
      </c>
      <c r="T74" s="49">
        <v>54.76</v>
      </c>
      <c r="U74" s="85" t="str">
        <f t="shared" si="14"/>
        <v>Nilai</v>
      </c>
      <c r="V74" s="72">
        <f>V78+V87</f>
        <v>464466290</v>
      </c>
      <c r="W74" s="49">
        <v>54.76</v>
      </c>
      <c r="X74" s="85" t="str">
        <f t="shared" si="15"/>
        <v>Nilai</v>
      </c>
      <c r="Y74" s="72">
        <f>Y78+Y87</f>
        <v>35781870</v>
      </c>
      <c r="Z74" s="59">
        <f>AVERAGE(N74,Q74,T74,W74)</f>
        <v>53.212499999999999</v>
      </c>
      <c r="AA74" s="85" t="str">
        <f t="shared" si="6"/>
        <v>Nilai</v>
      </c>
      <c r="AB74" s="59">
        <f t="shared" si="7"/>
        <v>93.898888300688185</v>
      </c>
      <c r="AC74" s="58" t="s">
        <v>55</v>
      </c>
      <c r="AD74" s="74">
        <f t="shared" si="8"/>
        <v>569779700</v>
      </c>
      <c r="AE74" s="76">
        <f t="shared" si="9"/>
        <v>74.663865565103649</v>
      </c>
      <c r="AF74" s="52" t="s">
        <v>55</v>
      </c>
      <c r="AG74" s="59">
        <f t="shared" si="10"/>
        <v>105.71250000000001</v>
      </c>
      <c r="AH74" s="85" t="str">
        <f t="shared" si="11"/>
        <v>Nilai</v>
      </c>
      <c r="AI74" s="74">
        <f t="shared" si="12"/>
        <v>569779700</v>
      </c>
      <c r="AJ74" s="59"/>
      <c r="AK74" s="58" t="s">
        <v>55</v>
      </c>
      <c r="AL74" s="76"/>
      <c r="AM74" s="13"/>
      <c r="AP74" s="27"/>
    </row>
    <row r="75" spans="1:42" ht="63" x14ac:dyDescent="0.2">
      <c r="A75" s="18"/>
      <c r="B75" s="19"/>
      <c r="C75" s="19"/>
      <c r="D75" s="21" t="s">
        <v>255</v>
      </c>
      <c r="E75" s="49">
        <v>94</v>
      </c>
      <c r="F75" s="48" t="s">
        <v>254</v>
      </c>
      <c r="G75" s="73"/>
      <c r="H75" s="49">
        <v>90.96</v>
      </c>
      <c r="I75" s="48" t="s">
        <v>254</v>
      </c>
      <c r="J75" s="73"/>
      <c r="K75" s="93">
        <v>94</v>
      </c>
      <c r="L75" s="48" t="s">
        <v>254</v>
      </c>
      <c r="M75" s="73"/>
      <c r="N75" s="49">
        <v>90.96</v>
      </c>
      <c r="O75" s="85" t="str">
        <f t="shared" ref="O75" si="105">L75</f>
        <v>Nilai</v>
      </c>
      <c r="P75" s="73"/>
      <c r="Q75" s="49">
        <v>90.96</v>
      </c>
      <c r="R75" s="85" t="str">
        <f t="shared" ref="R75" si="106">L75</f>
        <v>Nilai</v>
      </c>
      <c r="S75" s="73"/>
      <c r="T75" s="49">
        <v>90.18</v>
      </c>
      <c r="U75" s="85" t="str">
        <f t="shared" ref="U75" si="107">O75</f>
        <v>Nilai</v>
      </c>
      <c r="V75" s="73"/>
      <c r="W75" s="49">
        <v>90.96</v>
      </c>
      <c r="X75" s="85" t="str">
        <f t="shared" ref="X75" si="108">R75</f>
        <v>Nilai</v>
      </c>
      <c r="Y75" s="73"/>
      <c r="Z75" s="59">
        <f>AVERAGE(N75,Q75,T75,W75)</f>
        <v>90.765000000000001</v>
      </c>
      <c r="AA75" s="85" t="str">
        <f t="shared" si="6"/>
        <v>Nilai</v>
      </c>
      <c r="AB75" s="56">
        <f t="shared" si="7"/>
        <v>96.558510638297861</v>
      </c>
      <c r="AC75" s="58" t="s">
        <v>55</v>
      </c>
      <c r="AD75" s="78"/>
      <c r="AE75" s="79"/>
      <c r="AF75" s="18"/>
      <c r="AG75" s="59">
        <f t="shared" si="10"/>
        <v>181.72499999999999</v>
      </c>
      <c r="AH75" s="85" t="str">
        <f t="shared" si="11"/>
        <v>Nilai</v>
      </c>
      <c r="AI75" s="78"/>
      <c r="AJ75" s="59"/>
      <c r="AK75" s="58" t="s">
        <v>55</v>
      </c>
      <c r="AL75" s="79"/>
      <c r="AM75" s="13"/>
      <c r="AP75" s="27"/>
    </row>
    <row r="76" spans="1:42" ht="165.75" customHeight="1" x14ac:dyDescent="0.2">
      <c r="A76" s="18"/>
      <c r="B76" s="19"/>
      <c r="C76" s="19"/>
      <c r="D76" s="21" t="s">
        <v>256</v>
      </c>
      <c r="E76" s="93">
        <v>100</v>
      </c>
      <c r="F76" s="48" t="s">
        <v>55</v>
      </c>
      <c r="G76" s="73"/>
      <c r="H76" s="49">
        <v>47.75</v>
      </c>
      <c r="I76" s="48" t="s">
        <v>55</v>
      </c>
      <c r="J76" s="73"/>
      <c r="K76" s="93">
        <f>(K77+K78)/(K77+K78)*100</f>
        <v>100</v>
      </c>
      <c r="L76" s="48" t="s">
        <v>55</v>
      </c>
      <c r="M76" s="73"/>
      <c r="N76" s="49">
        <f>(N77+N78)/(K77+K78)*100</f>
        <v>20.454545454545457</v>
      </c>
      <c r="O76" s="85" t="str">
        <f t="shared" si="1"/>
        <v>%</v>
      </c>
      <c r="P76" s="73"/>
      <c r="Q76" s="49">
        <f>(Q77+Q78)/(K77+K78)*100</f>
        <v>31.818181818181817</v>
      </c>
      <c r="R76" s="85" t="str">
        <f t="shared" si="2"/>
        <v>%</v>
      </c>
      <c r="S76" s="73"/>
      <c r="T76" s="49">
        <f>(T77+T78)/(K77+K78)*100</f>
        <v>31.818181818181817</v>
      </c>
      <c r="U76" s="85" t="str">
        <f t="shared" si="14"/>
        <v>%</v>
      </c>
      <c r="V76" s="73"/>
      <c r="W76" s="49">
        <f>(W77+W78)/(K77+K78)*100</f>
        <v>15.909090909090908</v>
      </c>
      <c r="X76" s="85" t="str">
        <f t="shared" si="15"/>
        <v>%</v>
      </c>
      <c r="Y76" s="73"/>
      <c r="Z76" s="56">
        <f>SUM(N76,Q76,T76,W76)</f>
        <v>100</v>
      </c>
      <c r="AA76" s="85" t="str">
        <f t="shared" ref="AA76:AA77" si="109">L76</f>
        <v>%</v>
      </c>
      <c r="AB76" s="56">
        <f t="shared" ref="AB76" si="110">Z76/K76*100</f>
        <v>100</v>
      </c>
      <c r="AC76" s="58" t="s">
        <v>55</v>
      </c>
      <c r="AD76" s="78"/>
      <c r="AE76" s="79"/>
      <c r="AF76" s="18"/>
      <c r="AG76" s="59">
        <f t="shared" ref="AG76:AG77" si="111">SUM(H76,Z76)</f>
        <v>147.75</v>
      </c>
      <c r="AH76" s="85" t="str">
        <f t="shared" ref="AH76:AH77" si="112">O76</f>
        <v>%</v>
      </c>
      <c r="AI76" s="78"/>
      <c r="AJ76" s="59"/>
      <c r="AK76" s="58" t="s">
        <v>55</v>
      </c>
      <c r="AL76" s="79"/>
      <c r="AM76" s="13"/>
      <c r="AP76" s="27"/>
    </row>
    <row r="77" spans="1:42" ht="220.5" x14ac:dyDescent="0.2">
      <c r="A77" s="18"/>
      <c r="B77" s="19"/>
      <c r="C77" s="53" t="s">
        <v>116</v>
      </c>
      <c r="D77" s="21" t="s">
        <v>251</v>
      </c>
      <c r="E77" s="129">
        <v>20</v>
      </c>
      <c r="F77" s="48" t="s">
        <v>194</v>
      </c>
      <c r="G77" s="72">
        <f>G79</f>
        <v>126045000</v>
      </c>
      <c r="H77" s="94">
        <v>0</v>
      </c>
      <c r="I77" s="48" t="s">
        <v>194</v>
      </c>
      <c r="J77" s="72">
        <f>J79</f>
        <v>0</v>
      </c>
      <c r="K77" s="94">
        <v>20</v>
      </c>
      <c r="L77" s="48" t="s">
        <v>194</v>
      </c>
      <c r="M77" s="72">
        <f>M79</f>
        <v>22869000</v>
      </c>
      <c r="N77" s="94">
        <v>3</v>
      </c>
      <c r="O77" s="85" t="str">
        <f t="shared" ref="O77" si="113">L77</f>
        <v>Usaha</v>
      </c>
      <c r="P77" s="72">
        <f>P79</f>
        <v>4500000</v>
      </c>
      <c r="Q77" s="94">
        <v>7</v>
      </c>
      <c r="R77" s="85" t="str">
        <f t="shared" ref="R77" si="114">L77</f>
        <v>Usaha</v>
      </c>
      <c r="S77" s="72">
        <f>S79</f>
        <v>6032400</v>
      </c>
      <c r="T77" s="94">
        <v>5</v>
      </c>
      <c r="U77" s="85" t="str">
        <f t="shared" ref="U77" si="115">O77</f>
        <v>Usaha</v>
      </c>
      <c r="V77" s="72">
        <f>V79</f>
        <v>4774300</v>
      </c>
      <c r="W77" s="94">
        <v>5</v>
      </c>
      <c r="X77" s="85" t="str">
        <f t="shared" si="15"/>
        <v>Usaha</v>
      </c>
      <c r="Y77" s="72">
        <f>Y79</f>
        <v>4524300</v>
      </c>
      <c r="Z77" s="56">
        <f t="shared" ref="Z77" si="116">SUM(N77,Q77,T77,W77)</f>
        <v>20</v>
      </c>
      <c r="AA77" s="85" t="str">
        <f t="shared" si="109"/>
        <v>Usaha</v>
      </c>
      <c r="AB77" s="56">
        <f>Z77/K77*100</f>
        <v>100</v>
      </c>
      <c r="AC77" s="58" t="s">
        <v>55</v>
      </c>
      <c r="AD77" s="74">
        <f t="shared" ref="AD77" si="117">SUM(P77,S77,V77,Y77)</f>
        <v>19831000</v>
      </c>
      <c r="AE77" s="76">
        <f t="shared" ref="AE77" si="118">AD77/M77*100</f>
        <v>86.715641261095811</v>
      </c>
      <c r="AF77" s="52" t="s">
        <v>55</v>
      </c>
      <c r="AG77" s="56">
        <f t="shared" si="111"/>
        <v>20</v>
      </c>
      <c r="AH77" s="85" t="str">
        <f t="shared" si="112"/>
        <v>Usaha</v>
      </c>
      <c r="AI77" s="74">
        <f t="shared" ref="AI77" si="119">SUM(J77,AD77)</f>
        <v>19831000</v>
      </c>
      <c r="AJ77" s="59"/>
      <c r="AK77" s="58" t="s">
        <v>55</v>
      </c>
      <c r="AL77" s="76"/>
      <c r="AM77" s="13"/>
      <c r="AP77" s="27"/>
    </row>
    <row r="78" spans="1:42" ht="211.5" customHeight="1" x14ac:dyDescent="0.2">
      <c r="A78" s="18"/>
      <c r="B78" s="19"/>
      <c r="C78" s="20"/>
      <c r="D78" s="21" t="s">
        <v>252</v>
      </c>
      <c r="E78" s="129">
        <v>24</v>
      </c>
      <c r="F78" s="48" t="s">
        <v>194</v>
      </c>
      <c r="G78" s="43"/>
      <c r="H78" s="94">
        <v>0</v>
      </c>
      <c r="I78" s="48" t="s">
        <v>194</v>
      </c>
      <c r="J78" s="43"/>
      <c r="K78" s="94">
        <v>24</v>
      </c>
      <c r="L78" s="48" t="s">
        <v>194</v>
      </c>
      <c r="M78" s="43"/>
      <c r="N78" s="94">
        <v>6</v>
      </c>
      <c r="O78" s="85" t="str">
        <f t="shared" si="1"/>
        <v>Usaha</v>
      </c>
      <c r="P78" s="43"/>
      <c r="Q78" s="94">
        <v>7</v>
      </c>
      <c r="R78" s="85" t="str">
        <f t="shared" si="2"/>
        <v>Usaha</v>
      </c>
      <c r="S78" s="43"/>
      <c r="T78" s="94">
        <v>9</v>
      </c>
      <c r="U78" s="85" t="str">
        <f t="shared" si="14"/>
        <v>Usaha</v>
      </c>
      <c r="V78" s="43"/>
      <c r="W78" s="94">
        <v>2</v>
      </c>
      <c r="X78" s="85" t="str">
        <f t="shared" si="15"/>
        <v>Usaha</v>
      </c>
      <c r="Y78" s="43"/>
      <c r="Z78" s="56">
        <f t="shared" si="5"/>
        <v>24</v>
      </c>
      <c r="AA78" s="85" t="str">
        <f t="shared" si="6"/>
        <v>Usaha</v>
      </c>
      <c r="AB78" s="56">
        <f>Z78/K78*100</f>
        <v>100</v>
      </c>
      <c r="AC78" s="58" t="s">
        <v>55</v>
      </c>
      <c r="AD78" s="75"/>
      <c r="AE78" s="77"/>
      <c r="AF78" s="90"/>
      <c r="AG78" s="56">
        <f t="shared" si="10"/>
        <v>24</v>
      </c>
      <c r="AH78" s="85" t="str">
        <f t="shared" si="11"/>
        <v>Usaha</v>
      </c>
      <c r="AI78" s="75"/>
      <c r="AJ78" s="59"/>
      <c r="AK78" s="58" t="s">
        <v>55</v>
      </c>
      <c r="AL78" s="77"/>
      <c r="AM78" s="13"/>
      <c r="AP78" s="27"/>
    </row>
    <row r="79" spans="1:42" ht="210" x14ac:dyDescent="0.2">
      <c r="A79" s="18"/>
      <c r="B79" s="19"/>
      <c r="C79" s="132" t="s">
        <v>117</v>
      </c>
      <c r="D79" s="31" t="s">
        <v>230</v>
      </c>
      <c r="E79" s="50">
        <v>5</v>
      </c>
      <c r="F79" s="51" t="s">
        <v>231</v>
      </c>
      <c r="G79" s="133">
        <f t="shared" ref="G79" si="120">M79+(51588000*2)</f>
        <v>126045000</v>
      </c>
      <c r="H79" s="71" t="s">
        <v>186</v>
      </c>
      <c r="I79" s="51" t="s">
        <v>231</v>
      </c>
      <c r="J79" s="133"/>
      <c r="K79" s="50">
        <v>5</v>
      </c>
      <c r="L79" s="51" t="s">
        <v>231</v>
      </c>
      <c r="M79" s="133">
        <v>22869000</v>
      </c>
      <c r="N79" s="50">
        <v>1</v>
      </c>
      <c r="O79" s="51" t="str">
        <f t="shared" ref="O79:O85" si="121">L79</f>
        <v>Titik Lokasi</v>
      </c>
      <c r="P79" s="133">
        <v>4500000</v>
      </c>
      <c r="Q79" s="22">
        <v>1</v>
      </c>
      <c r="R79" s="51" t="str">
        <f t="shared" ref="R79:R85" si="122">L79</f>
        <v>Titik Lokasi</v>
      </c>
      <c r="S79" s="133">
        <v>6032400</v>
      </c>
      <c r="T79" s="22">
        <v>2</v>
      </c>
      <c r="U79" s="51" t="str">
        <f t="shared" ref="U79:U85" si="123">O79</f>
        <v>Titik Lokasi</v>
      </c>
      <c r="V79" s="133">
        <v>4774300</v>
      </c>
      <c r="W79" s="22">
        <v>1</v>
      </c>
      <c r="X79" s="51" t="str">
        <f t="shared" si="15"/>
        <v>Titik Lokasi</v>
      </c>
      <c r="Y79" s="133">
        <v>4524300</v>
      </c>
      <c r="Z79" s="60">
        <f t="shared" ref="Z79:Z85" si="124">SUM(N79,Q79,T79,W79)</f>
        <v>5</v>
      </c>
      <c r="AA79" s="51" t="str">
        <f t="shared" ref="AA79:AA85" si="125">L79</f>
        <v>Titik Lokasi</v>
      </c>
      <c r="AB79" s="60">
        <f t="shared" ref="AB79:AB85" si="126">Z79/K79*100</f>
        <v>100</v>
      </c>
      <c r="AC79" s="36" t="s">
        <v>55</v>
      </c>
      <c r="AD79" s="134">
        <f t="shared" ref="AD79" si="127">SUM(P79,S79,V79,Y79)</f>
        <v>19831000</v>
      </c>
      <c r="AE79" s="135">
        <f t="shared" ref="AE79" si="128">AD79/M79*100</f>
        <v>86.715641261095811</v>
      </c>
      <c r="AF79" s="127" t="s">
        <v>55</v>
      </c>
      <c r="AG79" s="60">
        <f t="shared" ref="AG79:AG85" si="129">SUM(H79,Z79)</f>
        <v>5</v>
      </c>
      <c r="AH79" s="51" t="str">
        <f t="shared" ref="AH79:AH85" si="130">O79</f>
        <v>Titik Lokasi</v>
      </c>
      <c r="AI79" s="134">
        <f t="shared" ref="AI79" si="131">SUM(J79,AD79)</f>
        <v>19831000</v>
      </c>
      <c r="AJ79" s="61"/>
      <c r="AK79" s="36" t="s">
        <v>55</v>
      </c>
      <c r="AL79" s="135"/>
      <c r="AM79" s="13"/>
      <c r="AP79" s="27"/>
    </row>
    <row r="80" spans="1:42" ht="150" x14ac:dyDescent="0.2">
      <c r="A80" s="18"/>
      <c r="B80" s="19"/>
      <c r="C80" s="112"/>
      <c r="D80" s="31" t="s">
        <v>232</v>
      </c>
      <c r="E80" s="50">
        <v>1</v>
      </c>
      <c r="F80" s="51" t="s">
        <v>231</v>
      </c>
      <c r="G80" s="110"/>
      <c r="H80" s="71" t="s">
        <v>186</v>
      </c>
      <c r="I80" s="51" t="s">
        <v>231</v>
      </c>
      <c r="J80" s="110"/>
      <c r="K80" s="50">
        <v>1</v>
      </c>
      <c r="L80" s="51" t="s">
        <v>231</v>
      </c>
      <c r="M80" s="110"/>
      <c r="N80" s="50">
        <v>0</v>
      </c>
      <c r="O80" s="51" t="str">
        <f t="shared" si="121"/>
        <v>Titik Lokasi</v>
      </c>
      <c r="P80" s="110"/>
      <c r="Q80" s="22">
        <v>0</v>
      </c>
      <c r="R80" s="51" t="str">
        <f t="shared" si="122"/>
        <v>Titik Lokasi</v>
      </c>
      <c r="S80" s="110"/>
      <c r="T80" s="22">
        <v>0</v>
      </c>
      <c r="U80" s="51" t="str">
        <f t="shared" si="123"/>
        <v>Titik Lokasi</v>
      </c>
      <c r="V80" s="110"/>
      <c r="W80" s="22">
        <v>1</v>
      </c>
      <c r="X80" s="51" t="str">
        <f t="shared" ref="X80:X82" si="132">R80</f>
        <v>Titik Lokasi</v>
      </c>
      <c r="Y80" s="110"/>
      <c r="Z80" s="60">
        <f t="shared" si="124"/>
        <v>1</v>
      </c>
      <c r="AA80" s="51" t="str">
        <f t="shared" si="125"/>
        <v>Titik Lokasi</v>
      </c>
      <c r="AB80" s="60">
        <f t="shared" si="126"/>
        <v>100</v>
      </c>
      <c r="AC80" s="36" t="s">
        <v>55</v>
      </c>
      <c r="AD80" s="80"/>
      <c r="AE80" s="82"/>
      <c r="AF80" s="111"/>
      <c r="AG80" s="60">
        <f t="shared" si="129"/>
        <v>1</v>
      </c>
      <c r="AH80" s="51" t="str">
        <f t="shared" si="130"/>
        <v>Titik Lokasi</v>
      </c>
      <c r="AI80" s="80"/>
      <c r="AJ80" s="61"/>
      <c r="AK80" s="36" t="s">
        <v>55</v>
      </c>
      <c r="AL80" s="82"/>
      <c r="AM80" s="13"/>
      <c r="AP80" s="27"/>
    </row>
    <row r="81" spans="1:42" ht="150" x14ac:dyDescent="0.2">
      <c r="A81" s="18"/>
      <c r="B81" s="19"/>
      <c r="C81" s="112"/>
      <c r="D81" s="31" t="s">
        <v>233</v>
      </c>
      <c r="E81" s="50">
        <v>9</v>
      </c>
      <c r="F81" s="51" t="s">
        <v>231</v>
      </c>
      <c r="G81" s="110"/>
      <c r="H81" s="71" t="s">
        <v>186</v>
      </c>
      <c r="I81" s="51" t="s">
        <v>231</v>
      </c>
      <c r="J81" s="110"/>
      <c r="K81" s="50">
        <v>9</v>
      </c>
      <c r="L81" s="51" t="s">
        <v>231</v>
      </c>
      <c r="M81" s="110"/>
      <c r="N81" s="50">
        <v>1</v>
      </c>
      <c r="O81" s="51" t="str">
        <f t="shared" ref="O81:O82" si="133">L81</f>
        <v>Titik Lokasi</v>
      </c>
      <c r="P81" s="110"/>
      <c r="Q81" s="22">
        <v>3</v>
      </c>
      <c r="R81" s="51" t="str">
        <f t="shared" ref="R81:R82" si="134">L81</f>
        <v>Titik Lokasi</v>
      </c>
      <c r="S81" s="110"/>
      <c r="T81" s="22">
        <v>2</v>
      </c>
      <c r="U81" s="51" t="str">
        <f t="shared" ref="U81:U82" si="135">O81</f>
        <v>Titik Lokasi</v>
      </c>
      <c r="V81" s="110"/>
      <c r="W81" s="22">
        <v>3</v>
      </c>
      <c r="X81" s="51" t="str">
        <f t="shared" si="132"/>
        <v>Titik Lokasi</v>
      </c>
      <c r="Y81" s="110"/>
      <c r="Z81" s="60">
        <f t="shared" ref="Z81:Z82" si="136">SUM(N81,Q81,T81,W81)</f>
        <v>9</v>
      </c>
      <c r="AA81" s="51" t="str">
        <f t="shared" ref="AA81:AA82" si="137">L81</f>
        <v>Titik Lokasi</v>
      </c>
      <c r="AB81" s="60">
        <f t="shared" ref="AB81:AB82" si="138">Z81/K81*100</f>
        <v>100</v>
      </c>
      <c r="AC81" s="36" t="s">
        <v>55</v>
      </c>
      <c r="AD81" s="80"/>
      <c r="AE81" s="82"/>
      <c r="AF81" s="111"/>
      <c r="AG81" s="60">
        <f t="shared" ref="AG81:AG82" si="139">SUM(H81,Z81)</f>
        <v>9</v>
      </c>
      <c r="AH81" s="51" t="str">
        <f t="shared" ref="AH81:AH82" si="140">O81</f>
        <v>Titik Lokasi</v>
      </c>
      <c r="AI81" s="80"/>
      <c r="AJ81" s="61"/>
      <c r="AK81" s="36" t="s">
        <v>55</v>
      </c>
      <c r="AL81" s="82"/>
      <c r="AM81" s="13"/>
      <c r="AP81" s="27"/>
    </row>
    <row r="82" spans="1:42" ht="135" x14ac:dyDescent="0.2">
      <c r="A82" s="18"/>
      <c r="B82" s="19"/>
      <c r="C82" s="112"/>
      <c r="D82" s="31" t="s">
        <v>234</v>
      </c>
      <c r="E82" s="50">
        <v>4</v>
      </c>
      <c r="F82" s="51" t="s">
        <v>231</v>
      </c>
      <c r="G82" s="110"/>
      <c r="H82" s="71" t="s">
        <v>186</v>
      </c>
      <c r="I82" s="51" t="s">
        <v>231</v>
      </c>
      <c r="J82" s="110"/>
      <c r="K82" s="50">
        <v>4</v>
      </c>
      <c r="L82" s="51" t="s">
        <v>231</v>
      </c>
      <c r="M82" s="110"/>
      <c r="N82" s="50">
        <v>0</v>
      </c>
      <c r="O82" s="51" t="str">
        <f t="shared" si="133"/>
        <v>Titik Lokasi</v>
      </c>
      <c r="P82" s="110"/>
      <c r="Q82" s="22">
        <v>2</v>
      </c>
      <c r="R82" s="51" t="str">
        <f t="shared" si="134"/>
        <v>Titik Lokasi</v>
      </c>
      <c r="S82" s="110"/>
      <c r="T82" s="22">
        <v>1</v>
      </c>
      <c r="U82" s="51" t="str">
        <f t="shared" si="135"/>
        <v>Titik Lokasi</v>
      </c>
      <c r="V82" s="110"/>
      <c r="W82" s="22">
        <v>1</v>
      </c>
      <c r="X82" s="51" t="str">
        <f t="shared" si="132"/>
        <v>Titik Lokasi</v>
      </c>
      <c r="Y82" s="110"/>
      <c r="Z82" s="60">
        <f t="shared" si="136"/>
        <v>4</v>
      </c>
      <c r="AA82" s="51" t="str">
        <f t="shared" si="137"/>
        <v>Titik Lokasi</v>
      </c>
      <c r="AB82" s="60">
        <f t="shared" si="138"/>
        <v>100</v>
      </c>
      <c r="AC82" s="36" t="s">
        <v>55</v>
      </c>
      <c r="AD82" s="80"/>
      <c r="AE82" s="82"/>
      <c r="AF82" s="111"/>
      <c r="AG82" s="60">
        <f t="shared" si="139"/>
        <v>4</v>
      </c>
      <c r="AH82" s="51" t="str">
        <f t="shared" si="140"/>
        <v>Titik Lokasi</v>
      </c>
      <c r="AI82" s="80"/>
      <c r="AJ82" s="61"/>
      <c r="AK82" s="36" t="s">
        <v>55</v>
      </c>
      <c r="AL82" s="82"/>
      <c r="AM82" s="13"/>
      <c r="AP82" s="27"/>
    </row>
    <row r="83" spans="1:42" ht="120" x14ac:dyDescent="0.2">
      <c r="A83" s="18"/>
      <c r="B83" s="19"/>
      <c r="C83" s="112"/>
      <c r="D83" s="31" t="s">
        <v>235</v>
      </c>
      <c r="E83" s="50">
        <v>10</v>
      </c>
      <c r="F83" s="51" t="s">
        <v>231</v>
      </c>
      <c r="G83" s="110"/>
      <c r="H83" s="71" t="s">
        <v>186</v>
      </c>
      <c r="I83" s="51" t="s">
        <v>231</v>
      </c>
      <c r="J83" s="110"/>
      <c r="K83" s="50">
        <v>10</v>
      </c>
      <c r="L83" s="51" t="s">
        <v>231</v>
      </c>
      <c r="M83" s="110"/>
      <c r="N83" s="50">
        <v>2</v>
      </c>
      <c r="O83" s="51" t="str">
        <f t="shared" ref="O83:O84" si="141">L83</f>
        <v>Titik Lokasi</v>
      </c>
      <c r="P83" s="110"/>
      <c r="Q83" s="22">
        <v>3</v>
      </c>
      <c r="R83" s="51" t="str">
        <f t="shared" ref="R83:R84" si="142">L83</f>
        <v>Titik Lokasi</v>
      </c>
      <c r="S83" s="110"/>
      <c r="T83" s="22">
        <v>3</v>
      </c>
      <c r="U83" s="51" t="str">
        <f t="shared" ref="U83:U84" si="143">O83</f>
        <v>Titik Lokasi</v>
      </c>
      <c r="V83" s="110"/>
      <c r="W83" s="22">
        <v>2</v>
      </c>
      <c r="X83" s="51" t="str">
        <f t="shared" si="15"/>
        <v>Titik Lokasi</v>
      </c>
      <c r="Y83" s="110"/>
      <c r="Z83" s="60">
        <f t="shared" ref="Z83:Z84" si="144">SUM(N83,Q83,T83,W83)</f>
        <v>10</v>
      </c>
      <c r="AA83" s="51" t="str">
        <f t="shared" ref="AA83:AA84" si="145">L83</f>
        <v>Titik Lokasi</v>
      </c>
      <c r="AB83" s="60">
        <f t="shared" ref="AB83:AB84" si="146">Z83/K83*100</f>
        <v>100</v>
      </c>
      <c r="AC83" s="36" t="s">
        <v>55</v>
      </c>
      <c r="AD83" s="80"/>
      <c r="AE83" s="82"/>
      <c r="AF83" s="111"/>
      <c r="AG83" s="60">
        <f t="shared" ref="AG83:AG84" si="147">SUM(H83,Z83)</f>
        <v>10</v>
      </c>
      <c r="AH83" s="51" t="str">
        <f t="shared" ref="AH83:AH84" si="148">O83</f>
        <v>Titik Lokasi</v>
      </c>
      <c r="AI83" s="80"/>
      <c r="AJ83" s="61"/>
      <c r="AK83" s="36" t="s">
        <v>55</v>
      </c>
      <c r="AL83" s="82"/>
      <c r="AM83" s="13"/>
      <c r="AP83" s="27"/>
    </row>
    <row r="84" spans="1:42" ht="135" x14ac:dyDescent="0.2">
      <c r="A84" s="18"/>
      <c r="B84" s="19"/>
      <c r="C84" s="112"/>
      <c r="D84" s="31" t="s">
        <v>236</v>
      </c>
      <c r="E84" s="50">
        <v>3</v>
      </c>
      <c r="F84" s="51" t="s">
        <v>231</v>
      </c>
      <c r="G84" s="110"/>
      <c r="H84" s="71" t="s">
        <v>186</v>
      </c>
      <c r="I84" s="51" t="s">
        <v>231</v>
      </c>
      <c r="J84" s="110"/>
      <c r="K84" s="50">
        <v>3</v>
      </c>
      <c r="L84" s="51" t="s">
        <v>231</v>
      </c>
      <c r="M84" s="110"/>
      <c r="N84" s="50">
        <v>0</v>
      </c>
      <c r="O84" s="51" t="str">
        <f t="shared" si="141"/>
        <v>Titik Lokasi</v>
      </c>
      <c r="P84" s="110"/>
      <c r="Q84" s="22">
        <v>2</v>
      </c>
      <c r="R84" s="51" t="str">
        <f t="shared" si="142"/>
        <v>Titik Lokasi</v>
      </c>
      <c r="S84" s="110"/>
      <c r="T84" s="22">
        <v>1</v>
      </c>
      <c r="U84" s="51" t="str">
        <f t="shared" si="143"/>
        <v>Titik Lokasi</v>
      </c>
      <c r="V84" s="110"/>
      <c r="W84" s="22">
        <v>0</v>
      </c>
      <c r="X84" s="51" t="str">
        <f t="shared" ref="X84" si="149">R84</f>
        <v>Titik Lokasi</v>
      </c>
      <c r="Y84" s="110"/>
      <c r="Z84" s="60">
        <f t="shared" si="144"/>
        <v>3</v>
      </c>
      <c r="AA84" s="51" t="str">
        <f t="shared" si="145"/>
        <v>Titik Lokasi</v>
      </c>
      <c r="AB84" s="60">
        <f t="shared" si="146"/>
        <v>100</v>
      </c>
      <c r="AC84" s="36" t="s">
        <v>55</v>
      </c>
      <c r="AD84" s="80"/>
      <c r="AE84" s="82"/>
      <c r="AF84" s="111"/>
      <c r="AG84" s="60">
        <f t="shared" si="147"/>
        <v>3</v>
      </c>
      <c r="AH84" s="51" t="str">
        <f t="shared" si="148"/>
        <v>Titik Lokasi</v>
      </c>
      <c r="AI84" s="80"/>
      <c r="AJ84" s="61"/>
      <c r="AK84" s="36" t="s">
        <v>55</v>
      </c>
      <c r="AL84" s="82"/>
      <c r="AM84" s="13"/>
      <c r="AP84" s="27"/>
    </row>
    <row r="85" spans="1:42" ht="120" x14ac:dyDescent="0.2">
      <c r="A85" s="18"/>
      <c r="B85" s="19"/>
      <c r="C85" s="112"/>
      <c r="D85" s="31" t="s">
        <v>237</v>
      </c>
      <c r="E85" s="50">
        <v>7</v>
      </c>
      <c r="F85" s="51" t="s">
        <v>238</v>
      </c>
      <c r="G85" s="110"/>
      <c r="H85" s="71" t="s">
        <v>186</v>
      </c>
      <c r="I85" s="51" t="s">
        <v>238</v>
      </c>
      <c r="J85" s="110"/>
      <c r="K85" s="50">
        <v>7</v>
      </c>
      <c r="L85" s="51" t="s">
        <v>238</v>
      </c>
      <c r="M85" s="110"/>
      <c r="N85" s="50">
        <v>2</v>
      </c>
      <c r="O85" s="51" t="str">
        <f t="shared" si="121"/>
        <v>Cerobong Asap Pabrik</v>
      </c>
      <c r="P85" s="110"/>
      <c r="Q85" s="22">
        <v>2</v>
      </c>
      <c r="R85" s="51" t="str">
        <f t="shared" si="122"/>
        <v>Cerobong Asap Pabrik</v>
      </c>
      <c r="S85" s="110"/>
      <c r="T85" s="22">
        <v>1</v>
      </c>
      <c r="U85" s="51" t="str">
        <f t="shared" si="123"/>
        <v>Cerobong Asap Pabrik</v>
      </c>
      <c r="V85" s="110"/>
      <c r="W85" s="22">
        <v>2</v>
      </c>
      <c r="X85" s="51" t="str">
        <f t="shared" ref="X85" si="150">R85</f>
        <v>Cerobong Asap Pabrik</v>
      </c>
      <c r="Y85" s="110"/>
      <c r="Z85" s="60">
        <f t="shared" si="124"/>
        <v>7</v>
      </c>
      <c r="AA85" s="51" t="str">
        <f t="shared" si="125"/>
        <v>Cerobong Asap Pabrik</v>
      </c>
      <c r="AB85" s="60">
        <f t="shared" si="126"/>
        <v>100</v>
      </c>
      <c r="AC85" s="36" t="s">
        <v>55</v>
      </c>
      <c r="AD85" s="80"/>
      <c r="AE85" s="82"/>
      <c r="AF85" s="111"/>
      <c r="AG85" s="60">
        <f t="shared" si="129"/>
        <v>7</v>
      </c>
      <c r="AH85" s="51" t="str">
        <f t="shared" si="130"/>
        <v>Cerobong Asap Pabrik</v>
      </c>
      <c r="AI85" s="80"/>
      <c r="AJ85" s="61"/>
      <c r="AK85" s="36" t="s">
        <v>55</v>
      </c>
      <c r="AL85" s="82"/>
      <c r="AM85" s="13"/>
      <c r="AP85" s="27"/>
    </row>
    <row r="86" spans="1:42" ht="135" x14ac:dyDescent="0.2">
      <c r="A86" s="18"/>
      <c r="B86" s="19"/>
      <c r="C86" s="28"/>
      <c r="D86" s="31" t="s">
        <v>239</v>
      </c>
      <c r="E86" s="50">
        <v>27</v>
      </c>
      <c r="F86" s="51" t="s">
        <v>240</v>
      </c>
      <c r="G86" s="30"/>
      <c r="H86" s="71" t="s">
        <v>186</v>
      </c>
      <c r="I86" s="51" t="s">
        <v>240</v>
      </c>
      <c r="J86" s="30"/>
      <c r="K86" s="50">
        <v>27</v>
      </c>
      <c r="L86" s="51" t="s">
        <v>240</v>
      </c>
      <c r="M86" s="30"/>
      <c r="N86" s="50">
        <v>4</v>
      </c>
      <c r="O86" s="51" t="str">
        <f t="shared" si="1"/>
        <v>Aktifitas Usaha</v>
      </c>
      <c r="P86" s="30"/>
      <c r="Q86" s="22">
        <v>6</v>
      </c>
      <c r="R86" s="51" t="str">
        <f t="shared" si="2"/>
        <v>Aktifitas Usaha</v>
      </c>
      <c r="S86" s="30"/>
      <c r="T86" s="22">
        <v>12</v>
      </c>
      <c r="U86" s="51" t="str">
        <f t="shared" si="14"/>
        <v>Aktifitas Usaha</v>
      </c>
      <c r="V86" s="30"/>
      <c r="W86" s="22">
        <v>5</v>
      </c>
      <c r="X86" s="51" t="str">
        <f t="shared" si="15"/>
        <v>Aktifitas Usaha</v>
      </c>
      <c r="Y86" s="30"/>
      <c r="Z86" s="60">
        <f t="shared" si="5"/>
        <v>27</v>
      </c>
      <c r="AA86" s="51" t="str">
        <f t="shared" si="6"/>
        <v>Aktifitas Usaha</v>
      </c>
      <c r="AB86" s="60">
        <f t="shared" si="7"/>
        <v>100</v>
      </c>
      <c r="AC86" s="36" t="s">
        <v>55</v>
      </c>
      <c r="AD86" s="81"/>
      <c r="AE86" s="83"/>
      <c r="AF86" s="113"/>
      <c r="AG86" s="60">
        <f t="shared" si="10"/>
        <v>27</v>
      </c>
      <c r="AH86" s="51" t="str">
        <f t="shared" si="11"/>
        <v>Aktifitas Usaha</v>
      </c>
      <c r="AI86" s="81"/>
      <c r="AJ86" s="61"/>
      <c r="AK86" s="36" t="s">
        <v>55</v>
      </c>
      <c r="AL86" s="83"/>
      <c r="AM86" s="13"/>
      <c r="AP86" s="27"/>
    </row>
    <row r="87" spans="1:42" ht="177.75" customHeight="1" x14ac:dyDescent="0.2">
      <c r="A87" s="18"/>
      <c r="B87" s="19"/>
      <c r="C87" s="20" t="s">
        <v>118</v>
      </c>
      <c r="D87" s="21" t="s">
        <v>195</v>
      </c>
      <c r="E87" s="56">
        <f>8/8*100</f>
        <v>100</v>
      </c>
      <c r="F87" s="48" t="s">
        <v>55</v>
      </c>
      <c r="G87" s="44">
        <f>G88</f>
        <v>1133598441</v>
      </c>
      <c r="H87" s="105">
        <f>5/8*100</f>
        <v>62.5</v>
      </c>
      <c r="I87" s="48" t="s">
        <v>55</v>
      </c>
      <c r="J87" s="44"/>
      <c r="K87" s="94">
        <f>6/8*100</f>
        <v>75</v>
      </c>
      <c r="L87" s="85" t="s">
        <v>55</v>
      </c>
      <c r="M87" s="44">
        <f>SUM(M88)</f>
        <v>763126441</v>
      </c>
      <c r="N87" s="118">
        <v>0</v>
      </c>
      <c r="O87" s="85" t="str">
        <f t="shared" si="1"/>
        <v>%</v>
      </c>
      <c r="P87" s="44">
        <f>SUM(P88)</f>
        <v>4500000</v>
      </c>
      <c r="Q87" s="93">
        <v>0</v>
      </c>
      <c r="R87" s="85" t="str">
        <f t="shared" si="2"/>
        <v>%</v>
      </c>
      <c r="S87" s="44">
        <f>SUM(S88)</f>
        <v>65031540</v>
      </c>
      <c r="T87" s="49">
        <v>0</v>
      </c>
      <c r="U87" s="85" t="str">
        <f t="shared" si="14"/>
        <v>%</v>
      </c>
      <c r="V87" s="44">
        <f>SUM(V88)</f>
        <v>464466290</v>
      </c>
      <c r="W87" s="49">
        <f>1/8*100</f>
        <v>12.5</v>
      </c>
      <c r="X87" s="85" t="str">
        <f t="shared" si="15"/>
        <v>%</v>
      </c>
      <c r="Y87" s="44">
        <f>SUM(Y88)</f>
        <v>35781870</v>
      </c>
      <c r="Z87" s="59">
        <f t="shared" si="5"/>
        <v>12.5</v>
      </c>
      <c r="AA87" s="85" t="str">
        <f t="shared" si="6"/>
        <v>%</v>
      </c>
      <c r="AB87" s="56">
        <f>AG87/K87*100</f>
        <v>100</v>
      </c>
      <c r="AC87" s="58" t="s">
        <v>55</v>
      </c>
      <c r="AD87" s="57">
        <f t="shared" si="8"/>
        <v>569779700</v>
      </c>
      <c r="AE87" s="59">
        <f>AD87/M87*100</f>
        <v>74.663865565103649</v>
      </c>
      <c r="AF87" s="58" t="s">
        <v>55</v>
      </c>
      <c r="AG87" s="59">
        <f t="shared" si="10"/>
        <v>75</v>
      </c>
      <c r="AH87" s="85" t="str">
        <f t="shared" si="11"/>
        <v>%</v>
      </c>
      <c r="AI87" s="57">
        <f t="shared" si="12"/>
        <v>569779700</v>
      </c>
      <c r="AJ87" s="59"/>
      <c r="AK87" s="58" t="s">
        <v>55</v>
      </c>
      <c r="AL87" s="59"/>
      <c r="AM87" s="13"/>
      <c r="AP87" s="27"/>
    </row>
    <row r="88" spans="1:42" ht="146.25" customHeight="1" x14ac:dyDescent="0.2">
      <c r="A88" s="18"/>
      <c r="B88" s="19"/>
      <c r="C88" s="28" t="s">
        <v>119</v>
      </c>
      <c r="D88" s="31" t="s">
        <v>154</v>
      </c>
      <c r="E88" s="50">
        <f>2*3</f>
        <v>6</v>
      </c>
      <c r="F88" s="23" t="s">
        <v>142</v>
      </c>
      <c r="G88" s="25">
        <f>M88+185236000*2</f>
        <v>1133598441</v>
      </c>
      <c r="H88" s="71" t="s">
        <v>186</v>
      </c>
      <c r="I88" s="51" t="s">
        <v>142</v>
      </c>
      <c r="J88" s="25"/>
      <c r="K88" s="50">
        <v>2</v>
      </c>
      <c r="L88" s="51" t="s">
        <v>142</v>
      </c>
      <c r="M88" s="25">
        <v>763126441</v>
      </c>
      <c r="N88" s="50">
        <v>0</v>
      </c>
      <c r="O88" s="51" t="str">
        <f t="shared" si="1"/>
        <v>Kegiatan</v>
      </c>
      <c r="P88" s="25">
        <v>4500000</v>
      </c>
      <c r="Q88" s="22">
        <v>1</v>
      </c>
      <c r="R88" s="51" t="str">
        <f t="shared" si="2"/>
        <v>Kegiatan</v>
      </c>
      <c r="S88" s="25">
        <v>65031540</v>
      </c>
      <c r="T88" s="22">
        <v>0</v>
      </c>
      <c r="U88" s="51" t="str">
        <f t="shared" si="14"/>
        <v>Kegiatan</v>
      </c>
      <c r="V88" s="25">
        <v>464466290</v>
      </c>
      <c r="W88" s="22">
        <v>1</v>
      </c>
      <c r="X88" s="51" t="str">
        <f t="shared" si="15"/>
        <v>Kegiatan</v>
      </c>
      <c r="Y88" s="25">
        <v>35781870</v>
      </c>
      <c r="Z88" s="60">
        <f t="shared" si="5"/>
        <v>2</v>
      </c>
      <c r="AA88" s="51" t="str">
        <f t="shared" si="6"/>
        <v>Kegiatan</v>
      </c>
      <c r="AB88" s="60">
        <f t="shared" si="7"/>
        <v>100</v>
      </c>
      <c r="AC88" s="36" t="s">
        <v>55</v>
      </c>
      <c r="AD88" s="42">
        <f t="shared" si="8"/>
        <v>569779700</v>
      </c>
      <c r="AE88" s="61">
        <f t="shared" si="9"/>
        <v>74.663865565103649</v>
      </c>
      <c r="AF88" s="36" t="s">
        <v>55</v>
      </c>
      <c r="AG88" s="60">
        <f t="shared" si="10"/>
        <v>2</v>
      </c>
      <c r="AH88" s="51" t="str">
        <f t="shared" si="11"/>
        <v>Kegiatan</v>
      </c>
      <c r="AI88" s="42">
        <f t="shared" si="12"/>
        <v>569779700</v>
      </c>
      <c r="AJ88" s="61"/>
      <c r="AK88" s="36" t="s">
        <v>55</v>
      </c>
      <c r="AL88" s="61"/>
      <c r="AM88" s="13"/>
      <c r="AP88" s="27"/>
    </row>
    <row r="89" spans="1:42" ht="94.5" x14ac:dyDescent="0.2">
      <c r="A89" s="18"/>
      <c r="B89" s="19"/>
      <c r="C89" s="20" t="s">
        <v>120</v>
      </c>
      <c r="D89" s="21" t="s">
        <v>257</v>
      </c>
      <c r="E89" s="49">
        <v>53.5</v>
      </c>
      <c r="F89" s="48" t="s">
        <v>254</v>
      </c>
      <c r="G89" s="43">
        <f>G90</f>
        <v>23256437500</v>
      </c>
      <c r="H89" s="49">
        <v>47.75</v>
      </c>
      <c r="I89" s="48" t="s">
        <v>254</v>
      </c>
      <c r="J89" s="43"/>
      <c r="K89" s="49">
        <v>50.67</v>
      </c>
      <c r="L89" s="48" t="s">
        <v>254</v>
      </c>
      <c r="M89" s="43">
        <f>M90</f>
        <v>4527299000</v>
      </c>
      <c r="N89" s="49">
        <v>47.75</v>
      </c>
      <c r="O89" s="85" t="str">
        <f t="shared" si="1"/>
        <v>Nilai</v>
      </c>
      <c r="P89" s="43">
        <f>P90</f>
        <v>326165313</v>
      </c>
      <c r="Q89" s="49">
        <v>47.75</v>
      </c>
      <c r="R89" s="85" t="str">
        <f t="shared" si="2"/>
        <v>Nilai</v>
      </c>
      <c r="S89" s="43">
        <f>S90</f>
        <v>739264963</v>
      </c>
      <c r="T89" s="146">
        <v>49.38</v>
      </c>
      <c r="U89" s="85" t="str">
        <f t="shared" si="14"/>
        <v>Nilai</v>
      </c>
      <c r="V89" s="43">
        <f>V90</f>
        <v>722293028</v>
      </c>
      <c r="W89" s="146">
        <v>49.38</v>
      </c>
      <c r="X89" s="85" t="str">
        <f t="shared" si="15"/>
        <v>Nilai</v>
      </c>
      <c r="Y89" s="43">
        <f>Y90</f>
        <v>1519921672</v>
      </c>
      <c r="Z89" s="139">
        <f>AVERAGE(N89,Q89,T89,W89)</f>
        <v>48.564999999999998</v>
      </c>
      <c r="AA89" s="85" t="str">
        <f t="shared" si="6"/>
        <v>Nilai</v>
      </c>
      <c r="AB89" s="59">
        <f>AG89/K89*100</f>
        <v>190.08288928359974</v>
      </c>
      <c r="AC89" s="58" t="s">
        <v>55</v>
      </c>
      <c r="AD89" s="57">
        <f t="shared" si="8"/>
        <v>3307644976</v>
      </c>
      <c r="AE89" s="59">
        <f t="shared" si="9"/>
        <v>73.060007214014348</v>
      </c>
      <c r="AF89" s="58" t="s">
        <v>55</v>
      </c>
      <c r="AG89" s="59">
        <f t="shared" si="10"/>
        <v>96.314999999999998</v>
      </c>
      <c r="AH89" s="85" t="str">
        <f t="shared" si="11"/>
        <v>Nilai</v>
      </c>
      <c r="AI89" s="57">
        <f t="shared" si="12"/>
        <v>3307644976</v>
      </c>
      <c r="AJ89" s="59"/>
      <c r="AK89" s="58" t="s">
        <v>55</v>
      </c>
      <c r="AL89" s="59"/>
      <c r="AM89" s="13"/>
      <c r="AP89" s="27"/>
    </row>
    <row r="90" spans="1:42" ht="94.5" x14ac:dyDescent="0.2">
      <c r="A90" s="18"/>
      <c r="B90" s="19"/>
      <c r="C90" s="20" t="s">
        <v>121</v>
      </c>
      <c r="D90" s="21" t="s">
        <v>162</v>
      </c>
      <c r="E90" s="141">
        <f>E91/1930*100</f>
        <v>6.8897927461139901</v>
      </c>
      <c r="F90" s="48" t="s">
        <v>55</v>
      </c>
      <c r="G90" s="44">
        <f>G91</f>
        <v>23256437500</v>
      </c>
      <c r="H90" s="139">
        <f>H91/1930*100</f>
        <v>5.7498963730569947</v>
      </c>
      <c r="I90" s="48" t="s">
        <v>55</v>
      </c>
      <c r="J90" s="44"/>
      <c r="K90" s="139">
        <f>K91/1930*100</f>
        <v>6.203264248704663</v>
      </c>
      <c r="L90" s="48" t="s">
        <v>55</v>
      </c>
      <c r="M90" s="44">
        <f>SUM(M91)</f>
        <v>4527299000</v>
      </c>
      <c r="N90" s="118">
        <v>0</v>
      </c>
      <c r="O90" s="85" t="str">
        <f t="shared" si="1"/>
        <v>%</v>
      </c>
      <c r="P90" s="44">
        <f>SUM(P91)</f>
        <v>326165313</v>
      </c>
      <c r="Q90" s="138">
        <f>Q91/1930*100</f>
        <v>0</v>
      </c>
      <c r="R90" s="85" t="str">
        <f t="shared" si="2"/>
        <v>%</v>
      </c>
      <c r="S90" s="44">
        <f>SUM(S91)</f>
        <v>739264963</v>
      </c>
      <c r="T90" s="138">
        <f>T91/1930*100</f>
        <v>0.46761658031088082</v>
      </c>
      <c r="U90" s="85" t="str">
        <f t="shared" si="14"/>
        <v>%</v>
      </c>
      <c r="V90" s="44">
        <f>SUM(V91)</f>
        <v>722293028</v>
      </c>
      <c r="W90" s="138">
        <f>W91/1930*100</f>
        <v>8.6787564766839381E-2</v>
      </c>
      <c r="X90" s="85" t="str">
        <f t="shared" si="15"/>
        <v>%</v>
      </c>
      <c r="Y90" s="44">
        <f>SUM(Y91)</f>
        <v>1519921672</v>
      </c>
      <c r="Z90" s="139">
        <f t="shared" si="5"/>
        <v>0.55440414507772018</v>
      </c>
      <c r="AA90" s="117" t="str">
        <f t="shared" si="6"/>
        <v>%</v>
      </c>
      <c r="AB90" s="59">
        <f>AG90/K90*100</f>
        <v>101.62875972035449</v>
      </c>
      <c r="AC90" s="58" t="s">
        <v>55</v>
      </c>
      <c r="AD90" s="57">
        <f t="shared" si="8"/>
        <v>3307644976</v>
      </c>
      <c r="AE90" s="59">
        <f t="shared" si="9"/>
        <v>73.060007214014348</v>
      </c>
      <c r="AF90" s="58" t="s">
        <v>55</v>
      </c>
      <c r="AG90" s="59">
        <f t="shared" si="10"/>
        <v>6.3043005181347151</v>
      </c>
      <c r="AH90" s="117" t="str">
        <f t="shared" si="11"/>
        <v>%</v>
      </c>
      <c r="AI90" s="57">
        <f t="shared" si="12"/>
        <v>3307644976</v>
      </c>
      <c r="AJ90" s="59"/>
      <c r="AK90" s="58" t="s">
        <v>55</v>
      </c>
      <c r="AL90" s="59"/>
      <c r="AM90" s="13"/>
      <c r="AP90" s="27"/>
    </row>
    <row r="91" spans="1:42" ht="84.75" customHeight="1" x14ac:dyDescent="0.2">
      <c r="A91" s="18"/>
      <c r="B91" s="19"/>
      <c r="C91" s="28" t="s">
        <v>122</v>
      </c>
      <c r="D91" s="31" t="s">
        <v>241</v>
      </c>
      <c r="E91" s="121">
        <v>132.97300000000001</v>
      </c>
      <c r="F91" s="23" t="s">
        <v>141</v>
      </c>
      <c r="G91" s="25">
        <f>M91+(9364569250*2)</f>
        <v>23256437500</v>
      </c>
      <c r="H91" s="121">
        <v>110.973</v>
      </c>
      <c r="I91" s="23" t="s">
        <v>141</v>
      </c>
      <c r="J91" s="25"/>
      <c r="K91" s="106">
        <v>119.723</v>
      </c>
      <c r="L91" s="23" t="s">
        <v>141</v>
      </c>
      <c r="M91" s="25">
        <v>4527299000</v>
      </c>
      <c r="N91" s="50">
        <v>0</v>
      </c>
      <c r="O91" s="51" t="str">
        <f t="shared" si="1"/>
        <v>Ha</v>
      </c>
      <c r="P91" s="25">
        <v>326165313</v>
      </c>
      <c r="Q91" s="22">
        <v>0</v>
      </c>
      <c r="R91" s="51" t="str">
        <f t="shared" si="2"/>
        <v>Ha</v>
      </c>
      <c r="S91" s="25">
        <v>739264963</v>
      </c>
      <c r="T91" s="22">
        <v>9.0250000000000004</v>
      </c>
      <c r="U91" s="51" t="str">
        <f t="shared" si="14"/>
        <v>Ha</v>
      </c>
      <c r="V91" s="25">
        <v>722293028</v>
      </c>
      <c r="W91" s="22">
        <v>1.675</v>
      </c>
      <c r="X91" s="51" t="str">
        <f t="shared" si="15"/>
        <v>Ha</v>
      </c>
      <c r="Y91" s="25">
        <v>1519921672</v>
      </c>
      <c r="Z91" s="123">
        <f>SUM(N91,Q91,T91,W91)</f>
        <v>10.700000000000001</v>
      </c>
      <c r="AA91" s="55" t="str">
        <f t="shared" si="6"/>
        <v>Ha</v>
      </c>
      <c r="AB91" s="61">
        <f>AG91/K91*100</f>
        <v>101.62875972035448</v>
      </c>
      <c r="AC91" s="36" t="s">
        <v>55</v>
      </c>
      <c r="AD91" s="42">
        <f t="shared" si="8"/>
        <v>3307644976</v>
      </c>
      <c r="AE91" s="61">
        <f t="shared" si="9"/>
        <v>73.060007214014348</v>
      </c>
      <c r="AF91" s="36" t="s">
        <v>55</v>
      </c>
      <c r="AG91" s="123">
        <f t="shared" si="10"/>
        <v>121.673</v>
      </c>
      <c r="AH91" s="55" t="str">
        <f t="shared" si="11"/>
        <v>Ha</v>
      </c>
      <c r="AI91" s="42">
        <f t="shared" si="12"/>
        <v>3307644976</v>
      </c>
      <c r="AJ91" s="61"/>
      <c r="AK91" s="36" t="s">
        <v>55</v>
      </c>
      <c r="AL91" s="61"/>
      <c r="AM91" s="13"/>
      <c r="AP91" s="27"/>
    </row>
    <row r="92" spans="1:42" ht="180.75" customHeight="1" x14ac:dyDescent="0.2">
      <c r="A92" s="18"/>
      <c r="B92" s="19"/>
      <c r="C92" s="20" t="s">
        <v>123</v>
      </c>
      <c r="D92" s="21" t="s">
        <v>257</v>
      </c>
      <c r="E92" s="49">
        <f>E89</f>
        <v>53.5</v>
      </c>
      <c r="F92" s="48" t="s">
        <v>254</v>
      </c>
      <c r="G92" s="43">
        <f>G93</f>
        <v>4629084900</v>
      </c>
      <c r="H92" s="49">
        <f>H89</f>
        <v>47.75</v>
      </c>
      <c r="I92" s="48" t="s">
        <v>254</v>
      </c>
      <c r="J92" s="43"/>
      <c r="K92" s="49">
        <f>K89</f>
        <v>50.67</v>
      </c>
      <c r="L92" s="48" t="s">
        <v>254</v>
      </c>
      <c r="M92" s="43">
        <f>M93</f>
        <v>1090744000</v>
      </c>
      <c r="N92" s="49">
        <f>N89</f>
        <v>47.75</v>
      </c>
      <c r="O92" s="85" t="str">
        <f t="shared" si="1"/>
        <v>Nilai</v>
      </c>
      <c r="P92" s="43">
        <f>P93</f>
        <v>5177500</v>
      </c>
      <c r="Q92" s="49">
        <f>Q89</f>
        <v>47.75</v>
      </c>
      <c r="R92" s="85" t="str">
        <f t="shared" si="2"/>
        <v>Nilai</v>
      </c>
      <c r="S92" s="43">
        <f>S93</f>
        <v>34466400</v>
      </c>
      <c r="T92" s="49">
        <f>T89</f>
        <v>49.38</v>
      </c>
      <c r="U92" s="85" t="str">
        <f t="shared" si="14"/>
        <v>Nilai</v>
      </c>
      <c r="V92" s="43">
        <f>V93</f>
        <v>246836800</v>
      </c>
      <c r="W92" s="49">
        <f>W89</f>
        <v>49.38</v>
      </c>
      <c r="X92" s="85" t="str">
        <f t="shared" si="15"/>
        <v>Nilai</v>
      </c>
      <c r="Y92" s="43">
        <f>Y93</f>
        <v>314012550</v>
      </c>
      <c r="Z92" s="139">
        <f>AVERAGE(N92,Q92,T92,W92)</f>
        <v>48.564999999999998</v>
      </c>
      <c r="AA92" s="85" t="str">
        <f t="shared" si="6"/>
        <v>Nilai</v>
      </c>
      <c r="AB92" s="59">
        <f>AG92/K92*100</f>
        <v>190.08288928359974</v>
      </c>
      <c r="AC92" s="58" t="s">
        <v>55</v>
      </c>
      <c r="AD92" s="74">
        <f t="shared" si="8"/>
        <v>600493250</v>
      </c>
      <c r="AE92" s="76">
        <f t="shared" si="9"/>
        <v>55.053546019964351</v>
      </c>
      <c r="AF92" s="52" t="s">
        <v>55</v>
      </c>
      <c r="AG92" s="56">
        <f t="shared" si="10"/>
        <v>96.314999999999998</v>
      </c>
      <c r="AH92" s="85" t="str">
        <f t="shared" si="11"/>
        <v>Nilai</v>
      </c>
      <c r="AI92" s="74">
        <f t="shared" si="12"/>
        <v>600493250</v>
      </c>
      <c r="AJ92" s="59"/>
      <c r="AK92" s="58" t="s">
        <v>55</v>
      </c>
      <c r="AL92" s="76"/>
      <c r="AM92" s="13"/>
      <c r="AP92" s="27"/>
    </row>
    <row r="93" spans="1:42" ht="236.25" x14ac:dyDescent="0.2">
      <c r="A93" s="18"/>
      <c r="B93" s="19"/>
      <c r="C93" s="20" t="s">
        <v>124</v>
      </c>
      <c r="D93" s="21" t="s">
        <v>250</v>
      </c>
      <c r="E93" s="94">
        <f>24/24*100</f>
        <v>100</v>
      </c>
      <c r="F93" s="48" t="s">
        <v>55</v>
      </c>
      <c r="G93" s="44">
        <f>G94+G95</f>
        <v>4629084900</v>
      </c>
      <c r="H93" s="105">
        <f>12/24*100</f>
        <v>50</v>
      </c>
      <c r="I93" s="48" t="s">
        <v>55</v>
      </c>
      <c r="J93" s="44"/>
      <c r="K93" s="105">
        <f>16/24*100</f>
        <v>66.666666666666657</v>
      </c>
      <c r="L93" s="48" t="s">
        <v>55</v>
      </c>
      <c r="M93" s="44">
        <f>SUM(M94:M95)</f>
        <v>1090744000</v>
      </c>
      <c r="N93" s="94">
        <v>0</v>
      </c>
      <c r="O93" s="85" t="str">
        <f t="shared" si="1"/>
        <v>%</v>
      </c>
      <c r="P93" s="44">
        <f>SUM(P94:P95)</f>
        <v>5177500</v>
      </c>
      <c r="Q93" s="105">
        <v>0</v>
      </c>
      <c r="R93" s="85" t="str">
        <f t="shared" si="2"/>
        <v>%</v>
      </c>
      <c r="S93" s="44">
        <f>SUM(S94:S95)</f>
        <v>34466400</v>
      </c>
      <c r="T93" s="94">
        <v>0</v>
      </c>
      <c r="U93" s="85" t="str">
        <f t="shared" si="14"/>
        <v>%</v>
      </c>
      <c r="V93" s="44">
        <f>SUM(V94:V95)</f>
        <v>246836800</v>
      </c>
      <c r="W93" s="105">
        <f>4/24*100</f>
        <v>16.666666666666664</v>
      </c>
      <c r="X93" s="85" t="str">
        <f t="shared" si="15"/>
        <v>%</v>
      </c>
      <c r="Y93" s="44">
        <f>SUM(Y94:Y95)</f>
        <v>314012550</v>
      </c>
      <c r="Z93" s="59">
        <f t="shared" si="5"/>
        <v>16.666666666666664</v>
      </c>
      <c r="AA93" s="85" t="str">
        <f t="shared" si="6"/>
        <v>%</v>
      </c>
      <c r="AB93" s="56">
        <f>AG93/K93*100</f>
        <v>100</v>
      </c>
      <c r="AC93" s="58" t="s">
        <v>55</v>
      </c>
      <c r="AD93" s="57">
        <f t="shared" si="8"/>
        <v>600493250</v>
      </c>
      <c r="AE93" s="59">
        <f>AD93/M93*100</f>
        <v>55.053546019964351</v>
      </c>
      <c r="AF93" s="58" t="s">
        <v>55</v>
      </c>
      <c r="AG93" s="59">
        <f t="shared" si="10"/>
        <v>66.666666666666657</v>
      </c>
      <c r="AH93" s="85" t="str">
        <f t="shared" si="11"/>
        <v>%</v>
      </c>
      <c r="AI93" s="57">
        <f t="shared" si="12"/>
        <v>600493250</v>
      </c>
      <c r="AJ93" s="59"/>
      <c r="AK93" s="58" t="s">
        <v>55</v>
      </c>
      <c r="AL93" s="77"/>
      <c r="AM93" s="13"/>
      <c r="AP93" s="27"/>
    </row>
    <row r="94" spans="1:42" ht="206.25" customHeight="1" x14ac:dyDescent="0.2">
      <c r="A94" s="111"/>
      <c r="B94" s="112"/>
      <c r="C94" s="28" t="s">
        <v>125</v>
      </c>
      <c r="D94" s="31" t="s">
        <v>163</v>
      </c>
      <c r="E94" s="50">
        <f>K94*3</f>
        <v>84</v>
      </c>
      <c r="F94" s="23" t="s">
        <v>161</v>
      </c>
      <c r="G94" s="25">
        <f>M94+(604472750*2)</f>
        <v>1552089500</v>
      </c>
      <c r="H94" s="71" t="s">
        <v>186</v>
      </c>
      <c r="I94" s="23" t="s">
        <v>161</v>
      </c>
      <c r="J94" s="25"/>
      <c r="K94" s="50">
        <v>28</v>
      </c>
      <c r="L94" s="23" t="s">
        <v>161</v>
      </c>
      <c r="M94" s="25">
        <v>343144000</v>
      </c>
      <c r="N94" s="50">
        <v>7</v>
      </c>
      <c r="O94" s="51" t="str">
        <f t="shared" si="1"/>
        <v>Keg</v>
      </c>
      <c r="P94" s="25">
        <v>4740000</v>
      </c>
      <c r="Q94" s="22">
        <v>7</v>
      </c>
      <c r="R94" s="51" t="str">
        <f t="shared" si="2"/>
        <v>Keg</v>
      </c>
      <c r="S94" s="30">
        <v>20816400</v>
      </c>
      <c r="T94" s="22">
        <v>7</v>
      </c>
      <c r="U94" s="51" t="str">
        <f t="shared" si="14"/>
        <v>Keg</v>
      </c>
      <c r="V94" s="30">
        <v>117122300</v>
      </c>
      <c r="W94" s="22">
        <v>7</v>
      </c>
      <c r="X94" s="51" t="str">
        <f t="shared" si="15"/>
        <v>Keg</v>
      </c>
      <c r="Y94" s="30">
        <v>84804300</v>
      </c>
      <c r="Z94" s="60">
        <f t="shared" si="5"/>
        <v>28</v>
      </c>
      <c r="AA94" s="51" t="str">
        <f t="shared" si="6"/>
        <v>Keg</v>
      </c>
      <c r="AB94" s="60">
        <f t="shared" si="7"/>
        <v>100</v>
      </c>
      <c r="AC94" s="36" t="s">
        <v>55</v>
      </c>
      <c r="AD94" s="42">
        <f t="shared" si="8"/>
        <v>227483000</v>
      </c>
      <c r="AE94" s="61">
        <f t="shared" si="9"/>
        <v>66.293742568717505</v>
      </c>
      <c r="AF94" s="36" t="s">
        <v>55</v>
      </c>
      <c r="AG94" s="61">
        <f t="shared" si="10"/>
        <v>28</v>
      </c>
      <c r="AH94" s="51" t="str">
        <f t="shared" si="11"/>
        <v>Keg</v>
      </c>
      <c r="AI94" s="42">
        <f t="shared" si="12"/>
        <v>227483000</v>
      </c>
      <c r="AJ94" s="83"/>
      <c r="AK94" s="113" t="s">
        <v>55</v>
      </c>
      <c r="AL94" s="83"/>
      <c r="AM94" s="13"/>
      <c r="AP94" s="27"/>
    </row>
    <row r="95" spans="1:42" ht="198" customHeight="1" x14ac:dyDescent="0.2">
      <c r="A95" s="111"/>
      <c r="B95" s="112"/>
      <c r="C95" s="28" t="s">
        <v>126</v>
      </c>
      <c r="D95" s="31" t="s">
        <v>164</v>
      </c>
      <c r="E95" s="50">
        <f>K95*3</f>
        <v>84</v>
      </c>
      <c r="F95" s="23" t="s">
        <v>161</v>
      </c>
      <c r="G95" s="25">
        <f>M95+(1164697700*2)</f>
        <v>3076995400</v>
      </c>
      <c r="H95" s="71" t="s">
        <v>186</v>
      </c>
      <c r="I95" s="23" t="s">
        <v>161</v>
      </c>
      <c r="J95" s="25"/>
      <c r="K95" s="50">
        <v>28</v>
      </c>
      <c r="L95" s="23" t="s">
        <v>161</v>
      </c>
      <c r="M95" s="25">
        <v>747600000</v>
      </c>
      <c r="N95" s="50">
        <v>7</v>
      </c>
      <c r="O95" s="51" t="str">
        <f t="shared" si="1"/>
        <v>Keg</v>
      </c>
      <c r="P95" s="25">
        <v>437500</v>
      </c>
      <c r="Q95" s="22">
        <v>7</v>
      </c>
      <c r="R95" s="51" t="str">
        <f t="shared" si="2"/>
        <v>Keg</v>
      </c>
      <c r="S95" s="30">
        <v>13650000</v>
      </c>
      <c r="T95" s="22">
        <v>7</v>
      </c>
      <c r="U95" s="51" t="str">
        <f t="shared" si="14"/>
        <v>Keg</v>
      </c>
      <c r="V95" s="30">
        <v>129714500</v>
      </c>
      <c r="W95" s="22">
        <v>7</v>
      </c>
      <c r="X95" s="51" t="str">
        <f t="shared" si="15"/>
        <v>Keg</v>
      </c>
      <c r="Y95" s="30">
        <v>229208250</v>
      </c>
      <c r="Z95" s="60">
        <f t="shared" si="5"/>
        <v>28</v>
      </c>
      <c r="AA95" s="51" t="str">
        <f t="shared" si="6"/>
        <v>Keg</v>
      </c>
      <c r="AB95" s="60">
        <f t="shared" si="7"/>
        <v>100</v>
      </c>
      <c r="AC95" s="36" t="s">
        <v>55</v>
      </c>
      <c r="AD95" s="81">
        <f t="shared" si="8"/>
        <v>373010250</v>
      </c>
      <c r="AE95" s="82">
        <f t="shared" si="9"/>
        <v>49.894361958266451</v>
      </c>
      <c r="AF95" s="111" t="s">
        <v>55</v>
      </c>
      <c r="AG95" s="83">
        <f t="shared" si="10"/>
        <v>28</v>
      </c>
      <c r="AH95" s="99" t="str">
        <f t="shared" si="11"/>
        <v>Keg</v>
      </c>
      <c r="AI95" s="81">
        <f t="shared" si="12"/>
        <v>373010250</v>
      </c>
      <c r="AJ95" s="61"/>
      <c r="AK95" s="36" t="s">
        <v>55</v>
      </c>
      <c r="AL95" s="83"/>
      <c r="AM95" s="13"/>
      <c r="AP95" s="27"/>
    </row>
    <row r="96" spans="1:42" ht="94.5" x14ac:dyDescent="0.2">
      <c r="A96" s="18"/>
      <c r="B96" s="19"/>
      <c r="C96" s="20" t="s">
        <v>127</v>
      </c>
      <c r="D96" s="21" t="s">
        <v>257</v>
      </c>
      <c r="E96" s="49">
        <f>E89</f>
        <v>53.5</v>
      </c>
      <c r="F96" s="48" t="s">
        <v>254</v>
      </c>
      <c r="G96" s="43">
        <f>G97</f>
        <v>1006049000</v>
      </c>
      <c r="H96" s="49">
        <f>H89</f>
        <v>47.75</v>
      </c>
      <c r="I96" s="48" t="s">
        <v>254</v>
      </c>
      <c r="J96" s="43"/>
      <c r="K96" s="49">
        <f>K89</f>
        <v>50.67</v>
      </c>
      <c r="L96" s="48" t="s">
        <v>254</v>
      </c>
      <c r="M96" s="43">
        <f>M97</f>
        <v>231360000</v>
      </c>
      <c r="N96" s="49">
        <f>N89</f>
        <v>47.75</v>
      </c>
      <c r="O96" s="85" t="str">
        <f t="shared" si="1"/>
        <v>Nilai</v>
      </c>
      <c r="P96" s="43">
        <f>P97</f>
        <v>0</v>
      </c>
      <c r="Q96" s="49">
        <f>Q89</f>
        <v>47.75</v>
      </c>
      <c r="R96" s="85" t="str">
        <f t="shared" si="2"/>
        <v>Nilai</v>
      </c>
      <c r="S96" s="43">
        <f>S97</f>
        <v>0</v>
      </c>
      <c r="T96" s="49">
        <f>T89</f>
        <v>49.38</v>
      </c>
      <c r="U96" s="85" t="str">
        <f t="shared" si="14"/>
        <v>Nilai</v>
      </c>
      <c r="V96" s="43">
        <f>V97</f>
        <v>0</v>
      </c>
      <c r="W96" s="49">
        <f>W89</f>
        <v>49.38</v>
      </c>
      <c r="X96" s="85" t="str">
        <f t="shared" si="15"/>
        <v>Nilai</v>
      </c>
      <c r="Y96" s="43">
        <f>Y97</f>
        <v>84175000</v>
      </c>
      <c r="Z96" s="139">
        <f>AVERAGE(N96,Q96,T96,W96)</f>
        <v>48.564999999999998</v>
      </c>
      <c r="AA96" s="85" t="str">
        <f t="shared" si="6"/>
        <v>Nilai</v>
      </c>
      <c r="AB96" s="59">
        <f>AG96/K96*100</f>
        <v>190.08288928359974</v>
      </c>
      <c r="AC96" s="58" t="s">
        <v>55</v>
      </c>
      <c r="AD96" s="57">
        <f t="shared" si="8"/>
        <v>84175000</v>
      </c>
      <c r="AE96" s="59">
        <f t="shared" si="9"/>
        <v>36.382693637621024</v>
      </c>
      <c r="AF96" s="58" t="s">
        <v>55</v>
      </c>
      <c r="AG96" s="56">
        <f t="shared" si="10"/>
        <v>96.314999999999998</v>
      </c>
      <c r="AH96" s="85" t="str">
        <f t="shared" si="11"/>
        <v>Nilai</v>
      </c>
      <c r="AI96" s="57">
        <f t="shared" si="12"/>
        <v>84175000</v>
      </c>
      <c r="AJ96" s="59"/>
      <c r="AK96" s="58" t="s">
        <v>55</v>
      </c>
      <c r="AL96" s="59"/>
      <c r="AM96" s="13"/>
      <c r="AP96" s="27"/>
    </row>
    <row r="97" spans="1:42" ht="141.75" x14ac:dyDescent="0.2">
      <c r="A97" s="18"/>
      <c r="B97" s="19"/>
      <c r="C97" s="20" t="s">
        <v>128</v>
      </c>
      <c r="D97" s="21" t="s">
        <v>249</v>
      </c>
      <c r="E97" s="130">
        <f>E98/E98*100</f>
        <v>100</v>
      </c>
      <c r="F97" s="85" t="s">
        <v>55</v>
      </c>
      <c r="G97" s="44">
        <f>G98</f>
        <v>1006049000</v>
      </c>
      <c r="H97" s="105">
        <f>H98/E98*100</f>
        <v>82.35294117647058</v>
      </c>
      <c r="I97" s="85" t="s">
        <v>55</v>
      </c>
      <c r="J97" s="44"/>
      <c r="K97" s="105">
        <f>K98/E98*100</f>
        <v>88.235294117647058</v>
      </c>
      <c r="L97" s="85" t="s">
        <v>55</v>
      </c>
      <c r="M97" s="44">
        <f>SUM(M98)</f>
        <v>231360000</v>
      </c>
      <c r="N97" s="118">
        <v>0</v>
      </c>
      <c r="O97" s="85" t="str">
        <f t="shared" si="1"/>
        <v>%</v>
      </c>
      <c r="P97" s="44">
        <f>SUM(P98)</f>
        <v>0</v>
      </c>
      <c r="Q97" s="105">
        <f>Q98/E98*100</f>
        <v>2.3529411764705883</v>
      </c>
      <c r="R97" s="85" t="str">
        <f t="shared" si="2"/>
        <v>%</v>
      </c>
      <c r="S97" s="44">
        <f>SUM(S98)</f>
        <v>0</v>
      </c>
      <c r="T97" s="116">
        <v>0</v>
      </c>
      <c r="U97" s="85" t="str">
        <f t="shared" si="14"/>
        <v>%</v>
      </c>
      <c r="V97" s="44">
        <f>SUM(V98)</f>
        <v>0</v>
      </c>
      <c r="W97" s="116">
        <v>0</v>
      </c>
      <c r="X97" s="85" t="str">
        <f t="shared" si="15"/>
        <v>%</v>
      </c>
      <c r="Y97" s="44">
        <f>SUM(Y98)</f>
        <v>84175000</v>
      </c>
      <c r="Z97" s="105">
        <f t="shared" si="5"/>
        <v>2.3529411764705883</v>
      </c>
      <c r="AA97" s="85" t="str">
        <f t="shared" si="6"/>
        <v>%</v>
      </c>
      <c r="AB97" s="59">
        <f>AG97/K97*100</f>
        <v>96</v>
      </c>
      <c r="AC97" s="58" t="s">
        <v>55</v>
      </c>
      <c r="AD97" s="57">
        <f t="shared" si="8"/>
        <v>84175000</v>
      </c>
      <c r="AE97" s="59">
        <f t="shared" si="9"/>
        <v>36.382693637621024</v>
      </c>
      <c r="AF97" s="58" t="s">
        <v>55</v>
      </c>
      <c r="AG97" s="105">
        <f t="shared" si="10"/>
        <v>84.705882352941174</v>
      </c>
      <c r="AH97" s="85" t="str">
        <f t="shared" si="11"/>
        <v>%</v>
      </c>
      <c r="AI97" s="57">
        <f t="shared" si="12"/>
        <v>84175000</v>
      </c>
      <c r="AJ97" s="59"/>
      <c r="AK97" s="58" t="s">
        <v>55</v>
      </c>
      <c r="AL97" s="59"/>
      <c r="AM97" s="13"/>
      <c r="AP97" s="27"/>
    </row>
    <row r="98" spans="1:42" ht="225" x14ac:dyDescent="0.2">
      <c r="A98" s="18"/>
      <c r="B98" s="19"/>
      <c r="C98" s="28" t="s">
        <v>129</v>
      </c>
      <c r="D98" s="31" t="s">
        <v>165</v>
      </c>
      <c r="E98" s="140">
        <v>85</v>
      </c>
      <c r="F98" s="51" t="s">
        <v>169</v>
      </c>
      <c r="G98" s="25">
        <f>M98+(387344500*2)</f>
        <v>1006049000</v>
      </c>
      <c r="H98" s="50">
        <v>70</v>
      </c>
      <c r="I98" s="51" t="s">
        <v>169</v>
      </c>
      <c r="J98" s="25"/>
      <c r="K98" s="50">
        <v>75</v>
      </c>
      <c r="L98" s="51" t="s">
        <v>169</v>
      </c>
      <c r="M98" s="25">
        <v>231360000</v>
      </c>
      <c r="N98" s="50">
        <v>0</v>
      </c>
      <c r="O98" s="51" t="str">
        <f t="shared" si="1"/>
        <v>Sekolah</v>
      </c>
      <c r="P98" s="25">
        <v>0</v>
      </c>
      <c r="Q98" s="50">
        <v>2</v>
      </c>
      <c r="R98" s="51" t="str">
        <f t="shared" si="2"/>
        <v>Sekolah</v>
      </c>
      <c r="S98" s="25">
        <v>0</v>
      </c>
      <c r="T98" s="50">
        <v>0</v>
      </c>
      <c r="U98" s="51" t="str">
        <f t="shared" si="14"/>
        <v>Sekolah</v>
      </c>
      <c r="V98" s="25">
        <v>0</v>
      </c>
      <c r="W98" s="50">
        <v>0</v>
      </c>
      <c r="X98" s="51" t="str">
        <f t="shared" si="15"/>
        <v>Sekolah</v>
      </c>
      <c r="Y98" s="25">
        <v>84175000</v>
      </c>
      <c r="Z98" s="95">
        <f t="shared" si="5"/>
        <v>2</v>
      </c>
      <c r="AA98" s="51" t="str">
        <f t="shared" si="6"/>
        <v>Sekolah</v>
      </c>
      <c r="AB98" s="61">
        <f>AG98/K98*100</f>
        <v>96</v>
      </c>
      <c r="AC98" s="36" t="s">
        <v>55</v>
      </c>
      <c r="AD98" s="42">
        <f t="shared" si="8"/>
        <v>84175000</v>
      </c>
      <c r="AE98" s="61">
        <f t="shared" si="9"/>
        <v>36.382693637621024</v>
      </c>
      <c r="AF98" s="36" t="s">
        <v>55</v>
      </c>
      <c r="AG98" s="145">
        <f t="shared" si="10"/>
        <v>72</v>
      </c>
      <c r="AH98" s="51" t="str">
        <f t="shared" si="11"/>
        <v>Sekolah</v>
      </c>
      <c r="AI98" s="42">
        <f t="shared" si="12"/>
        <v>84175000</v>
      </c>
      <c r="AJ98" s="61"/>
      <c r="AK98" s="36" t="s">
        <v>55</v>
      </c>
      <c r="AL98" s="61"/>
      <c r="AM98" s="13"/>
      <c r="AP98" s="27"/>
    </row>
    <row r="99" spans="1:42" ht="94.5" x14ac:dyDescent="0.2">
      <c r="A99" s="18"/>
      <c r="B99" s="19"/>
      <c r="C99" s="20" t="s">
        <v>130</v>
      </c>
      <c r="D99" s="21" t="s">
        <v>143</v>
      </c>
      <c r="E99" s="93">
        <f>E100</f>
        <v>100</v>
      </c>
      <c r="F99" s="48" t="s">
        <v>55</v>
      </c>
      <c r="G99" s="43">
        <f>G100</f>
        <v>97625000</v>
      </c>
      <c r="H99" s="49" t="s">
        <v>186</v>
      </c>
      <c r="I99" s="48" t="s">
        <v>55</v>
      </c>
      <c r="J99" s="43"/>
      <c r="K99" s="93">
        <f>K100</f>
        <v>100</v>
      </c>
      <c r="L99" s="48" t="s">
        <v>55</v>
      </c>
      <c r="M99" s="43">
        <f>M100</f>
        <v>2325000</v>
      </c>
      <c r="N99" s="93">
        <f>N100</f>
        <v>100</v>
      </c>
      <c r="O99" s="85" t="str">
        <f t="shared" si="1"/>
        <v>%</v>
      </c>
      <c r="P99" s="43">
        <f>P100</f>
        <v>0</v>
      </c>
      <c r="Q99" s="93">
        <f>Q100</f>
        <v>100</v>
      </c>
      <c r="R99" s="85" t="str">
        <f t="shared" si="2"/>
        <v>%</v>
      </c>
      <c r="S99" s="43">
        <f>S100</f>
        <v>2100000</v>
      </c>
      <c r="T99" s="93">
        <f>T100</f>
        <v>100</v>
      </c>
      <c r="U99" s="85" t="str">
        <f t="shared" si="14"/>
        <v>%</v>
      </c>
      <c r="V99" s="43">
        <f>V100</f>
        <v>150000</v>
      </c>
      <c r="W99" s="93">
        <f>W100</f>
        <v>100</v>
      </c>
      <c r="X99" s="85" t="str">
        <f t="shared" si="15"/>
        <v>%</v>
      </c>
      <c r="Y99" s="43">
        <f>Y100</f>
        <v>0</v>
      </c>
      <c r="Z99" s="56">
        <f>AVERAGE(N99,Q99,T99,W99)</f>
        <v>100</v>
      </c>
      <c r="AA99" s="85" t="str">
        <f t="shared" si="6"/>
        <v>%</v>
      </c>
      <c r="AB99" s="56">
        <f t="shared" si="7"/>
        <v>100</v>
      </c>
      <c r="AC99" s="58" t="s">
        <v>55</v>
      </c>
      <c r="AD99" s="57">
        <f t="shared" si="8"/>
        <v>2250000</v>
      </c>
      <c r="AE99" s="59">
        <f t="shared" si="9"/>
        <v>96.774193548387103</v>
      </c>
      <c r="AF99" s="58" t="s">
        <v>55</v>
      </c>
      <c r="AG99" s="59">
        <f t="shared" si="10"/>
        <v>100</v>
      </c>
      <c r="AH99" s="85" t="str">
        <f t="shared" si="11"/>
        <v>%</v>
      </c>
      <c r="AI99" s="57">
        <f t="shared" si="12"/>
        <v>2250000</v>
      </c>
      <c r="AJ99" s="59"/>
      <c r="AK99" s="58" t="s">
        <v>55</v>
      </c>
      <c r="AL99" s="59"/>
      <c r="AM99" s="13"/>
      <c r="AP99" s="27"/>
    </row>
    <row r="100" spans="1:42" ht="196.5" customHeight="1" x14ac:dyDescent="0.2">
      <c r="A100" s="18"/>
      <c r="B100" s="19"/>
      <c r="C100" s="20" t="s">
        <v>131</v>
      </c>
      <c r="D100" s="21" t="s">
        <v>166</v>
      </c>
      <c r="E100" s="93">
        <v>100</v>
      </c>
      <c r="F100" s="48" t="s">
        <v>55</v>
      </c>
      <c r="G100" s="44">
        <f>G101+G102</f>
        <v>97625000</v>
      </c>
      <c r="H100" s="84" t="s">
        <v>186</v>
      </c>
      <c r="I100" s="48" t="s">
        <v>55</v>
      </c>
      <c r="J100" s="25"/>
      <c r="K100" s="93">
        <v>100</v>
      </c>
      <c r="L100" s="48" t="s">
        <v>55</v>
      </c>
      <c r="M100" s="44">
        <f>SUM(M101:M102)</f>
        <v>2325000</v>
      </c>
      <c r="N100" s="93">
        <v>100</v>
      </c>
      <c r="O100" s="85" t="str">
        <f t="shared" si="1"/>
        <v>%</v>
      </c>
      <c r="P100" s="44">
        <f>SUM(P101:P102)</f>
        <v>0</v>
      </c>
      <c r="Q100" s="93">
        <v>100</v>
      </c>
      <c r="R100" s="85" t="str">
        <f t="shared" si="2"/>
        <v>%</v>
      </c>
      <c r="S100" s="44">
        <f>SUM(S101:S102)</f>
        <v>2100000</v>
      </c>
      <c r="T100" s="93">
        <v>100</v>
      </c>
      <c r="U100" s="85" t="str">
        <f t="shared" si="14"/>
        <v>%</v>
      </c>
      <c r="V100" s="44">
        <f>SUM(V101:V102)</f>
        <v>150000</v>
      </c>
      <c r="W100" s="93">
        <v>100</v>
      </c>
      <c r="X100" s="85" t="str">
        <f t="shared" si="15"/>
        <v>%</v>
      </c>
      <c r="Y100" s="44">
        <f>SUM(Y101:Y102)</f>
        <v>0</v>
      </c>
      <c r="Z100" s="56">
        <f>AVERAGE(N100,Q100,T100,W100)</f>
        <v>100</v>
      </c>
      <c r="AA100" s="85" t="str">
        <f t="shared" si="6"/>
        <v>%</v>
      </c>
      <c r="AB100" s="56">
        <f t="shared" si="7"/>
        <v>100</v>
      </c>
      <c r="AC100" s="58" t="s">
        <v>55</v>
      </c>
      <c r="AD100" s="78">
        <f t="shared" si="8"/>
        <v>2250000</v>
      </c>
      <c r="AE100" s="79">
        <f t="shared" si="9"/>
        <v>96.774193548387103</v>
      </c>
      <c r="AF100" s="18" t="s">
        <v>55</v>
      </c>
      <c r="AG100" s="77">
        <f t="shared" si="10"/>
        <v>100</v>
      </c>
      <c r="AH100" s="100" t="str">
        <f t="shared" si="11"/>
        <v>%</v>
      </c>
      <c r="AI100" s="78">
        <f t="shared" si="12"/>
        <v>2250000</v>
      </c>
      <c r="AJ100" s="77"/>
      <c r="AK100" s="90" t="s">
        <v>55</v>
      </c>
      <c r="AL100" s="79"/>
      <c r="AM100" s="13"/>
      <c r="AP100" s="27"/>
    </row>
    <row r="101" spans="1:42" ht="114.75" customHeight="1" x14ac:dyDescent="0.2">
      <c r="A101" s="18"/>
      <c r="B101" s="19"/>
      <c r="C101" s="28" t="s">
        <v>132</v>
      </c>
      <c r="D101" s="31" t="s">
        <v>167</v>
      </c>
      <c r="E101" s="50">
        <f>K101*3</f>
        <v>3</v>
      </c>
      <c r="F101" s="51" t="s">
        <v>168</v>
      </c>
      <c r="G101" s="25">
        <f>M101+(32600000*2)</f>
        <v>65350000</v>
      </c>
      <c r="H101" s="50">
        <v>0</v>
      </c>
      <c r="I101" s="51" t="s">
        <v>168</v>
      </c>
      <c r="J101" s="25"/>
      <c r="K101" s="50">
        <v>1</v>
      </c>
      <c r="L101" s="51" t="s">
        <v>168</v>
      </c>
      <c r="M101" s="25">
        <v>150000</v>
      </c>
      <c r="N101" s="50">
        <v>1</v>
      </c>
      <c r="O101" s="51" t="str">
        <f t="shared" si="1"/>
        <v>pelayanan</v>
      </c>
      <c r="P101" s="25">
        <v>0</v>
      </c>
      <c r="Q101" s="50">
        <v>1</v>
      </c>
      <c r="R101" s="51" t="str">
        <f t="shared" si="2"/>
        <v>pelayanan</v>
      </c>
      <c r="S101" s="30">
        <v>0</v>
      </c>
      <c r="T101" s="22">
        <v>1</v>
      </c>
      <c r="U101" s="51" t="str">
        <f t="shared" si="14"/>
        <v>pelayanan</v>
      </c>
      <c r="V101" s="30">
        <v>150000</v>
      </c>
      <c r="W101" s="22">
        <v>1</v>
      </c>
      <c r="X101" s="51" t="str">
        <f t="shared" si="15"/>
        <v>pelayanan</v>
      </c>
      <c r="Y101" s="30">
        <v>0</v>
      </c>
      <c r="Z101" s="60">
        <f>AVERAGE(N101,Q101,T101,W101)</f>
        <v>1</v>
      </c>
      <c r="AA101" s="51" t="str">
        <f t="shared" si="6"/>
        <v>pelayanan</v>
      </c>
      <c r="AB101" s="60">
        <f t="shared" si="7"/>
        <v>100</v>
      </c>
      <c r="AC101" s="36" t="s">
        <v>55</v>
      </c>
      <c r="AD101" s="42">
        <f t="shared" si="8"/>
        <v>150000</v>
      </c>
      <c r="AE101" s="135">
        <f t="shared" si="9"/>
        <v>100</v>
      </c>
      <c r="AF101" s="127" t="s">
        <v>55</v>
      </c>
      <c r="AG101" s="60">
        <f t="shared" si="10"/>
        <v>1</v>
      </c>
      <c r="AH101" s="51" t="str">
        <f t="shared" si="11"/>
        <v>pelayanan</v>
      </c>
      <c r="AI101" s="42">
        <f t="shared" si="12"/>
        <v>150000</v>
      </c>
      <c r="AJ101" s="61"/>
      <c r="AK101" s="36" t="s">
        <v>55</v>
      </c>
      <c r="AL101" s="83"/>
      <c r="AM101" s="13"/>
      <c r="AP101" s="27"/>
    </row>
    <row r="102" spans="1:42" ht="255" customHeight="1" x14ac:dyDescent="0.2">
      <c r="A102" s="18"/>
      <c r="B102" s="19"/>
      <c r="C102" s="28" t="s">
        <v>133</v>
      </c>
      <c r="D102" s="31" t="s">
        <v>242</v>
      </c>
      <c r="E102" s="50">
        <v>100</v>
      </c>
      <c r="F102" s="51" t="s">
        <v>55</v>
      </c>
      <c r="G102" s="25">
        <f>M102+(2*15050000)</f>
        <v>32275000</v>
      </c>
      <c r="H102" s="50">
        <v>0</v>
      </c>
      <c r="I102" s="51" t="s">
        <v>55</v>
      </c>
      <c r="J102" s="25"/>
      <c r="K102" s="50">
        <v>100</v>
      </c>
      <c r="L102" s="51" t="s">
        <v>55</v>
      </c>
      <c r="M102" s="25">
        <v>2175000</v>
      </c>
      <c r="N102" s="50">
        <v>0</v>
      </c>
      <c r="O102" s="51" t="str">
        <f t="shared" si="1"/>
        <v>%</v>
      </c>
      <c r="P102" s="25">
        <v>0</v>
      </c>
      <c r="Q102" s="22">
        <v>0</v>
      </c>
      <c r="R102" s="51" t="str">
        <f t="shared" si="2"/>
        <v>%</v>
      </c>
      <c r="S102" s="30">
        <v>2100000</v>
      </c>
      <c r="T102" s="22">
        <v>0</v>
      </c>
      <c r="U102" s="51" t="str">
        <f t="shared" si="14"/>
        <v>%</v>
      </c>
      <c r="V102" s="30">
        <v>0</v>
      </c>
      <c r="W102" s="22">
        <v>100</v>
      </c>
      <c r="X102" s="51" t="str">
        <f t="shared" si="15"/>
        <v>%</v>
      </c>
      <c r="Y102" s="30">
        <v>0</v>
      </c>
      <c r="Z102" s="60">
        <f t="shared" si="5"/>
        <v>100</v>
      </c>
      <c r="AA102" s="51" t="str">
        <f t="shared" si="6"/>
        <v>%</v>
      </c>
      <c r="AB102" s="60">
        <f t="shared" si="7"/>
        <v>100</v>
      </c>
      <c r="AC102" s="36" t="s">
        <v>55</v>
      </c>
      <c r="AD102" s="81">
        <f t="shared" si="8"/>
        <v>2100000</v>
      </c>
      <c r="AE102" s="82">
        <f t="shared" si="9"/>
        <v>96.551724137931032</v>
      </c>
      <c r="AF102" s="111" t="s">
        <v>55</v>
      </c>
      <c r="AG102" s="60">
        <f t="shared" si="10"/>
        <v>100</v>
      </c>
      <c r="AH102" s="51" t="str">
        <f t="shared" si="11"/>
        <v>%</v>
      </c>
      <c r="AI102" s="81">
        <f t="shared" si="12"/>
        <v>2100000</v>
      </c>
      <c r="AJ102" s="61"/>
      <c r="AK102" s="36" t="s">
        <v>55</v>
      </c>
      <c r="AL102" s="83"/>
      <c r="AM102" s="13"/>
      <c r="AP102" s="27"/>
    </row>
    <row r="103" spans="1:42" ht="78.75" x14ac:dyDescent="0.2">
      <c r="A103" s="18"/>
      <c r="B103" s="19"/>
      <c r="C103" s="53" t="s">
        <v>134</v>
      </c>
      <c r="D103" s="21" t="s">
        <v>196</v>
      </c>
      <c r="E103" s="49">
        <f>(E106/35625.57)*100</f>
        <v>76.52183529975801</v>
      </c>
      <c r="F103" s="48" t="s">
        <v>55</v>
      </c>
      <c r="G103" s="72">
        <f>G106</f>
        <v>34338507680</v>
      </c>
      <c r="H103" s="49">
        <f>(H106/34374.16)*100</f>
        <v>71.564570596052377</v>
      </c>
      <c r="I103" s="48" t="s">
        <v>55</v>
      </c>
      <c r="J103" s="72"/>
      <c r="K103" s="49">
        <f>(K106/34786.16)*100</f>
        <v>77.378043451763574</v>
      </c>
      <c r="L103" s="48" t="s">
        <v>55</v>
      </c>
      <c r="M103" s="72">
        <f>M106</f>
        <v>10640890000</v>
      </c>
      <c r="N103" s="49">
        <f>(N106/34786.16)*100</f>
        <v>19.30793740959048</v>
      </c>
      <c r="O103" s="48" t="s">
        <v>55</v>
      </c>
      <c r="P103" s="72">
        <f>P106</f>
        <v>1333763452</v>
      </c>
      <c r="Q103" s="49">
        <f>(Q106/34786.16)*100</f>
        <v>19.484904341266756</v>
      </c>
      <c r="R103" s="48" t="s">
        <v>55</v>
      </c>
      <c r="S103" s="72">
        <f>S106</f>
        <v>1946051736</v>
      </c>
      <c r="T103" s="49">
        <f>(T106/34786.16)*100</f>
        <v>17.580928737175931</v>
      </c>
      <c r="U103" s="48" t="s">
        <v>55</v>
      </c>
      <c r="V103" s="72">
        <f>V106</f>
        <v>1408654436</v>
      </c>
      <c r="W103" s="49">
        <f>(W106/34786.16)*100</f>
        <v>0</v>
      </c>
      <c r="X103" s="48" t="s">
        <v>55</v>
      </c>
      <c r="Y103" s="72">
        <f>Y106</f>
        <v>3333741786</v>
      </c>
      <c r="Z103" s="120">
        <f>SUM(N103,Q103,T103,W103)</f>
        <v>56.373770488033166</v>
      </c>
      <c r="AA103" s="85" t="str">
        <f t="shared" si="6"/>
        <v>%</v>
      </c>
      <c r="AB103" s="59">
        <f t="shared" si="7"/>
        <v>72.854996034082731</v>
      </c>
      <c r="AC103" s="58" t="s">
        <v>55</v>
      </c>
      <c r="AD103" s="74">
        <f t="shared" si="8"/>
        <v>8022211410</v>
      </c>
      <c r="AE103" s="76">
        <f t="shared" si="9"/>
        <v>75.390417624841533</v>
      </c>
      <c r="AF103" s="52" t="s">
        <v>55</v>
      </c>
      <c r="AG103" s="59">
        <f t="shared" si="10"/>
        <v>127.93834108408555</v>
      </c>
      <c r="AH103" s="85" t="str">
        <f t="shared" si="11"/>
        <v>%</v>
      </c>
      <c r="AI103" s="74">
        <f t="shared" si="12"/>
        <v>8022211410</v>
      </c>
      <c r="AJ103" s="59"/>
      <c r="AK103" s="58" t="s">
        <v>55</v>
      </c>
      <c r="AL103" s="76"/>
      <c r="AM103" s="13"/>
      <c r="AP103" s="27"/>
    </row>
    <row r="104" spans="1:42" ht="94.5" x14ac:dyDescent="0.2">
      <c r="A104" s="18"/>
      <c r="B104" s="19"/>
      <c r="C104" s="19"/>
      <c r="D104" s="21" t="s">
        <v>197</v>
      </c>
      <c r="E104" s="49">
        <f>((E107+E112)/E106)*100</f>
        <v>39.522231849204772</v>
      </c>
      <c r="F104" s="48" t="s">
        <v>55</v>
      </c>
      <c r="G104" s="73"/>
      <c r="H104" s="49">
        <f>((H107+H112)/H106)*100</f>
        <v>31.954916560025886</v>
      </c>
      <c r="I104" s="48" t="s">
        <v>55</v>
      </c>
      <c r="J104" s="73"/>
      <c r="K104" s="49">
        <f>((K107+K112)/K106)*100</f>
        <v>38.295528637266244</v>
      </c>
      <c r="L104" s="48" t="s">
        <v>55</v>
      </c>
      <c r="M104" s="73"/>
      <c r="N104" s="49">
        <f>((N107+N112)/K106)*100</f>
        <v>9.547885432359287</v>
      </c>
      <c r="O104" s="48" t="s">
        <v>55</v>
      </c>
      <c r="P104" s="73"/>
      <c r="Q104" s="49">
        <f>((Q107+Q112)/K106)*100</f>
        <v>9.7548561588744604</v>
      </c>
      <c r="R104" s="48" t="s">
        <v>55</v>
      </c>
      <c r="S104" s="73"/>
      <c r="T104" s="49">
        <f>((T107+T112)/K106)*100</f>
        <v>8.9645705199531136</v>
      </c>
      <c r="U104" s="48" t="s">
        <v>55</v>
      </c>
      <c r="V104" s="73"/>
      <c r="W104" s="49">
        <f>((W107+W112)/N106)*100</f>
        <v>0</v>
      </c>
      <c r="X104" s="48" t="s">
        <v>55</v>
      </c>
      <c r="Y104" s="73"/>
      <c r="Z104" s="120">
        <f>SUM(N104,Q104,T104,W104)</f>
        <v>28.267312111186861</v>
      </c>
      <c r="AA104" s="85" t="str">
        <f t="shared" ref="AA104:AA105" si="151">L104</f>
        <v>%</v>
      </c>
      <c r="AB104" s="59">
        <f t="shared" ref="AB104" si="152">Z104/K104*100</f>
        <v>73.813609883633518</v>
      </c>
      <c r="AC104" s="58" t="s">
        <v>55</v>
      </c>
      <c r="AD104" s="78"/>
      <c r="AE104" s="79"/>
      <c r="AF104" s="18"/>
      <c r="AG104" s="59">
        <f t="shared" ref="AG104:AG105" si="153">SUM(H104,Z104)</f>
        <v>60.222228671212747</v>
      </c>
      <c r="AH104" s="85" t="str">
        <f t="shared" ref="AH104:AH105" si="154">O104</f>
        <v>%</v>
      </c>
      <c r="AI104" s="78"/>
      <c r="AJ104" s="59"/>
      <c r="AK104" s="58"/>
      <c r="AL104" s="79"/>
      <c r="AM104" s="13"/>
      <c r="AP104" s="27"/>
    </row>
    <row r="105" spans="1:42" ht="157.5" x14ac:dyDescent="0.2">
      <c r="A105" s="18"/>
      <c r="B105" s="19"/>
      <c r="C105" s="20"/>
      <c r="D105" s="21" t="s">
        <v>198</v>
      </c>
      <c r="E105" s="49">
        <f>(E111/E106)*100</f>
        <v>60.477768150795228</v>
      </c>
      <c r="F105" s="48" t="s">
        <v>55</v>
      </c>
      <c r="G105" s="43"/>
      <c r="H105" s="49">
        <f>(H111/H106)*100</f>
        <v>68.045083439974121</v>
      </c>
      <c r="I105" s="48" t="s">
        <v>55</v>
      </c>
      <c r="J105" s="43"/>
      <c r="K105" s="49">
        <f>(K111/K106)*100</f>
        <v>61.815925711961107</v>
      </c>
      <c r="L105" s="48" t="s">
        <v>55</v>
      </c>
      <c r="M105" s="43"/>
      <c r="N105" s="49">
        <f>(N111/K106)*100</f>
        <v>15.419709215602866</v>
      </c>
      <c r="O105" s="48" t="s">
        <v>55</v>
      </c>
      <c r="P105" s="43"/>
      <c r="Q105" s="49">
        <f>(Q111/K106)*100</f>
        <v>15.426582233805222</v>
      </c>
      <c r="R105" s="48" t="s">
        <v>55</v>
      </c>
      <c r="S105" s="43"/>
      <c r="T105" s="49">
        <f>(T111/K106)*100</f>
        <v>13.759968198359021</v>
      </c>
      <c r="U105" s="48" t="s">
        <v>55</v>
      </c>
      <c r="V105" s="43"/>
      <c r="W105" s="49">
        <f>(W111/N106)*100</f>
        <v>0</v>
      </c>
      <c r="X105" s="48" t="s">
        <v>55</v>
      </c>
      <c r="Y105" s="43"/>
      <c r="Z105" s="120">
        <f>SUM(N105,Q105,T105,W105)</f>
        <v>44.606259647767111</v>
      </c>
      <c r="AA105" s="85" t="str">
        <f t="shared" si="151"/>
        <v>%</v>
      </c>
      <c r="AB105" s="59">
        <f>Z105/K105*100</f>
        <v>72.159818257216514</v>
      </c>
      <c r="AC105" s="58" t="s">
        <v>55</v>
      </c>
      <c r="AD105" s="75"/>
      <c r="AE105" s="77"/>
      <c r="AF105" s="90"/>
      <c r="AG105" s="59">
        <f t="shared" si="153"/>
        <v>112.65134308774122</v>
      </c>
      <c r="AH105" s="85" t="str">
        <f t="shared" si="154"/>
        <v>%</v>
      </c>
      <c r="AI105" s="75"/>
      <c r="AJ105" s="59"/>
      <c r="AK105" s="58"/>
      <c r="AL105" s="77"/>
      <c r="AM105" s="13"/>
      <c r="AP105" s="27"/>
    </row>
    <row r="106" spans="1:42" ht="170.25" customHeight="1" x14ac:dyDescent="0.2">
      <c r="A106" s="18"/>
      <c r="B106" s="19"/>
      <c r="C106" s="53" t="s">
        <v>135</v>
      </c>
      <c r="D106" s="21" t="s">
        <v>155</v>
      </c>
      <c r="E106" s="131">
        <f>E107+E111+E112</f>
        <v>27261.34</v>
      </c>
      <c r="F106" s="85" t="s">
        <v>144</v>
      </c>
      <c r="G106" s="72">
        <f>SUM(G107:G114)</f>
        <v>34338507680</v>
      </c>
      <c r="H106" s="131">
        <f>H107+H111+H112</f>
        <v>24599.72</v>
      </c>
      <c r="I106" s="85" t="s">
        <v>144</v>
      </c>
      <c r="J106" s="72"/>
      <c r="K106" s="119">
        <f>K107+K111</f>
        <v>26916.85</v>
      </c>
      <c r="L106" s="85" t="s">
        <v>144</v>
      </c>
      <c r="M106" s="72">
        <f>SUM(M107:M114)</f>
        <v>10640890000</v>
      </c>
      <c r="N106" s="119">
        <f>N107+N111</f>
        <v>6716.49</v>
      </c>
      <c r="O106" s="85" t="s">
        <v>144</v>
      </c>
      <c r="P106" s="72">
        <f>SUM(P107:P114)</f>
        <v>1333763452</v>
      </c>
      <c r="Q106" s="119">
        <f>Q107+Q111</f>
        <v>6778.05</v>
      </c>
      <c r="R106" s="85" t="s">
        <v>144</v>
      </c>
      <c r="S106" s="72">
        <f>SUM(S107:S114)</f>
        <v>1946051736</v>
      </c>
      <c r="T106" s="119">
        <f>T107+T111</f>
        <v>6115.73</v>
      </c>
      <c r="U106" s="85" t="s">
        <v>144</v>
      </c>
      <c r="V106" s="72">
        <f>SUM(V107:V114)</f>
        <v>1408654436</v>
      </c>
      <c r="W106" s="119">
        <f>W107+W111</f>
        <v>0</v>
      </c>
      <c r="X106" s="85" t="s">
        <v>144</v>
      </c>
      <c r="Y106" s="72">
        <f>SUM(Y107:Y114)</f>
        <v>3333741786</v>
      </c>
      <c r="Z106" s="120">
        <f>SUM(N106,Q106,T106,W106)</f>
        <v>19610.27</v>
      </c>
      <c r="AA106" s="85" t="str">
        <f t="shared" si="6"/>
        <v>Ton/Th</v>
      </c>
      <c r="AB106" s="59">
        <f t="shared" si="7"/>
        <v>72.854996034082745</v>
      </c>
      <c r="AC106" s="58" t="s">
        <v>55</v>
      </c>
      <c r="AD106" s="74">
        <f t="shared" si="8"/>
        <v>8022211410</v>
      </c>
      <c r="AE106" s="76">
        <f t="shared" si="9"/>
        <v>75.390417624841533</v>
      </c>
      <c r="AF106" s="52" t="s">
        <v>55</v>
      </c>
      <c r="AG106" s="120">
        <f>SUM(H106,Z106)</f>
        <v>44209.990000000005</v>
      </c>
      <c r="AH106" s="85" t="str">
        <f t="shared" si="11"/>
        <v>Ton/Th</v>
      </c>
      <c r="AI106" s="74">
        <f t="shared" si="12"/>
        <v>8022211410</v>
      </c>
      <c r="AJ106" s="59"/>
      <c r="AK106" s="58" t="s">
        <v>55</v>
      </c>
      <c r="AL106" s="76"/>
      <c r="AM106" s="13"/>
      <c r="AP106" s="27"/>
    </row>
    <row r="107" spans="1:42" ht="135" x14ac:dyDescent="0.2">
      <c r="A107" s="18"/>
      <c r="B107" s="19"/>
      <c r="C107" s="132" t="s">
        <v>136</v>
      </c>
      <c r="D107" s="31" t="s">
        <v>145</v>
      </c>
      <c r="E107" s="71">
        <v>10734.29</v>
      </c>
      <c r="F107" s="51" t="s">
        <v>144</v>
      </c>
      <c r="G107" s="133">
        <f>M107+(1912429000*2)</f>
        <v>4777927500</v>
      </c>
      <c r="H107" s="71">
        <v>7835.8200000000006</v>
      </c>
      <c r="I107" s="51" t="s">
        <v>144</v>
      </c>
      <c r="J107" s="133"/>
      <c r="K107" s="71">
        <v>10277.949999999999</v>
      </c>
      <c r="L107" s="23" t="s">
        <v>144</v>
      </c>
      <c r="M107" s="133">
        <v>953069500</v>
      </c>
      <c r="N107" s="71">
        <v>2565.9900000000002</v>
      </c>
      <c r="O107" s="51" t="str">
        <f t="shared" si="1"/>
        <v>Ton/Th</v>
      </c>
      <c r="P107" s="133">
        <v>130565102</v>
      </c>
      <c r="Q107" s="71">
        <v>2625.7</v>
      </c>
      <c r="R107" s="51" t="str">
        <f t="shared" si="2"/>
        <v>Ton/Th</v>
      </c>
      <c r="S107" s="133">
        <f>422886898-P107</f>
        <v>292321796</v>
      </c>
      <c r="T107" s="71">
        <v>2411.9799999999996</v>
      </c>
      <c r="U107" s="51" t="str">
        <f t="shared" ref="U107:U110" si="155">O107</f>
        <v>Ton/Th</v>
      </c>
      <c r="V107" s="133">
        <v>104931956</v>
      </c>
      <c r="W107" s="71">
        <v>0</v>
      </c>
      <c r="X107" s="51" t="str">
        <f t="shared" ref="X107:X110" si="156">R107</f>
        <v>Ton/Th</v>
      </c>
      <c r="Y107" s="133">
        <v>149960266</v>
      </c>
      <c r="Z107" s="122">
        <f t="shared" ref="Z107:Z112" si="157">SUM(N107,Q107,T107)</f>
        <v>7603.67</v>
      </c>
      <c r="AA107" s="51" t="str">
        <f t="shared" si="6"/>
        <v>Ton/Th</v>
      </c>
      <c r="AB107" s="61">
        <f>Z107/K107*100</f>
        <v>73.980414382245499</v>
      </c>
      <c r="AC107" s="36" t="s">
        <v>55</v>
      </c>
      <c r="AD107" s="134">
        <f t="shared" si="8"/>
        <v>677779120</v>
      </c>
      <c r="AE107" s="135">
        <f t="shared" si="9"/>
        <v>71.115392948782855</v>
      </c>
      <c r="AF107" s="127" t="s">
        <v>55</v>
      </c>
      <c r="AG107" s="61">
        <f t="shared" si="10"/>
        <v>15439.490000000002</v>
      </c>
      <c r="AH107" s="99" t="str">
        <f t="shared" si="11"/>
        <v>Ton/Th</v>
      </c>
      <c r="AI107" s="80">
        <f t="shared" si="12"/>
        <v>677779120</v>
      </c>
      <c r="AJ107" s="83"/>
      <c r="AK107" s="113" t="s">
        <v>55</v>
      </c>
      <c r="AL107" s="135"/>
      <c r="AM107" s="13"/>
      <c r="AP107" s="27"/>
    </row>
    <row r="108" spans="1:42" ht="45" x14ac:dyDescent="0.2">
      <c r="A108" s="18"/>
      <c r="B108" s="19"/>
      <c r="C108" s="112"/>
      <c r="D108" s="31" t="s">
        <v>243</v>
      </c>
      <c r="E108" s="50">
        <v>40</v>
      </c>
      <c r="F108" s="51" t="s">
        <v>153</v>
      </c>
      <c r="G108" s="110"/>
      <c r="H108" s="50">
        <v>25</v>
      </c>
      <c r="I108" s="51" t="s">
        <v>153</v>
      </c>
      <c r="J108" s="110"/>
      <c r="K108" s="50">
        <v>30</v>
      </c>
      <c r="L108" s="51" t="s">
        <v>153</v>
      </c>
      <c r="M108" s="110"/>
      <c r="N108" s="50">
        <v>4</v>
      </c>
      <c r="O108" s="51" t="str">
        <f t="shared" si="1"/>
        <v>Unit</v>
      </c>
      <c r="P108" s="110"/>
      <c r="Q108" s="50">
        <v>0</v>
      </c>
      <c r="R108" s="51" t="str">
        <f t="shared" si="2"/>
        <v>Unit</v>
      </c>
      <c r="S108" s="110"/>
      <c r="T108" s="50">
        <v>1</v>
      </c>
      <c r="U108" s="51" t="str">
        <f t="shared" si="155"/>
        <v>Unit</v>
      </c>
      <c r="V108" s="110"/>
      <c r="W108" s="50">
        <v>0</v>
      </c>
      <c r="X108" s="51" t="str">
        <f t="shared" si="156"/>
        <v>Unit</v>
      </c>
      <c r="Y108" s="110"/>
      <c r="Z108" s="144">
        <f t="shared" si="157"/>
        <v>5</v>
      </c>
      <c r="AA108" s="51" t="str">
        <f t="shared" si="6"/>
        <v>Unit</v>
      </c>
      <c r="AB108" s="60">
        <f>AG108/K108*100</f>
        <v>100</v>
      </c>
      <c r="AC108" s="36" t="s">
        <v>55</v>
      </c>
      <c r="AD108" s="80"/>
      <c r="AE108" s="82"/>
      <c r="AF108" s="111"/>
      <c r="AG108" s="60">
        <f t="shared" ref="AG108" si="158">SUM(H108,Z108)</f>
        <v>30</v>
      </c>
      <c r="AH108" s="99" t="str">
        <f t="shared" ref="AH108" si="159">O108</f>
        <v>Unit</v>
      </c>
      <c r="AI108" s="80"/>
      <c r="AJ108" s="83"/>
      <c r="AK108" s="113"/>
      <c r="AL108" s="82"/>
      <c r="AM108" s="13"/>
      <c r="AP108" s="27"/>
    </row>
    <row r="109" spans="1:42" ht="75" x14ac:dyDescent="0.2">
      <c r="A109" s="18"/>
      <c r="B109" s="19"/>
      <c r="C109" s="112"/>
      <c r="D109" s="31" t="s">
        <v>244</v>
      </c>
      <c r="E109" s="50">
        <v>8</v>
      </c>
      <c r="F109" s="51" t="s">
        <v>153</v>
      </c>
      <c r="G109" s="110"/>
      <c r="H109" s="50">
        <v>2</v>
      </c>
      <c r="I109" s="51" t="s">
        <v>153</v>
      </c>
      <c r="J109" s="110"/>
      <c r="K109" s="50">
        <v>4</v>
      </c>
      <c r="L109" s="51" t="s">
        <v>153</v>
      </c>
      <c r="M109" s="110"/>
      <c r="N109" s="50">
        <v>0</v>
      </c>
      <c r="O109" s="51" t="str">
        <f t="shared" ref="O109" si="160">L109</f>
        <v>Unit</v>
      </c>
      <c r="P109" s="110"/>
      <c r="Q109" s="50">
        <v>0</v>
      </c>
      <c r="R109" s="51" t="str">
        <f t="shared" ref="R109" si="161">L109</f>
        <v>Unit</v>
      </c>
      <c r="S109" s="110"/>
      <c r="T109" s="50">
        <v>2</v>
      </c>
      <c r="U109" s="51" t="str">
        <f t="shared" ref="U109" si="162">O109</f>
        <v>Unit</v>
      </c>
      <c r="V109" s="215"/>
      <c r="W109" s="50">
        <v>0</v>
      </c>
      <c r="X109" s="51" t="str">
        <f t="shared" ref="X109" si="163">R109</f>
        <v>Unit</v>
      </c>
      <c r="Y109" s="110"/>
      <c r="Z109" s="144">
        <f t="shared" ref="Z109" si="164">SUM(N109,Q109,T109)</f>
        <v>2</v>
      </c>
      <c r="AA109" s="51" t="str">
        <f t="shared" ref="AA109" si="165">L109</f>
        <v>Unit</v>
      </c>
      <c r="AB109" s="60">
        <f>AG109/K109*100</f>
        <v>100</v>
      </c>
      <c r="AC109" s="36" t="s">
        <v>55</v>
      </c>
      <c r="AD109" s="80"/>
      <c r="AE109" s="82"/>
      <c r="AF109" s="111"/>
      <c r="AG109" s="60">
        <f t="shared" si="10"/>
        <v>4</v>
      </c>
      <c r="AH109" s="99" t="str">
        <f t="shared" si="11"/>
        <v>Unit</v>
      </c>
      <c r="AI109" s="80"/>
      <c r="AJ109" s="83"/>
      <c r="AK109" s="113"/>
      <c r="AL109" s="82"/>
      <c r="AM109" s="13"/>
      <c r="AP109" s="27"/>
    </row>
    <row r="110" spans="1:42" ht="75" x14ac:dyDescent="0.2">
      <c r="A110" s="18"/>
      <c r="B110" s="19"/>
      <c r="C110" s="28"/>
      <c r="D110" s="31" t="s">
        <v>245</v>
      </c>
      <c r="E110" s="50">
        <v>2</v>
      </c>
      <c r="F110" s="51" t="s">
        <v>246</v>
      </c>
      <c r="G110" s="30"/>
      <c r="H110" s="50">
        <v>1</v>
      </c>
      <c r="I110" s="51" t="s">
        <v>246</v>
      </c>
      <c r="J110" s="30"/>
      <c r="K110" s="50">
        <v>1</v>
      </c>
      <c r="L110" s="51" t="s">
        <v>246</v>
      </c>
      <c r="M110" s="30"/>
      <c r="N110" s="50">
        <v>0</v>
      </c>
      <c r="O110" s="51" t="str">
        <f t="shared" si="1"/>
        <v>Peraturan</v>
      </c>
      <c r="P110" s="30"/>
      <c r="Q110" s="50">
        <v>0</v>
      </c>
      <c r="R110" s="51" t="str">
        <f t="shared" si="2"/>
        <v>Peraturan</v>
      </c>
      <c r="S110" s="30"/>
      <c r="T110" s="50">
        <v>1</v>
      </c>
      <c r="U110" s="51" t="str">
        <f t="shared" si="155"/>
        <v>Peraturan</v>
      </c>
      <c r="V110" s="30"/>
      <c r="W110" s="50">
        <v>0</v>
      </c>
      <c r="X110" s="51" t="str">
        <f t="shared" si="156"/>
        <v>Peraturan</v>
      </c>
      <c r="Y110" s="30"/>
      <c r="Z110" s="144">
        <f t="shared" si="157"/>
        <v>1</v>
      </c>
      <c r="AA110" s="51" t="str">
        <f t="shared" si="6"/>
        <v>Peraturan</v>
      </c>
      <c r="AB110" s="60">
        <f>Z110/K110*100</f>
        <v>100</v>
      </c>
      <c r="AC110" s="36" t="s">
        <v>55</v>
      </c>
      <c r="AD110" s="81"/>
      <c r="AE110" s="83"/>
      <c r="AF110" s="113"/>
      <c r="AG110" s="60">
        <f t="shared" ref="AG110" si="166">SUM(H110,Z110)</f>
        <v>2</v>
      </c>
      <c r="AH110" s="99" t="str">
        <f t="shared" ref="AH110" si="167">O110</f>
        <v>Peraturan</v>
      </c>
      <c r="AI110" s="81"/>
      <c r="AJ110" s="83"/>
      <c r="AK110" s="113"/>
      <c r="AL110" s="83"/>
      <c r="AM110" s="13"/>
      <c r="AP110" s="27"/>
    </row>
    <row r="111" spans="1:42" ht="255" x14ac:dyDescent="0.2">
      <c r="A111" s="18"/>
      <c r="B111" s="19"/>
      <c r="C111" s="28" t="s">
        <v>137</v>
      </c>
      <c r="D111" s="31" t="s">
        <v>146</v>
      </c>
      <c r="E111" s="71">
        <v>16487.05</v>
      </c>
      <c r="F111" s="51" t="s">
        <v>144</v>
      </c>
      <c r="G111" s="25">
        <f>M111+(6904169600*2)</f>
        <v>21129341700</v>
      </c>
      <c r="H111" s="71">
        <v>16738.900000000001</v>
      </c>
      <c r="I111" s="51" t="s">
        <v>144</v>
      </c>
      <c r="J111" s="25"/>
      <c r="K111" s="71">
        <v>16638.900000000001</v>
      </c>
      <c r="L111" s="51" t="s">
        <v>144</v>
      </c>
      <c r="M111" s="25">
        <v>7321002500</v>
      </c>
      <c r="N111" s="71">
        <v>4150.5</v>
      </c>
      <c r="O111" s="51" t="str">
        <f t="shared" si="1"/>
        <v>Ton/Th</v>
      </c>
      <c r="P111" s="25">
        <v>1169126550</v>
      </c>
      <c r="Q111" s="71">
        <v>4152.3500000000004</v>
      </c>
      <c r="R111" s="51" t="str">
        <f t="shared" si="2"/>
        <v>Ton/Th</v>
      </c>
      <c r="S111" s="30">
        <f>2598156490-P111</f>
        <v>1429029940</v>
      </c>
      <c r="T111" s="71">
        <v>3703.75</v>
      </c>
      <c r="U111" s="51" t="str">
        <f t="shared" ref="U111:U112" si="168">O111</f>
        <v>Ton/Th</v>
      </c>
      <c r="V111" s="30">
        <v>1126261880</v>
      </c>
      <c r="W111" s="71">
        <v>0</v>
      </c>
      <c r="X111" s="51" t="str">
        <f t="shared" ref="X111:X112" si="169">R111</f>
        <v>Ton/Th</v>
      </c>
      <c r="Y111" s="30">
        <v>2252360020</v>
      </c>
      <c r="Z111" s="122">
        <f t="shared" si="157"/>
        <v>12006.6</v>
      </c>
      <c r="AA111" s="51" t="str">
        <f t="shared" si="6"/>
        <v>Ton/Th</v>
      </c>
      <c r="AB111" s="61">
        <f>Z111/K111*100</f>
        <v>72.159818257216529</v>
      </c>
      <c r="AC111" s="36" t="s">
        <v>55</v>
      </c>
      <c r="AD111" s="81">
        <f t="shared" si="8"/>
        <v>5976778390</v>
      </c>
      <c r="AE111" s="82">
        <f t="shared" si="9"/>
        <v>81.638797282202816</v>
      </c>
      <c r="AF111" s="111" t="s">
        <v>55</v>
      </c>
      <c r="AG111" s="83">
        <f t="shared" si="10"/>
        <v>28745.5</v>
      </c>
      <c r="AH111" s="51" t="str">
        <f t="shared" si="11"/>
        <v>Ton/Th</v>
      </c>
      <c r="AI111" s="81">
        <f t="shared" si="12"/>
        <v>5976778390</v>
      </c>
      <c r="AJ111" s="61"/>
      <c r="AK111" s="36" t="s">
        <v>55</v>
      </c>
      <c r="AL111" s="83"/>
      <c r="AM111" s="13"/>
      <c r="AP111" s="27"/>
    </row>
    <row r="112" spans="1:42" ht="105" x14ac:dyDescent="0.2">
      <c r="A112" s="18"/>
      <c r="B112" s="19"/>
      <c r="C112" s="132" t="s">
        <v>61</v>
      </c>
      <c r="D112" s="31" t="s">
        <v>247</v>
      </c>
      <c r="E112" s="22">
        <v>40</v>
      </c>
      <c r="F112" s="51" t="s">
        <v>153</v>
      </c>
      <c r="G112" s="133">
        <f>M112+(288925000*2)</f>
        <v>729575000</v>
      </c>
      <c r="H112" s="50">
        <v>25</v>
      </c>
      <c r="I112" s="51" t="s">
        <v>153</v>
      </c>
      <c r="J112" s="133"/>
      <c r="K112" s="50">
        <v>30</v>
      </c>
      <c r="L112" s="51" t="s">
        <v>153</v>
      </c>
      <c r="M112" s="133">
        <v>151725000</v>
      </c>
      <c r="N112" s="46">
        <v>4</v>
      </c>
      <c r="O112" s="51" t="str">
        <f t="shared" si="1"/>
        <v>Unit</v>
      </c>
      <c r="P112" s="133">
        <v>0</v>
      </c>
      <c r="Q112" s="46">
        <v>0</v>
      </c>
      <c r="R112" s="51" t="str">
        <f t="shared" si="2"/>
        <v>Unit</v>
      </c>
      <c r="S112" s="133">
        <v>110525000</v>
      </c>
      <c r="T112" s="46">
        <v>1</v>
      </c>
      <c r="U112" s="51" t="str">
        <f t="shared" si="168"/>
        <v>Unit</v>
      </c>
      <c r="V112" s="133">
        <v>4400000</v>
      </c>
      <c r="W112" s="46">
        <v>0</v>
      </c>
      <c r="X112" s="51" t="str">
        <f t="shared" si="169"/>
        <v>Unit</v>
      </c>
      <c r="Y112" s="133">
        <v>27231500</v>
      </c>
      <c r="Z112" s="60">
        <f t="shared" si="157"/>
        <v>5</v>
      </c>
      <c r="AA112" s="51" t="str">
        <f t="shared" si="6"/>
        <v>Unit</v>
      </c>
      <c r="AB112" s="60">
        <f>AG112/K112*100</f>
        <v>100</v>
      </c>
      <c r="AC112" s="36" t="s">
        <v>55</v>
      </c>
      <c r="AD112" s="134">
        <f t="shared" si="8"/>
        <v>142156500</v>
      </c>
      <c r="AE112" s="135">
        <f t="shared" si="9"/>
        <v>93.693524468610974</v>
      </c>
      <c r="AF112" s="127" t="s">
        <v>55</v>
      </c>
      <c r="AG112" s="60">
        <f t="shared" si="10"/>
        <v>30</v>
      </c>
      <c r="AH112" s="51" t="str">
        <f t="shared" si="11"/>
        <v>Unit</v>
      </c>
      <c r="AI112" s="134">
        <f t="shared" si="12"/>
        <v>142156500</v>
      </c>
      <c r="AJ112" s="61"/>
      <c r="AK112" s="36" t="s">
        <v>55</v>
      </c>
      <c r="AL112" s="135"/>
      <c r="AM112" s="13"/>
      <c r="AP112" s="27"/>
    </row>
    <row r="113" spans="1:45" ht="105" x14ac:dyDescent="0.2">
      <c r="A113" s="18"/>
      <c r="B113" s="19"/>
      <c r="C113" s="28"/>
      <c r="D113" s="31" t="s">
        <v>248</v>
      </c>
      <c r="E113" s="22">
        <v>90</v>
      </c>
      <c r="F113" s="51" t="s">
        <v>55</v>
      </c>
      <c r="G113" s="30"/>
      <c r="H113" s="22">
        <v>1250.0500000000002</v>
      </c>
      <c r="I113" s="51" t="s">
        <v>55</v>
      </c>
      <c r="J113" s="30"/>
      <c r="K113" s="22">
        <v>80</v>
      </c>
      <c r="L113" s="51" t="s">
        <v>55</v>
      </c>
      <c r="M113" s="30"/>
      <c r="N113" s="24">
        <v>0</v>
      </c>
      <c r="O113" s="51" t="str">
        <f t="shared" ref="O113" si="170">L113</f>
        <v>%</v>
      </c>
      <c r="P113" s="30">
        <v>0</v>
      </c>
      <c r="Q113" s="24">
        <v>70</v>
      </c>
      <c r="R113" s="51" t="str">
        <f t="shared" ref="R113" si="171">I113</f>
        <v>%</v>
      </c>
      <c r="S113" s="30"/>
      <c r="T113" s="24">
        <v>75</v>
      </c>
      <c r="U113" s="51" t="str">
        <f>L113</f>
        <v>%</v>
      </c>
      <c r="V113" s="30"/>
      <c r="W113" s="22">
        <v>80</v>
      </c>
      <c r="X113" s="51" t="str">
        <f>L113</f>
        <v>%</v>
      </c>
      <c r="Y113" s="30"/>
      <c r="Z113" s="60">
        <f t="shared" ref="Z113" si="172">SUM(N113,Q113,T113)</f>
        <v>145</v>
      </c>
      <c r="AA113" s="51" t="str">
        <f t="shared" ref="AA113" si="173">L113</f>
        <v>%</v>
      </c>
      <c r="AB113" s="60">
        <f>AG113/K113*100</f>
        <v>0</v>
      </c>
      <c r="AC113" s="36" t="s">
        <v>55</v>
      </c>
      <c r="AD113" s="99"/>
      <c r="AE113" s="216"/>
      <c r="AF113" s="113"/>
      <c r="AG113" s="42"/>
      <c r="AH113" s="61"/>
      <c r="AI113" s="113"/>
      <c r="AJ113" s="60"/>
      <c r="AK113" s="51"/>
      <c r="AL113" s="81"/>
      <c r="AM113" s="82"/>
      <c r="AN113" s="218"/>
      <c r="AO113" s="219"/>
      <c r="AP113" s="217"/>
      <c r="AS113" s="27"/>
    </row>
    <row r="114" spans="1:45" ht="126.75" customHeight="1" x14ac:dyDescent="0.2">
      <c r="A114" s="18"/>
      <c r="B114" s="19"/>
      <c r="C114" s="132" t="s">
        <v>138</v>
      </c>
      <c r="D114" s="31" t="s">
        <v>147</v>
      </c>
      <c r="E114" s="95">
        <v>146</v>
      </c>
      <c r="F114" s="51" t="s">
        <v>199</v>
      </c>
      <c r="G114" s="133">
        <f>M114+(2743285240*2)</f>
        <v>7701663480</v>
      </c>
      <c r="H114" s="50">
        <v>118</v>
      </c>
      <c r="I114" s="51" t="s">
        <v>199</v>
      </c>
      <c r="J114" s="133"/>
      <c r="K114" s="36">
        <v>128</v>
      </c>
      <c r="L114" s="23" t="s">
        <v>148</v>
      </c>
      <c r="M114" s="133">
        <v>2215093000</v>
      </c>
      <c r="N114" s="22">
        <v>2</v>
      </c>
      <c r="O114" s="23" t="s">
        <v>148</v>
      </c>
      <c r="P114" s="133">
        <v>34071800</v>
      </c>
      <c r="Q114" s="22">
        <v>2</v>
      </c>
      <c r="R114" s="23" t="s">
        <v>148</v>
      </c>
      <c r="S114" s="133">
        <f>148246800-P114</f>
        <v>114175000</v>
      </c>
      <c r="T114" s="22">
        <v>3</v>
      </c>
      <c r="U114" s="23" t="s">
        <v>148</v>
      </c>
      <c r="V114" s="133">
        <v>173060600</v>
      </c>
      <c r="W114" s="22">
        <v>3</v>
      </c>
      <c r="X114" s="23" t="s">
        <v>148</v>
      </c>
      <c r="Y114" s="133">
        <v>904190000</v>
      </c>
      <c r="Z114" s="60">
        <f>SUM(N114,Q114,T114,W114)</f>
        <v>10</v>
      </c>
      <c r="AA114" s="137" t="s">
        <v>148</v>
      </c>
      <c r="AB114" s="60">
        <f>AG114/K114*100</f>
        <v>100</v>
      </c>
      <c r="AC114" s="36" t="s">
        <v>55</v>
      </c>
      <c r="AD114" s="134">
        <f>SUM(P114,S114,V114,Y114)</f>
        <v>1225497400</v>
      </c>
      <c r="AE114" s="135">
        <f>AD114/M114*100</f>
        <v>55.324873492896231</v>
      </c>
      <c r="AF114" s="127" t="s">
        <v>55</v>
      </c>
      <c r="AG114" s="136">
        <f>SUM(H114,Z114)</f>
        <v>128</v>
      </c>
      <c r="AH114" s="23" t="s">
        <v>148</v>
      </c>
      <c r="AI114" s="134">
        <f>SUM(J114,AD114)</f>
        <v>1225497400</v>
      </c>
      <c r="AJ114" s="61"/>
      <c r="AK114" s="36" t="s">
        <v>55</v>
      </c>
      <c r="AL114" s="135"/>
      <c r="AM114" s="13"/>
      <c r="AP114" s="27"/>
    </row>
    <row r="115" spans="1:45" ht="15" x14ac:dyDescent="0.2">
      <c r="A115" s="211" t="s">
        <v>33</v>
      </c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  <c r="Z115" s="212"/>
      <c r="AA115" s="213"/>
      <c r="AB115" s="91">
        <f>AVERAGE(AB16:AB114)</f>
        <v>100.28067918261584</v>
      </c>
      <c r="AC115" s="64"/>
      <c r="AD115" s="62"/>
      <c r="AE115" s="91">
        <f>AVERAGE(AE16,AE40,AE44,AE57,AE69,AE74,AE89,AE92,AE96,AE99,AE103)</f>
        <v>75.536833753104489</v>
      </c>
      <c r="AF115" s="64"/>
      <c r="AG115" s="63"/>
      <c r="AH115" s="103"/>
      <c r="AI115" s="63"/>
      <c r="AJ115" s="63"/>
      <c r="AK115" s="64"/>
      <c r="AL115" s="65"/>
      <c r="AM115" s="13"/>
    </row>
    <row r="116" spans="1:45" ht="15" x14ac:dyDescent="0.2">
      <c r="A116" s="211" t="s">
        <v>34</v>
      </c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  <c r="AA116" s="213"/>
      <c r="AB116" s="32" t="str">
        <f>IF(AB115&gt;=91,"Sangat Tinggi",IF(AB115&gt;=76,"Tinggi",IF(AB115&gt;=66,"Sedang",IF(AB115&gt;=51,"Rendah",IF(AB115&lt;=50,"Sangat Rendah")))))</f>
        <v>Sangat Tinggi</v>
      </c>
      <c r="AC116" s="64"/>
      <c r="AD116" s="66"/>
      <c r="AE116" s="32" t="str">
        <f>IF(AE115&gt;=91,"Sangat Tinggi",IF(AE115&gt;=76,"Tinggi",IF(AE115&gt;=66,"Sedang",IF(AE115&gt;=51,"Rendah",IF(AE115&lt;=50,"Sangat Rendah")))))</f>
        <v>Sedang</v>
      </c>
      <c r="AF116" s="64"/>
      <c r="AG116" s="67"/>
      <c r="AH116" s="103"/>
      <c r="AI116" s="68"/>
      <c r="AJ116" s="67"/>
      <c r="AK116" s="64"/>
      <c r="AL116" s="69"/>
      <c r="AM116" s="13"/>
    </row>
    <row r="117" spans="1:45" ht="15" x14ac:dyDescent="0.2">
      <c r="A117" s="189" t="s">
        <v>187</v>
      </c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89"/>
      <c r="AL117" s="189"/>
      <c r="AM117" s="13"/>
    </row>
    <row r="118" spans="1:45" ht="15" x14ac:dyDescent="0.2">
      <c r="A118" s="189" t="s">
        <v>188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3"/>
    </row>
    <row r="119" spans="1:45" ht="15" x14ac:dyDescent="0.2">
      <c r="A119" s="189" t="s">
        <v>189</v>
      </c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3"/>
    </row>
    <row r="120" spans="1:45" ht="23.25" customHeight="1" x14ac:dyDescent="0.2">
      <c r="A120" s="189" t="s">
        <v>190</v>
      </c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33"/>
    </row>
    <row r="121" spans="1:45" ht="15" x14ac:dyDescent="0.2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101"/>
      <c r="AB121" s="34"/>
      <c r="AC121" s="35"/>
      <c r="AD121" s="34"/>
      <c r="AE121" s="34"/>
      <c r="AF121" s="35"/>
      <c r="AG121" s="34"/>
      <c r="AH121" s="101"/>
      <c r="AI121" s="34"/>
      <c r="AJ121" s="34"/>
      <c r="AK121" s="35"/>
      <c r="AL121" s="34"/>
    </row>
    <row r="122" spans="1:45" ht="15" x14ac:dyDescent="0.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147" t="s">
        <v>65</v>
      </c>
      <c r="AA122" s="147"/>
      <c r="AB122" s="147"/>
      <c r="AC122" s="147"/>
      <c r="AD122" s="147"/>
      <c r="AE122" s="147"/>
      <c r="AF122" s="35"/>
      <c r="AG122" s="34"/>
      <c r="AH122" s="147" t="s">
        <v>66</v>
      </c>
      <c r="AI122" s="147"/>
      <c r="AJ122" s="147"/>
      <c r="AK122" s="147"/>
      <c r="AL122" s="147"/>
      <c r="AM122" s="147"/>
    </row>
    <row r="123" spans="1:45" ht="15.75" x14ac:dyDescent="0.25">
      <c r="A123" s="40"/>
      <c r="B123" s="41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147" t="s">
        <v>202</v>
      </c>
      <c r="AA123" s="147"/>
      <c r="AB123" s="147"/>
      <c r="AC123" s="147"/>
      <c r="AD123" s="147"/>
      <c r="AE123" s="147"/>
      <c r="AF123" s="35"/>
      <c r="AG123" s="34"/>
      <c r="AH123" s="147" t="s">
        <v>202</v>
      </c>
      <c r="AI123" s="147"/>
      <c r="AJ123" s="147"/>
      <c r="AK123" s="147"/>
      <c r="AL123" s="147"/>
      <c r="AM123" s="147"/>
    </row>
    <row r="124" spans="1:45" ht="15" x14ac:dyDescent="0.2">
      <c r="Z124" s="147" t="s">
        <v>71</v>
      </c>
      <c r="AA124" s="147"/>
      <c r="AB124" s="147"/>
      <c r="AC124" s="147"/>
      <c r="AD124" s="147"/>
      <c r="AE124" s="147"/>
      <c r="AH124" s="147" t="s">
        <v>67</v>
      </c>
      <c r="AI124" s="147"/>
      <c r="AJ124" s="147"/>
      <c r="AK124" s="147"/>
      <c r="AL124" s="147"/>
      <c r="AM124" s="147"/>
    </row>
    <row r="125" spans="1:45" ht="15" x14ac:dyDescent="0.2">
      <c r="Z125" s="147" t="s">
        <v>68</v>
      </c>
      <c r="AA125" s="147"/>
      <c r="AB125" s="147"/>
      <c r="AC125" s="147"/>
      <c r="AD125" s="147"/>
      <c r="AE125" s="147"/>
      <c r="AH125" s="147" t="s">
        <v>68</v>
      </c>
      <c r="AI125" s="147"/>
      <c r="AJ125" s="147"/>
      <c r="AK125" s="147"/>
      <c r="AL125" s="147"/>
      <c r="AM125" s="147"/>
    </row>
    <row r="126" spans="1:45" ht="51" x14ac:dyDescent="0.2">
      <c r="A126" s="37" t="s">
        <v>35</v>
      </c>
      <c r="B126" s="37" t="s">
        <v>36</v>
      </c>
      <c r="C126" s="37" t="s">
        <v>37</v>
      </c>
      <c r="Z126" s="34"/>
      <c r="AA126" s="101"/>
      <c r="AB126" s="34"/>
      <c r="AC126" s="35"/>
      <c r="AD126" s="34"/>
      <c r="AH126" s="104"/>
      <c r="AI126" s="35"/>
      <c r="AJ126" s="34"/>
      <c r="AK126" s="35"/>
      <c r="AL126" s="34"/>
    </row>
    <row r="127" spans="1:45" ht="25.5" x14ac:dyDescent="0.25">
      <c r="A127" s="38" t="s">
        <v>38</v>
      </c>
      <c r="B127" s="38" t="s">
        <v>39</v>
      </c>
      <c r="C127" s="38" t="s">
        <v>40</v>
      </c>
      <c r="Z127" s="148" t="s">
        <v>72</v>
      </c>
      <c r="AA127" s="148"/>
      <c r="AB127" s="148"/>
      <c r="AC127" s="148"/>
      <c r="AD127" s="148"/>
      <c r="AE127" s="148"/>
      <c r="AH127" s="148" t="s">
        <v>69</v>
      </c>
      <c r="AI127" s="148"/>
      <c r="AJ127" s="148"/>
      <c r="AK127" s="148"/>
      <c r="AL127" s="148"/>
      <c r="AM127" s="148"/>
    </row>
    <row r="128" spans="1:45" ht="25.5" x14ac:dyDescent="0.2">
      <c r="A128" s="38" t="s">
        <v>41</v>
      </c>
      <c r="B128" s="38" t="s">
        <v>42</v>
      </c>
      <c r="C128" s="38" t="s">
        <v>43</v>
      </c>
      <c r="Z128" s="149" t="s">
        <v>73</v>
      </c>
      <c r="AA128" s="149"/>
      <c r="AB128" s="149"/>
      <c r="AC128" s="149"/>
      <c r="AD128" s="149"/>
      <c r="AE128" s="149"/>
      <c r="AH128" s="149" t="s">
        <v>70</v>
      </c>
      <c r="AI128" s="149"/>
      <c r="AJ128" s="149"/>
      <c r="AK128" s="149"/>
      <c r="AL128" s="149"/>
      <c r="AM128" s="149"/>
    </row>
    <row r="129" spans="1:3" ht="25.5" x14ac:dyDescent="0.2">
      <c r="A129" s="38" t="s">
        <v>44</v>
      </c>
      <c r="B129" s="38" t="s">
        <v>45</v>
      </c>
      <c r="C129" s="38" t="s">
        <v>46</v>
      </c>
    </row>
    <row r="130" spans="1:3" ht="25.5" x14ac:dyDescent="0.2">
      <c r="A130" s="38" t="s">
        <v>47</v>
      </c>
      <c r="B130" s="38" t="s">
        <v>48</v>
      </c>
      <c r="C130" s="38" t="s">
        <v>49</v>
      </c>
    </row>
    <row r="131" spans="1:3" ht="25.5" x14ac:dyDescent="0.2">
      <c r="A131" s="38" t="s">
        <v>50</v>
      </c>
      <c r="B131" s="39" t="s">
        <v>51</v>
      </c>
      <c r="C131" s="38" t="s">
        <v>52</v>
      </c>
    </row>
  </sheetData>
  <mergeCells count="93">
    <mergeCell ref="Z10:AF10"/>
    <mergeCell ref="A115:AA115"/>
    <mergeCell ref="A116:AA116"/>
    <mergeCell ref="A118:AL118"/>
    <mergeCell ref="A119:AL119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1:AF11"/>
    <mergeCell ref="AE12:AF12"/>
    <mergeCell ref="A120:AL120"/>
    <mergeCell ref="J13:J15"/>
    <mergeCell ref="K13:L15"/>
    <mergeCell ref="M13:M15"/>
    <mergeCell ref="N13:O15"/>
    <mergeCell ref="A117:AL117"/>
    <mergeCell ref="A13:A15"/>
    <mergeCell ref="B13:B15"/>
    <mergeCell ref="C13:C15"/>
    <mergeCell ref="D13:D15"/>
    <mergeCell ref="E13:F15"/>
    <mergeCell ref="G13:G15"/>
    <mergeCell ref="H13:I15"/>
    <mergeCell ref="E11:F12"/>
    <mergeCell ref="G11:G12"/>
    <mergeCell ref="H11:I12"/>
    <mergeCell ref="J11:J12"/>
    <mergeCell ref="K11:L12"/>
    <mergeCell ref="M11:M12"/>
    <mergeCell ref="N11:O12"/>
    <mergeCell ref="P11:P12"/>
    <mergeCell ref="AG10:AI10"/>
    <mergeCell ref="AJ10:AL10"/>
    <mergeCell ref="K10:M10"/>
    <mergeCell ref="N10:P10"/>
    <mergeCell ref="Q10:S10"/>
    <mergeCell ref="T10:V10"/>
    <mergeCell ref="W10:Y10"/>
    <mergeCell ref="AG12:AH12"/>
    <mergeCell ref="AJ12:AK12"/>
    <mergeCell ref="Z11:AA11"/>
    <mergeCell ref="AG11:AH11"/>
    <mergeCell ref="AJ11:AK11"/>
    <mergeCell ref="AB11:AC11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Z122:AE122"/>
    <mergeCell ref="AH122:AM122"/>
    <mergeCell ref="Z123:AE123"/>
    <mergeCell ref="AH123:AM123"/>
    <mergeCell ref="Z124:AE124"/>
    <mergeCell ref="AH124:AM124"/>
    <mergeCell ref="Z125:AE125"/>
    <mergeCell ref="AH125:AM125"/>
    <mergeCell ref="Z127:AE127"/>
    <mergeCell ref="AH127:AM127"/>
    <mergeCell ref="Z128:AE128"/>
    <mergeCell ref="AH128:AM128"/>
  </mergeCells>
  <printOptions horizontalCentered="1"/>
  <pageMargins left="0.23622047244094491" right="0.23622047244094491" top="3.937007874015748E-2" bottom="3.937007874015748E-2" header="0" footer="0"/>
  <pageSetup paperSize="5" scale="35" fitToHeight="0" orientation="landscape" horizontalDpi="4294967293" r:id="rId1"/>
  <rowBreaks count="2" manualBreakCount="2">
    <brk id="106" max="38" man="1"/>
    <brk id="120" max="3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Dispera,KPLH</vt:lpstr>
      <vt:lpstr>'Dispera,KPLH'!Print_Area</vt:lpstr>
      <vt:lpstr>'Dispera,KPLH'!Print_Titles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2021-12-23T01:55:07Z</dcterms:modified>
</cp:coreProperties>
</file>