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Perikanan" sheetId="1" r:id="rId1"/>
  </sheets>
  <definedNames>
    <definedName name="_xlnm.Print_Area" localSheetId="0">'Dinas Perikanan'!$A$1:$AM$83</definedName>
    <definedName name="_xlnm.Print_Titles" localSheetId="0">'Dinas Perikanan'!$7:$12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4" i="1" l="1"/>
  <c r="AG52" i="1"/>
  <c r="AB42" i="1"/>
  <c r="AG42" i="1"/>
  <c r="Z42" i="1"/>
  <c r="AG39" i="1"/>
  <c r="AG38" i="1"/>
  <c r="Z35" i="1"/>
  <c r="AG35" i="1"/>
  <c r="AE35" i="1"/>
  <c r="AE39" i="1"/>
  <c r="AE38" i="1"/>
  <c r="AB38" i="1"/>
  <c r="T38" i="1"/>
  <c r="Q38" i="1"/>
  <c r="N38" i="1"/>
  <c r="W36" i="1"/>
  <c r="W42" i="1"/>
  <c r="T42" i="1"/>
  <c r="Q42" i="1"/>
  <c r="W41" i="1"/>
  <c r="T41" i="1"/>
  <c r="W40" i="1"/>
  <c r="T40" i="1"/>
  <c r="W53" i="1"/>
  <c r="W47" i="1"/>
  <c r="X62" i="1" l="1"/>
  <c r="X61" i="1"/>
  <c r="Y60" i="1"/>
  <c r="X60" i="1"/>
  <c r="X59" i="1"/>
  <c r="Y58" i="1"/>
  <c r="X58" i="1"/>
  <c r="X57" i="1"/>
  <c r="X56" i="1"/>
  <c r="X55" i="1"/>
  <c r="Y54" i="1"/>
  <c r="Y52" i="1" s="1"/>
  <c r="X54" i="1"/>
  <c r="X53" i="1"/>
  <c r="X52" i="1"/>
  <c r="W52" i="1"/>
  <c r="X51" i="1"/>
  <c r="X50" i="1"/>
  <c r="X49" i="1"/>
  <c r="X46" i="1" s="1"/>
  <c r="X48" i="1"/>
  <c r="X47" i="1"/>
  <c r="Y46" i="1"/>
  <c r="W46" i="1"/>
  <c r="X45" i="1"/>
  <c r="Y44" i="1"/>
  <c r="X44" i="1"/>
  <c r="W44" i="1"/>
  <c r="X43" i="1"/>
  <c r="X42" i="1"/>
  <c r="X41" i="1"/>
  <c r="X40" i="1"/>
  <c r="X39" i="1"/>
  <c r="Y38" i="1"/>
  <c r="X38" i="1"/>
  <c r="X37" i="1"/>
  <c r="Y36" i="1"/>
  <c r="X36" i="1"/>
  <c r="X35" i="1"/>
  <c r="X34" i="1"/>
  <c r="X33" i="1"/>
  <c r="Y32" i="1"/>
  <c r="X32" i="1"/>
  <c r="X31" i="1"/>
  <c r="X30" i="1"/>
  <c r="X29" i="1"/>
  <c r="Y28" i="1"/>
  <c r="X28" i="1"/>
  <c r="X27" i="1"/>
  <c r="X26" i="1"/>
  <c r="X25" i="1"/>
  <c r="X24" i="1"/>
  <c r="X23" i="1"/>
  <c r="Y22" i="1"/>
  <c r="X22" i="1"/>
  <c r="X21" i="1"/>
  <c r="X20" i="1"/>
  <c r="X19" i="1"/>
  <c r="X18" i="1"/>
  <c r="Y17" i="1"/>
  <c r="X17" i="1"/>
  <c r="W17" i="1"/>
  <c r="X16" i="1"/>
  <c r="X15" i="1"/>
  <c r="Y14" i="1"/>
  <c r="X14" i="1"/>
  <c r="W14" i="1"/>
  <c r="X13" i="1"/>
  <c r="Y57" i="1" l="1"/>
  <c r="Y40" i="1"/>
  <c r="Y35" i="1"/>
  <c r="Y13" i="1"/>
  <c r="E34" i="1"/>
  <c r="E33" i="1"/>
  <c r="E31" i="1"/>
  <c r="E30" i="1"/>
  <c r="E29" i="1"/>
  <c r="E27" i="1"/>
  <c r="E26" i="1"/>
  <c r="E25" i="1"/>
  <c r="E24" i="1"/>
  <c r="E23" i="1"/>
  <c r="E20" i="1"/>
  <c r="E21" i="1"/>
  <c r="E19" i="1"/>
  <c r="E18" i="1"/>
  <c r="E16" i="1"/>
  <c r="E15" i="1"/>
  <c r="E17" i="1"/>
  <c r="E14" i="1"/>
  <c r="H17" i="1"/>
  <c r="H14" i="1"/>
  <c r="T35" i="1" l="1"/>
  <c r="Q35" i="1"/>
  <c r="N35" i="1" l="1"/>
  <c r="E35" i="1"/>
  <c r="K35" i="1"/>
  <c r="Z53" i="1"/>
  <c r="AB53" i="1" s="1"/>
  <c r="T53" i="1"/>
  <c r="Q53" i="1"/>
  <c r="N53" i="1"/>
  <c r="K53" i="1"/>
  <c r="H53" i="1"/>
  <c r="E53" i="1"/>
  <c r="AA53" i="1"/>
  <c r="U53" i="1"/>
  <c r="R53" i="1"/>
  <c r="O53" i="1"/>
  <c r="AH53" i="1" s="1"/>
  <c r="U48" i="1"/>
  <c r="R48" i="1"/>
  <c r="O48" i="1"/>
  <c r="J44" i="1"/>
  <c r="J40" i="1" s="1"/>
  <c r="H49" i="1"/>
  <c r="E49" i="1"/>
  <c r="H41" i="1"/>
  <c r="E47" i="1"/>
  <c r="H47" i="1"/>
  <c r="K41" i="1" s="1"/>
  <c r="H45" i="1"/>
  <c r="E45" i="1"/>
  <c r="E51" i="1"/>
  <c r="K42" i="1" s="1"/>
  <c r="H48" i="1"/>
  <c r="E42" i="1"/>
  <c r="H42" i="1"/>
  <c r="Z43" i="1"/>
  <c r="AB43" i="1" s="1"/>
  <c r="U43" i="1"/>
  <c r="R43" i="1"/>
  <c r="O43" i="1"/>
  <c r="AH43" i="1" s="1"/>
  <c r="AA42" i="1"/>
  <c r="U42" i="1"/>
  <c r="R42" i="1"/>
  <c r="O42" i="1"/>
  <c r="AH42" i="1" s="1"/>
  <c r="AA41" i="1"/>
  <c r="U41" i="1"/>
  <c r="R41" i="1"/>
  <c r="O41" i="1"/>
  <c r="AH41" i="1" s="1"/>
  <c r="T44" i="1"/>
  <c r="Q44" i="1"/>
  <c r="N44" i="1"/>
  <c r="K44" i="1"/>
  <c r="I44" i="1"/>
  <c r="H44" i="1"/>
  <c r="F44" i="1"/>
  <c r="E44" i="1"/>
  <c r="G45" i="1"/>
  <c r="G44" i="1" s="1"/>
  <c r="H35" i="1"/>
  <c r="T36" i="1"/>
  <c r="Q36" i="1"/>
  <c r="N36" i="1"/>
  <c r="L36" i="1"/>
  <c r="U36" i="1" s="1"/>
  <c r="K36" i="1"/>
  <c r="I36" i="1"/>
  <c r="H36" i="1"/>
  <c r="F36" i="1"/>
  <c r="G37" i="1"/>
  <c r="G36" i="1" s="1"/>
  <c r="E37" i="1"/>
  <c r="E36" i="1" s="1"/>
  <c r="H38" i="1"/>
  <c r="G39" i="1"/>
  <c r="G38" i="1" s="1"/>
  <c r="E39" i="1"/>
  <c r="J38" i="1"/>
  <c r="I46" i="1"/>
  <c r="H46" i="1"/>
  <c r="K40" i="1" s="1"/>
  <c r="T46" i="1"/>
  <c r="Q46" i="1"/>
  <c r="Q40" i="1" s="1"/>
  <c r="N46" i="1"/>
  <c r="N40" i="1" s="1"/>
  <c r="L46" i="1"/>
  <c r="K46" i="1"/>
  <c r="T47" i="1"/>
  <c r="Q47" i="1"/>
  <c r="Q41" i="1" s="1"/>
  <c r="N47" i="1"/>
  <c r="Z47" i="1" s="1"/>
  <c r="AB47" i="1" s="1"/>
  <c r="L47" i="1"/>
  <c r="K47" i="1"/>
  <c r="T48" i="1"/>
  <c r="Q48" i="1"/>
  <c r="N48" i="1"/>
  <c r="AA48" i="1"/>
  <c r="K48" i="1"/>
  <c r="I47" i="1"/>
  <c r="F47" i="1"/>
  <c r="T52" i="1"/>
  <c r="Q52" i="1"/>
  <c r="Z52" i="1" s="1"/>
  <c r="N52" i="1"/>
  <c r="K52" i="1"/>
  <c r="H52" i="1"/>
  <c r="E56" i="1"/>
  <c r="E52" i="1" s="1"/>
  <c r="Z56" i="1"/>
  <c r="J54" i="1"/>
  <c r="J52" i="1" s="1"/>
  <c r="V54" i="1"/>
  <c r="V52" i="1" s="1"/>
  <c r="S54" i="1"/>
  <c r="P54" i="1"/>
  <c r="M54" i="1"/>
  <c r="G55" i="1"/>
  <c r="E55" i="1"/>
  <c r="J60" i="1"/>
  <c r="G62" i="1"/>
  <c r="G61" i="1"/>
  <c r="E62" i="1"/>
  <c r="E61" i="1"/>
  <c r="J58" i="1"/>
  <c r="E58" i="1"/>
  <c r="G59" i="1"/>
  <c r="G58" i="1" s="1"/>
  <c r="E59" i="1"/>
  <c r="U59" i="1"/>
  <c r="F46" i="1"/>
  <c r="E46" i="1"/>
  <c r="G51" i="1"/>
  <c r="E48" i="1"/>
  <c r="N42" i="1" s="1"/>
  <c r="G50" i="1"/>
  <c r="E50" i="1"/>
  <c r="Z50" i="1"/>
  <c r="U62" i="1"/>
  <c r="U61" i="1"/>
  <c r="U60" i="1"/>
  <c r="U58" i="1"/>
  <c r="U57" i="1"/>
  <c r="U56" i="1"/>
  <c r="U55" i="1"/>
  <c r="U54" i="1"/>
  <c r="U52" i="1"/>
  <c r="U51" i="1"/>
  <c r="U50" i="1"/>
  <c r="U47" i="1" s="1"/>
  <c r="U49" i="1"/>
  <c r="U46" i="1" s="1"/>
  <c r="U45" i="1"/>
  <c r="U44" i="1"/>
  <c r="U40" i="1"/>
  <c r="U39" i="1"/>
  <c r="U38" i="1"/>
  <c r="U37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R62" i="1"/>
  <c r="R61" i="1"/>
  <c r="R60" i="1"/>
  <c r="R59" i="1"/>
  <c r="R58" i="1"/>
  <c r="R57" i="1"/>
  <c r="R56" i="1"/>
  <c r="R55" i="1"/>
  <c r="R54" i="1"/>
  <c r="R52" i="1"/>
  <c r="R51" i="1"/>
  <c r="R50" i="1"/>
  <c r="R47" i="1" s="1"/>
  <c r="R49" i="1"/>
  <c r="R46" i="1" s="1"/>
  <c r="R45" i="1"/>
  <c r="R44" i="1"/>
  <c r="R40" i="1"/>
  <c r="R39" i="1"/>
  <c r="R38" i="1"/>
  <c r="R37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4" i="1"/>
  <c r="O62" i="1"/>
  <c r="O61" i="1"/>
  <c r="O60" i="1"/>
  <c r="O59" i="1"/>
  <c r="O58" i="1"/>
  <c r="O57" i="1"/>
  <c r="O56" i="1"/>
  <c r="O55" i="1"/>
  <c r="O54" i="1"/>
  <c r="O52" i="1"/>
  <c r="O51" i="1"/>
  <c r="AH48" i="1" s="1"/>
  <c r="O50" i="1"/>
  <c r="O47" i="1" s="1"/>
  <c r="O49" i="1"/>
  <c r="O46" i="1" s="1"/>
  <c r="O45" i="1"/>
  <c r="O44" i="1"/>
  <c r="O40" i="1"/>
  <c r="O39" i="1"/>
  <c r="O38" i="1"/>
  <c r="O37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U13" i="1"/>
  <c r="R13" i="1"/>
  <c r="O13" i="1"/>
  <c r="AH55" i="1"/>
  <c r="AD55" i="1"/>
  <c r="AI55" i="1" s="1"/>
  <c r="AA55" i="1"/>
  <c r="Z55" i="1"/>
  <c r="AB55" i="1" s="1"/>
  <c r="V58" i="1"/>
  <c r="V46" i="1"/>
  <c r="V60" i="1"/>
  <c r="V44" i="1"/>
  <c r="V38" i="1"/>
  <c r="V36" i="1"/>
  <c r="V32" i="1"/>
  <c r="V28" i="1"/>
  <c r="V22" i="1"/>
  <c r="V17" i="1"/>
  <c r="T17" i="1"/>
  <c r="V14" i="1"/>
  <c r="T14" i="1"/>
  <c r="S22" i="1"/>
  <c r="AG53" i="1" l="1"/>
  <c r="H40" i="1"/>
  <c r="G54" i="1"/>
  <c r="G52" i="1" s="1"/>
  <c r="N41" i="1"/>
  <c r="Z41" i="1" s="1"/>
  <c r="AG41" i="1" s="1"/>
  <c r="AB41" i="1" s="1"/>
  <c r="G60" i="1"/>
  <c r="R36" i="1"/>
  <c r="G46" i="1"/>
  <c r="G40" i="1" s="1"/>
  <c r="AG43" i="1"/>
  <c r="G35" i="1"/>
  <c r="G57" i="1"/>
  <c r="Z48" i="1"/>
  <c r="O36" i="1"/>
  <c r="AA47" i="1"/>
  <c r="AH47" i="1"/>
  <c r="AB48" i="1"/>
  <c r="J57" i="1"/>
  <c r="AG47" i="1"/>
  <c r="AE55" i="1"/>
  <c r="AG48" i="1"/>
  <c r="AG55" i="1"/>
  <c r="V13" i="1"/>
  <c r="V57" i="1"/>
  <c r="V40" i="1"/>
  <c r="V35" i="1"/>
  <c r="S60" i="1"/>
  <c r="S58" i="1"/>
  <c r="S46" i="1"/>
  <c r="S44" i="1"/>
  <c r="S38" i="1"/>
  <c r="S36" i="1"/>
  <c r="S32" i="1"/>
  <c r="S28" i="1"/>
  <c r="S17" i="1"/>
  <c r="Q17" i="1"/>
  <c r="S14" i="1"/>
  <c r="Q14" i="1"/>
  <c r="S57" i="1" l="1"/>
  <c r="S35" i="1"/>
  <c r="S40" i="1"/>
  <c r="S13" i="1"/>
  <c r="AH62" i="1"/>
  <c r="AD62" i="1"/>
  <c r="AI62" i="1" s="1"/>
  <c r="AA62" i="1"/>
  <c r="Z62" i="1"/>
  <c r="AB62" i="1" s="1"/>
  <c r="AH61" i="1"/>
  <c r="AD61" i="1"/>
  <c r="AI61" i="1" s="1"/>
  <c r="AA61" i="1"/>
  <c r="Z61" i="1"/>
  <c r="AB61" i="1" s="1"/>
  <c r="AH60" i="1"/>
  <c r="AA60" i="1"/>
  <c r="Z60" i="1"/>
  <c r="AB60" i="1" s="1"/>
  <c r="AH59" i="1"/>
  <c r="AD59" i="1"/>
  <c r="AI59" i="1" s="1"/>
  <c r="AA59" i="1"/>
  <c r="Z59" i="1"/>
  <c r="AB59" i="1" s="1"/>
  <c r="AH58" i="1"/>
  <c r="AA58" i="1"/>
  <c r="Z58" i="1"/>
  <c r="AB58" i="1" s="1"/>
  <c r="AH57" i="1"/>
  <c r="AA57" i="1"/>
  <c r="Z57" i="1"/>
  <c r="AB57" i="1" s="1"/>
  <c r="AH56" i="1"/>
  <c r="AA56" i="1"/>
  <c r="AB56" i="1"/>
  <c r="AH54" i="1"/>
  <c r="AA54" i="1"/>
  <c r="Z54" i="1"/>
  <c r="AB54" i="1" s="1"/>
  <c r="AH52" i="1"/>
  <c r="AA52" i="1"/>
  <c r="AB52" i="1"/>
  <c r="AH51" i="1"/>
  <c r="AD51" i="1"/>
  <c r="AI51" i="1" s="1"/>
  <c r="AA51" i="1"/>
  <c r="Z51" i="1"/>
  <c r="AB51" i="1" s="1"/>
  <c r="AH50" i="1"/>
  <c r="AD50" i="1"/>
  <c r="AI50" i="1" s="1"/>
  <c r="AA50" i="1"/>
  <c r="AB50" i="1"/>
  <c r="AH49" i="1"/>
  <c r="AD49" i="1"/>
  <c r="AI49" i="1" s="1"/>
  <c r="AA49" i="1"/>
  <c r="Z49" i="1"/>
  <c r="AB49" i="1" s="1"/>
  <c r="AH46" i="1"/>
  <c r="AA46" i="1"/>
  <c r="Z46" i="1"/>
  <c r="AB46" i="1" s="1"/>
  <c r="AH45" i="1"/>
  <c r="AD45" i="1"/>
  <c r="AI45" i="1" s="1"/>
  <c r="AA45" i="1"/>
  <c r="Z45" i="1"/>
  <c r="AB45" i="1" s="1"/>
  <c r="AH44" i="1"/>
  <c r="AA44" i="1"/>
  <c r="Z44" i="1"/>
  <c r="AB44" i="1" s="1"/>
  <c r="AH40" i="1"/>
  <c r="AA40" i="1"/>
  <c r="Z40" i="1"/>
  <c r="AH39" i="1"/>
  <c r="AD39" i="1"/>
  <c r="AI39" i="1" s="1"/>
  <c r="AA39" i="1"/>
  <c r="Z39" i="1"/>
  <c r="AB39" i="1" s="1"/>
  <c r="AH38" i="1"/>
  <c r="AA38" i="1"/>
  <c r="Z38" i="1"/>
  <c r="AH37" i="1"/>
  <c r="AD37" i="1"/>
  <c r="AI37" i="1" s="1"/>
  <c r="AA37" i="1"/>
  <c r="Z37" i="1"/>
  <c r="AB37" i="1" s="1"/>
  <c r="AH36" i="1"/>
  <c r="AA36" i="1"/>
  <c r="Z36" i="1"/>
  <c r="AB36" i="1" s="1"/>
  <c r="AH35" i="1"/>
  <c r="AA35" i="1"/>
  <c r="AB35" i="1"/>
  <c r="AH34" i="1"/>
  <c r="AD34" i="1"/>
  <c r="AI34" i="1" s="1"/>
  <c r="AA34" i="1"/>
  <c r="Z34" i="1"/>
  <c r="AB34" i="1" s="1"/>
  <c r="AH33" i="1"/>
  <c r="AD33" i="1"/>
  <c r="AI33" i="1" s="1"/>
  <c r="AA33" i="1"/>
  <c r="Z33" i="1"/>
  <c r="AB33" i="1" s="1"/>
  <c r="AH32" i="1"/>
  <c r="AA32" i="1"/>
  <c r="Z32" i="1"/>
  <c r="AB32" i="1" s="1"/>
  <c r="AH31" i="1"/>
  <c r="AD31" i="1"/>
  <c r="AI31" i="1" s="1"/>
  <c r="AA31" i="1"/>
  <c r="Z31" i="1"/>
  <c r="AB31" i="1" s="1"/>
  <c r="AH30" i="1"/>
  <c r="AD30" i="1"/>
  <c r="AI30" i="1" s="1"/>
  <c r="AA30" i="1"/>
  <c r="Z30" i="1"/>
  <c r="AB30" i="1" s="1"/>
  <c r="AH29" i="1"/>
  <c r="AD29" i="1"/>
  <c r="AI29" i="1" s="1"/>
  <c r="AA29" i="1"/>
  <c r="Z29" i="1"/>
  <c r="AB29" i="1" s="1"/>
  <c r="AH28" i="1"/>
  <c r="AA28" i="1"/>
  <c r="Z28" i="1"/>
  <c r="AB28" i="1" s="1"/>
  <c r="AH27" i="1"/>
  <c r="AD27" i="1"/>
  <c r="AE27" i="1" s="1"/>
  <c r="AA27" i="1"/>
  <c r="Z27" i="1"/>
  <c r="AB27" i="1" s="1"/>
  <c r="AH26" i="1"/>
  <c r="AD26" i="1"/>
  <c r="AE26" i="1" s="1"/>
  <c r="AA26" i="1"/>
  <c r="Z26" i="1"/>
  <c r="AB26" i="1" s="1"/>
  <c r="AH25" i="1"/>
  <c r="AD25" i="1"/>
  <c r="AE25" i="1" s="1"/>
  <c r="AA25" i="1"/>
  <c r="Z25" i="1"/>
  <c r="AB25" i="1" s="1"/>
  <c r="AH24" i="1"/>
  <c r="AD24" i="1"/>
  <c r="AE24" i="1" s="1"/>
  <c r="AA24" i="1"/>
  <c r="Z24" i="1"/>
  <c r="AB24" i="1" s="1"/>
  <c r="AH23" i="1"/>
  <c r="AD23" i="1"/>
  <c r="AE23" i="1" s="1"/>
  <c r="AA23" i="1"/>
  <c r="Z23" i="1"/>
  <c r="AB23" i="1" s="1"/>
  <c r="AH22" i="1"/>
  <c r="AA22" i="1"/>
  <c r="Z22" i="1"/>
  <c r="AB22" i="1" s="1"/>
  <c r="AH21" i="1"/>
  <c r="AD21" i="1"/>
  <c r="AE21" i="1" s="1"/>
  <c r="AA21" i="1"/>
  <c r="Z21" i="1"/>
  <c r="AB21" i="1" s="1"/>
  <c r="AH20" i="1"/>
  <c r="AD20" i="1"/>
  <c r="AE20" i="1" s="1"/>
  <c r="AA20" i="1"/>
  <c r="Z20" i="1"/>
  <c r="AB20" i="1" s="1"/>
  <c r="AH19" i="1"/>
  <c r="AD19" i="1"/>
  <c r="AE19" i="1" s="1"/>
  <c r="AA19" i="1"/>
  <c r="Z19" i="1"/>
  <c r="AB19" i="1" s="1"/>
  <c r="AH18" i="1"/>
  <c r="AD18" i="1"/>
  <c r="AE18" i="1" s="1"/>
  <c r="AA18" i="1"/>
  <c r="Z18" i="1"/>
  <c r="AB18" i="1" s="1"/>
  <c r="AH17" i="1"/>
  <c r="AA17" i="1"/>
  <c r="AH16" i="1"/>
  <c r="AD16" i="1"/>
  <c r="AE16" i="1" s="1"/>
  <c r="AA16" i="1"/>
  <c r="Z16" i="1"/>
  <c r="AB16" i="1" s="1"/>
  <c r="AH15" i="1"/>
  <c r="AD15" i="1"/>
  <c r="AE15" i="1" s="1"/>
  <c r="AA15" i="1"/>
  <c r="Z15" i="1"/>
  <c r="AB15" i="1" s="1"/>
  <c r="AH14" i="1"/>
  <c r="AA14" i="1"/>
  <c r="AH13" i="1"/>
  <c r="AA13" i="1"/>
  <c r="Z13" i="1"/>
  <c r="AG13" i="1" s="1"/>
  <c r="AG37" i="1" l="1"/>
  <c r="AG49" i="1"/>
  <c r="AI16" i="1"/>
  <c r="AG30" i="1"/>
  <c r="AG33" i="1"/>
  <c r="AG59" i="1"/>
  <c r="AI26" i="1"/>
  <c r="AI20" i="1"/>
  <c r="AG21" i="1"/>
  <c r="AG23" i="1"/>
  <c r="AG27" i="1"/>
  <c r="AG29" i="1"/>
  <c r="AG40" i="1"/>
  <c r="AB40" i="1" s="1"/>
  <c r="AG44" i="1"/>
  <c r="AG60" i="1"/>
  <c r="AI18" i="1"/>
  <c r="AG19" i="1"/>
  <c r="AI24" i="1"/>
  <c r="AG25" i="1"/>
  <c r="AG34" i="1"/>
  <c r="AG50" i="1"/>
  <c r="AG56" i="1"/>
  <c r="AG15" i="1"/>
  <c r="AB13" i="1"/>
  <c r="AI15" i="1"/>
  <c r="AG16" i="1"/>
  <c r="AG18" i="1"/>
  <c r="AI19" i="1"/>
  <c r="AG20" i="1"/>
  <c r="AI21" i="1"/>
  <c r="AG22" i="1"/>
  <c r="AI23" i="1"/>
  <c r="AG24" i="1"/>
  <c r="AI25" i="1"/>
  <c r="AG26" i="1"/>
  <c r="AI27" i="1"/>
  <c r="AG28" i="1"/>
  <c r="AG31" i="1"/>
  <c r="AG45" i="1"/>
  <c r="AG51" i="1"/>
  <c r="AG57" i="1"/>
  <c r="AG61" i="1"/>
  <c r="AG32" i="1"/>
  <c r="AG36" i="1"/>
  <c r="AG46" i="1"/>
  <c r="AG58" i="1"/>
  <c r="AG62" i="1"/>
  <c r="AE29" i="1"/>
  <c r="AE30" i="1"/>
  <c r="AE31" i="1"/>
  <c r="AE33" i="1"/>
  <c r="AE34" i="1"/>
  <c r="AE37" i="1"/>
  <c r="AE45" i="1"/>
  <c r="AE49" i="1"/>
  <c r="AE50" i="1"/>
  <c r="AE51" i="1"/>
  <c r="AE59" i="1"/>
  <c r="AE61" i="1"/>
  <c r="AE62" i="1"/>
  <c r="P58" i="1"/>
  <c r="AD58" i="1" s="1"/>
  <c r="AI58" i="1" s="1"/>
  <c r="M58" i="1"/>
  <c r="AD54" i="1"/>
  <c r="AI54" i="1" s="1"/>
  <c r="M52" i="1"/>
  <c r="P46" i="1"/>
  <c r="M46" i="1"/>
  <c r="P44" i="1"/>
  <c r="AD44" i="1" s="1"/>
  <c r="AI44" i="1" s="1"/>
  <c r="M44" i="1"/>
  <c r="P38" i="1"/>
  <c r="AD38" i="1" s="1"/>
  <c r="AI38" i="1" s="1"/>
  <c r="M38" i="1"/>
  <c r="P36" i="1"/>
  <c r="AD36" i="1" s="1"/>
  <c r="AI36" i="1" s="1"/>
  <c r="M36" i="1"/>
  <c r="P28" i="1"/>
  <c r="AD28" i="1" s="1"/>
  <c r="M28" i="1"/>
  <c r="AB63" i="1" l="1"/>
  <c r="AD46" i="1"/>
  <c r="AI46" i="1" s="1"/>
  <c r="AE44" i="1"/>
  <c r="P52" i="1"/>
  <c r="AE28" i="1"/>
  <c r="AI28" i="1"/>
  <c r="AE54" i="1"/>
  <c r="M35" i="1"/>
  <c r="M40" i="1"/>
  <c r="AE58" i="1"/>
  <c r="AE36" i="1"/>
  <c r="P35" i="1"/>
  <c r="AD35" i="1" s="1"/>
  <c r="AE46" i="1" l="1"/>
  <c r="AD52" i="1"/>
  <c r="AI52" i="1" s="1"/>
  <c r="AI35" i="1"/>
  <c r="P60" i="1"/>
  <c r="P40" i="1"/>
  <c r="AD40" i="1" s="1"/>
  <c r="P32" i="1"/>
  <c r="AD32" i="1" s="1"/>
  <c r="P22" i="1"/>
  <c r="AD22" i="1" s="1"/>
  <c r="P17" i="1"/>
  <c r="AD17" i="1" s="1"/>
  <c r="N17" i="1"/>
  <c r="Z17" i="1" s="1"/>
  <c r="P14" i="1"/>
  <c r="AD14" i="1" s="1"/>
  <c r="N14" i="1"/>
  <c r="Z14" i="1" s="1"/>
  <c r="M22" i="1"/>
  <c r="M17" i="1"/>
  <c r="M14" i="1"/>
  <c r="K17" i="1"/>
  <c r="K14" i="1"/>
  <c r="AE52" i="1" l="1"/>
  <c r="AG14" i="1"/>
  <c r="AB14" i="1"/>
  <c r="AE22" i="1"/>
  <c r="AI22" i="1"/>
  <c r="AE14" i="1"/>
  <c r="AI14" i="1"/>
  <c r="AI32" i="1"/>
  <c r="AB17" i="1"/>
  <c r="AG17" i="1"/>
  <c r="AI40" i="1"/>
  <c r="AE40" i="1"/>
  <c r="AE17" i="1"/>
  <c r="AI17" i="1"/>
  <c r="P57" i="1"/>
  <c r="AD57" i="1" s="1"/>
  <c r="AD60" i="1"/>
  <c r="P13" i="1"/>
  <c r="AD13" i="1" s="1"/>
  <c r="M60" i="1"/>
  <c r="M57" i="1" s="1"/>
  <c r="M32" i="1"/>
  <c r="M13" i="1" s="1"/>
  <c r="AI57" i="1" l="1"/>
  <c r="AE57" i="1"/>
  <c r="AI13" i="1"/>
  <c r="AE13" i="1"/>
  <c r="AI60" i="1"/>
  <c r="AE60" i="1"/>
  <c r="AE32" i="1"/>
  <c r="AP23" i="1"/>
  <c r="AP22" i="1"/>
  <c r="AE63" i="1" l="1"/>
  <c r="AP21" i="1"/>
  <c r="AP20" i="1"/>
  <c r="AP19" i="1"/>
  <c r="AP18" i="1"/>
  <c r="AP13" i="1"/>
  <c r="AE64" i="1" l="1"/>
  <c r="AB64" i="1"/>
</calcChain>
</file>

<file path=xl/comments1.xml><?xml version="1.0" encoding="utf-8"?>
<comments xmlns="http://schemas.openxmlformats.org/spreadsheetml/2006/main">
  <authors>
    <author>USER</author>
  </authors>
  <commentList>
    <comment ref="Q37" authorId="0" shapeId="0">
      <text>
        <r>
          <rPr>
            <b/>
            <sz val="12"/>
            <color indexed="81"/>
            <rFont val="Tahoma"/>
            <family val="2"/>
          </rPr>
          <t>DAU</t>
        </r>
      </text>
    </comment>
    <comment ref="T37" authorId="0" shapeId="0">
      <text>
        <r>
          <rPr>
            <b/>
            <sz val="12"/>
            <color indexed="81"/>
            <rFont val="Tahoma"/>
            <family val="2"/>
          </rPr>
          <t>DAK</t>
        </r>
      </text>
    </comment>
    <comment ref="H38" authorId="0" shapeId="0">
      <text>
        <r>
          <rPr>
            <b/>
            <sz val="12"/>
            <color indexed="81"/>
            <rFont val="Tahoma"/>
            <family val="2"/>
          </rPr>
          <t>2019, 55 org 1 set, 30 org tempirai+perahu</t>
        </r>
      </text>
    </comment>
    <comment ref="T38" authorId="0" shapeId="0">
      <text>
        <r>
          <rPr>
            <b/>
            <sz val="12"/>
            <color indexed="81"/>
            <rFont val="Tahoma"/>
            <family val="2"/>
          </rPr>
          <t>63 org 1 set, 9 org tempirai+perahu</t>
        </r>
      </text>
    </comment>
    <comment ref="W38" authorId="0" shapeId="0">
      <text>
        <r>
          <rPr>
            <b/>
            <sz val="12"/>
            <color indexed="81"/>
            <rFont val="Tahoma"/>
            <family val="2"/>
          </rPr>
          <t>63 org 1 set, 9 org tempirai+perahu</t>
        </r>
      </text>
    </comment>
    <comment ref="T50" authorId="0" shapeId="0">
      <text>
        <r>
          <rPr>
            <b/>
            <sz val="12"/>
            <color indexed="81"/>
            <rFont val="Tahoma"/>
            <family val="2"/>
          </rPr>
          <t>s.d Oktober</t>
        </r>
      </text>
    </comment>
    <comment ref="E54" authorId="0" shapeId="0">
      <text>
        <r>
          <rPr>
            <b/>
            <sz val="12"/>
            <color indexed="81"/>
            <rFont val="Tahoma"/>
            <family val="2"/>
          </rPr>
          <t>Bangkau, Paharangan, Pantai Ulin, Muning Dalam, Bago Tanggul, Bajayau Lama</t>
        </r>
      </text>
    </comment>
    <comment ref="H54" authorId="0" shapeId="0">
      <text>
        <r>
          <rPr>
            <b/>
            <sz val="12"/>
            <color indexed="81"/>
            <rFont val="Tahoma"/>
            <family val="2"/>
          </rPr>
          <t>Bangkau, Paharangan, Pantai Ulin, Muning Dalam, Bago Tanggul, Bajayau Lama</t>
        </r>
      </text>
    </comment>
    <comment ref="K54" authorId="0" shapeId="0">
      <text>
        <r>
          <rPr>
            <b/>
            <sz val="12"/>
            <color indexed="81"/>
            <rFont val="Tahoma"/>
            <family val="2"/>
          </rPr>
          <t>Bangkau, Paharangan, Pantai Ulin, Muning Dalam, Bago Tanggul, Bajayau Lama</t>
        </r>
      </text>
    </comment>
    <comment ref="N54" authorId="0" shapeId="0">
      <text>
        <r>
          <rPr>
            <b/>
            <sz val="12"/>
            <color indexed="81"/>
            <rFont val="Tahoma"/>
            <family val="2"/>
          </rPr>
          <t>Bangkau</t>
        </r>
      </text>
    </comment>
    <comment ref="Q54" authorId="0" shapeId="0">
      <text>
        <r>
          <rPr>
            <b/>
            <sz val="12"/>
            <color indexed="81"/>
            <rFont val="Tahoma"/>
            <family val="2"/>
          </rPr>
          <t>Bago Tanggul, Bajayau Lama</t>
        </r>
      </text>
    </comment>
    <comment ref="T54" authorId="0" shapeId="0">
      <text>
        <r>
          <rPr>
            <b/>
            <sz val="12"/>
            <color indexed="81"/>
            <rFont val="Tahoma"/>
            <family val="2"/>
          </rPr>
          <t>Paharangan</t>
        </r>
      </text>
    </comment>
  </commentList>
</comments>
</file>

<file path=xl/sharedStrings.xml><?xml version="1.0" encoding="utf-8"?>
<sst xmlns="http://schemas.openxmlformats.org/spreadsheetml/2006/main" count="468" uniqueCount="167">
  <si>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</si>
  <si>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</si>
  <si>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</si>
  <si>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</si>
  <si>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</si>
  <si>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</si>
  <si>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</si>
  <si>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</si>
  <si>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</si>
  <si>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</si>
  <si>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</si>
  <si>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</si>
  <si>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</si>
  <si>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</si>
  <si>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</si>
  <si>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</si>
  <si>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</si>
  <si>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</si>
  <si>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</si>
  <si>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</si>
  <si>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</si>
  <si>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</si>
  <si>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</si>
  <si>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</si>
  <si>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</si>
  <si>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</si>
  <si>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</si>
  <si>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</si>
  <si>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</si>
  <si>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</si>
  <si>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</si>
  <si>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</si>
  <si>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</si>
  <si>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</si>
  <si>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</si>
  <si>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</si>
  <si>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</si>
  <si>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</si>
  <si>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</si>
  <si>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</si>
  <si>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</si>
  <si>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</si>
  <si>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</si>
  <si>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</si>
  <si>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</si>
  <si>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</si>
  <si>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</si>
  <si>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</si>
  <si>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</si>
  <si>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DINAS PERIKANAN</t>
  </si>
  <si>
    <t>Dinas Perikanan</t>
  </si>
  <si>
    <t>Tercukupinya Ketersediaan Pangan Yang Beragam dan Aman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</si>
  <si>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</si>
  <si>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</si>
  <si>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</si>
  <si>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</si>
  <si>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</si>
  <si>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</si>
  <si>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</si>
  <si>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</si>
  <si>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</si>
  <si>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Perikanan</t>
  </si>
  <si>
    <t>Ir. H. SAIDINOOR</t>
  </si>
  <si>
    <t>NIP. 19641215 199312 1 002</t>
  </si>
  <si>
    <t>Realisasi Capaian Kinerja Renstra Perangkat Daerah sampai dengan Renja Perangkat Daerah Tahun Lalu (2020)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</si>
  <si>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</si>
  <si>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</si>
  <si>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</si>
  <si>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</si>
  <si>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</si>
  <si>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</si>
  <si>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</si>
  <si>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</si>
  <si>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</si>
  <si>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</si>
  <si>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</si>
  <si>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</si>
  <si>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Peralatan dan Perlengkapan Kantor</t>
  </si>
  <si>
    <t>Penyedian Bahan Logistik Kantor</t>
  </si>
  <si>
    <t>Penyedian Barang Cetakan dan Penggandaan</t>
  </si>
  <si>
    <t xml:space="preserve">Penyedian Bahan Bacaan dan Peraturan Perundang - undangan </t>
  </si>
  <si>
    <t>Penyelenggaraan Rapat Koordinasi dan Konsultasi SKPD</t>
  </si>
  <si>
    <t>Penyediaan Jasa Penunjang  Urusan  Pemerintah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</si>
  <si>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</si>
  <si>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</si>
  <si>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</si>
  <si>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</si>
  <si>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</si>
  <si>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Sarana dan Prasarana Gedung Kantor atau Bangunan Lainnya</t>
  </si>
  <si>
    <t>Program Pengelolaaan Perikanan Tangkap</t>
  </si>
  <si>
    <t>Penyediaan Prasarana Usaha Perikanan Tangkap</t>
  </si>
  <si>
    <t>Pemberdayaan Nelayan Kecil dalam Daerah Kabupaten / Kota</t>
  </si>
  <si>
    <t>Pengembangan Kapasitas Nelayan Kecil</t>
  </si>
  <si>
    <t>Program Pengelolaan Perikanan Budidaya</t>
  </si>
  <si>
    <t>Pengembangan Kapasitas Pembudi Daya Ikan Kecil</t>
  </si>
  <si>
    <t>Pengelolaan Pembudidaya Ikan</t>
  </si>
  <si>
    <t>Penyediaan Prasarana Pembudidaya Ikan dalam 1 (Satu) Daerah Kabupaten / Kota</t>
  </si>
  <si>
    <t>Program Pengawasan Sumberdaya Kelautan dan Perikanan</t>
  </si>
  <si>
    <t>Pengawasan Sumberdaya Perikanan di Wiilayah Sungai,Danau,Waduk,Rawa dan Genangan Air Lainnya yang dapat Diusahakan dalam 1  ( satu ) Daerah Kabupaten / Kota</t>
  </si>
  <si>
    <t>Penerbitan Tanda Daftar Usaha Pengolahan Hasil Perikanan Bagi Usaha Skala Mikro dan Kecil</t>
  </si>
  <si>
    <t>Penyediaan dan Penyaluran Bahan Baku Industri Pengolahan Ikan dalam 1 ( Satu ) Daerah Kabupaten / Kota</t>
  </si>
  <si>
    <t>Pelayanan Administrasi Sesuai Standar</t>
  </si>
  <si>
    <t>Bln</t>
  </si>
  <si>
    <t>Laporan Keuangan Yang Memenuhi Aspek Kualitas</t>
  </si>
  <si>
    <t>Kendaraan Dinas/Operasional Dalam Kondisi Baik</t>
  </si>
  <si>
    <t>Unit</t>
  </si>
  <si>
    <t>Org</t>
  </si>
  <si>
    <t xml:space="preserve"> Ha</t>
  </si>
  <si>
    <t>Ekor</t>
  </si>
  <si>
    <t>Sampel</t>
  </si>
  <si>
    <t>%</t>
  </si>
  <si>
    <t>Kali</t>
  </si>
  <si>
    <t>Jumlah Dokumen Perencanaan dan Evaluasi Kinerja yang berkualitas</t>
  </si>
  <si>
    <t>Dokumen Perencanaan yang Memenuhi Aspek Kualitas</t>
  </si>
  <si>
    <t>Dokumen Evaluasi yang Memenuhi Aspek Kualitas</t>
  </si>
  <si>
    <t>Target Kinerja dan Anggaran Renja Perangkat Daerah Tahun Berjalan (Tahun 2021) yang Dievaluasi</t>
  </si>
  <si>
    <t>Jumlah dokumen administrasi Keuangan sesuai standar</t>
  </si>
  <si>
    <t>Jumlah dokumen administrasi umum sesuai standar</t>
  </si>
  <si>
    <t>Tingkat Pelayanan Adminstrasi Umum sesuai Standar</t>
  </si>
  <si>
    <t>Tingkat kepuasan pelayanan</t>
  </si>
  <si>
    <t>Ton</t>
  </si>
  <si>
    <t>Jumlah Luasan Budidaya (Ha)</t>
  </si>
  <si>
    <t>Ha</t>
  </si>
  <si>
    <t>Jumlah Pengawasan yang dilaksanakan</t>
  </si>
  <si>
    <t>Penyediaan Data dan Informasi Usaha Pemasaran dan Pengolahan Hasil Perikanan dalam 1 (Satu) Daerah Kabupaten / Kota</t>
  </si>
  <si>
    <t>Peningkatan Ketersediaan Ikan untuk Konsumsi dan Usaha Pengolahan dalam 1 (Satu) Daerah Kabupaten / Kota</t>
  </si>
  <si>
    <t>Jumlah Pelaku Usaha yang mendapat fasilitas</t>
  </si>
  <si>
    <t xml:space="preserve">Pemberian Fasilitas bagi Pelaku Usaha Perikanan Skala Mikro dan Kecil dalam 1 (Satu) Daerah Kabupaten / Kota </t>
  </si>
  <si>
    <t>Kelompok</t>
  </si>
  <si>
    <t>Pengelolaan, Penangkapan Ikan di Wlayah Sungai, Danau, Waduk, Rawa dan Genangan Air Lainnya yang dapat Diusahakan dalam 1 (satu) Daerah Kabupaten / Kota</t>
  </si>
  <si>
    <t>Jumlah Sarana dan Prasarana Usaha perikanan tangkap</t>
  </si>
  <si>
    <t xml:space="preserve">Jumlah Luasan Budidaya yang diintervensi </t>
  </si>
  <si>
    <t>Jumlah Pengujian dan Pemeriksaan Kesehatan Ikan dan Lingkungan yang dilaksanakan (Sampel)</t>
  </si>
  <si>
    <t>Penjaminan Ketersediaan Sarana Pembudidayaan Ikan dalam 1 (satu) Daerah Kabupaten/Kota</t>
  </si>
  <si>
    <t>Pengelolaan Kesehatan Ikan dan Lingkungan Budidaya dalam 1 (Satu) Daerah Kabupaten / Kota</t>
  </si>
  <si>
    <t>Program Pengolahan dan Pemasaran Hasil Perikanan</t>
  </si>
  <si>
    <t>Lap</t>
  </si>
  <si>
    <t xml:space="preserve">Jumlah Pengumpulan Data dan Informasi Usaha Pemasaran dan Pengolahan Hasil Perikanan </t>
  </si>
  <si>
    <t xml:space="preserve">Jumlah Laporan Informasi Usaha Pemasaran dan Pengolahan Hasil Perikanan </t>
  </si>
  <si>
    <t>Jumlah kegiatan yang mendukung angka konsumsi ikan</t>
  </si>
  <si>
    <t>Jumlah Angka Konsumsi Ikan</t>
  </si>
  <si>
    <t>Kg/Perkapita/Thn</t>
  </si>
  <si>
    <t>Jumlah Peningkatan Produk Hasil Olahan Perikanan</t>
  </si>
  <si>
    <t>Pengawasan Usaha Perikanan di Wilayah Sungai, Danau, Waduk, Rawa dan Genangan Air Lainnya yang dapat Diusahakan dalam 1 (satu) Daerah Kabupaten / Kota</t>
  </si>
  <si>
    <t>Jumlah Area Penangkapan Ikan yang diawasi</t>
  </si>
  <si>
    <t>Area</t>
  </si>
  <si>
    <t>Jumlah Penyediaan Penanganan Kasus Pelanggaran Illegal Fishing</t>
  </si>
  <si>
    <t>Kasus</t>
  </si>
  <si>
    <t>Persentase Kasus Pelanggaran Ilegal Fishing yang ditindaklanjuti</t>
  </si>
  <si>
    <t>Pemberdayaan Pembudi Daya Ikan Kecil</t>
  </si>
  <si>
    <t>Jumlah Nelayan Yang Mendapatkan Pendampingan</t>
  </si>
  <si>
    <t>Persentase Nelayan Yang Mendapatkan Pendampingan</t>
  </si>
  <si>
    <t>Jumlah Alat Tangkap yang Representatif</t>
  </si>
  <si>
    <t>Persentase Peningkatan Produksi Perikanan Tangkap</t>
  </si>
  <si>
    <t>Jumlah pembudidaya ikan yang mengikuti pelatihan budidaya ikan</t>
  </si>
  <si>
    <t>Jumlah Pembudidaya Ikan yang memiliki kompetensi</t>
  </si>
  <si>
    <t>Persentase Pembudidaya yang memiliki kompetensi</t>
  </si>
  <si>
    <t>Persentase Pengujian dan Pemeriksaan Kesehatan Ikan dan Lingkungan yang Dilaksanakan</t>
  </si>
  <si>
    <t>Persentase Benih Ikan Unggul yang Disediakan</t>
  </si>
  <si>
    <t>Persentase Luasan Budidaya yang Diintervensi</t>
  </si>
  <si>
    <t>Jumlah Benih Ikan Unggul</t>
  </si>
  <si>
    <t>Jumlah Benih Ikan yang disediakan (Ekor)</t>
  </si>
  <si>
    <t>Jumlah Pemantauan Kesehatan Ikan dan Lingkungan (Sampel)</t>
  </si>
  <si>
    <t>Persentase Kawasan Area Penangkapan yang Diawasi</t>
  </si>
  <si>
    <t>PERIODE PELAKSANAAN TRIWULAN IV TAHUN 2021</t>
  </si>
  <si>
    <t>Kandangan,          Desember 2021</t>
  </si>
  <si>
    <t>Kandangan,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</si>
</sst>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#,##0.000"/>
    <numFmt numFmtId="169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4" fontId="6" fillId="0" borderId="2" xfId="0" quotePrefix="1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6" fillId="0" borderId="2" xfId="0" applyNumberFormat="1" applyFont="1" applyFill="1" applyBorder="1" applyAlignment="1">
      <alignment horizontal="center" vertical="top" wrapText="1"/>
    </xf>
    <xf numFmtId="167" fontId="6" fillId="0" borderId="2" xfId="2" applyNumberFormat="1" applyFont="1" applyFill="1" applyBorder="1" applyAlignment="1">
      <alignment horizontal="center" vertical="top" wrapText="1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left" vertical="top" wrapText="1"/>
    </xf>
    <xf numFmtId="166" fontId="8" fillId="0" borderId="6" xfId="1" quotePrefix="1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166" fontId="6" fillId="0" borderId="6" xfId="1" quotePrefix="1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0" fontId="8" fillId="4" borderId="13" xfId="0" applyNumberFormat="1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wrapText="1"/>
    </xf>
    <xf numFmtId="164" fontId="8" fillId="0" borderId="6" xfId="0" applyNumberFormat="1" applyFont="1" applyFill="1" applyBorder="1" applyAlignment="1">
      <alignment vertical="top"/>
    </xf>
    <xf numFmtId="164" fontId="8" fillId="0" borderId="15" xfId="0" applyNumberFormat="1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64" fontId="6" fillId="0" borderId="2" xfId="2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 wrapText="1"/>
    </xf>
    <xf numFmtId="3" fontId="8" fillId="0" borderId="2" xfId="0" quotePrefix="1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68" fontId="8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3" fontId="8" fillId="0" borderId="2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top" wrapText="1"/>
    </xf>
    <xf numFmtId="166" fontId="8" fillId="0" borderId="11" xfId="1" quotePrefix="1" applyNumberFormat="1" applyFont="1" applyFill="1" applyBorder="1" applyAlignment="1">
      <alignment vertical="top"/>
    </xf>
    <xf numFmtId="166" fontId="6" fillId="0" borderId="11" xfId="1" quotePrefix="1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164" fontId="6" fillId="0" borderId="11" xfId="0" applyNumberFormat="1" applyFont="1" applyFill="1" applyBorder="1" applyAlignment="1">
      <alignment vertical="top"/>
    </xf>
    <xf numFmtId="164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168" fontId="8" fillId="0" borderId="2" xfId="0" quotePrefix="1" applyNumberFormat="1" applyFont="1" applyFill="1" applyBorder="1" applyAlignment="1">
      <alignment horizontal="center" vertical="top" wrapText="1"/>
    </xf>
    <xf numFmtId="3" fontId="6" fillId="0" borderId="2" xfId="0" quotePrefix="1" applyNumberFormat="1" applyFont="1" applyFill="1" applyBorder="1" applyAlignment="1">
      <alignment horizontal="center" vertical="top" wrapText="1"/>
    </xf>
    <xf numFmtId="168" fontId="6" fillId="0" borderId="2" xfId="0" quotePrefix="1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 wrapText="1"/>
    </xf>
    <xf numFmtId="4" fontId="6" fillId="0" borderId="2" xfId="2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164" fontId="6" fillId="0" borderId="2" xfId="2" applyFont="1" applyFill="1" applyBorder="1" applyAlignment="1">
      <alignment horizontal="right" vertical="top" wrapText="1"/>
    </xf>
    <xf numFmtId="164" fontId="6" fillId="0" borderId="2" xfId="2" applyFont="1" applyFill="1" applyBorder="1" applyAlignment="1">
      <alignment vertical="top"/>
    </xf>
    <xf numFmtId="1" fontId="6" fillId="0" borderId="2" xfId="2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3" fontId="8" fillId="0" borderId="2" xfId="0" applyNumberFormat="1" applyFont="1" applyFill="1" applyBorder="1" applyAlignment="1">
      <alignment horizontal="center" vertical="top"/>
    </xf>
    <xf numFmtId="2" fontId="6" fillId="0" borderId="2" xfId="1" quotePrefix="1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165" fontId="8" fillId="0" borderId="11" xfId="1" quotePrefix="1" applyNumberFormat="1" applyFont="1" applyFill="1" applyBorder="1" applyAlignment="1">
      <alignment vertical="top"/>
    </xf>
    <xf numFmtId="165" fontId="6" fillId="0" borderId="6" xfId="1" quotePrefix="1" applyNumberFormat="1" applyFont="1" applyFill="1" applyBorder="1" applyAlignment="1">
      <alignment vertical="top"/>
    </xf>
    <xf numFmtId="0" fontId="16" fillId="0" borderId="6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1" fontId="8" fillId="0" borderId="2" xfId="2" applyNumberFormat="1" applyFont="1" applyFill="1" applyBorder="1" applyAlignment="1">
      <alignment horizontal="center" vertical="top"/>
    </xf>
    <xf numFmtId="169" fontId="6" fillId="0" borderId="2" xfId="2" applyNumberFormat="1" applyFont="1" applyFill="1" applyBorder="1" applyAlignment="1">
      <alignment horizontal="center" vertical="top"/>
    </xf>
    <xf numFmtId="3" fontId="6" fillId="0" borderId="2" xfId="2" applyNumberFormat="1" applyFont="1" applyFill="1" applyBorder="1" applyAlignment="1">
      <alignment horizontal="center" vertical="top"/>
    </xf>
    <xf numFmtId="169" fontId="8" fillId="0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/>
    </xf>
    <xf numFmtId="168" fontId="8" fillId="0" borderId="2" xfId="2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5">
    <cellStyle name="Comma" xfId="1" builtinId="3"/>
    <cellStyle name="Comma [0]" xfId="2" builtinId="6"/>
    <cellStyle name="Comm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9"/>
  <sheetViews>
    <sheetView tabSelected="1" showRuler="0" view="pageBreakPreview" topLeftCell="A34" zoomScale="70" zoomScaleNormal="40" zoomScaleSheetLayoutView="70" zoomScalePageLayoutView="55" workbookViewId="0">
      <selection activeCell="T35" sqref="T35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22.42578125" style="2" customWidth="1"/>
    <col min="4" max="4" width="16" style="2" customWidth="1"/>
    <col min="5" max="5" width="14.7109375" style="2" bestFit="1" customWidth="1"/>
    <col min="6" max="6" width="7.7109375" style="2" customWidth="1"/>
    <col min="7" max="7" width="18.28515625" style="2" customWidth="1"/>
    <col min="8" max="8" width="11.42578125" style="2" bestFit="1" customWidth="1"/>
    <col min="9" max="9" width="7.7109375" style="2" customWidth="1"/>
    <col min="10" max="10" width="21.42578125" style="2" customWidth="1"/>
    <col min="11" max="11" width="10.5703125" style="2" customWidth="1"/>
    <col min="12" max="12" width="7.5703125" style="2" customWidth="1"/>
    <col min="13" max="13" width="19.28515625" style="2" customWidth="1"/>
    <col min="14" max="14" width="10.28515625" style="2" customWidth="1"/>
    <col min="15" max="15" width="8" style="2" customWidth="1"/>
    <col min="16" max="16" width="18.28515625" style="2" customWidth="1"/>
    <col min="17" max="17" width="10.140625" style="2" customWidth="1"/>
    <col min="18" max="18" width="7.7109375" style="2" customWidth="1"/>
    <col min="19" max="19" width="18.7109375" style="2" customWidth="1"/>
    <col min="20" max="20" width="10.140625" style="2" customWidth="1"/>
    <col min="21" max="21" width="8" style="2" customWidth="1"/>
    <col min="22" max="22" width="18.28515625" style="2" customWidth="1"/>
    <col min="23" max="23" width="10.7109375" style="2" customWidth="1"/>
    <col min="24" max="24" width="7.5703125" style="2" customWidth="1"/>
    <col min="25" max="25" width="17.85546875" style="2" customWidth="1"/>
    <col min="26" max="26" width="12.85546875" style="2" bestFit="1" customWidth="1"/>
    <col min="27" max="27" width="5.5703125" style="69" customWidth="1"/>
    <col min="28" max="28" width="10.140625" style="2" customWidth="1"/>
    <col min="29" max="29" width="5.5703125" style="4" customWidth="1"/>
    <col min="30" max="30" width="16.7109375" style="2" customWidth="1"/>
    <col min="31" max="31" width="11.28515625" style="2" customWidth="1"/>
    <col min="32" max="32" width="5.5703125" style="4" customWidth="1"/>
    <col min="33" max="33" width="13.7109375" style="2" customWidth="1"/>
    <col min="34" max="34" width="5.5703125" style="69" customWidth="1"/>
    <col min="35" max="35" width="16.7109375" style="2" customWidth="1"/>
    <col min="36" max="36" width="8" style="2" customWidth="1"/>
    <col min="37" max="37" width="5.5703125" style="4" customWidth="1"/>
    <col min="38" max="38" width="9.57031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"/>
    </row>
    <row r="2" spans="1:45" ht="23.25" x14ac:dyDescent="0.3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3"/>
    </row>
    <row r="3" spans="1:45" ht="23.25" x14ac:dyDescent="0.35">
      <c r="A3" s="139" t="s">
        <v>49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3"/>
    </row>
    <row r="4" spans="1:45" ht="23.25" x14ac:dyDescent="0.35">
      <c r="A4" s="140" t="s">
        <v>164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"/>
    </row>
    <row r="5" spans="1:45" ht="18" x14ac:dyDescent="0.2">
      <c r="A5" s="141" t="s">
        <v>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</row>
    <row r="6" spans="1:45" ht="18" x14ac:dyDescent="0.2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</row>
    <row r="7" spans="1:45" ht="81" customHeight="1" x14ac:dyDescent="0.2">
      <c r="A7" s="134" t="s">
        <v>3</v>
      </c>
      <c r="B7" s="134" t="s">
        <v>4</v>
      </c>
      <c r="C7" s="135" t="s">
        <v>5</v>
      </c>
      <c r="D7" s="135" t="s">
        <v>6</v>
      </c>
      <c r="E7" s="125" t="s">
        <v>7</v>
      </c>
      <c r="F7" s="126"/>
      <c r="G7" s="127"/>
      <c r="H7" s="125" t="s">
        <v>64</v>
      </c>
      <c r="I7" s="126"/>
      <c r="J7" s="127"/>
      <c r="K7" s="125" t="s">
        <v>115</v>
      </c>
      <c r="L7" s="126"/>
      <c r="M7" s="126"/>
      <c r="N7" s="125" t="s">
        <v>8</v>
      </c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7"/>
      <c r="Z7" s="125" t="s">
        <v>52</v>
      </c>
      <c r="AA7" s="126"/>
      <c r="AB7" s="126"/>
      <c r="AC7" s="126"/>
      <c r="AD7" s="126"/>
      <c r="AE7" s="126"/>
      <c r="AF7" s="127"/>
      <c r="AG7" s="125" t="s">
        <v>65</v>
      </c>
      <c r="AH7" s="126"/>
      <c r="AI7" s="127"/>
      <c r="AJ7" s="125" t="s">
        <v>66</v>
      </c>
      <c r="AK7" s="126"/>
      <c r="AL7" s="126"/>
      <c r="AM7" s="145" t="s">
        <v>9</v>
      </c>
      <c r="AO7" s="4"/>
      <c r="AP7" s="4"/>
      <c r="AQ7" s="4"/>
      <c r="AR7" s="4"/>
      <c r="AS7" s="4"/>
    </row>
    <row r="8" spans="1:45" ht="18" customHeight="1" x14ac:dyDescent="0.2">
      <c r="A8" s="134"/>
      <c r="B8" s="134"/>
      <c r="C8" s="135"/>
      <c r="D8" s="135"/>
      <c r="E8" s="136"/>
      <c r="F8" s="137"/>
      <c r="G8" s="138"/>
      <c r="H8" s="136"/>
      <c r="I8" s="137"/>
      <c r="J8" s="138"/>
      <c r="K8" s="128"/>
      <c r="L8" s="129"/>
      <c r="M8" s="129"/>
      <c r="N8" s="128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0"/>
      <c r="Z8" s="128"/>
      <c r="AA8" s="129"/>
      <c r="AB8" s="129"/>
      <c r="AC8" s="129"/>
      <c r="AD8" s="129"/>
      <c r="AE8" s="129"/>
      <c r="AF8" s="130"/>
      <c r="AG8" s="128"/>
      <c r="AH8" s="129"/>
      <c r="AI8" s="130"/>
      <c r="AJ8" s="128"/>
      <c r="AK8" s="129"/>
      <c r="AL8" s="129"/>
      <c r="AM8" s="146"/>
    </row>
    <row r="9" spans="1:45" ht="15.75" customHeight="1" x14ac:dyDescent="0.2">
      <c r="A9" s="134"/>
      <c r="B9" s="134"/>
      <c r="C9" s="135"/>
      <c r="D9" s="135"/>
      <c r="E9" s="128"/>
      <c r="F9" s="129"/>
      <c r="G9" s="130"/>
      <c r="H9" s="128"/>
      <c r="I9" s="129"/>
      <c r="J9" s="130"/>
      <c r="K9" s="147">
        <v>2021</v>
      </c>
      <c r="L9" s="148"/>
      <c r="M9" s="149"/>
      <c r="N9" s="131" t="s">
        <v>10</v>
      </c>
      <c r="O9" s="132"/>
      <c r="P9" s="133"/>
      <c r="Q9" s="131" t="s">
        <v>11</v>
      </c>
      <c r="R9" s="132"/>
      <c r="S9" s="133"/>
      <c r="T9" s="131" t="s">
        <v>12</v>
      </c>
      <c r="U9" s="132"/>
      <c r="V9" s="133"/>
      <c r="W9" s="131" t="s">
        <v>13</v>
      </c>
      <c r="X9" s="132"/>
      <c r="Y9" s="133"/>
      <c r="Z9" s="131">
        <v>2021</v>
      </c>
      <c r="AA9" s="132"/>
      <c r="AB9" s="132"/>
      <c r="AC9" s="132"/>
      <c r="AD9" s="132"/>
      <c r="AE9" s="132"/>
      <c r="AF9" s="133"/>
      <c r="AG9" s="131">
        <v>2021</v>
      </c>
      <c r="AH9" s="132"/>
      <c r="AI9" s="133"/>
      <c r="AJ9" s="131">
        <v>2021</v>
      </c>
      <c r="AK9" s="132"/>
      <c r="AL9" s="133"/>
      <c r="AM9" s="5"/>
    </row>
    <row r="10" spans="1:45" s="7" customFormat="1" ht="15.75" x14ac:dyDescent="0.25">
      <c r="A10" s="159">
        <v>1</v>
      </c>
      <c r="B10" s="159">
        <v>2</v>
      </c>
      <c r="C10" s="159">
        <v>3</v>
      </c>
      <c r="D10" s="159">
        <v>4</v>
      </c>
      <c r="E10" s="142">
        <v>5</v>
      </c>
      <c r="F10" s="143"/>
      <c r="G10" s="144"/>
      <c r="H10" s="142">
        <v>6</v>
      </c>
      <c r="I10" s="143"/>
      <c r="J10" s="144"/>
      <c r="K10" s="160">
        <v>7</v>
      </c>
      <c r="L10" s="161"/>
      <c r="M10" s="162"/>
      <c r="N10" s="160">
        <v>8</v>
      </c>
      <c r="O10" s="161"/>
      <c r="P10" s="162"/>
      <c r="Q10" s="160">
        <v>9</v>
      </c>
      <c r="R10" s="161"/>
      <c r="S10" s="162"/>
      <c r="T10" s="160">
        <v>10</v>
      </c>
      <c r="U10" s="161"/>
      <c r="V10" s="162"/>
      <c r="W10" s="160">
        <v>11</v>
      </c>
      <c r="X10" s="161"/>
      <c r="Y10" s="162"/>
      <c r="Z10" s="150">
        <v>12</v>
      </c>
      <c r="AA10" s="151"/>
      <c r="AB10" s="151"/>
      <c r="AC10" s="151"/>
      <c r="AD10" s="151"/>
      <c r="AE10" s="151"/>
      <c r="AF10" s="152"/>
      <c r="AG10" s="150">
        <v>13</v>
      </c>
      <c r="AH10" s="151"/>
      <c r="AI10" s="152"/>
      <c r="AJ10" s="150">
        <v>14</v>
      </c>
      <c r="AK10" s="151"/>
      <c r="AL10" s="152"/>
      <c r="AM10" s="6">
        <v>15</v>
      </c>
    </row>
    <row r="11" spans="1:45" s="7" customFormat="1" ht="87" customHeight="1" x14ac:dyDescent="0.2">
      <c r="A11" s="163"/>
      <c r="B11" s="163"/>
      <c r="C11" s="163"/>
      <c r="D11" s="163"/>
      <c r="E11" s="153" t="s">
        <v>14</v>
      </c>
      <c r="F11" s="154"/>
      <c r="G11" s="157" t="s">
        <v>15</v>
      </c>
      <c r="H11" s="153" t="s">
        <v>14</v>
      </c>
      <c r="I11" s="154"/>
      <c r="J11" s="157" t="s">
        <v>15</v>
      </c>
      <c r="K11" s="153" t="s">
        <v>14</v>
      </c>
      <c r="L11" s="154"/>
      <c r="M11" s="159" t="s">
        <v>15</v>
      </c>
      <c r="N11" s="153" t="s">
        <v>14</v>
      </c>
      <c r="O11" s="154"/>
      <c r="P11" s="159" t="s">
        <v>15</v>
      </c>
      <c r="Q11" s="153" t="s">
        <v>14</v>
      </c>
      <c r="R11" s="154"/>
      <c r="S11" s="159" t="s">
        <v>15</v>
      </c>
      <c r="T11" s="153" t="s">
        <v>14</v>
      </c>
      <c r="U11" s="154"/>
      <c r="V11" s="159" t="s">
        <v>15</v>
      </c>
      <c r="W11" s="153" t="s">
        <v>14</v>
      </c>
      <c r="X11" s="154"/>
      <c r="Y11" s="159" t="s">
        <v>15</v>
      </c>
      <c r="Z11" s="142" t="s">
        <v>16</v>
      </c>
      <c r="AA11" s="144"/>
      <c r="AB11" s="142" t="s">
        <v>53</v>
      </c>
      <c r="AC11" s="144"/>
      <c r="AD11" s="8" t="s">
        <v>17</v>
      </c>
      <c r="AE11" s="142" t="s">
        <v>54</v>
      </c>
      <c r="AF11" s="144"/>
      <c r="AG11" s="142" t="s">
        <v>18</v>
      </c>
      <c r="AH11" s="144"/>
      <c r="AI11" s="8" t="s">
        <v>19</v>
      </c>
      <c r="AJ11" s="142" t="s">
        <v>20</v>
      </c>
      <c r="AK11" s="144"/>
      <c r="AL11" s="8" t="s">
        <v>21</v>
      </c>
      <c r="AM11" s="9"/>
    </row>
    <row r="12" spans="1:45" s="7" customFormat="1" ht="15.75" x14ac:dyDescent="0.2">
      <c r="A12" s="157"/>
      <c r="B12" s="157"/>
      <c r="C12" s="157"/>
      <c r="D12" s="157"/>
      <c r="E12" s="155"/>
      <c r="F12" s="156"/>
      <c r="G12" s="158"/>
      <c r="H12" s="155"/>
      <c r="I12" s="156"/>
      <c r="J12" s="158"/>
      <c r="K12" s="155"/>
      <c r="L12" s="156"/>
      <c r="M12" s="157"/>
      <c r="N12" s="155"/>
      <c r="O12" s="156"/>
      <c r="P12" s="157"/>
      <c r="Q12" s="155"/>
      <c r="R12" s="156"/>
      <c r="S12" s="157"/>
      <c r="T12" s="155"/>
      <c r="U12" s="156"/>
      <c r="V12" s="157"/>
      <c r="W12" s="155"/>
      <c r="X12" s="156"/>
      <c r="Y12" s="157"/>
      <c r="Z12" s="155" t="s">
        <v>14</v>
      </c>
      <c r="AA12" s="156"/>
      <c r="AB12" s="155" t="s">
        <v>14</v>
      </c>
      <c r="AC12" s="156"/>
      <c r="AD12" s="10" t="s">
        <v>15</v>
      </c>
      <c r="AE12" s="155" t="s">
        <v>15</v>
      </c>
      <c r="AF12" s="156"/>
      <c r="AG12" s="155" t="s">
        <v>14</v>
      </c>
      <c r="AH12" s="156"/>
      <c r="AI12" s="10" t="s">
        <v>15</v>
      </c>
      <c r="AJ12" s="155" t="s">
        <v>14</v>
      </c>
      <c r="AK12" s="156"/>
      <c r="AL12" s="10" t="s">
        <v>15</v>
      </c>
      <c r="AM12" s="57"/>
    </row>
    <row r="13" spans="1:45" ht="123" customHeight="1" x14ac:dyDescent="0.2">
      <c r="A13" s="38">
        <v>1</v>
      </c>
      <c r="B13" s="13" t="s">
        <v>22</v>
      </c>
      <c r="C13" s="14" t="s">
        <v>67</v>
      </c>
      <c r="D13" s="14" t="s">
        <v>119</v>
      </c>
      <c r="E13" s="35">
        <v>100</v>
      </c>
      <c r="F13" s="36" t="s">
        <v>110</v>
      </c>
      <c r="G13" s="33"/>
      <c r="H13" s="35">
        <v>100</v>
      </c>
      <c r="I13" s="36" t="s">
        <v>110</v>
      </c>
      <c r="J13" s="33"/>
      <c r="K13" s="35">
        <v>100</v>
      </c>
      <c r="L13" s="36" t="s">
        <v>110</v>
      </c>
      <c r="M13" s="33">
        <f>M14+M17+M22+M28+M32</f>
        <v>3644108384</v>
      </c>
      <c r="N13" s="35">
        <v>25</v>
      </c>
      <c r="O13" s="36" t="str">
        <f>L13</f>
        <v>%</v>
      </c>
      <c r="P13" s="33">
        <f>P14+P17+P22+P28+P32</f>
        <v>676026909</v>
      </c>
      <c r="Q13" s="35">
        <v>25</v>
      </c>
      <c r="R13" s="36" t="str">
        <f>L13</f>
        <v>%</v>
      </c>
      <c r="S13" s="33">
        <f>S14+S17+S22+S28+S32</f>
        <v>1014067421</v>
      </c>
      <c r="T13" s="35">
        <v>25</v>
      </c>
      <c r="U13" s="36" t="str">
        <f>L13</f>
        <v>%</v>
      </c>
      <c r="V13" s="33">
        <f>V14+V17+V22+V28+V32</f>
        <v>630604509</v>
      </c>
      <c r="W13" s="35">
        <v>25</v>
      </c>
      <c r="X13" s="36" t="str">
        <f>O13</f>
        <v>%</v>
      </c>
      <c r="Y13" s="33">
        <f>Y14+Y17+Y22+Y28+Y32</f>
        <v>604455812</v>
      </c>
      <c r="Z13" s="46">
        <f>SUM(N13,Q13,T13,W13)</f>
        <v>100</v>
      </c>
      <c r="AA13" s="66" t="str">
        <f>L13</f>
        <v>%</v>
      </c>
      <c r="AB13" s="46">
        <f>Z13/K13*100</f>
        <v>100</v>
      </c>
      <c r="AC13" s="44" t="s">
        <v>110</v>
      </c>
      <c r="AD13" s="43">
        <f>SUM(P13,S13,V13,Y13)</f>
        <v>2925154651</v>
      </c>
      <c r="AE13" s="45">
        <f>AD13/M13*100</f>
        <v>80.270791720776657</v>
      </c>
      <c r="AF13" s="44" t="s">
        <v>110</v>
      </c>
      <c r="AG13" s="46">
        <f>SUM(H13,Z13)</f>
        <v>200</v>
      </c>
      <c r="AH13" s="66" t="str">
        <f>O13</f>
        <v>%</v>
      </c>
      <c r="AI13" s="43">
        <f>SUM(J13,AD13)</f>
        <v>2925154651</v>
      </c>
      <c r="AJ13" s="45"/>
      <c r="AK13" s="44" t="s">
        <v>110</v>
      </c>
      <c r="AL13" s="45"/>
      <c r="AM13" s="18" t="s">
        <v>50</v>
      </c>
      <c r="AP13" s="19">
        <f t="shared" ref="AP13:AP23" si="0">P13+S13+V13+Y13</f>
        <v>2925154651</v>
      </c>
    </row>
    <row r="14" spans="1:45" ht="118.5" customHeight="1" x14ac:dyDescent="0.2">
      <c r="A14" s="38">
        <v>2</v>
      </c>
      <c r="B14" s="39" t="s">
        <v>23</v>
      </c>
      <c r="C14" s="14" t="s">
        <v>68</v>
      </c>
      <c r="D14" s="14" t="s">
        <v>112</v>
      </c>
      <c r="E14" s="35">
        <f>SUM(E15:E16)</f>
        <v>45</v>
      </c>
      <c r="F14" s="36" t="s">
        <v>48</v>
      </c>
      <c r="G14" s="33"/>
      <c r="H14" s="35">
        <f>SUM(H15:H16)</f>
        <v>15</v>
      </c>
      <c r="I14" s="36" t="s">
        <v>48</v>
      </c>
      <c r="J14" s="33"/>
      <c r="K14" s="35">
        <f>SUM(K15:K16)</f>
        <v>15</v>
      </c>
      <c r="L14" s="36" t="s">
        <v>48</v>
      </c>
      <c r="M14" s="33">
        <f>SUM(M15:M16)</f>
        <v>8000000</v>
      </c>
      <c r="N14" s="35">
        <f>SUM(N15:N16)</f>
        <v>1</v>
      </c>
      <c r="O14" s="36" t="str">
        <f t="shared" ref="O14:O62" si="1">L14</f>
        <v>Dok</v>
      </c>
      <c r="P14" s="33">
        <f>SUM(P15:P16)</f>
        <v>0</v>
      </c>
      <c r="Q14" s="35">
        <f>SUM(Q15:Q16)</f>
        <v>3</v>
      </c>
      <c r="R14" s="36" t="str">
        <f t="shared" ref="R14:R62" si="2">L14</f>
        <v>Dok</v>
      </c>
      <c r="S14" s="33">
        <f>SUM(S15:S16)</f>
        <v>702300</v>
      </c>
      <c r="T14" s="35">
        <f>SUM(T15:T16)</f>
        <v>3</v>
      </c>
      <c r="U14" s="36" t="str">
        <f t="shared" ref="U14:U62" si="3">L14</f>
        <v>Dok</v>
      </c>
      <c r="V14" s="33">
        <f>SUM(V15:V16)</f>
        <v>125000</v>
      </c>
      <c r="W14" s="35">
        <f>SUM(W15:W16)</f>
        <v>8</v>
      </c>
      <c r="X14" s="36" t="str">
        <f t="shared" ref="X14:X45" si="4">O14</f>
        <v>Dok</v>
      </c>
      <c r="Y14" s="33">
        <f>SUM(Y15:Y16)</f>
        <v>7172600</v>
      </c>
      <c r="Z14" s="46">
        <f t="shared" ref="Z14:Z62" si="5">SUM(N14,Q14,T14,W14)</f>
        <v>15</v>
      </c>
      <c r="AA14" s="41" t="str">
        <f t="shared" ref="AA14:AA62" si="6">L14</f>
        <v>Dok</v>
      </c>
      <c r="AB14" s="46">
        <f t="shared" ref="AB14:AB62" si="7">Z14/K14*100</f>
        <v>100</v>
      </c>
      <c r="AC14" s="44" t="s">
        <v>110</v>
      </c>
      <c r="AD14" s="43">
        <f t="shared" ref="AD14:AD62" si="8">SUM(P14,S14,V14,Y14)</f>
        <v>7999900</v>
      </c>
      <c r="AE14" s="45">
        <f t="shared" ref="AE14:AE62" si="9">AD14/M14*100</f>
        <v>99.998750000000001</v>
      </c>
      <c r="AF14" s="44" t="s">
        <v>110</v>
      </c>
      <c r="AG14" s="46">
        <f t="shared" ref="AG14:AG62" si="10">SUM(H14,Z14)</f>
        <v>30</v>
      </c>
      <c r="AH14" s="66" t="str">
        <f t="shared" ref="AH14:AH62" si="11">O14</f>
        <v>Dok</v>
      </c>
      <c r="AI14" s="43">
        <f t="shared" ref="AI14:AI62" si="12">SUM(J14,AD14)</f>
        <v>7999900</v>
      </c>
      <c r="AJ14" s="45"/>
      <c r="AK14" s="44" t="s">
        <v>110</v>
      </c>
      <c r="AL14" s="45"/>
      <c r="AM14" s="18"/>
      <c r="AP14" s="19"/>
    </row>
    <row r="15" spans="1:45" ht="90" x14ac:dyDescent="0.2">
      <c r="A15" s="12"/>
      <c r="B15" s="13"/>
      <c r="C15" s="20" t="s">
        <v>69</v>
      </c>
      <c r="D15" s="20" t="s">
        <v>113</v>
      </c>
      <c r="E15" s="15">
        <f>5*3</f>
        <v>15</v>
      </c>
      <c r="F15" s="16" t="s">
        <v>48</v>
      </c>
      <c r="G15" s="17"/>
      <c r="H15" s="15">
        <v>5</v>
      </c>
      <c r="I15" s="16" t="s">
        <v>48</v>
      </c>
      <c r="J15" s="17"/>
      <c r="K15" s="15">
        <v>5</v>
      </c>
      <c r="L15" s="16" t="s">
        <v>48</v>
      </c>
      <c r="M15" s="17">
        <v>6500000</v>
      </c>
      <c r="N15" s="15">
        <v>0</v>
      </c>
      <c r="O15" s="16" t="str">
        <f t="shared" si="1"/>
        <v>Dok</v>
      </c>
      <c r="P15" s="17">
        <v>0</v>
      </c>
      <c r="Q15" s="15">
        <v>1</v>
      </c>
      <c r="R15" s="16" t="s">
        <v>110</v>
      </c>
      <c r="S15" s="17">
        <v>702300</v>
      </c>
      <c r="T15" s="15">
        <v>1</v>
      </c>
      <c r="U15" s="16" t="str">
        <f t="shared" si="3"/>
        <v>Dok</v>
      </c>
      <c r="V15" s="17">
        <v>0</v>
      </c>
      <c r="W15" s="15">
        <v>3</v>
      </c>
      <c r="X15" s="16" t="str">
        <f t="shared" si="4"/>
        <v>Dok</v>
      </c>
      <c r="Y15" s="17">
        <v>5797600</v>
      </c>
      <c r="Z15" s="47">
        <f t="shared" si="5"/>
        <v>5</v>
      </c>
      <c r="AA15" s="34" t="str">
        <f t="shared" si="6"/>
        <v>Dok</v>
      </c>
      <c r="AB15" s="47">
        <f t="shared" si="7"/>
        <v>100</v>
      </c>
      <c r="AC15" s="26" t="s">
        <v>110</v>
      </c>
      <c r="AD15" s="32">
        <f t="shared" si="8"/>
        <v>6499900</v>
      </c>
      <c r="AE15" s="48">
        <f t="shared" si="9"/>
        <v>99.998461538461541</v>
      </c>
      <c r="AF15" s="26" t="s">
        <v>110</v>
      </c>
      <c r="AG15" s="47">
        <f t="shared" si="10"/>
        <v>10</v>
      </c>
      <c r="AH15" s="67" t="str">
        <f t="shared" si="11"/>
        <v>Dok</v>
      </c>
      <c r="AI15" s="32">
        <f t="shared" si="12"/>
        <v>6499900</v>
      </c>
      <c r="AJ15" s="48"/>
      <c r="AK15" s="26" t="s">
        <v>110</v>
      </c>
      <c r="AL15" s="48"/>
      <c r="AM15" s="11"/>
      <c r="AP15" s="19"/>
    </row>
    <row r="16" spans="1:45" ht="75" x14ac:dyDescent="0.2">
      <c r="A16" s="12"/>
      <c r="B16" s="13"/>
      <c r="C16" s="20" t="s">
        <v>70</v>
      </c>
      <c r="D16" s="20" t="s">
        <v>114</v>
      </c>
      <c r="E16" s="15">
        <f>10*3</f>
        <v>30</v>
      </c>
      <c r="F16" s="16" t="s">
        <v>48</v>
      </c>
      <c r="G16" s="17"/>
      <c r="H16" s="15">
        <v>10</v>
      </c>
      <c r="I16" s="16" t="s">
        <v>48</v>
      </c>
      <c r="J16" s="17"/>
      <c r="K16" s="15">
        <v>10</v>
      </c>
      <c r="L16" s="16" t="s">
        <v>48</v>
      </c>
      <c r="M16" s="17">
        <v>1500000</v>
      </c>
      <c r="N16" s="15">
        <v>1</v>
      </c>
      <c r="O16" s="16" t="str">
        <f t="shared" si="1"/>
        <v>Dok</v>
      </c>
      <c r="P16" s="17">
        <v>0</v>
      </c>
      <c r="Q16" s="15">
        <v>2</v>
      </c>
      <c r="R16" s="16" t="str">
        <f t="shared" si="2"/>
        <v>Dok</v>
      </c>
      <c r="S16" s="17">
        <v>0</v>
      </c>
      <c r="T16" s="15">
        <v>2</v>
      </c>
      <c r="U16" s="16" t="str">
        <f t="shared" si="3"/>
        <v>Dok</v>
      </c>
      <c r="V16" s="17">
        <v>125000</v>
      </c>
      <c r="W16" s="15">
        <v>5</v>
      </c>
      <c r="X16" s="16" t="str">
        <f t="shared" si="4"/>
        <v>Dok</v>
      </c>
      <c r="Y16" s="17">
        <v>1375000</v>
      </c>
      <c r="Z16" s="47">
        <f t="shared" si="5"/>
        <v>10</v>
      </c>
      <c r="AA16" s="34" t="str">
        <f t="shared" si="6"/>
        <v>Dok</v>
      </c>
      <c r="AB16" s="47">
        <f t="shared" si="7"/>
        <v>100</v>
      </c>
      <c r="AC16" s="26" t="s">
        <v>110</v>
      </c>
      <c r="AD16" s="32">
        <f t="shared" si="8"/>
        <v>1500000</v>
      </c>
      <c r="AE16" s="48">
        <f t="shared" si="9"/>
        <v>100</v>
      </c>
      <c r="AF16" s="26" t="s">
        <v>110</v>
      </c>
      <c r="AG16" s="47">
        <f t="shared" si="10"/>
        <v>20</v>
      </c>
      <c r="AH16" s="67" t="str">
        <f t="shared" si="11"/>
        <v>Dok</v>
      </c>
      <c r="AI16" s="32">
        <f t="shared" si="12"/>
        <v>1500000</v>
      </c>
      <c r="AJ16" s="48"/>
      <c r="AK16" s="26" t="s">
        <v>110</v>
      </c>
      <c r="AL16" s="48"/>
      <c r="AM16" s="11"/>
      <c r="AP16" s="19"/>
    </row>
    <row r="17" spans="1:42" ht="94.5" x14ac:dyDescent="0.2">
      <c r="A17" s="12"/>
      <c r="B17" s="13"/>
      <c r="C17" s="14" t="s">
        <v>71</v>
      </c>
      <c r="D17" s="14" t="s">
        <v>116</v>
      </c>
      <c r="E17" s="41">
        <f>SUM(E19:E21)</f>
        <v>42</v>
      </c>
      <c r="F17" s="36" t="s">
        <v>48</v>
      </c>
      <c r="G17" s="33"/>
      <c r="H17" s="41">
        <f>SUM(H19:H21)</f>
        <v>14</v>
      </c>
      <c r="I17" s="36" t="s">
        <v>48</v>
      </c>
      <c r="J17" s="33"/>
      <c r="K17" s="41">
        <f>SUM(K19:K21)</f>
        <v>14</v>
      </c>
      <c r="L17" s="36" t="s">
        <v>48</v>
      </c>
      <c r="M17" s="33">
        <f>SUM(M18:M21)</f>
        <v>3201603596</v>
      </c>
      <c r="N17" s="41">
        <f>SUM(N19:N21)</f>
        <v>3</v>
      </c>
      <c r="O17" s="36" t="str">
        <f t="shared" si="1"/>
        <v>Dok</v>
      </c>
      <c r="P17" s="33">
        <f>SUM(P18:P21)</f>
        <v>648504288</v>
      </c>
      <c r="Q17" s="41">
        <f>SUM(Q19:Q21)</f>
        <v>4</v>
      </c>
      <c r="R17" s="36" t="str">
        <f t="shared" si="2"/>
        <v>Dok</v>
      </c>
      <c r="S17" s="33">
        <f>SUM(S18:S21)</f>
        <v>910258378</v>
      </c>
      <c r="T17" s="41">
        <f>SUM(T19:T21)</f>
        <v>3</v>
      </c>
      <c r="U17" s="36" t="str">
        <f t="shared" si="3"/>
        <v>Dok</v>
      </c>
      <c r="V17" s="33">
        <f>SUM(V18:V21)</f>
        <v>563448293</v>
      </c>
      <c r="W17" s="41">
        <f>SUM(W19:W21)</f>
        <v>4</v>
      </c>
      <c r="X17" s="36" t="str">
        <f t="shared" si="4"/>
        <v>Dok</v>
      </c>
      <c r="Y17" s="33">
        <f>SUM(Y18:Y21)</f>
        <v>454738915</v>
      </c>
      <c r="Z17" s="46">
        <f t="shared" si="5"/>
        <v>14</v>
      </c>
      <c r="AA17" s="66" t="str">
        <f t="shared" si="6"/>
        <v>Dok</v>
      </c>
      <c r="AB17" s="46">
        <f t="shared" si="7"/>
        <v>100</v>
      </c>
      <c r="AC17" s="44" t="s">
        <v>110</v>
      </c>
      <c r="AD17" s="43">
        <f t="shared" si="8"/>
        <v>2576949874</v>
      </c>
      <c r="AE17" s="45">
        <f t="shared" si="9"/>
        <v>80.489348438375501</v>
      </c>
      <c r="AF17" s="44" t="s">
        <v>110</v>
      </c>
      <c r="AG17" s="46">
        <f t="shared" si="10"/>
        <v>28</v>
      </c>
      <c r="AH17" s="66" t="str">
        <f t="shared" si="11"/>
        <v>Dok</v>
      </c>
      <c r="AI17" s="43">
        <f t="shared" si="12"/>
        <v>2576949874</v>
      </c>
      <c r="AJ17" s="45"/>
      <c r="AK17" s="44" t="s">
        <v>110</v>
      </c>
      <c r="AL17" s="45"/>
      <c r="AM17" s="11"/>
      <c r="AP17" s="19"/>
    </row>
    <row r="18" spans="1:42" ht="75" customHeight="1" x14ac:dyDescent="0.2">
      <c r="A18" s="12"/>
      <c r="B18" s="13"/>
      <c r="C18" s="20" t="s">
        <v>72</v>
      </c>
      <c r="D18" s="20" t="s">
        <v>101</v>
      </c>
      <c r="E18" s="34">
        <f>12*3</f>
        <v>36</v>
      </c>
      <c r="F18" s="16" t="s">
        <v>102</v>
      </c>
      <c r="G18" s="17"/>
      <c r="H18" s="34">
        <v>12</v>
      </c>
      <c r="I18" s="16" t="s">
        <v>102</v>
      </c>
      <c r="J18" s="17"/>
      <c r="K18" s="34">
        <v>12</v>
      </c>
      <c r="L18" s="16" t="s">
        <v>102</v>
      </c>
      <c r="M18" s="17">
        <v>3196603596</v>
      </c>
      <c r="N18" s="34">
        <v>3</v>
      </c>
      <c r="O18" s="16" t="str">
        <f t="shared" si="1"/>
        <v>Bln</v>
      </c>
      <c r="P18" s="17">
        <v>648129788</v>
      </c>
      <c r="Q18" s="34">
        <v>3</v>
      </c>
      <c r="R18" s="16" t="str">
        <f t="shared" si="2"/>
        <v>Bln</v>
      </c>
      <c r="S18" s="17">
        <v>910258378</v>
      </c>
      <c r="T18" s="34">
        <v>3</v>
      </c>
      <c r="U18" s="16" t="str">
        <f t="shared" si="3"/>
        <v>Bln</v>
      </c>
      <c r="V18" s="17">
        <v>563073793</v>
      </c>
      <c r="W18" s="34">
        <v>3</v>
      </c>
      <c r="X18" s="16" t="str">
        <f t="shared" si="4"/>
        <v>Bln</v>
      </c>
      <c r="Y18" s="17">
        <v>450487915</v>
      </c>
      <c r="Z18" s="47">
        <f t="shared" si="5"/>
        <v>12</v>
      </c>
      <c r="AA18" s="67" t="str">
        <f t="shared" si="6"/>
        <v>Bln</v>
      </c>
      <c r="AB18" s="47">
        <f t="shared" si="7"/>
        <v>100</v>
      </c>
      <c r="AC18" s="26" t="s">
        <v>110</v>
      </c>
      <c r="AD18" s="32">
        <f t="shared" si="8"/>
        <v>2571949874</v>
      </c>
      <c r="AE18" s="48">
        <f t="shared" si="9"/>
        <v>80.458830654459419</v>
      </c>
      <c r="AF18" s="26" t="s">
        <v>110</v>
      </c>
      <c r="AG18" s="47">
        <f t="shared" si="10"/>
        <v>24</v>
      </c>
      <c r="AH18" s="67" t="str">
        <f t="shared" si="11"/>
        <v>Bln</v>
      </c>
      <c r="AI18" s="32">
        <f t="shared" si="12"/>
        <v>2571949874</v>
      </c>
      <c r="AJ18" s="48"/>
      <c r="AK18" s="26" t="s">
        <v>110</v>
      </c>
      <c r="AL18" s="48"/>
      <c r="AM18" s="21"/>
      <c r="AP18" s="19">
        <f t="shared" si="0"/>
        <v>2571949874</v>
      </c>
    </row>
    <row r="19" spans="1:42" ht="102.75" customHeight="1" x14ac:dyDescent="0.2">
      <c r="A19" s="12"/>
      <c r="B19" s="13"/>
      <c r="C19" s="20" t="s">
        <v>73</v>
      </c>
      <c r="D19" s="20" t="s">
        <v>103</v>
      </c>
      <c r="E19" s="34">
        <f>1*3</f>
        <v>3</v>
      </c>
      <c r="F19" s="16" t="s">
        <v>48</v>
      </c>
      <c r="G19" s="17"/>
      <c r="H19" s="34">
        <v>1</v>
      </c>
      <c r="I19" s="16" t="s">
        <v>48</v>
      </c>
      <c r="J19" s="17"/>
      <c r="K19" s="34">
        <v>1</v>
      </c>
      <c r="L19" s="16" t="s">
        <v>48</v>
      </c>
      <c r="M19" s="17">
        <v>2000000</v>
      </c>
      <c r="N19" s="34">
        <v>0</v>
      </c>
      <c r="O19" s="16" t="str">
        <f t="shared" si="1"/>
        <v>Dok</v>
      </c>
      <c r="P19" s="17">
        <v>0</v>
      </c>
      <c r="Q19" s="34">
        <v>0</v>
      </c>
      <c r="R19" s="16" t="str">
        <f t="shared" si="2"/>
        <v>Dok</v>
      </c>
      <c r="S19" s="17">
        <v>0</v>
      </c>
      <c r="T19" s="34">
        <v>0</v>
      </c>
      <c r="U19" s="16" t="str">
        <f t="shared" si="3"/>
        <v>Dok</v>
      </c>
      <c r="V19" s="17">
        <v>0</v>
      </c>
      <c r="W19" s="34">
        <v>1</v>
      </c>
      <c r="X19" s="16" t="str">
        <f t="shared" si="4"/>
        <v>Dok</v>
      </c>
      <c r="Y19" s="17">
        <v>2000000</v>
      </c>
      <c r="Z19" s="47">
        <f t="shared" si="5"/>
        <v>1</v>
      </c>
      <c r="AA19" s="67" t="str">
        <f t="shared" si="6"/>
        <v>Dok</v>
      </c>
      <c r="AB19" s="47">
        <f t="shared" si="7"/>
        <v>100</v>
      </c>
      <c r="AC19" s="26" t="s">
        <v>110</v>
      </c>
      <c r="AD19" s="32">
        <f t="shared" si="8"/>
        <v>2000000</v>
      </c>
      <c r="AE19" s="48">
        <f t="shared" si="9"/>
        <v>100</v>
      </c>
      <c r="AF19" s="26" t="s">
        <v>110</v>
      </c>
      <c r="AG19" s="47">
        <f t="shared" si="10"/>
        <v>2</v>
      </c>
      <c r="AH19" s="67" t="str">
        <f t="shared" si="11"/>
        <v>Dok</v>
      </c>
      <c r="AI19" s="32">
        <f t="shared" si="12"/>
        <v>2000000</v>
      </c>
      <c r="AJ19" s="48"/>
      <c r="AK19" s="26" t="s">
        <v>110</v>
      </c>
      <c r="AL19" s="48"/>
      <c r="AM19" s="11"/>
      <c r="AP19" s="19">
        <f t="shared" si="0"/>
        <v>2000000</v>
      </c>
    </row>
    <row r="20" spans="1:42" ht="98.25" customHeight="1" x14ac:dyDescent="0.2">
      <c r="A20" s="12"/>
      <c r="B20" s="13"/>
      <c r="C20" s="20" t="s">
        <v>74</v>
      </c>
      <c r="D20" s="20" t="s">
        <v>103</v>
      </c>
      <c r="E20" s="34">
        <f>12*3</f>
        <v>36</v>
      </c>
      <c r="F20" s="16" t="s">
        <v>48</v>
      </c>
      <c r="G20" s="17"/>
      <c r="H20" s="34">
        <v>12</v>
      </c>
      <c r="I20" s="16" t="s">
        <v>48</v>
      </c>
      <c r="J20" s="17"/>
      <c r="K20" s="34">
        <v>12</v>
      </c>
      <c r="L20" s="16" t="s">
        <v>48</v>
      </c>
      <c r="M20" s="17">
        <v>1500000</v>
      </c>
      <c r="N20" s="34">
        <v>3</v>
      </c>
      <c r="O20" s="16" t="str">
        <f t="shared" si="1"/>
        <v>Dok</v>
      </c>
      <c r="P20" s="17">
        <v>374500</v>
      </c>
      <c r="Q20" s="34">
        <v>3</v>
      </c>
      <c r="R20" s="16" t="str">
        <f t="shared" si="2"/>
        <v>Dok</v>
      </c>
      <c r="S20" s="17">
        <v>0</v>
      </c>
      <c r="T20" s="34">
        <v>3</v>
      </c>
      <c r="U20" s="16" t="str">
        <f t="shared" si="3"/>
        <v>Dok</v>
      </c>
      <c r="V20" s="17">
        <v>374500</v>
      </c>
      <c r="W20" s="34">
        <v>3</v>
      </c>
      <c r="X20" s="16" t="str">
        <f t="shared" si="4"/>
        <v>Dok</v>
      </c>
      <c r="Y20" s="17">
        <v>751000</v>
      </c>
      <c r="Z20" s="47">
        <f t="shared" si="5"/>
        <v>12</v>
      </c>
      <c r="AA20" s="67" t="str">
        <f t="shared" si="6"/>
        <v>Dok</v>
      </c>
      <c r="AB20" s="47">
        <f t="shared" si="7"/>
        <v>100</v>
      </c>
      <c r="AC20" s="26" t="s">
        <v>110</v>
      </c>
      <c r="AD20" s="32">
        <f t="shared" si="8"/>
        <v>1500000</v>
      </c>
      <c r="AE20" s="48">
        <f t="shared" si="9"/>
        <v>100</v>
      </c>
      <c r="AF20" s="26" t="s">
        <v>110</v>
      </c>
      <c r="AG20" s="47">
        <f t="shared" si="10"/>
        <v>24</v>
      </c>
      <c r="AH20" s="67" t="str">
        <f t="shared" si="11"/>
        <v>Dok</v>
      </c>
      <c r="AI20" s="32">
        <f t="shared" si="12"/>
        <v>1500000</v>
      </c>
      <c r="AJ20" s="48"/>
      <c r="AK20" s="26" t="s">
        <v>110</v>
      </c>
      <c r="AL20" s="48"/>
      <c r="AM20" s="11"/>
      <c r="AP20" s="19">
        <f t="shared" si="0"/>
        <v>1500000</v>
      </c>
    </row>
    <row r="21" spans="1:42" ht="102" customHeight="1" x14ac:dyDescent="0.2">
      <c r="A21" s="12"/>
      <c r="B21" s="13"/>
      <c r="C21" s="20" t="s">
        <v>75</v>
      </c>
      <c r="D21" s="20" t="s">
        <v>103</v>
      </c>
      <c r="E21" s="34">
        <f>1*3</f>
        <v>3</v>
      </c>
      <c r="F21" s="16" t="s">
        <v>48</v>
      </c>
      <c r="G21" s="17"/>
      <c r="H21" s="34">
        <v>1</v>
      </c>
      <c r="I21" s="16" t="s">
        <v>48</v>
      </c>
      <c r="J21" s="17"/>
      <c r="K21" s="34">
        <v>1</v>
      </c>
      <c r="L21" s="16" t="s">
        <v>48</v>
      </c>
      <c r="M21" s="17">
        <v>1500000</v>
      </c>
      <c r="N21" s="34">
        <v>0</v>
      </c>
      <c r="O21" s="16" t="str">
        <f t="shared" si="1"/>
        <v>Dok</v>
      </c>
      <c r="P21" s="17">
        <v>0</v>
      </c>
      <c r="Q21" s="34">
        <v>1</v>
      </c>
      <c r="R21" s="16" t="str">
        <f t="shared" si="2"/>
        <v>Dok</v>
      </c>
      <c r="S21" s="17">
        <v>0</v>
      </c>
      <c r="T21" s="34">
        <v>0</v>
      </c>
      <c r="U21" s="16" t="str">
        <f t="shared" si="3"/>
        <v>Dok</v>
      </c>
      <c r="V21" s="17">
        <v>0</v>
      </c>
      <c r="W21" s="34">
        <v>0</v>
      </c>
      <c r="X21" s="16" t="str">
        <f t="shared" si="4"/>
        <v>Dok</v>
      </c>
      <c r="Y21" s="17">
        <v>1500000</v>
      </c>
      <c r="Z21" s="47">
        <f t="shared" si="5"/>
        <v>1</v>
      </c>
      <c r="AA21" s="67" t="str">
        <f t="shared" si="6"/>
        <v>Dok</v>
      </c>
      <c r="AB21" s="47">
        <f t="shared" si="7"/>
        <v>100</v>
      </c>
      <c r="AC21" s="26" t="s">
        <v>110</v>
      </c>
      <c r="AD21" s="32">
        <f t="shared" si="8"/>
        <v>1500000</v>
      </c>
      <c r="AE21" s="48">
        <f t="shared" si="9"/>
        <v>100</v>
      </c>
      <c r="AF21" s="26" t="s">
        <v>110</v>
      </c>
      <c r="AG21" s="47">
        <f t="shared" si="10"/>
        <v>2</v>
      </c>
      <c r="AH21" s="67" t="str">
        <f t="shared" si="11"/>
        <v>Dok</v>
      </c>
      <c r="AI21" s="32">
        <f t="shared" si="12"/>
        <v>1500000</v>
      </c>
      <c r="AJ21" s="48"/>
      <c r="AK21" s="26" t="s">
        <v>110</v>
      </c>
      <c r="AL21" s="48"/>
      <c r="AM21" s="11"/>
      <c r="AP21" s="19">
        <f t="shared" si="0"/>
        <v>1500000</v>
      </c>
    </row>
    <row r="22" spans="1:42" ht="98.25" customHeight="1" x14ac:dyDescent="0.2">
      <c r="A22" s="12"/>
      <c r="B22" s="13"/>
      <c r="C22" s="14" t="s">
        <v>76</v>
      </c>
      <c r="D22" s="14" t="s">
        <v>117</v>
      </c>
      <c r="E22" s="41">
        <v>1</v>
      </c>
      <c r="F22" s="36" t="s">
        <v>48</v>
      </c>
      <c r="G22" s="17"/>
      <c r="H22" s="41">
        <v>1</v>
      </c>
      <c r="I22" s="36" t="s">
        <v>48</v>
      </c>
      <c r="J22" s="17"/>
      <c r="K22" s="41">
        <v>1</v>
      </c>
      <c r="L22" s="36" t="s">
        <v>48</v>
      </c>
      <c r="M22" s="33">
        <f>SUM(M23:M27)</f>
        <v>204128788</v>
      </c>
      <c r="N22" s="41">
        <v>0</v>
      </c>
      <c r="O22" s="36" t="str">
        <f t="shared" si="1"/>
        <v>Dok</v>
      </c>
      <c r="P22" s="33">
        <f>SUM(P23:P27)</f>
        <v>13098850</v>
      </c>
      <c r="Q22" s="41">
        <v>0</v>
      </c>
      <c r="R22" s="36" t="str">
        <f t="shared" si="2"/>
        <v>Dok</v>
      </c>
      <c r="S22" s="33">
        <f>SUM(S23:S27)</f>
        <v>50124600</v>
      </c>
      <c r="T22" s="41">
        <v>0</v>
      </c>
      <c r="U22" s="36" t="str">
        <f t="shared" si="3"/>
        <v>Dok</v>
      </c>
      <c r="V22" s="33">
        <f>SUM(V23:V27)</f>
        <v>32237938</v>
      </c>
      <c r="W22" s="41">
        <v>1</v>
      </c>
      <c r="X22" s="36" t="str">
        <f t="shared" si="4"/>
        <v>Dok</v>
      </c>
      <c r="Y22" s="33">
        <f>SUM(Y23:Y27)</f>
        <v>75897500</v>
      </c>
      <c r="Z22" s="46">
        <f t="shared" si="5"/>
        <v>1</v>
      </c>
      <c r="AA22" s="66" t="str">
        <f t="shared" si="6"/>
        <v>Dok</v>
      </c>
      <c r="AB22" s="46">
        <f t="shared" si="7"/>
        <v>100</v>
      </c>
      <c r="AC22" s="44" t="s">
        <v>110</v>
      </c>
      <c r="AD22" s="43">
        <f t="shared" si="8"/>
        <v>171358888</v>
      </c>
      <c r="AE22" s="45">
        <f t="shared" si="9"/>
        <v>83.946458350597766</v>
      </c>
      <c r="AF22" s="44" t="s">
        <v>110</v>
      </c>
      <c r="AG22" s="46">
        <f t="shared" si="10"/>
        <v>2</v>
      </c>
      <c r="AH22" s="66" t="str">
        <f t="shared" si="11"/>
        <v>Dok</v>
      </c>
      <c r="AI22" s="43">
        <f t="shared" si="12"/>
        <v>171358888</v>
      </c>
      <c r="AJ22" s="45"/>
      <c r="AK22" s="44" t="s">
        <v>110</v>
      </c>
      <c r="AL22" s="45"/>
      <c r="AM22" s="11"/>
      <c r="AP22" s="19">
        <f t="shared" si="0"/>
        <v>171358888</v>
      </c>
    </row>
    <row r="23" spans="1:42" ht="66" customHeight="1" x14ac:dyDescent="0.2">
      <c r="A23" s="12"/>
      <c r="B23" s="13"/>
      <c r="C23" s="20" t="s">
        <v>77</v>
      </c>
      <c r="D23" s="20" t="s">
        <v>101</v>
      </c>
      <c r="E23" s="15">
        <f t="shared" ref="E23:E27" si="13">12*3</f>
        <v>36</v>
      </c>
      <c r="F23" s="16" t="s">
        <v>102</v>
      </c>
      <c r="G23" s="17"/>
      <c r="H23" s="15">
        <v>12</v>
      </c>
      <c r="I23" s="16" t="s">
        <v>102</v>
      </c>
      <c r="J23" s="17"/>
      <c r="K23" s="15">
        <v>12</v>
      </c>
      <c r="L23" s="16" t="s">
        <v>102</v>
      </c>
      <c r="M23" s="17">
        <v>34818788</v>
      </c>
      <c r="N23" s="15">
        <v>3</v>
      </c>
      <c r="O23" s="16" t="str">
        <f t="shared" si="1"/>
        <v>Bln</v>
      </c>
      <c r="P23" s="17">
        <v>10068850</v>
      </c>
      <c r="Q23" s="15">
        <v>3</v>
      </c>
      <c r="R23" s="16" t="str">
        <f t="shared" si="2"/>
        <v>Bln</v>
      </c>
      <c r="S23" s="17">
        <v>13966000</v>
      </c>
      <c r="T23" s="15">
        <v>3</v>
      </c>
      <c r="U23" s="16" t="str">
        <f t="shared" si="3"/>
        <v>Bln</v>
      </c>
      <c r="V23" s="17">
        <v>9447938</v>
      </c>
      <c r="W23" s="15">
        <v>3</v>
      </c>
      <c r="X23" s="16" t="str">
        <f t="shared" si="4"/>
        <v>Bln</v>
      </c>
      <c r="Y23" s="17">
        <v>383000</v>
      </c>
      <c r="Z23" s="47">
        <f t="shared" si="5"/>
        <v>12</v>
      </c>
      <c r="AA23" s="67" t="str">
        <f t="shared" si="6"/>
        <v>Bln</v>
      </c>
      <c r="AB23" s="47">
        <f t="shared" si="7"/>
        <v>100</v>
      </c>
      <c r="AC23" s="26" t="s">
        <v>110</v>
      </c>
      <c r="AD23" s="32">
        <f t="shared" si="8"/>
        <v>33865788</v>
      </c>
      <c r="AE23" s="48">
        <f t="shared" si="9"/>
        <v>97.262971933428588</v>
      </c>
      <c r="AF23" s="26" t="s">
        <v>110</v>
      </c>
      <c r="AG23" s="47">
        <f t="shared" si="10"/>
        <v>24</v>
      </c>
      <c r="AH23" s="67" t="str">
        <f t="shared" si="11"/>
        <v>Bln</v>
      </c>
      <c r="AI23" s="32">
        <f t="shared" si="12"/>
        <v>33865788</v>
      </c>
      <c r="AJ23" s="48"/>
      <c r="AK23" s="26" t="s">
        <v>110</v>
      </c>
      <c r="AL23" s="48"/>
      <c r="AM23" s="11"/>
      <c r="AP23" s="19">
        <f t="shared" si="0"/>
        <v>33865788</v>
      </c>
    </row>
    <row r="24" spans="1:42" ht="65.25" customHeight="1" x14ac:dyDescent="0.2">
      <c r="A24" s="12"/>
      <c r="B24" s="13"/>
      <c r="C24" s="20" t="s">
        <v>78</v>
      </c>
      <c r="D24" s="20" t="s">
        <v>101</v>
      </c>
      <c r="E24" s="15">
        <f t="shared" si="13"/>
        <v>36</v>
      </c>
      <c r="F24" s="16" t="s">
        <v>102</v>
      </c>
      <c r="G24" s="33"/>
      <c r="H24" s="15">
        <v>12</v>
      </c>
      <c r="I24" s="16" t="s">
        <v>102</v>
      </c>
      <c r="J24" s="33"/>
      <c r="K24" s="15">
        <v>12</v>
      </c>
      <c r="L24" s="16" t="s">
        <v>102</v>
      </c>
      <c r="M24" s="17">
        <v>39720000</v>
      </c>
      <c r="N24" s="15">
        <v>3</v>
      </c>
      <c r="O24" s="16" t="str">
        <f t="shared" si="1"/>
        <v>Bln</v>
      </c>
      <c r="P24" s="17">
        <v>0</v>
      </c>
      <c r="Q24" s="15">
        <v>3</v>
      </c>
      <c r="R24" s="16" t="str">
        <f t="shared" si="2"/>
        <v>Bln</v>
      </c>
      <c r="S24" s="17">
        <v>10540000</v>
      </c>
      <c r="T24" s="15">
        <v>3</v>
      </c>
      <c r="U24" s="16" t="str">
        <f t="shared" si="3"/>
        <v>Bln</v>
      </c>
      <c r="V24" s="17">
        <v>5500000</v>
      </c>
      <c r="W24" s="15">
        <v>3</v>
      </c>
      <c r="X24" s="16" t="str">
        <f t="shared" si="4"/>
        <v>Bln</v>
      </c>
      <c r="Y24" s="17">
        <v>12680000</v>
      </c>
      <c r="Z24" s="47">
        <f t="shared" si="5"/>
        <v>12</v>
      </c>
      <c r="AA24" s="67" t="str">
        <f t="shared" si="6"/>
        <v>Bln</v>
      </c>
      <c r="AB24" s="47">
        <f t="shared" si="7"/>
        <v>100</v>
      </c>
      <c r="AC24" s="26" t="s">
        <v>110</v>
      </c>
      <c r="AD24" s="32">
        <f t="shared" si="8"/>
        <v>28720000</v>
      </c>
      <c r="AE24" s="48">
        <f t="shared" si="9"/>
        <v>72.306143001007044</v>
      </c>
      <c r="AF24" s="26" t="s">
        <v>110</v>
      </c>
      <c r="AG24" s="47">
        <f t="shared" si="10"/>
        <v>24</v>
      </c>
      <c r="AH24" s="67" t="str">
        <f t="shared" si="11"/>
        <v>Bln</v>
      </c>
      <c r="AI24" s="32">
        <f t="shared" si="12"/>
        <v>28720000</v>
      </c>
      <c r="AJ24" s="48"/>
      <c r="AK24" s="26" t="s">
        <v>110</v>
      </c>
      <c r="AL24" s="48"/>
      <c r="AM24" s="11"/>
      <c r="AP24" s="19"/>
    </row>
    <row r="25" spans="1:42" ht="70.5" customHeight="1" x14ac:dyDescent="0.2">
      <c r="A25" s="12"/>
      <c r="B25" s="13"/>
      <c r="C25" s="20" t="s">
        <v>79</v>
      </c>
      <c r="D25" s="20" t="s">
        <v>101</v>
      </c>
      <c r="E25" s="15">
        <f t="shared" si="13"/>
        <v>36</v>
      </c>
      <c r="F25" s="16" t="s">
        <v>102</v>
      </c>
      <c r="G25" s="33"/>
      <c r="H25" s="15">
        <v>12</v>
      </c>
      <c r="I25" s="16" t="s">
        <v>102</v>
      </c>
      <c r="J25" s="33"/>
      <c r="K25" s="15">
        <v>12</v>
      </c>
      <c r="L25" s="16" t="s">
        <v>102</v>
      </c>
      <c r="M25" s="17">
        <v>8190000</v>
      </c>
      <c r="N25" s="15">
        <v>3</v>
      </c>
      <c r="O25" s="16" t="str">
        <f t="shared" si="1"/>
        <v>Bln</v>
      </c>
      <c r="P25" s="17">
        <v>0</v>
      </c>
      <c r="Q25" s="15">
        <v>3</v>
      </c>
      <c r="R25" s="16" t="str">
        <f t="shared" si="2"/>
        <v>Bln</v>
      </c>
      <c r="S25" s="17">
        <v>1690000</v>
      </c>
      <c r="T25" s="15">
        <v>3</v>
      </c>
      <c r="U25" s="16" t="str">
        <f t="shared" si="3"/>
        <v>Bln</v>
      </c>
      <c r="V25" s="17">
        <v>990000</v>
      </c>
      <c r="W25" s="15">
        <v>3</v>
      </c>
      <c r="X25" s="16" t="str">
        <f t="shared" si="4"/>
        <v>Bln</v>
      </c>
      <c r="Y25" s="17">
        <v>3230000</v>
      </c>
      <c r="Z25" s="47">
        <f t="shared" si="5"/>
        <v>12</v>
      </c>
      <c r="AA25" s="67" t="str">
        <f t="shared" si="6"/>
        <v>Bln</v>
      </c>
      <c r="AB25" s="47">
        <f t="shared" si="7"/>
        <v>100</v>
      </c>
      <c r="AC25" s="26" t="s">
        <v>110</v>
      </c>
      <c r="AD25" s="32">
        <f t="shared" si="8"/>
        <v>5910000</v>
      </c>
      <c r="AE25" s="48">
        <f t="shared" si="9"/>
        <v>72.161172161172161</v>
      </c>
      <c r="AF25" s="26" t="s">
        <v>110</v>
      </c>
      <c r="AG25" s="47">
        <f t="shared" si="10"/>
        <v>24</v>
      </c>
      <c r="AH25" s="67" t="str">
        <f t="shared" si="11"/>
        <v>Bln</v>
      </c>
      <c r="AI25" s="32">
        <f t="shared" si="12"/>
        <v>5910000</v>
      </c>
      <c r="AJ25" s="48"/>
      <c r="AK25" s="26" t="s">
        <v>110</v>
      </c>
      <c r="AL25" s="48"/>
      <c r="AM25" s="11"/>
      <c r="AP25" s="19"/>
    </row>
    <row r="26" spans="1:42" ht="65.25" customHeight="1" x14ac:dyDescent="0.2">
      <c r="A26" s="12"/>
      <c r="B26" s="13"/>
      <c r="C26" s="20" t="s">
        <v>80</v>
      </c>
      <c r="D26" s="20" t="s">
        <v>101</v>
      </c>
      <c r="E26" s="15">
        <f t="shared" si="13"/>
        <v>36</v>
      </c>
      <c r="F26" s="16" t="s">
        <v>102</v>
      </c>
      <c r="G26" s="33"/>
      <c r="H26" s="15">
        <v>12</v>
      </c>
      <c r="I26" s="16" t="s">
        <v>102</v>
      </c>
      <c r="J26" s="33"/>
      <c r="K26" s="15">
        <v>12</v>
      </c>
      <c r="L26" s="16" t="s">
        <v>102</v>
      </c>
      <c r="M26" s="17">
        <v>2400000</v>
      </c>
      <c r="N26" s="15">
        <v>3</v>
      </c>
      <c r="O26" s="16" t="str">
        <f t="shared" si="1"/>
        <v>Bln</v>
      </c>
      <c r="P26" s="17">
        <v>0</v>
      </c>
      <c r="Q26" s="15">
        <v>3</v>
      </c>
      <c r="R26" s="16" t="str">
        <f t="shared" si="2"/>
        <v>Bln</v>
      </c>
      <c r="S26" s="17">
        <v>425000</v>
      </c>
      <c r="T26" s="15">
        <v>3</v>
      </c>
      <c r="U26" s="16" t="str">
        <f t="shared" si="3"/>
        <v>Bln</v>
      </c>
      <c r="V26" s="17">
        <v>170000</v>
      </c>
      <c r="W26" s="15">
        <v>3</v>
      </c>
      <c r="X26" s="16" t="str">
        <f t="shared" si="4"/>
        <v>Bln</v>
      </c>
      <c r="Y26" s="17">
        <v>425000</v>
      </c>
      <c r="Z26" s="47">
        <f t="shared" si="5"/>
        <v>12</v>
      </c>
      <c r="AA26" s="67" t="str">
        <f t="shared" si="6"/>
        <v>Bln</v>
      </c>
      <c r="AB26" s="47">
        <f t="shared" si="7"/>
        <v>100</v>
      </c>
      <c r="AC26" s="26" t="s">
        <v>110</v>
      </c>
      <c r="AD26" s="32">
        <f t="shared" si="8"/>
        <v>1020000</v>
      </c>
      <c r="AE26" s="48">
        <f t="shared" si="9"/>
        <v>42.5</v>
      </c>
      <c r="AF26" s="26" t="s">
        <v>110</v>
      </c>
      <c r="AG26" s="47">
        <f t="shared" si="10"/>
        <v>24</v>
      </c>
      <c r="AH26" s="67" t="str">
        <f t="shared" si="11"/>
        <v>Bln</v>
      </c>
      <c r="AI26" s="32">
        <f t="shared" si="12"/>
        <v>1020000</v>
      </c>
      <c r="AJ26" s="48"/>
      <c r="AK26" s="26" t="s">
        <v>110</v>
      </c>
      <c r="AL26" s="48"/>
      <c r="AM26" s="11"/>
      <c r="AP26" s="19"/>
    </row>
    <row r="27" spans="1:42" ht="67.5" customHeight="1" x14ac:dyDescent="0.2">
      <c r="A27" s="12"/>
      <c r="B27" s="13"/>
      <c r="C27" s="20" t="s">
        <v>81</v>
      </c>
      <c r="D27" s="20" t="s">
        <v>101</v>
      </c>
      <c r="E27" s="15">
        <f t="shared" si="13"/>
        <v>36</v>
      </c>
      <c r="F27" s="16" t="s">
        <v>102</v>
      </c>
      <c r="G27" s="33"/>
      <c r="H27" s="15">
        <v>12</v>
      </c>
      <c r="I27" s="16" t="s">
        <v>102</v>
      </c>
      <c r="J27" s="33"/>
      <c r="K27" s="15">
        <v>12</v>
      </c>
      <c r="L27" s="16" t="s">
        <v>102</v>
      </c>
      <c r="M27" s="17">
        <v>119000000</v>
      </c>
      <c r="N27" s="15">
        <v>3</v>
      </c>
      <c r="O27" s="16" t="str">
        <f t="shared" si="1"/>
        <v>Bln</v>
      </c>
      <c r="P27" s="17">
        <v>3030000</v>
      </c>
      <c r="Q27" s="15">
        <v>3</v>
      </c>
      <c r="R27" s="16" t="str">
        <f t="shared" si="2"/>
        <v>Bln</v>
      </c>
      <c r="S27" s="17">
        <v>23503600</v>
      </c>
      <c r="T27" s="15">
        <v>3</v>
      </c>
      <c r="U27" s="16" t="str">
        <f t="shared" si="3"/>
        <v>Bln</v>
      </c>
      <c r="V27" s="17">
        <v>16130000</v>
      </c>
      <c r="W27" s="15">
        <v>3</v>
      </c>
      <c r="X27" s="16" t="str">
        <f t="shared" si="4"/>
        <v>Bln</v>
      </c>
      <c r="Y27" s="17">
        <v>59179500</v>
      </c>
      <c r="Z27" s="47">
        <f t="shared" si="5"/>
        <v>12</v>
      </c>
      <c r="AA27" s="67" t="str">
        <f t="shared" si="6"/>
        <v>Bln</v>
      </c>
      <c r="AB27" s="47">
        <f t="shared" si="7"/>
        <v>100</v>
      </c>
      <c r="AC27" s="26" t="s">
        <v>110</v>
      </c>
      <c r="AD27" s="32">
        <f t="shared" si="8"/>
        <v>101843100</v>
      </c>
      <c r="AE27" s="48">
        <f t="shared" si="9"/>
        <v>85.582436974789914</v>
      </c>
      <c r="AF27" s="26" t="s">
        <v>110</v>
      </c>
      <c r="AG27" s="47">
        <f t="shared" si="10"/>
        <v>24</v>
      </c>
      <c r="AH27" s="67" t="str">
        <f t="shared" si="11"/>
        <v>Bln</v>
      </c>
      <c r="AI27" s="32">
        <f t="shared" si="12"/>
        <v>101843100</v>
      </c>
      <c r="AJ27" s="48"/>
      <c r="AK27" s="26" t="s">
        <v>110</v>
      </c>
      <c r="AL27" s="48"/>
      <c r="AM27" s="11"/>
      <c r="AP27" s="19"/>
    </row>
    <row r="28" spans="1:42" ht="102" customHeight="1" x14ac:dyDescent="0.2">
      <c r="A28" s="12"/>
      <c r="B28" s="13"/>
      <c r="C28" s="14" t="s">
        <v>82</v>
      </c>
      <c r="D28" s="14" t="s">
        <v>118</v>
      </c>
      <c r="E28" s="35">
        <v>100</v>
      </c>
      <c r="F28" s="36" t="s">
        <v>110</v>
      </c>
      <c r="G28" s="33"/>
      <c r="H28" s="35">
        <v>100</v>
      </c>
      <c r="I28" s="36" t="s">
        <v>110</v>
      </c>
      <c r="J28" s="33"/>
      <c r="K28" s="35">
        <v>100</v>
      </c>
      <c r="L28" s="36" t="s">
        <v>110</v>
      </c>
      <c r="M28" s="33">
        <f>SUM(M29:M31)</f>
        <v>121476000</v>
      </c>
      <c r="N28" s="35">
        <v>25</v>
      </c>
      <c r="O28" s="36" t="str">
        <f t="shared" si="1"/>
        <v>%</v>
      </c>
      <c r="P28" s="33">
        <f>SUM(P29:P31)</f>
        <v>14423771</v>
      </c>
      <c r="Q28" s="35">
        <v>25</v>
      </c>
      <c r="R28" s="36" t="str">
        <f t="shared" si="2"/>
        <v>%</v>
      </c>
      <c r="S28" s="33">
        <f>SUM(S29:S31)</f>
        <v>34077631</v>
      </c>
      <c r="T28" s="35">
        <v>25</v>
      </c>
      <c r="U28" s="36" t="str">
        <f t="shared" si="3"/>
        <v>%</v>
      </c>
      <c r="V28" s="33">
        <f>SUM(V29:V31)</f>
        <v>25719678</v>
      </c>
      <c r="W28" s="35">
        <v>25</v>
      </c>
      <c r="X28" s="36" t="str">
        <f t="shared" si="4"/>
        <v>%</v>
      </c>
      <c r="Y28" s="33">
        <f>SUM(Y29:Y31)</f>
        <v>29379609</v>
      </c>
      <c r="Z28" s="46">
        <f t="shared" si="5"/>
        <v>100</v>
      </c>
      <c r="AA28" s="66" t="str">
        <f t="shared" si="6"/>
        <v>%</v>
      </c>
      <c r="AB28" s="46">
        <f t="shared" si="7"/>
        <v>100</v>
      </c>
      <c r="AC28" s="44" t="s">
        <v>110</v>
      </c>
      <c r="AD28" s="43">
        <f t="shared" si="8"/>
        <v>103600689</v>
      </c>
      <c r="AE28" s="45">
        <f t="shared" si="9"/>
        <v>85.284903190753724</v>
      </c>
      <c r="AF28" s="44" t="s">
        <v>110</v>
      </c>
      <c r="AG28" s="46">
        <f t="shared" si="10"/>
        <v>200</v>
      </c>
      <c r="AH28" s="66" t="str">
        <f t="shared" si="11"/>
        <v>%</v>
      </c>
      <c r="AI28" s="43">
        <f t="shared" si="12"/>
        <v>103600689</v>
      </c>
      <c r="AJ28" s="45"/>
      <c r="AK28" s="44" t="s">
        <v>110</v>
      </c>
      <c r="AL28" s="45"/>
      <c r="AM28" s="11"/>
      <c r="AP28" s="19"/>
    </row>
    <row r="29" spans="1:42" ht="66.75" customHeight="1" x14ac:dyDescent="0.2">
      <c r="A29" s="12"/>
      <c r="B29" s="13"/>
      <c r="C29" s="20" t="s">
        <v>83</v>
      </c>
      <c r="D29" s="20" t="s">
        <v>101</v>
      </c>
      <c r="E29" s="15">
        <f t="shared" ref="E29:E31" si="14">12*3</f>
        <v>36</v>
      </c>
      <c r="F29" s="16" t="s">
        <v>102</v>
      </c>
      <c r="G29" s="17"/>
      <c r="H29" s="15">
        <v>12</v>
      </c>
      <c r="I29" s="16" t="s">
        <v>102</v>
      </c>
      <c r="J29" s="17"/>
      <c r="K29" s="15">
        <v>12</v>
      </c>
      <c r="L29" s="16" t="s">
        <v>102</v>
      </c>
      <c r="M29" s="17">
        <v>150000</v>
      </c>
      <c r="N29" s="15">
        <v>3</v>
      </c>
      <c r="O29" s="16" t="str">
        <f t="shared" si="1"/>
        <v>Bln</v>
      </c>
      <c r="P29" s="17">
        <v>0</v>
      </c>
      <c r="Q29" s="15">
        <v>3</v>
      </c>
      <c r="R29" s="16" t="str">
        <f t="shared" si="2"/>
        <v>Bln</v>
      </c>
      <c r="S29" s="17">
        <v>0</v>
      </c>
      <c r="T29" s="15">
        <v>3</v>
      </c>
      <c r="U29" s="16" t="str">
        <f t="shared" si="3"/>
        <v>Bln</v>
      </c>
      <c r="V29" s="17">
        <v>0</v>
      </c>
      <c r="W29" s="15">
        <v>3</v>
      </c>
      <c r="X29" s="16" t="str">
        <f t="shared" si="4"/>
        <v>Bln</v>
      </c>
      <c r="Y29" s="17">
        <v>84000</v>
      </c>
      <c r="Z29" s="47">
        <f t="shared" si="5"/>
        <v>12</v>
      </c>
      <c r="AA29" s="67" t="str">
        <f t="shared" si="6"/>
        <v>Bln</v>
      </c>
      <c r="AB29" s="47">
        <f t="shared" si="7"/>
        <v>100</v>
      </c>
      <c r="AC29" s="26" t="s">
        <v>110</v>
      </c>
      <c r="AD29" s="32">
        <f t="shared" si="8"/>
        <v>84000</v>
      </c>
      <c r="AE29" s="48">
        <f t="shared" si="9"/>
        <v>56.000000000000007</v>
      </c>
      <c r="AF29" s="26" t="s">
        <v>110</v>
      </c>
      <c r="AG29" s="47">
        <f t="shared" si="10"/>
        <v>24</v>
      </c>
      <c r="AH29" s="67" t="str">
        <f t="shared" si="11"/>
        <v>Bln</v>
      </c>
      <c r="AI29" s="32">
        <f t="shared" si="12"/>
        <v>84000</v>
      </c>
      <c r="AJ29" s="48"/>
      <c r="AK29" s="26" t="s">
        <v>110</v>
      </c>
      <c r="AL29" s="48"/>
      <c r="AM29" s="11"/>
      <c r="AP29" s="19"/>
    </row>
    <row r="30" spans="1:42" ht="63" customHeight="1" x14ac:dyDescent="0.2">
      <c r="A30" s="12"/>
      <c r="B30" s="13"/>
      <c r="C30" s="20" t="s">
        <v>84</v>
      </c>
      <c r="D30" s="20" t="s">
        <v>101</v>
      </c>
      <c r="E30" s="15">
        <f t="shared" si="14"/>
        <v>36</v>
      </c>
      <c r="F30" s="16" t="s">
        <v>102</v>
      </c>
      <c r="G30" s="17"/>
      <c r="H30" s="15">
        <v>12</v>
      </c>
      <c r="I30" s="16" t="s">
        <v>102</v>
      </c>
      <c r="J30" s="17"/>
      <c r="K30" s="15">
        <v>12</v>
      </c>
      <c r="L30" s="16" t="s">
        <v>102</v>
      </c>
      <c r="M30" s="17">
        <v>39000000</v>
      </c>
      <c r="N30" s="15">
        <v>3</v>
      </c>
      <c r="O30" s="16" t="str">
        <f t="shared" si="1"/>
        <v>Bln</v>
      </c>
      <c r="P30" s="17">
        <v>2423771</v>
      </c>
      <c r="Q30" s="15">
        <v>3</v>
      </c>
      <c r="R30" s="16" t="str">
        <f t="shared" si="2"/>
        <v>Bln</v>
      </c>
      <c r="S30" s="17">
        <v>8827631</v>
      </c>
      <c r="T30" s="15">
        <v>3</v>
      </c>
      <c r="U30" s="16" t="str">
        <f t="shared" si="3"/>
        <v>Bln</v>
      </c>
      <c r="V30" s="17">
        <v>6379478</v>
      </c>
      <c r="W30" s="15">
        <v>3</v>
      </c>
      <c r="X30" s="16" t="str">
        <f t="shared" si="4"/>
        <v>Bln</v>
      </c>
      <c r="Y30" s="17">
        <v>9455409</v>
      </c>
      <c r="Z30" s="47">
        <f t="shared" si="5"/>
        <v>12</v>
      </c>
      <c r="AA30" s="67" t="str">
        <f t="shared" si="6"/>
        <v>Bln</v>
      </c>
      <c r="AB30" s="47">
        <f t="shared" si="7"/>
        <v>100</v>
      </c>
      <c r="AC30" s="26" t="s">
        <v>110</v>
      </c>
      <c r="AD30" s="32">
        <f t="shared" si="8"/>
        <v>27086289</v>
      </c>
      <c r="AE30" s="48">
        <f t="shared" si="9"/>
        <v>69.452023076923069</v>
      </c>
      <c r="AF30" s="26" t="s">
        <v>110</v>
      </c>
      <c r="AG30" s="47">
        <f t="shared" si="10"/>
        <v>24</v>
      </c>
      <c r="AH30" s="67" t="str">
        <f t="shared" si="11"/>
        <v>Bln</v>
      </c>
      <c r="AI30" s="32">
        <f t="shared" si="12"/>
        <v>27086289</v>
      </c>
      <c r="AJ30" s="48"/>
      <c r="AK30" s="26" t="s">
        <v>110</v>
      </c>
      <c r="AL30" s="48"/>
      <c r="AM30" s="11"/>
      <c r="AP30" s="19"/>
    </row>
    <row r="31" spans="1:42" ht="66" customHeight="1" x14ac:dyDescent="0.2">
      <c r="A31" s="12"/>
      <c r="B31" s="13"/>
      <c r="C31" s="20" t="s">
        <v>85</v>
      </c>
      <c r="D31" s="20" t="s">
        <v>101</v>
      </c>
      <c r="E31" s="15">
        <f t="shared" si="14"/>
        <v>36</v>
      </c>
      <c r="F31" s="16" t="s">
        <v>102</v>
      </c>
      <c r="G31" s="33"/>
      <c r="H31" s="15">
        <v>12</v>
      </c>
      <c r="I31" s="16" t="s">
        <v>102</v>
      </c>
      <c r="J31" s="33"/>
      <c r="K31" s="15">
        <v>12</v>
      </c>
      <c r="L31" s="16" t="s">
        <v>102</v>
      </c>
      <c r="M31" s="17">
        <v>82326000</v>
      </c>
      <c r="N31" s="15">
        <v>3</v>
      </c>
      <c r="O31" s="16" t="str">
        <f t="shared" si="1"/>
        <v>Bln</v>
      </c>
      <c r="P31" s="17">
        <v>12000000</v>
      </c>
      <c r="Q31" s="15">
        <v>3</v>
      </c>
      <c r="R31" s="16" t="str">
        <f t="shared" si="2"/>
        <v>Bln</v>
      </c>
      <c r="S31" s="17">
        <v>25250000</v>
      </c>
      <c r="T31" s="15">
        <v>3</v>
      </c>
      <c r="U31" s="16" t="str">
        <f t="shared" si="3"/>
        <v>Bln</v>
      </c>
      <c r="V31" s="17">
        <v>19340200</v>
      </c>
      <c r="W31" s="15">
        <v>3</v>
      </c>
      <c r="X31" s="16" t="str">
        <f t="shared" si="4"/>
        <v>Bln</v>
      </c>
      <c r="Y31" s="17">
        <v>19840200</v>
      </c>
      <c r="Z31" s="47">
        <f t="shared" si="5"/>
        <v>12</v>
      </c>
      <c r="AA31" s="67" t="str">
        <f t="shared" si="6"/>
        <v>Bln</v>
      </c>
      <c r="AB31" s="47">
        <f t="shared" si="7"/>
        <v>100</v>
      </c>
      <c r="AC31" s="26" t="s">
        <v>110</v>
      </c>
      <c r="AD31" s="32">
        <f t="shared" si="8"/>
        <v>76430400</v>
      </c>
      <c r="AE31" s="48">
        <f t="shared" si="9"/>
        <v>92.838714379418406</v>
      </c>
      <c r="AF31" s="26" t="s">
        <v>110</v>
      </c>
      <c r="AG31" s="48">
        <f t="shared" si="10"/>
        <v>24</v>
      </c>
      <c r="AH31" s="67" t="str">
        <f t="shared" si="11"/>
        <v>Bln</v>
      </c>
      <c r="AI31" s="32">
        <f t="shared" si="12"/>
        <v>76430400</v>
      </c>
      <c r="AJ31" s="48"/>
      <c r="AK31" s="26" t="s">
        <v>110</v>
      </c>
      <c r="AL31" s="48"/>
      <c r="AM31" s="11"/>
      <c r="AP31" s="19"/>
    </row>
    <row r="32" spans="1:42" ht="100.5" customHeight="1" x14ac:dyDescent="0.2">
      <c r="A32" s="12"/>
      <c r="B32" s="13"/>
      <c r="C32" s="14" t="s">
        <v>86</v>
      </c>
      <c r="D32" s="14" t="s">
        <v>118</v>
      </c>
      <c r="E32" s="35">
        <v>100</v>
      </c>
      <c r="F32" s="36" t="s">
        <v>110</v>
      </c>
      <c r="G32" s="17"/>
      <c r="H32" s="35">
        <v>100</v>
      </c>
      <c r="I32" s="36" t="s">
        <v>110</v>
      </c>
      <c r="J32" s="17"/>
      <c r="K32" s="35">
        <v>100</v>
      </c>
      <c r="L32" s="36" t="s">
        <v>110</v>
      </c>
      <c r="M32" s="33">
        <f>SUM(M33:M34)</f>
        <v>108900000</v>
      </c>
      <c r="N32" s="35">
        <v>25</v>
      </c>
      <c r="O32" s="36" t="str">
        <f t="shared" si="1"/>
        <v>%</v>
      </c>
      <c r="P32" s="33">
        <f>SUM(P33:P34)</f>
        <v>0</v>
      </c>
      <c r="Q32" s="35">
        <v>25</v>
      </c>
      <c r="R32" s="36" t="str">
        <f t="shared" si="2"/>
        <v>%</v>
      </c>
      <c r="S32" s="33">
        <f>SUM(S33:S34)</f>
        <v>18904512</v>
      </c>
      <c r="T32" s="35">
        <v>25</v>
      </c>
      <c r="U32" s="36" t="str">
        <f t="shared" si="3"/>
        <v>%</v>
      </c>
      <c r="V32" s="33">
        <f>SUM(V33:V34)</f>
        <v>9073600</v>
      </c>
      <c r="W32" s="35">
        <v>25</v>
      </c>
      <c r="X32" s="36" t="str">
        <f t="shared" si="4"/>
        <v>%</v>
      </c>
      <c r="Y32" s="33">
        <f>SUM(Y33:Y34)</f>
        <v>37267188</v>
      </c>
      <c r="Z32" s="46">
        <f t="shared" si="5"/>
        <v>100</v>
      </c>
      <c r="AA32" s="66" t="str">
        <f t="shared" si="6"/>
        <v>%</v>
      </c>
      <c r="AB32" s="46">
        <f t="shared" si="7"/>
        <v>100</v>
      </c>
      <c r="AC32" s="44" t="s">
        <v>110</v>
      </c>
      <c r="AD32" s="43">
        <f t="shared" si="8"/>
        <v>65245300</v>
      </c>
      <c r="AE32" s="45">
        <f t="shared" si="9"/>
        <v>59.91303948576676</v>
      </c>
      <c r="AF32" s="44" t="s">
        <v>110</v>
      </c>
      <c r="AG32" s="46">
        <f t="shared" si="10"/>
        <v>200</v>
      </c>
      <c r="AH32" s="66" t="str">
        <f t="shared" si="11"/>
        <v>%</v>
      </c>
      <c r="AI32" s="43">
        <f t="shared" si="12"/>
        <v>65245300</v>
      </c>
      <c r="AJ32" s="45"/>
      <c r="AK32" s="44" t="s">
        <v>110</v>
      </c>
      <c r="AL32" s="45"/>
      <c r="AM32" s="11"/>
      <c r="AP32" s="19"/>
    </row>
    <row r="33" spans="1:42" ht="90" customHeight="1" x14ac:dyDescent="0.2">
      <c r="A33" s="12"/>
      <c r="B33" s="13"/>
      <c r="C33" s="59" t="s">
        <v>87</v>
      </c>
      <c r="D33" s="20" t="s">
        <v>104</v>
      </c>
      <c r="E33" s="15">
        <f t="shared" ref="E33:E34" si="15">12*3</f>
        <v>36</v>
      </c>
      <c r="F33" s="16" t="s">
        <v>102</v>
      </c>
      <c r="G33" s="17"/>
      <c r="H33" s="15">
        <v>12</v>
      </c>
      <c r="I33" s="16" t="s">
        <v>102</v>
      </c>
      <c r="J33" s="17"/>
      <c r="K33" s="15">
        <v>12</v>
      </c>
      <c r="L33" s="16" t="s">
        <v>102</v>
      </c>
      <c r="M33" s="17">
        <v>95900000</v>
      </c>
      <c r="N33" s="15">
        <v>3</v>
      </c>
      <c r="O33" s="16" t="str">
        <f t="shared" si="1"/>
        <v>Bln</v>
      </c>
      <c r="P33" s="17">
        <v>0</v>
      </c>
      <c r="Q33" s="15">
        <v>3</v>
      </c>
      <c r="R33" s="16" t="str">
        <f t="shared" si="2"/>
        <v>Bln</v>
      </c>
      <c r="S33" s="17">
        <v>14604512</v>
      </c>
      <c r="T33" s="15">
        <v>3</v>
      </c>
      <c r="U33" s="16" t="str">
        <f t="shared" si="3"/>
        <v>Bln</v>
      </c>
      <c r="V33" s="17">
        <v>9073600</v>
      </c>
      <c r="W33" s="15">
        <v>3</v>
      </c>
      <c r="X33" s="16" t="str">
        <f t="shared" si="4"/>
        <v>Bln</v>
      </c>
      <c r="Y33" s="17">
        <v>29497188</v>
      </c>
      <c r="Z33" s="47">
        <f t="shared" si="5"/>
        <v>12</v>
      </c>
      <c r="AA33" s="67" t="str">
        <f t="shared" si="6"/>
        <v>Bln</v>
      </c>
      <c r="AB33" s="47">
        <f t="shared" si="7"/>
        <v>100</v>
      </c>
      <c r="AC33" s="26" t="s">
        <v>110</v>
      </c>
      <c r="AD33" s="32">
        <f t="shared" si="8"/>
        <v>53175300</v>
      </c>
      <c r="AE33" s="48">
        <f t="shared" si="9"/>
        <v>55.448696558915536</v>
      </c>
      <c r="AF33" s="26" t="s">
        <v>110</v>
      </c>
      <c r="AG33" s="47">
        <f t="shared" si="10"/>
        <v>24</v>
      </c>
      <c r="AH33" s="67" t="str">
        <f t="shared" si="11"/>
        <v>Bln</v>
      </c>
      <c r="AI33" s="32">
        <f t="shared" si="12"/>
        <v>53175300</v>
      </c>
      <c r="AJ33" s="48"/>
      <c r="AK33" s="26" t="s">
        <v>110</v>
      </c>
      <c r="AL33" s="48"/>
      <c r="AM33" s="11"/>
      <c r="AP33" s="19"/>
    </row>
    <row r="34" spans="1:42" ht="84" customHeight="1" x14ac:dyDescent="0.2">
      <c r="A34" s="12"/>
      <c r="B34" s="13"/>
      <c r="C34" s="59" t="s">
        <v>88</v>
      </c>
      <c r="D34" s="20" t="s">
        <v>104</v>
      </c>
      <c r="E34" s="15">
        <f t="shared" si="15"/>
        <v>36</v>
      </c>
      <c r="F34" s="16" t="s">
        <v>102</v>
      </c>
      <c r="G34" s="17"/>
      <c r="H34" s="15">
        <v>12</v>
      </c>
      <c r="I34" s="16" t="s">
        <v>102</v>
      </c>
      <c r="J34" s="17"/>
      <c r="K34" s="15">
        <v>12</v>
      </c>
      <c r="L34" s="16" t="s">
        <v>102</v>
      </c>
      <c r="M34" s="17">
        <v>13000000</v>
      </c>
      <c r="N34" s="15">
        <v>3</v>
      </c>
      <c r="O34" s="16" t="str">
        <f t="shared" si="1"/>
        <v>Bln</v>
      </c>
      <c r="P34" s="17">
        <v>0</v>
      </c>
      <c r="Q34" s="15">
        <v>3</v>
      </c>
      <c r="R34" s="16" t="str">
        <f t="shared" si="2"/>
        <v>Bln</v>
      </c>
      <c r="S34" s="17">
        <v>4300000</v>
      </c>
      <c r="T34" s="15">
        <v>3</v>
      </c>
      <c r="U34" s="16" t="str">
        <f t="shared" si="3"/>
        <v>Bln</v>
      </c>
      <c r="V34" s="17">
        <v>0</v>
      </c>
      <c r="W34" s="15">
        <v>3</v>
      </c>
      <c r="X34" s="16" t="str">
        <f t="shared" si="4"/>
        <v>Bln</v>
      </c>
      <c r="Y34" s="17">
        <v>7770000</v>
      </c>
      <c r="Z34" s="47">
        <f t="shared" si="5"/>
        <v>12</v>
      </c>
      <c r="AA34" s="67" t="str">
        <f t="shared" si="6"/>
        <v>Bln</v>
      </c>
      <c r="AB34" s="47">
        <f t="shared" si="7"/>
        <v>100</v>
      </c>
      <c r="AC34" s="26" t="s">
        <v>110</v>
      </c>
      <c r="AD34" s="32">
        <f t="shared" si="8"/>
        <v>12070000</v>
      </c>
      <c r="AE34" s="48">
        <f t="shared" si="9"/>
        <v>92.84615384615384</v>
      </c>
      <c r="AF34" s="26" t="s">
        <v>110</v>
      </c>
      <c r="AG34" s="47">
        <f t="shared" si="10"/>
        <v>24</v>
      </c>
      <c r="AH34" s="67" t="str">
        <f t="shared" si="11"/>
        <v>Bln</v>
      </c>
      <c r="AI34" s="32">
        <f t="shared" si="12"/>
        <v>12070000</v>
      </c>
      <c r="AJ34" s="48"/>
      <c r="AK34" s="26" t="s">
        <v>110</v>
      </c>
      <c r="AL34" s="48"/>
      <c r="AM34" s="11"/>
      <c r="AP34" s="19"/>
    </row>
    <row r="35" spans="1:42" ht="84.75" customHeight="1" x14ac:dyDescent="0.2">
      <c r="A35" s="38">
        <v>27</v>
      </c>
      <c r="B35" s="39" t="s">
        <v>51</v>
      </c>
      <c r="C35" s="60" t="s">
        <v>89</v>
      </c>
      <c r="D35" s="14" t="s">
        <v>153</v>
      </c>
      <c r="E35" s="55">
        <f>(14024-12600)/12600*100</f>
        <v>11.301587301587301</v>
      </c>
      <c r="F35" s="36" t="s">
        <v>110</v>
      </c>
      <c r="G35" s="33">
        <f>G36+G38</f>
        <v>2121855000</v>
      </c>
      <c r="H35" s="55">
        <f>(10359.69-10057.95)/10057.95*100</f>
        <v>3.0000149135758254</v>
      </c>
      <c r="I35" s="36" t="s">
        <v>110</v>
      </c>
      <c r="J35" s="33"/>
      <c r="K35" s="111">
        <f>(11400-10359.69)/10359.69*100</f>
        <v>10.041902798249749</v>
      </c>
      <c r="L35" s="36" t="s">
        <v>110</v>
      </c>
      <c r="M35" s="33">
        <f>M36+M38</f>
        <v>1476937500</v>
      </c>
      <c r="N35" s="55">
        <f>1300/11400*100</f>
        <v>11.403508771929824</v>
      </c>
      <c r="O35" s="36" t="str">
        <f t="shared" si="1"/>
        <v>%</v>
      </c>
      <c r="P35" s="33">
        <f>P36+P38</f>
        <v>0</v>
      </c>
      <c r="Q35" s="102">
        <f>3520/11400*100</f>
        <v>30.87719298245614</v>
      </c>
      <c r="R35" s="36" t="str">
        <f t="shared" si="2"/>
        <v>%</v>
      </c>
      <c r="S35" s="33">
        <f>S36+S38</f>
        <v>557450000</v>
      </c>
      <c r="T35" s="102">
        <f>5940/11400*100</f>
        <v>52.105263157894733</v>
      </c>
      <c r="U35" s="36" t="str">
        <f t="shared" si="3"/>
        <v>%</v>
      </c>
      <c r="V35" s="33">
        <f>V36+V38</f>
        <v>796840350</v>
      </c>
      <c r="W35" s="102">
        <v>0</v>
      </c>
      <c r="X35" s="36" t="str">
        <f t="shared" si="4"/>
        <v>%</v>
      </c>
      <c r="Y35" s="33">
        <f>Y36+Y38</f>
        <v>38379800</v>
      </c>
      <c r="Z35" s="45">
        <f>SUM(N35,Q35,T35,W35)</f>
        <v>94.385964912280699</v>
      </c>
      <c r="AA35" s="66" t="str">
        <f t="shared" si="6"/>
        <v>%</v>
      </c>
      <c r="AB35" s="101">
        <f>Z35/K35*100</f>
        <v>939.92111663072149</v>
      </c>
      <c r="AC35" s="44" t="s">
        <v>110</v>
      </c>
      <c r="AD35" s="43">
        <f t="shared" si="8"/>
        <v>1392670150</v>
      </c>
      <c r="AE35" s="45">
        <f>AD35/M35*100</f>
        <v>94.294453895307001</v>
      </c>
      <c r="AF35" s="44" t="s">
        <v>110</v>
      </c>
      <c r="AG35" s="121">
        <f>SUM(H35,Z35)</f>
        <v>97.385979825856523</v>
      </c>
      <c r="AH35" s="66" t="str">
        <f t="shared" si="11"/>
        <v>%</v>
      </c>
      <c r="AI35" s="43">
        <f t="shared" si="12"/>
        <v>1392670150</v>
      </c>
      <c r="AJ35" s="45"/>
      <c r="AK35" s="44" t="s">
        <v>110</v>
      </c>
      <c r="AL35" s="45"/>
      <c r="AM35" s="11"/>
      <c r="AP35" s="19"/>
    </row>
    <row r="36" spans="1:42" ht="173.25" x14ac:dyDescent="0.2">
      <c r="A36" s="12"/>
      <c r="B36" s="13"/>
      <c r="C36" s="14" t="s">
        <v>129</v>
      </c>
      <c r="D36" s="14" t="s">
        <v>130</v>
      </c>
      <c r="E36" s="81">
        <f>E37</f>
        <v>1808</v>
      </c>
      <c r="F36" s="36" t="str">
        <f>F37</f>
        <v>Unit</v>
      </c>
      <c r="G36" s="33">
        <f>SUM(G37)</f>
        <v>2051890000</v>
      </c>
      <c r="H36" s="81">
        <f>H37</f>
        <v>1700</v>
      </c>
      <c r="I36" s="36" t="str">
        <f>I37</f>
        <v>Unit</v>
      </c>
      <c r="J36" s="33"/>
      <c r="K36" s="81">
        <f>K37</f>
        <v>600</v>
      </c>
      <c r="L36" s="36" t="str">
        <f>L37</f>
        <v>Unit</v>
      </c>
      <c r="M36" s="33">
        <f>SUM(M37)</f>
        <v>1451950000</v>
      </c>
      <c r="N36" s="41">
        <f>N37</f>
        <v>0</v>
      </c>
      <c r="O36" s="36" t="str">
        <f t="shared" si="1"/>
        <v>Unit</v>
      </c>
      <c r="P36" s="33">
        <f>SUM(P37)</f>
        <v>0</v>
      </c>
      <c r="Q36" s="41">
        <f>Q37</f>
        <v>500</v>
      </c>
      <c r="R36" s="36" t="str">
        <f t="shared" si="2"/>
        <v>Unit</v>
      </c>
      <c r="S36" s="33">
        <f>SUM(S37)</f>
        <v>557450000</v>
      </c>
      <c r="T36" s="41">
        <f>T37</f>
        <v>945</v>
      </c>
      <c r="U36" s="36" t="str">
        <f t="shared" si="3"/>
        <v>Unit</v>
      </c>
      <c r="V36" s="33">
        <f>SUM(V37)</f>
        <v>781847850</v>
      </c>
      <c r="W36" s="41">
        <f>W37</f>
        <v>0</v>
      </c>
      <c r="X36" s="36" t="str">
        <f t="shared" si="4"/>
        <v>Unit</v>
      </c>
      <c r="Y36" s="33">
        <f>SUM(Y37)</f>
        <v>28725000</v>
      </c>
      <c r="Z36" s="101">
        <f t="shared" si="5"/>
        <v>1445</v>
      </c>
      <c r="AA36" s="66" t="str">
        <f t="shared" si="6"/>
        <v>Unit</v>
      </c>
      <c r="AB36" s="45">
        <f>Z36/K36*100</f>
        <v>240.83333333333331</v>
      </c>
      <c r="AC36" s="44" t="s">
        <v>110</v>
      </c>
      <c r="AD36" s="43">
        <f t="shared" si="8"/>
        <v>1368022850</v>
      </c>
      <c r="AE36" s="45">
        <f t="shared" si="9"/>
        <v>94.219694204345885</v>
      </c>
      <c r="AF36" s="44" t="s">
        <v>110</v>
      </c>
      <c r="AG36" s="101">
        <f t="shared" si="10"/>
        <v>3145</v>
      </c>
      <c r="AH36" s="66" t="str">
        <f t="shared" si="11"/>
        <v>Unit</v>
      </c>
      <c r="AI36" s="43">
        <f t="shared" si="12"/>
        <v>1368022850</v>
      </c>
      <c r="AJ36" s="45"/>
      <c r="AK36" s="44" t="s">
        <v>110</v>
      </c>
      <c r="AL36" s="45"/>
      <c r="AM36" s="11"/>
      <c r="AP36" s="19"/>
    </row>
    <row r="37" spans="1:42" ht="63" customHeight="1" x14ac:dyDescent="0.2">
      <c r="A37" s="12"/>
      <c r="B37" s="13"/>
      <c r="C37" s="62" t="s">
        <v>90</v>
      </c>
      <c r="D37" s="79" t="s">
        <v>152</v>
      </c>
      <c r="E37" s="82">
        <f>600+604+604</f>
        <v>1808</v>
      </c>
      <c r="F37" s="37" t="s">
        <v>105</v>
      </c>
      <c r="G37" s="17">
        <f>M37+299970000*2</f>
        <v>2051890000</v>
      </c>
      <c r="H37" s="82">
        <v>1700</v>
      </c>
      <c r="I37" s="37" t="s">
        <v>105</v>
      </c>
      <c r="J37" s="109">
        <v>0</v>
      </c>
      <c r="K37" s="15">
        <v>600</v>
      </c>
      <c r="L37" s="37" t="s">
        <v>105</v>
      </c>
      <c r="M37" s="63">
        <v>1451950000</v>
      </c>
      <c r="N37" s="15">
        <v>0</v>
      </c>
      <c r="O37" s="37" t="str">
        <f t="shared" si="1"/>
        <v>Unit</v>
      </c>
      <c r="P37" s="63">
        <v>0</v>
      </c>
      <c r="Q37" s="15">
        <v>500</v>
      </c>
      <c r="R37" s="37" t="str">
        <f t="shared" si="2"/>
        <v>Unit</v>
      </c>
      <c r="S37" s="63">
        <v>557450000</v>
      </c>
      <c r="T37" s="15">
        <v>945</v>
      </c>
      <c r="U37" s="37" t="str">
        <f t="shared" si="3"/>
        <v>Unit</v>
      </c>
      <c r="V37" s="63">
        <v>781847850</v>
      </c>
      <c r="W37" s="15">
        <v>0</v>
      </c>
      <c r="X37" s="37" t="str">
        <f t="shared" si="4"/>
        <v>Unit</v>
      </c>
      <c r="Y37" s="63">
        <v>28725000</v>
      </c>
      <c r="Z37" s="110">
        <f t="shared" si="5"/>
        <v>1445</v>
      </c>
      <c r="AA37" s="67" t="str">
        <f t="shared" si="6"/>
        <v>Unit</v>
      </c>
      <c r="AB37" s="48">
        <f t="shared" si="7"/>
        <v>240.83333333333331</v>
      </c>
      <c r="AC37" s="26" t="s">
        <v>110</v>
      </c>
      <c r="AD37" s="72">
        <f t="shared" si="8"/>
        <v>1368022850</v>
      </c>
      <c r="AE37" s="76">
        <f t="shared" si="9"/>
        <v>94.219694204345885</v>
      </c>
      <c r="AF37" s="74" t="s">
        <v>110</v>
      </c>
      <c r="AG37" s="110">
        <f t="shared" si="10"/>
        <v>3145</v>
      </c>
      <c r="AH37" s="67" t="str">
        <f t="shared" si="11"/>
        <v>Unit</v>
      </c>
      <c r="AI37" s="72">
        <f t="shared" si="12"/>
        <v>1368022850</v>
      </c>
      <c r="AJ37" s="48"/>
      <c r="AK37" s="26" t="s">
        <v>110</v>
      </c>
      <c r="AL37" s="76"/>
      <c r="AM37" s="11"/>
      <c r="AP37" s="19"/>
    </row>
    <row r="38" spans="1:42" ht="110.25" x14ac:dyDescent="0.2">
      <c r="A38" s="12"/>
      <c r="B38" s="13"/>
      <c r="C38" s="60" t="s">
        <v>91</v>
      </c>
      <c r="D38" s="14" t="s">
        <v>151</v>
      </c>
      <c r="E38" s="35">
        <v>4.91</v>
      </c>
      <c r="F38" s="40" t="s">
        <v>110</v>
      </c>
      <c r="G38" s="33">
        <f>SUM(G39)</f>
        <v>69965000</v>
      </c>
      <c r="H38" s="55">
        <f>(150+85)/17735*100</f>
        <v>1.3250634338877925</v>
      </c>
      <c r="I38" s="40" t="s">
        <v>110</v>
      </c>
      <c r="J38" s="33">
        <f>SUM(J39)</f>
        <v>0</v>
      </c>
      <c r="K38" s="35">
        <v>2.65</v>
      </c>
      <c r="L38" s="40" t="s">
        <v>110</v>
      </c>
      <c r="M38" s="33">
        <f>SUM(M39)</f>
        <v>24987500</v>
      </c>
      <c r="N38" s="55">
        <f>(N39)/17735*100</f>
        <v>0.28192839018889199</v>
      </c>
      <c r="O38" s="40" t="str">
        <f t="shared" si="1"/>
        <v>%</v>
      </c>
      <c r="P38" s="33">
        <f>SUM(P39)</f>
        <v>0</v>
      </c>
      <c r="Q38" s="55">
        <f>(Q39)/17735*100</f>
        <v>0.56385678037778397</v>
      </c>
      <c r="R38" s="40" t="str">
        <f t="shared" si="2"/>
        <v>%</v>
      </c>
      <c r="S38" s="33">
        <f>SUM(S39)</f>
        <v>0</v>
      </c>
      <c r="T38" s="55">
        <f>(T39+72)/17735*100</f>
        <v>0.40597688187200448</v>
      </c>
      <c r="U38" s="40" t="str">
        <f t="shared" si="3"/>
        <v>%</v>
      </c>
      <c r="V38" s="33">
        <f>SUM(V39)</f>
        <v>14992500</v>
      </c>
      <c r="W38" s="55">
        <v>0</v>
      </c>
      <c r="X38" s="40" t="str">
        <f t="shared" si="4"/>
        <v>%</v>
      </c>
      <c r="Y38" s="33">
        <f>SUM(Y39)</f>
        <v>9654800</v>
      </c>
      <c r="Z38" s="45">
        <f t="shared" si="5"/>
        <v>1.2517620524386803</v>
      </c>
      <c r="AA38" s="66" t="str">
        <f t="shared" si="6"/>
        <v>%</v>
      </c>
      <c r="AB38" s="45">
        <f>AG38/K38*100</f>
        <v>97.238697597225382</v>
      </c>
      <c r="AC38" s="44" t="s">
        <v>110</v>
      </c>
      <c r="AD38" s="43">
        <f t="shared" si="8"/>
        <v>24647300</v>
      </c>
      <c r="AE38" s="45">
        <f>AD38/M38*100</f>
        <v>98.638519259629817</v>
      </c>
      <c r="AF38" s="44" t="s">
        <v>110</v>
      </c>
      <c r="AG38" s="45">
        <f>SUM(H38,Z38)</f>
        <v>2.5768254863264728</v>
      </c>
      <c r="AH38" s="66" t="str">
        <f t="shared" si="11"/>
        <v>%</v>
      </c>
      <c r="AI38" s="43">
        <f t="shared" si="12"/>
        <v>24647300</v>
      </c>
      <c r="AJ38" s="45"/>
      <c r="AK38" s="44" t="s">
        <v>110</v>
      </c>
      <c r="AL38" s="45"/>
      <c r="AM38" s="11"/>
      <c r="AP38" s="19"/>
    </row>
    <row r="39" spans="1:42" ht="66" customHeight="1" x14ac:dyDescent="0.2">
      <c r="A39" s="12"/>
      <c r="B39" s="13"/>
      <c r="C39" s="20" t="s">
        <v>92</v>
      </c>
      <c r="D39" s="79" t="s">
        <v>150</v>
      </c>
      <c r="E39" s="80">
        <f>150*3</f>
        <v>450</v>
      </c>
      <c r="F39" s="37" t="s">
        <v>106</v>
      </c>
      <c r="G39" s="17">
        <f>M39+19990000+M39</f>
        <v>69965000</v>
      </c>
      <c r="H39" s="80">
        <v>150</v>
      </c>
      <c r="I39" s="37" t="s">
        <v>106</v>
      </c>
      <c r="J39" s="33"/>
      <c r="K39" s="80">
        <v>150</v>
      </c>
      <c r="L39" s="37" t="s">
        <v>106</v>
      </c>
      <c r="M39" s="61">
        <v>24987500</v>
      </c>
      <c r="N39" s="80">
        <v>50</v>
      </c>
      <c r="O39" s="37" t="str">
        <f t="shared" si="1"/>
        <v>Org</v>
      </c>
      <c r="P39" s="63">
        <v>0</v>
      </c>
      <c r="Q39" s="80">
        <v>100</v>
      </c>
      <c r="R39" s="37" t="str">
        <f t="shared" si="2"/>
        <v>Org</v>
      </c>
      <c r="S39" s="63">
        <v>0</v>
      </c>
      <c r="T39" s="80">
        <v>0</v>
      </c>
      <c r="U39" s="37" t="str">
        <f t="shared" si="3"/>
        <v>Org</v>
      </c>
      <c r="V39" s="63">
        <v>14992500</v>
      </c>
      <c r="W39" s="80">
        <v>0</v>
      </c>
      <c r="X39" s="37" t="str">
        <f t="shared" si="4"/>
        <v>Org</v>
      </c>
      <c r="Y39" s="63">
        <v>9654800</v>
      </c>
      <c r="Z39" s="117">
        <f t="shared" si="5"/>
        <v>150</v>
      </c>
      <c r="AA39" s="67" t="str">
        <f t="shared" si="6"/>
        <v>Org</v>
      </c>
      <c r="AB39" s="47">
        <f t="shared" si="7"/>
        <v>100</v>
      </c>
      <c r="AC39" s="26" t="s">
        <v>110</v>
      </c>
      <c r="AD39" s="32">
        <f t="shared" si="8"/>
        <v>24647300</v>
      </c>
      <c r="AE39" s="48">
        <f>AD39/M39*100</f>
        <v>98.638519259629817</v>
      </c>
      <c r="AF39" s="26" t="s">
        <v>110</v>
      </c>
      <c r="AG39" s="117">
        <f>SUM(H39,Z39)</f>
        <v>300</v>
      </c>
      <c r="AH39" s="67" t="str">
        <f t="shared" si="11"/>
        <v>Org</v>
      </c>
      <c r="AI39" s="32">
        <f t="shared" si="12"/>
        <v>24647300</v>
      </c>
      <c r="AJ39" s="48"/>
      <c r="AK39" s="26" t="s">
        <v>110</v>
      </c>
      <c r="AL39" s="48"/>
      <c r="AM39" s="11"/>
      <c r="AP39" s="19"/>
    </row>
    <row r="40" spans="1:42" ht="78.75" x14ac:dyDescent="0.2">
      <c r="A40" s="12"/>
      <c r="B40" s="13"/>
      <c r="C40" s="39" t="s">
        <v>93</v>
      </c>
      <c r="D40" s="14" t="s">
        <v>159</v>
      </c>
      <c r="E40" s="99">
        <v>100</v>
      </c>
      <c r="F40" s="36" t="s">
        <v>110</v>
      </c>
      <c r="G40" s="65">
        <f>G44+G46</f>
        <v>844852750</v>
      </c>
      <c r="H40" s="42">
        <f>H46/E46*100</f>
        <v>30.449826989619378</v>
      </c>
      <c r="I40" s="36" t="s">
        <v>110</v>
      </c>
      <c r="J40" s="65">
        <f>J44+J46</f>
        <v>0</v>
      </c>
      <c r="K40" s="102">
        <f>(H46+K46)/E46*100</f>
        <v>50.403690888119954</v>
      </c>
      <c r="L40" s="36" t="s">
        <v>110</v>
      </c>
      <c r="M40" s="65">
        <f>M44+M46</f>
        <v>725328250</v>
      </c>
      <c r="N40" s="102">
        <f>N46/E46*100</f>
        <v>0</v>
      </c>
      <c r="O40" s="36" t="str">
        <f t="shared" si="1"/>
        <v>%</v>
      </c>
      <c r="P40" s="65">
        <f>P44+P46</f>
        <v>45300000</v>
      </c>
      <c r="Q40" s="102">
        <f>Q46/E46*100</f>
        <v>0</v>
      </c>
      <c r="R40" s="36" t="str">
        <f t="shared" si="2"/>
        <v>%</v>
      </c>
      <c r="S40" s="65">
        <f>S44+S46</f>
        <v>298842500</v>
      </c>
      <c r="T40" s="102">
        <f>T46/E46*100</f>
        <v>19.953863898500575</v>
      </c>
      <c r="U40" s="36" t="str">
        <f t="shared" si="3"/>
        <v>%</v>
      </c>
      <c r="V40" s="65">
        <f>V44+V46</f>
        <v>177545000</v>
      </c>
      <c r="W40" s="102">
        <f>W46/E46*100</f>
        <v>0</v>
      </c>
      <c r="X40" s="36" t="str">
        <f t="shared" si="4"/>
        <v>%</v>
      </c>
      <c r="Y40" s="65">
        <f>Y44+Y46</f>
        <v>179139000</v>
      </c>
      <c r="Z40" s="112">
        <f t="shared" si="5"/>
        <v>19.953863898500575</v>
      </c>
      <c r="AA40" s="66" t="str">
        <f t="shared" si="6"/>
        <v>%</v>
      </c>
      <c r="AB40" s="46">
        <f>AG40/K40*100</f>
        <v>100</v>
      </c>
      <c r="AC40" s="44" t="s">
        <v>110</v>
      </c>
      <c r="AD40" s="91">
        <f t="shared" si="8"/>
        <v>700826500</v>
      </c>
      <c r="AE40" s="94">
        <f t="shared" si="9"/>
        <v>96.621977704577205</v>
      </c>
      <c r="AF40" s="38" t="s">
        <v>110</v>
      </c>
      <c r="AG40" s="112">
        <f t="shared" si="10"/>
        <v>50.403690888119954</v>
      </c>
      <c r="AH40" s="66" t="str">
        <f t="shared" si="11"/>
        <v>%</v>
      </c>
      <c r="AI40" s="91">
        <f t="shared" si="12"/>
        <v>700826500</v>
      </c>
      <c r="AJ40" s="45"/>
      <c r="AK40" s="44" t="s">
        <v>110</v>
      </c>
      <c r="AL40" s="94"/>
      <c r="AM40" s="11"/>
      <c r="AP40" s="19"/>
    </row>
    <row r="41" spans="1:42" ht="63" x14ac:dyDescent="0.2">
      <c r="A41" s="12"/>
      <c r="B41" s="13"/>
      <c r="C41" s="13"/>
      <c r="D41" s="14" t="s">
        <v>158</v>
      </c>
      <c r="E41" s="99">
        <v>100</v>
      </c>
      <c r="F41" s="36" t="s">
        <v>110</v>
      </c>
      <c r="G41" s="88"/>
      <c r="H41" s="42">
        <f>H47/E47*100</f>
        <v>34.397470966896535</v>
      </c>
      <c r="I41" s="36" t="s">
        <v>110</v>
      </c>
      <c r="J41" s="88"/>
      <c r="K41" s="102">
        <f>(H47+K47)/E47*100</f>
        <v>54.216966143060716</v>
      </c>
      <c r="L41" s="36" t="s">
        <v>110</v>
      </c>
      <c r="M41" s="89"/>
      <c r="N41" s="102">
        <f>N47/E47*100</f>
        <v>0</v>
      </c>
      <c r="O41" s="36" t="str">
        <f t="shared" ref="O41" si="16">L41</f>
        <v>%</v>
      </c>
      <c r="P41" s="89"/>
      <c r="Q41" s="102">
        <f>Q47/E47*100</f>
        <v>0</v>
      </c>
      <c r="R41" s="36" t="str">
        <f t="shared" ref="R41" si="17">L41</f>
        <v>%</v>
      </c>
      <c r="S41" s="89"/>
      <c r="T41" s="102">
        <f>T47/E47*100</f>
        <v>12.719000381774128</v>
      </c>
      <c r="U41" s="36" t="str">
        <f t="shared" ref="U41" si="18">L41</f>
        <v>%</v>
      </c>
      <c r="V41" s="89"/>
      <c r="W41" s="102">
        <f>W47/E47*100</f>
        <v>0</v>
      </c>
      <c r="X41" s="36" t="str">
        <f t="shared" si="4"/>
        <v>%</v>
      </c>
      <c r="Y41" s="89"/>
      <c r="Z41" s="112">
        <f t="shared" ref="Z41" si="19">SUM(N41,Q41,T41,W41)</f>
        <v>12.719000381774128</v>
      </c>
      <c r="AA41" s="66" t="str">
        <f t="shared" ref="AA41" si="20">L41</f>
        <v>%</v>
      </c>
      <c r="AB41" s="45">
        <f>AG41/K41*100</f>
        <v>86.903555658842691</v>
      </c>
      <c r="AC41" s="44" t="s">
        <v>110</v>
      </c>
      <c r="AD41" s="92"/>
      <c r="AE41" s="95"/>
      <c r="AF41" s="12"/>
      <c r="AG41" s="112">
        <f t="shared" ref="AG41" si="21">SUM(H41,Z41)</f>
        <v>47.116471348670665</v>
      </c>
      <c r="AH41" s="66" t="str">
        <f t="shared" ref="AH41" si="22">O41</f>
        <v>%</v>
      </c>
      <c r="AI41" s="92"/>
      <c r="AJ41" s="45"/>
      <c r="AK41" s="44" t="s">
        <v>110</v>
      </c>
      <c r="AL41" s="95"/>
      <c r="AM41" s="11"/>
      <c r="AP41" s="19"/>
    </row>
    <row r="42" spans="1:42" ht="146.25" customHeight="1" x14ac:dyDescent="0.2">
      <c r="A42" s="12"/>
      <c r="B42" s="13"/>
      <c r="C42" s="13"/>
      <c r="D42" s="14" t="s">
        <v>157</v>
      </c>
      <c r="E42" s="99">
        <f>15/15*100</f>
        <v>100</v>
      </c>
      <c r="F42" s="36" t="s">
        <v>110</v>
      </c>
      <c r="G42" s="88"/>
      <c r="H42" s="99">
        <f>6/15*100</f>
        <v>40</v>
      </c>
      <c r="I42" s="36" t="s">
        <v>110</v>
      </c>
      <c r="J42" s="88"/>
      <c r="K42" s="81">
        <f>(H51+K51)/E51*100</f>
        <v>60</v>
      </c>
      <c r="L42" s="36" t="s">
        <v>110</v>
      </c>
      <c r="M42" s="89"/>
      <c r="N42" s="81">
        <f>N48/E48*100</f>
        <v>0</v>
      </c>
      <c r="O42" s="36" t="str">
        <f t="shared" ref="O42" si="23">L42</f>
        <v>%</v>
      </c>
      <c r="P42" s="89"/>
      <c r="Q42" s="102">
        <f>Q48/E48*100</f>
        <v>6.666666666666667</v>
      </c>
      <c r="R42" s="36" t="str">
        <f t="shared" ref="R42" si="24">L42</f>
        <v>%</v>
      </c>
      <c r="S42" s="89"/>
      <c r="T42" s="102">
        <f>T48/E48*100</f>
        <v>13.333333333333334</v>
      </c>
      <c r="U42" s="36" t="str">
        <f t="shared" ref="U42" si="25">L42</f>
        <v>%</v>
      </c>
      <c r="V42" s="89"/>
      <c r="W42" s="102">
        <f>W48/E48*100</f>
        <v>0</v>
      </c>
      <c r="X42" s="36" t="str">
        <f t="shared" si="4"/>
        <v>%</v>
      </c>
      <c r="Y42" s="89"/>
      <c r="Z42" s="112">
        <f>SUM(N42,Q42,T42,W42)</f>
        <v>20</v>
      </c>
      <c r="AA42" s="66" t="str">
        <f t="shared" ref="AA42" si="26">L42</f>
        <v>%</v>
      </c>
      <c r="AB42" s="46">
        <f>AG42/K42*100</f>
        <v>100</v>
      </c>
      <c r="AC42" s="44" t="s">
        <v>110</v>
      </c>
      <c r="AD42" s="92"/>
      <c r="AE42" s="95"/>
      <c r="AF42" s="12"/>
      <c r="AG42" s="112">
        <f>SUM(H42,Z42)</f>
        <v>60</v>
      </c>
      <c r="AH42" s="66" t="str">
        <f t="shared" ref="AH42" si="27">O42</f>
        <v>%</v>
      </c>
      <c r="AI42" s="92"/>
      <c r="AJ42" s="45"/>
      <c r="AK42" s="44" t="s">
        <v>110</v>
      </c>
      <c r="AL42" s="95"/>
      <c r="AM42" s="11"/>
      <c r="AP42" s="19"/>
    </row>
    <row r="43" spans="1:42" ht="78.75" x14ac:dyDescent="0.2">
      <c r="A43" s="12"/>
      <c r="B43" s="13"/>
      <c r="C43" s="87"/>
      <c r="D43" s="14" t="s">
        <v>156</v>
      </c>
      <c r="E43" s="99">
        <v>100</v>
      </c>
      <c r="F43" s="36" t="s">
        <v>110</v>
      </c>
      <c r="G43" s="90"/>
      <c r="H43" s="99">
        <v>45</v>
      </c>
      <c r="I43" s="36" t="s">
        <v>110</v>
      </c>
      <c r="J43" s="90"/>
      <c r="K43" s="81">
        <v>65</v>
      </c>
      <c r="L43" s="36" t="s">
        <v>110</v>
      </c>
      <c r="M43" s="90"/>
      <c r="N43" s="81"/>
      <c r="O43" s="36" t="str">
        <f t="shared" ref="O43" si="28">L43</f>
        <v>%</v>
      </c>
      <c r="P43" s="90"/>
      <c r="Q43" s="81"/>
      <c r="R43" s="36" t="str">
        <f t="shared" ref="R43" si="29">L43</f>
        <v>%</v>
      </c>
      <c r="S43" s="90"/>
      <c r="T43" s="81"/>
      <c r="U43" s="36" t="str">
        <f t="shared" ref="U43" si="30">L43</f>
        <v>%</v>
      </c>
      <c r="V43" s="90"/>
      <c r="W43" s="81"/>
      <c r="X43" s="36" t="str">
        <f t="shared" si="4"/>
        <v>%</v>
      </c>
      <c r="Y43" s="90"/>
      <c r="Z43" s="78">
        <f t="shared" ref="Z43" si="31">SUM(N43,Q43,T43,W43)</f>
        <v>0</v>
      </c>
      <c r="AA43" s="66"/>
      <c r="AB43" s="46">
        <f t="shared" ref="AB43" si="32">Z43/K43*100</f>
        <v>0</v>
      </c>
      <c r="AC43" s="44" t="s">
        <v>110</v>
      </c>
      <c r="AD43" s="93"/>
      <c r="AE43" s="96"/>
      <c r="AF43" s="97"/>
      <c r="AG43" s="112">
        <f t="shared" ref="AG43" si="33">SUM(H43,Z43)</f>
        <v>45</v>
      </c>
      <c r="AH43" s="66" t="str">
        <f t="shared" ref="AH43" si="34">O43</f>
        <v>%</v>
      </c>
      <c r="AI43" s="93"/>
      <c r="AJ43" s="45"/>
      <c r="AK43" s="44" t="s">
        <v>110</v>
      </c>
      <c r="AL43" s="96"/>
      <c r="AM43" s="11"/>
      <c r="AP43" s="19"/>
    </row>
    <row r="44" spans="1:42" ht="78.75" x14ac:dyDescent="0.2">
      <c r="A44" s="12"/>
      <c r="B44" s="13"/>
      <c r="C44" s="14" t="s">
        <v>149</v>
      </c>
      <c r="D44" s="14" t="s">
        <v>155</v>
      </c>
      <c r="E44" s="81">
        <f>E45</f>
        <v>410</v>
      </c>
      <c r="F44" s="40" t="str">
        <f>F45</f>
        <v>Org</v>
      </c>
      <c r="G44" s="33">
        <f>SUM(G45)</f>
        <v>290360500</v>
      </c>
      <c r="H44" s="81">
        <f>H45</f>
        <v>110</v>
      </c>
      <c r="I44" s="40" t="str">
        <f>I45</f>
        <v>Org</v>
      </c>
      <c r="J44" s="33">
        <f>SUM(J45)</f>
        <v>0</v>
      </c>
      <c r="K44" s="81">
        <f>K45</f>
        <v>80</v>
      </c>
      <c r="L44" s="40" t="s">
        <v>106</v>
      </c>
      <c r="M44" s="33">
        <f>SUM(M45)</f>
        <v>111464000</v>
      </c>
      <c r="N44" s="81">
        <f>N45</f>
        <v>0</v>
      </c>
      <c r="O44" s="40" t="str">
        <f t="shared" si="1"/>
        <v>Org</v>
      </c>
      <c r="P44" s="33">
        <f>SUM(P45)</f>
        <v>0</v>
      </c>
      <c r="Q44" s="81">
        <f>Q45</f>
        <v>0</v>
      </c>
      <c r="R44" s="40" t="str">
        <f t="shared" si="2"/>
        <v>Org</v>
      </c>
      <c r="S44" s="33">
        <f>SUM(S45)</f>
        <v>35442500</v>
      </c>
      <c r="T44" s="81">
        <f>T45</f>
        <v>80</v>
      </c>
      <c r="U44" s="40" t="str">
        <f t="shared" si="3"/>
        <v>Org</v>
      </c>
      <c r="V44" s="33">
        <f>SUM(V45)</f>
        <v>10520000</v>
      </c>
      <c r="W44" s="81">
        <f>W45</f>
        <v>0</v>
      </c>
      <c r="X44" s="40" t="str">
        <f t="shared" si="4"/>
        <v>Org</v>
      </c>
      <c r="Y44" s="33">
        <f>SUM(Y45)</f>
        <v>62586000</v>
      </c>
      <c r="Z44" s="46">
        <f t="shared" si="5"/>
        <v>80</v>
      </c>
      <c r="AA44" s="66" t="str">
        <f t="shared" si="6"/>
        <v>Org</v>
      </c>
      <c r="AB44" s="46">
        <f t="shared" si="7"/>
        <v>100</v>
      </c>
      <c r="AC44" s="44" t="s">
        <v>110</v>
      </c>
      <c r="AD44" s="43">
        <f t="shared" si="8"/>
        <v>108548500</v>
      </c>
      <c r="AE44" s="45">
        <f t="shared" si="9"/>
        <v>97.384357281274674</v>
      </c>
      <c r="AF44" s="44" t="s">
        <v>110</v>
      </c>
      <c r="AG44" s="46">
        <f t="shared" si="10"/>
        <v>190</v>
      </c>
      <c r="AH44" s="66" t="str">
        <f t="shared" si="11"/>
        <v>Org</v>
      </c>
      <c r="AI44" s="43">
        <f t="shared" si="12"/>
        <v>108548500</v>
      </c>
      <c r="AJ44" s="45"/>
      <c r="AK44" s="44" t="s">
        <v>110</v>
      </c>
      <c r="AL44" s="45"/>
      <c r="AM44" s="11"/>
      <c r="AP44" s="19"/>
    </row>
    <row r="45" spans="1:42" ht="90" x14ac:dyDescent="0.2">
      <c r="A45" s="12"/>
      <c r="B45" s="13"/>
      <c r="C45" s="20" t="s">
        <v>94</v>
      </c>
      <c r="D45" s="79" t="s">
        <v>154</v>
      </c>
      <c r="E45" s="34">
        <f>60+50+80+100+120</f>
        <v>410</v>
      </c>
      <c r="F45" s="16" t="s">
        <v>106</v>
      </c>
      <c r="G45" s="17">
        <f>M45+67432500+M45</f>
        <v>290360500</v>
      </c>
      <c r="H45" s="34">
        <f>60+50</f>
        <v>110</v>
      </c>
      <c r="I45" s="16" t="s">
        <v>106</v>
      </c>
      <c r="J45" s="109"/>
      <c r="K45" s="34">
        <v>80</v>
      </c>
      <c r="L45" s="16" t="s">
        <v>106</v>
      </c>
      <c r="M45" s="63">
        <v>111464000</v>
      </c>
      <c r="N45" s="34">
        <v>0</v>
      </c>
      <c r="O45" s="16" t="str">
        <f t="shared" si="1"/>
        <v>Org</v>
      </c>
      <c r="P45" s="63">
        <v>0</v>
      </c>
      <c r="Q45" s="34">
        <v>0</v>
      </c>
      <c r="R45" s="16" t="str">
        <f t="shared" si="2"/>
        <v>Org</v>
      </c>
      <c r="S45" s="63">
        <v>35442500</v>
      </c>
      <c r="T45" s="34">
        <v>80</v>
      </c>
      <c r="U45" s="16" t="str">
        <f t="shared" si="3"/>
        <v>Org</v>
      </c>
      <c r="V45" s="63">
        <v>10520000</v>
      </c>
      <c r="W45" s="34">
        <v>0</v>
      </c>
      <c r="X45" s="16" t="str">
        <f t="shared" si="4"/>
        <v>Org</v>
      </c>
      <c r="Y45" s="63">
        <v>62586000</v>
      </c>
      <c r="Z45" s="47">
        <f t="shared" si="5"/>
        <v>80</v>
      </c>
      <c r="AA45" s="67" t="str">
        <f t="shared" si="6"/>
        <v>Org</v>
      </c>
      <c r="AB45" s="47">
        <f t="shared" si="7"/>
        <v>100</v>
      </c>
      <c r="AC45" s="26" t="s">
        <v>110</v>
      </c>
      <c r="AD45" s="32">
        <f t="shared" si="8"/>
        <v>108548500</v>
      </c>
      <c r="AE45" s="48">
        <f t="shared" si="9"/>
        <v>97.384357281274674</v>
      </c>
      <c r="AF45" s="26" t="s">
        <v>110</v>
      </c>
      <c r="AG45" s="47">
        <f t="shared" si="10"/>
        <v>190</v>
      </c>
      <c r="AH45" s="67" t="str">
        <f t="shared" si="11"/>
        <v>Org</v>
      </c>
      <c r="AI45" s="32">
        <f t="shared" si="12"/>
        <v>108548500</v>
      </c>
      <c r="AJ45" s="48"/>
      <c r="AK45" s="26" t="s">
        <v>110</v>
      </c>
      <c r="AL45" s="48"/>
      <c r="AM45" s="11"/>
      <c r="AP45" s="19"/>
    </row>
    <row r="46" spans="1:42" ht="51.75" customHeight="1" x14ac:dyDescent="0.2">
      <c r="A46" s="12"/>
      <c r="B46" s="13"/>
      <c r="C46" s="39" t="s">
        <v>95</v>
      </c>
      <c r="D46" s="14" t="s">
        <v>131</v>
      </c>
      <c r="E46" s="100">
        <f>E49</f>
        <v>0.86699999999999999</v>
      </c>
      <c r="F46" s="40" t="str">
        <f>F49</f>
        <v>Ha</v>
      </c>
      <c r="G46" s="65">
        <f>SUM(G49:G51)</f>
        <v>554492250</v>
      </c>
      <c r="H46" s="100">
        <f>H49</f>
        <v>0.26400000000000001</v>
      </c>
      <c r="I46" s="40" t="str">
        <f>I49</f>
        <v>Ha</v>
      </c>
      <c r="J46" s="114"/>
      <c r="K46" s="100">
        <f>K49</f>
        <v>0.17299999999999999</v>
      </c>
      <c r="L46" s="40" t="str">
        <f>L49</f>
        <v xml:space="preserve"> Ha</v>
      </c>
      <c r="M46" s="65">
        <f>SUM(M49:M51)</f>
        <v>613864250</v>
      </c>
      <c r="N46" s="100">
        <f>N49</f>
        <v>0</v>
      </c>
      <c r="O46" s="40" t="str">
        <f>O49</f>
        <v xml:space="preserve"> Ha</v>
      </c>
      <c r="P46" s="65">
        <f>SUM(P49:P51)</f>
        <v>45300000</v>
      </c>
      <c r="Q46" s="100">
        <f>Q49</f>
        <v>0</v>
      </c>
      <c r="R46" s="40" t="str">
        <f>R49</f>
        <v xml:space="preserve"> Ha</v>
      </c>
      <c r="S46" s="65">
        <f>SUM(S49:S51)</f>
        <v>263400000</v>
      </c>
      <c r="T46" s="100">
        <f>T49</f>
        <v>0.17299999999999999</v>
      </c>
      <c r="U46" s="40" t="str">
        <f>U49</f>
        <v xml:space="preserve"> Ha</v>
      </c>
      <c r="V46" s="65">
        <f>SUM(V49:V51)</f>
        <v>167025000</v>
      </c>
      <c r="W46" s="100">
        <f>W49</f>
        <v>0</v>
      </c>
      <c r="X46" s="40" t="str">
        <f>X49</f>
        <v xml:space="preserve"> Ha</v>
      </c>
      <c r="Y46" s="65">
        <f>SUM(Y49:Y51)</f>
        <v>116553000</v>
      </c>
      <c r="Z46" s="118">
        <f t="shared" si="5"/>
        <v>0.17299999999999999</v>
      </c>
      <c r="AA46" s="66" t="str">
        <f t="shared" si="6"/>
        <v xml:space="preserve"> Ha</v>
      </c>
      <c r="AB46" s="46">
        <f t="shared" si="7"/>
        <v>100</v>
      </c>
      <c r="AC46" s="44" t="s">
        <v>110</v>
      </c>
      <c r="AD46" s="91">
        <f t="shared" si="8"/>
        <v>592278000</v>
      </c>
      <c r="AE46" s="94">
        <f t="shared" si="9"/>
        <v>96.483546647324715</v>
      </c>
      <c r="AF46" s="38" t="s">
        <v>110</v>
      </c>
      <c r="AG46" s="46">
        <f t="shared" si="10"/>
        <v>0.437</v>
      </c>
      <c r="AH46" s="66" t="str">
        <f t="shared" si="11"/>
        <v xml:space="preserve"> Ha</v>
      </c>
      <c r="AI46" s="91">
        <f t="shared" si="12"/>
        <v>592278000</v>
      </c>
      <c r="AJ46" s="45"/>
      <c r="AK46" s="44" t="s">
        <v>110</v>
      </c>
      <c r="AL46" s="94"/>
      <c r="AM46" s="11"/>
      <c r="AP46" s="19"/>
    </row>
    <row r="47" spans="1:42" ht="47.25" x14ac:dyDescent="0.2">
      <c r="A47" s="12"/>
      <c r="B47" s="13"/>
      <c r="C47" s="13"/>
      <c r="D47" s="14" t="s">
        <v>160</v>
      </c>
      <c r="E47" s="81">
        <f>650000+715000+786500+865150+951665</f>
        <v>3968315</v>
      </c>
      <c r="F47" s="40" t="str">
        <f>F50</f>
        <v>Ekor</v>
      </c>
      <c r="G47" s="88"/>
      <c r="H47" s="81">
        <f>650000+715000</f>
        <v>1365000</v>
      </c>
      <c r="I47" s="40" t="str">
        <f>I50</f>
        <v>Ekor</v>
      </c>
      <c r="J47" s="113"/>
      <c r="K47" s="81">
        <f>K50</f>
        <v>786500</v>
      </c>
      <c r="L47" s="40" t="str">
        <f>L50</f>
        <v>Ekor</v>
      </c>
      <c r="M47" s="89"/>
      <c r="N47" s="81">
        <f>N50</f>
        <v>0</v>
      </c>
      <c r="O47" s="40" t="str">
        <f>O50</f>
        <v>Ekor</v>
      </c>
      <c r="P47" s="89"/>
      <c r="Q47" s="81">
        <f>Q50</f>
        <v>0</v>
      </c>
      <c r="R47" s="40" t="str">
        <f>R50</f>
        <v>Ekor</v>
      </c>
      <c r="S47" s="89"/>
      <c r="T47" s="81">
        <f>T50</f>
        <v>504730</v>
      </c>
      <c r="U47" s="40" t="str">
        <f>U50</f>
        <v>Ekor</v>
      </c>
      <c r="V47" s="89"/>
      <c r="W47" s="81">
        <f>W50</f>
        <v>0</v>
      </c>
      <c r="X47" s="40" t="str">
        <f>X50</f>
        <v>Ekor</v>
      </c>
      <c r="Y47" s="89"/>
      <c r="Z47" s="119">
        <f t="shared" si="5"/>
        <v>504730</v>
      </c>
      <c r="AA47" s="66" t="str">
        <f t="shared" si="6"/>
        <v>Ekor</v>
      </c>
      <c r="AB47" s="45">
        <f t="shared" si="7"/>
        <v>64.174189446916714</v>
      </c>
      <c r="AC47" s="44" t="s">
        <v>110</v>
      </c>
      <c r="AD47" s="92"/>
      <c r="AE47" s="95"/>
      <c r="AF47" s="97"/>
      <c r="AG47" s="101">
        <f t="shared" si="10"/>
        <v>1869730</v>
      </c>
      <c r="AH47" s="66" t="str">
        <f t="shared" si="11"/>
        <v>Ekor</v>
      </c>
      <c r="AI47" s="92"/>
      <c r="AJ47" s="45"/>
      <c r="AK47" s="44" t="s">
        <v>110</v>
      </c>
      <c r="AL47" s="95"/>
      <c r="AM47" s="11"/>
      <c r="AP47" s="19"/>
    </row>
    <row r="48" spans="1:42" ht="168" customHeight="1" x14ac:dyDescent="0.2">
      <c r="A48" s="12"/>
      <c r="B48" s="13"/>
      <c r="C48" s="87"/>
      <c r="D48" s="14" t="s">
        <v>132</v>
      </c>
      <c r="E48" s="99">
        <f>E51</f>
        <v>15</v>
      </c>
      <c r="F48" s="40" t="s">
        <v>109</v>
      </c>
      <c r="G48" s="64"/>
      <c r="H48" s="99">
        <f>H51</f>
        <v>6</v>
      </c>
      <c r="I48" s="40" t="s">
        <v>109</v>
      </c>
      <c r="J48" s="64"/>
      <c r="K48" s="99">
        <f>K51</f>
        <v>3</v>
      </c>
      <c r="L48" s="40" t="s">
        <v>109</v>
      </c>
      <c r="M48" s="90"/>
      <c r="N48" s="99">
        <f>N51</f>
        <v>0</v>
      </c>
      <c r="O48" s="40" t="str">
        <f>L48</f>
        <v>Sampel</v>
      </c>
      <c r="P48" s="90"/>
      <c r="Q48" s="99">
        <f>Q51</f>
        <v>1</v>
      </c>
      <c r="R48" s="40" t="str">
        <f>L48</f>
        <v>Sampel</v>
      </c>
      <c r="S48" s="90"/>
      <c r="T48" s="99">
        <f>T51</f>
        <v>2</v>
      </c>
      <c r="U48" s="40" t="str">
        <f>L48</f>
        <v>Sampel</v>
      </c>
      <c r="V48" s="90"/>
      <c r="W48" s="99">
        <v>0</v>
      </c>
      <c r="X48" s="40" t="str">
        <f>O48</f>
        <v>Sampel</v>
      </c>
      <c r="Y48" s="90"/>
      <c r="Z48" s="108">
        <f t="shared" ref="Z48" si="35">SUM(N48,Q48,T48,W48)</f>
        <v>3</v>
      </c>
      <c r="AA48" s="66" t="str">
        <f t="shared" ref="AA48" si="36">L48</f>
        <v>Sampel</v>
      </c>
      <c r="AB48" s="46">
        <f t="shared" ref="AB48" si="37">Z48/K48*100</f>
        <v>100</v>
      </c>
      <c r="AC48" s="44" t="s">
        <v>110</v>
      </c>
      <c r="AD48" s="93"/>
      <c r="AE48" s="96"/>
      <c r="AF48" s="44"/>
      <c r="AG48" s="46">
        <f t="shared" ref="AG48" si="38">SUM(H48,Z48)</f>
        <v>9</v>
      </c>
      <c r="AH48" s="66" t="str">
        <f t="shared" ref="AH48" si="39">O48</f>
        <v>Sampel</v>
      </c>
      <c r="AI48" s="93"/>
      <c r="AJ48" s="45"/>
      <c r="AK48" s="44" t="s">
        <v>110</v>
      </c>
      <c r="AL48" s="96"/>
      <c r="AM48" s="11"/>
      <c r="AP48" s="19"/>
    </row>
    <row r="49" spans="1:42" ht="90" x14ac:dyDescent="0.2">
      <c r="A49" s="12"/>
      <c r="B49" s="13"/>
      <c r="C49" s="59" t="s">
        <v>96</v>
      </c>
      <c r="D49" s="20" t="s">
        <v>121</v>
      </c>
      <c r="E49" s="98">
        <f>0.12+0.144+0.173+0.2+0.23</f>
        <v>0.86699999999999999</v>
      </c>
      <c r="F49" s="16" t="s">
        <v>122</v>
      </c>
      <c r="G49" s="17"/>
      <c r="H49" s="84">
        <f>0.12+0.144</f>
        <v>0.26400000000000001</v>
      </c>
      <c r="I49" s="16" t="s">
        <v>122</v>
      </c>
      <c r="J49" s="17"/>
      <c r="K49" s="84">
        <v>0.17299999999999999</v>
      </c>
      <c r="L49" s="16" t="s">
        <v>107</v>
      </c>
      <c r="M49" s="63">
        <v>429033500</v>
      </c>
      <c r="N49" s="82">
        <v>0</v>
      </c>
      <c r="O49" s="16" t="str">
        <f t="shared" si="1"/>
        <v xml:space="preserve"> Ha</v>
      </c>
      <c r="P49" s="63">
        <v>0</v>
      </c>
      <c r="Q49" s="82">
        <v>0</v>
      </c>
      <c r="R49" s="16" t="str">
        <f t="shared" si="2"/>
        <v xml:space="preserve"> Ha</v>
      </c>
      <c r="S49" s="63">
        <v>167400000</v>
      </c>
      <c r="T49" s="84">
        <v>0.17299999999999999</v>
      </c>
      <c r="U49" s="16" t="str">
        <f t="shared" si="3"/>
        <v xml:space="preserve"> Ha</v>
      </c>
      <c r="V49" s="63">
        <v>146875000</v>
      </c>
      <c r="W49" s="84">
        <v>0</v>
      </c>
      <c r="X49" s="16" t="str">
        <f t="shared" ref="X49:X62" si="40">O49</f>
        <v xml:space="preserve"> Ha</v>
      </c>
      <c r="Y49" s="63">
        <v>100000000</v>
      </c>
      <c r="Z49" s="120">
        <f t="shared" si="5"/>
        <v>0.17299999999999999</v>
      </c>
      <c r="AA49" s="67" t="str">
        <f t="shared" si="6"/>
        <v xml:space="preserve"> Ha</v>
      </c>
      <c r="AB49" s="47">
        <f t="shared" si="7"/>
        <v>100</v>
      </c>
      <c r="AC49" s="26" t="s">
        <v>110</v>
      </c>
      <c r="AD49" s="32">
        <f t="shared" si="8"/>
        <v>414275000</v>
      </c>
      <c r="AE49" s="48">
        <f t="shared" si="9"/>
        <v>96.560058829904889</v>
      </c>
      <c r="AF49" s="26" t="s">
        <v>110</v>
      </c>
      <c r="AG49" s="122">
        <f t="shared" si="10"/>
        <v>0.437</v>
      </c>
      <c r="AH49" s="67" t="str">
        <f t="shared" si="11"/>
        <v xml:space="preserve"> Ha</v>
      </c>
      <c r="AI49" s="32">
        <f t="shared" si="12"/>
        <v>414275000</v>
      </c>
      <c r="AJ49" s="48"/>
      <c r="AK49" s="26" t="s">
        <v>110</v>
      </c>
      <c r="AL49" s="48"/>
      <c r="AM49" s="11"/>
      <c r="AP49" s="19"/>
    </row>
    <row r="50" spans="1:42" ht="97.5" customHeight="1" x14ac:dyDescent="0.2">
      <c r="A50" s="12"/>
      <c r="B50" s="13"/>
      <c r="C50" s="59" t="s">
        <v>133</v>
      </c>
      <c r="D50" s="20" t="s">
        <v>161</v>
      </c>
      <c r="E50" s="82">
        <f>K50+865150+951665</f>
        <v>2603315</v>
      </c>
      <c r="F50" s="37" t="s">
        <v>108</v>
      </c>
      <c r="G50" s="17">
        <f>M50+179830750*2</f>
        <v>539492250</v>
      </c>
      <c r="H50" s="82">
        <v>715000</v>
      </c>
      <c r="I50" s="37" t="s">
        <v>108</v>
      </c>
      <c r="J50" s="17"/>
      <c r="K50" s="82">
        <v>786500</v>
      </c>
      <c r="L50" s="37" t="s">
        <v>108</v>
      </c>
      <c r="M50" s="63">
        <v>179830750</v>
      </c>
      <c r="N50" s="82">
        <v>0</v>
      </c>
      <c r="O50" s="37" t="str">
        <f t="shared" si="1"/>
        <v>Ekor</v>
      </c>
      <c r="P50" s="63">
        <v>45300000</v>
      </c>
      <c r="Q50" s="82">
        <v>0</v>
      </c>
      <c r="R50" s="37" t="str">
        <f t="shared" si="2"/>
        <v>Ekor</v>
      </c>
      <c r="S50" s="63">
        <v>96000000</v>
      </c>
      <c r="T50" s="82">
        <v>504730</v>
      </c>
      <c r="U50" s="37" t="str">
        <f t="shared" si="3"/>
        <v>Ekor</v>
      </c>
      <c r="V50" s="63">
        <v>16650000</v>
      </c>
      <c r="W50" s="82">
        <v>0</v>
      </c>
      <c r="X50" s="37" t="str">
        <f t="shared" si="40"/>
        <v>Ekor</v>
      </c>
      <c r="Y50" s="63">
        <v>16553000</v>
      </c>
      <c r="Z50" s="86">
        <f>SUM(N50,Q50,T50,W50)</f>
        <v>504730</v>
      </c>
      <c r="AA50" s="67" t="str">
        <f t="shared" si="6"/>
        <v>Ekor</v>
      </c>
      <c r="AB50" s="48">
        <f t="shared" si="7"/>
        <v>64.174189446916714</v>
      </c>
      <c r="AC50" s="26" t="s">
        <v>110</v>
      </c>
      <c r="AD50" s="32">
        <f t="shared" si="8"/>
        <v>174503000</v>
      </c>
      <c r="AE50" s="48">
        <f t="shared" si="9"/>
        <v>97.037353177918689</v>
      </c>
      <c r="AF50" s="26" t="s">
        <v>110</v>
      </c>
      <c r="AG50" s="110">
        <f t="shared" si="10"/>
        <v>1219730</v>
      </c>
      <c r="AH50" s="67" t="str">
        <f t="shared" si="11"/>
        <v>Ekor</v>
      </c>
      <c r="AI50" s="32">
        <f t="shared" si="12"/>
        <v>174503000</v>
      </c>
      <c r="AJ50" s="48"/>
      <c r="AK50" s="26" t="s">
        <v>110</v>
      </c>
      <c r="AL50" s="48"/>
      <c r="AM50" s="11"/>
      <c r="AP50" s="19"/>
    </row>
    <row r="51" spans="1:42" ht="90" x14ac:dyDescent="0.2">
      <c r="A51" s="12"/>
      <c r="B51" s="13"/>
      <c r="C51" s="59" t="s">
        <v>134</v>
      </c>
      <c r="D51" s="20" t="s">
        <v>162</v>
      </c>
      <c r="E51" s="82">
        <f>3*5</f>
        <v>15</v>
      </c>
      <c r="F51" s="37" t="s">
        <v>111</v>
      </c>
      <c r="G51" s="17">
        <f>5000000*3</f>
        <v>15000000</v>
      </c>
      <c r="H51" s="82">
        <v>6</v>
      </c>
      <c r="I51" s="37" t="s">
        <v>111</v>
      </c>
      <c r="J51" s="17"/>
      <c r="K51" s="82">
        <v>3</v>
      </c>
      <c r="L51" s="37" t="s">
        <v>111</v>
      </c>
      <c r="M51" s="63">
        <v>5000000</v>
      </c>
      <c r="N51" s="82">
        <v>0</v>
      </c>
      <c r="O51" s="37" t="str">
        <f t="shared" si="1"/>
        <v>Kali</v>
      </c>
      <c r="P51" s="63">
        <v>0</v>
      </c>
      <c r="Q51" s="82">
        <v>1</v>
      </c>
      <c r="R51" s="37" t="str">
        <f t="shared" si="2"/>
        <v>Kali</v>
      </c>
      <c r="S51" s="63">
        <v>0</v>
      </c>
      <c r="T51" s="82">
        <v>2</v>
      </c>
      <c r="U51" s="37" t="str">
        <f t="shared" si="3"/>
        <v>Kali</v>
      </c>
      <c r="V51" s="63">
        <v>3500000</v>
      </c>
      <c r="W51" s="82">
        <v>0</v>
      </c>
      <c r="X51" s="37" t="str">
        <f t="shared" si="40"/>
        <v>Kali</v>
      </c>
      <c r="Y51" s="63">
        <v>0</v>
      </c>
      <c r="Z51" s="47">
        <f t="shared" si="5"/>
        <v>3</v>
      </c>
      <c r="AA51" s="67" t="str">
        <f t="shared" si="6"/>
        <v>Kali</v>
      </c>
      <c r="AB51" s="47">
        <f t="shared" si="7"/>
        <v>100</v>
      </c>
      <c r="AC51" s="26" t="s">
        <v>110</v>
      </c>
      <c r="AD51" s="32">
        <f t="shared" si="8"/>
        <v>3500000</v>
      </c>
      <c r="AE51" s="48">
        <f t="shared" si="9"/>
        <v>70</v>
      </c>
      <c r="AF51" s="26" t="s">
        <v>110</v>
      </c>
      <c r="AG51" s="117">
        <f t="shared" si="10"/>
        <v>9</v>
      </c>
      <c r="AH51" s="67" t="str">
        <f t="shared" si="11"/>
        <v>Kali</v>
      </c>
      <c r="AI51" s="32">
        <f t="shared" si="12"/>
        <v>3500000</v>
      </c>
      <c r="AJ51" s="48"/>
      <c r="AK51" s="26" t="s">
        <v>110</v>
      </c>
      <c r="AL51" s="48"/>
      <c r="AM51" s="11"/>
      <c r="AP51" s="19"/>
    </row>
    <row r="52" spans="1:42" ht="123" customHeight="1" x14ac:dyDescent="0.2">
      <c r="A52" s="12"/>
      <c r="B52" s="13"/>
      <c r="C52" s="115" t="s">
        <v>97</v>
      </c>
      <c r="D52" s="14" t="s">
        <v>148</v>
      </c>
      <c r="E52" s="41">
        <f>E56/E56*100</f>
        <v>100</v>
      </c>
      <c r="F52" s="36" t="s">
        <v>110</v>
      </c>
      <c r="G52" s="65">
        <f>G54</f>
        <v>4296080000</v>
      </c>
      <c r="H52" s="41">
        <f>H56/H56*100</f>
        <v>100</v>
      </c>
      <c r="I52" s="36" t="s">
        <v>110</v>
      </c>
      <c r="J52" s="65">
        <f>J54</f>
        <v>0</v>
      </c>
      <c r="K52" s="41">
        <f>K56/K56*100</f>
        <v>100</v>
      </c>
      <c r="L52" s="36" t="s">
        <v>110</v>
      </c>
      <c r="M52" s="65">
        <f>M54</f>
        <v>3093250000</v>
      </c>
      <c r="N52" s="41">
        <f>N56/N56*100</f>
        <v>100</v>
      </c>
      <c r="O52" s="36" t="str">
        <f t="shared" si="1"/>
        <v>%</v>
      </c>
      <c r="P52" s="65">
        <f>P54</f>
        <v>369825000</v>
      </c>
      <c r="Q52" s="41">
        <f>Q56/Q56*100</f>
        <v>100</v>
      </c>
      <c r="R52" s="36" t="str">
        <f t="shared" si="2"/>
        <v>%</v>
      </c>
      <c r="S52" s="65">
        <v>0</v>
      </c>
      <c r="T52" s="41">
        <f>T56/T56*100</f>
        <v>100</v>
      </c>
      <c r="U52" s="36" t="str">
        <f t="shared" si="3"/>
        <v>%</v>
      </c>
      <c r="V52" s="33">
        <f>V54</f>
        <v>64550000</v>
      </c>
      <c r="W52" s="41">
        <f>W56/W56*100</f>
        <v>100</v>
      </c>
      <c r="X52" s="36" t="str">
        <f t="shared" si="40"/>
        <v>%</v>
      </c>
      <c r="Y52" s="33">
        <f>Y54</f>
        <v>911196000</v>
      </c>
      <c r="Z52" s="46">
        <f>AVERAGE(N52,Q52,T52,W52)</f>
        <v>100</v>
      </c>
      <c r="AA52" s="66" t="str">
        <f t="shared" si="6"/>
        <v>%</v>
      </c>
      <c r="AB52" s="46">
        <f t="shared" si="7"/>
        <v>100</v>
      </c>
      <c r="AC52" s="44" t="s">
        <v>110</v>
      </c>
      <c r="AD52" s="91">
        <f t="shared" si="8"/>
        <v>1345571000</v>
      </c>
      <c r="AE52" s="94">
        <f t="shared" si="9"/>
        <v>43.500234381314151</v>
      </c>
      <c r="AF52" s="38" t="s">
        <v>110</v>
      </c>
      <c r="AG52" s="46">
        <f>SUM(H52,Z52)</f>
        <v>200</v>
      </c>
      <c r="AH52" s="66" t="str">
        <f t="shared" si="11"/>
        <v>%</v>
      </c>
      <c r="AI52" s="91">
        <f t="shared" si="12"/>
        <v>1345571000</v>
      </c>
      <c r="AJ52" s="45"/>
      <c r="AK52" s="44" t="s">
        <v>110</v>
      </c>
      <c r="AL52" s="94"/>
      <c r="AM52" s="11"/>
      <c r="AP52" s="19"/>
    </row>
    <row r="53" spans="1:42" ht="94.5" x14ac:dyDescent="0.2">
      <c r="A53" s="12"/>
      <c r="B53" s="13"/>
      <c r="C53" s="116"/>
      <c r="D53" s="14" t="s">
        <v>163</v>
      </c>
      <c r="E53" s="41">
        <f>E54/E54*100</f>
        <v>100</v>
      </c>
      <c r="F53" s="36" t="s">
        <v>110</v>
      </c>
      <c r="G53" s="90"/>
      <c r="H53" s="41">
        <f>H54/H54*100</f>
        <v>100</v>
      </c>
      <c r="I53" s="36" t="s">
        <v>110</v>
      </c>
      <c r="J53" s="90"/>
      <c r="K53" s="41">
        <f>K54/K54*100</f>
        <v>100</v>
      </c>
      <c r="L53" s="36" t="s">
        <v>110</v>
      </c>
      <c r="M53" s="90"/>
      <c r="N53" s="55">
        <f>N54/K54*100</f>
        <v>16.666666666666664</v>
      </c>
      <c r="O53" s="36" t="str">
        <f t="shared" ref="O53" si="41">L53</f>
        <v>%</v>
      </c>
      <c r="P53" s="90"/>
      <c r="Q53" s="55">
        <f>Q54/K54*100</f>
        <v>33.333333333333329</v>
      </c>
      <c r="R53" s="36" t="str">
        <f t="shared" ref="R53" si="42">L53</f>
        <v>%</v>
      </c>
      <c r="S53" s="90"/>
      <c r="T53" s="55">
        <f>T54/K54*100</f>
        <v>16.666666666666664</v>
      </c>
      <c r="U53" s="36" t="str">
        <f t="shared" ref="U53" si="43">L53</f>
        <v>%</v>
      </c>
      <c r="V53" s="33"/>
      <c r="W53" s="55">
        <f>W54/K54*100</f>
        <v>33.333333333333329</v>
      </c>
      <c r="X53" s="36" t="str">
        <f t="shared" si="40"/>
        <v>%</v>
      </c>
      <c r="Y53" s="33"/>
      <c r="Z53" s="45">
        <f>SUM(N53,Q53,T53,W53)</f>
        <v>99.999999999999986</v>
      </c>
      <c r="AA53" s="66" t="str">
        <f t="shared" ref="AA53" si="44">L53</f>
        <v>%</v>
      </c>
      <c r="AB53" s="46">
        <f t="shared" ref="AB53" si="45">Z53/K53*100</f>
        <v>99.999999999999986</v>
      </c>
      <c r="AC53" s="44" t="s">
        <v>110</v>
      </c>
      <c r="AD53" s="93"/>
      <c r="AE53" s="96"/>
      <c r="AF53" s="97"/>
      <c r="AG53" s="46">
        <f t="shared" ref="AG53" si="46">SUM(H53,Z53)</f>
        <v>200</v>
      </c>
      <c r="AH53" s="66" t="str">
        <f t="shared" ref="AH53" si="47">O53</f>
        <v>%</v>
      </c>
      <c r="AI53" s="93"/>
      <c r="AJ53" s="45"/>
      <c r="AK53" s="44" t="s">
        <v>110</v>
      </c>
      <c r="AL53" s="96"/>
      <c r="AM53" s="11"/>
      <c r="AP53" s="19"/>
    </row>
    <row r="54" spans="1:42" ht="186" customHeight="1" x14ac:dyDescent="0.2">
      <c r="A54" s="12"/>
      <c r="B54" s="13"/>
      <c r="C54" s="60" t="s">
        <v>98</v>
      </c>
      <c r="D54" s="14" t="s">
        <v>144</v>
      </c>
      <c r="E54" s="35">
        <v>6</v>
      </c>
      <c r="F54" s="40" t="s">
        <v>145</v>
      </c>
      <c r="G54" s="106">
        <f>SUM(G55)</f>
        <v>4296080000</v>
      </c>
      <c r="H54" s="35">
        <v>6</v>
      </c>
      <c r="I54" s="40" t="s">
        <v>145</v>
      </c>
      <c r="J54" s="106">
        <f>SUM(J55)</f>
        <v>0</v>
      </c>
      <c r="K54" s="35">
        <v>6</v>
      </c>
      <c r="L54" s="40" t="s">
        <v>145</v>
      </c>
      <c r="M54" s="106">
        <f>SUM(M55)</f>
        <v>3093250000</v>
      </c>
      <c r="N54" s="35">
        <v>1</v>
      </c>
      <c r="O54" s="40" t="str">
        <f t="shared" si="1"/>
        <v>Area</v>
      </c>
      <c r="P54" s="106">
        <f>SUM(P55)</f>
        <v>369825000</v>
      </c>
      <c r="Q54" s="35">
        <v>2</v>
      </c>
      <c r="R54" s="40" t="str">
        <f t="shared" si="2"/>
        <v>Area</v>
      </c>
      <c r="S54" s="107">
        <f>SUM(S55)</f>
        <v>0</v>
      </c>
      <c r="T54" s="35">
        <v>1</v>
      </c>
      <c r="U54" s="40" t="str">
        <f t="shared" si="3"/>
        <v>Area</v>
      </c>
      <c r="V54" s="106">
        <f>SUM(V55)</f>
        <v>64550000</v>
      </c>
      <c r="W54" s="35">
        <v>2</v>
      </c>
      <c r="X54" s="40" t="str">
        <f t="shared" si="40"/>
        <v>Area</v>
      </c>
      <c r="Y54" s="106">
        <f>SUM(Y55)</f>
        <v>911196000</v>
      </c>
      <c r="Z54" s="46">
        <f t="shared" si="5"/>
        <v>6</v>
      </c>
      <c r="AA54" s="66" t="str">
        <f t="shared" si="6"/>
        <v>Area</v>
      </c>
      <c r="AB54" s="46">
        <f t="shared" si="7"/>
        <v>100</v>
      </c>
      <c r="AC54" s="44" t="s">
        <v>110</v>
      </c>
      <c r="AD54" s="43">
        <f t="shared" si="8"/>
        <v>1345571000</v>
      </c>
      <c r="AE54" s="45">
        <f t="shared" si="9"/>
        <v>43.500234381314151</v>
      </c>
      <c r="AF54" s="44" t="s">
        <v>110</v>
      </c>
      <c r="AG54" s="46">
        <f>SUM(H54,Z54)</f>
        <v>12</v>
      </c>
      <c r="AH54" s="66" t="str">
        <f t="shared" si="11"/>
        <v>Area</v>
      </c>
      <c r="AI54" s="43">
        <f t="shared" si="12"/>
        <v>1345571000</v>
      </c>
      <c r="AJ54" s="45"/>
      <c r="AK54" s="44" t="s">
        <v>110</v>
      </c>
      <c r="AL54" s="45"/>
      <c r="AM54" s="11"/>
      <c r="AP54" s="19"/>
    </row>
    <row r="55" spans="1:42" ht="142.5" customHeight="1" x14ac:dyDescent="0.2">
      <c r="A55" s="12"/>
      <c r="B55" s="13"/>
      <c r="C55" s="104" t="s">
        <v>143</v>
      </c>
      <c r="D55" s="79" t="s">
        <v>123</v>
      </c>
      <c r="E55" s="83">
        <f>12*3</f>
        <v>36</v>
      </c>
      <c r="F55" s="37" t="s">
        <v>111</v>
      </c>
      <c r="G55" s="63">
        <f>M55+601415000*2</f>
        <v>4296080000</v>
      </c>
      <c r="H55" s="83">
        <v>12</v>
      </c>
      <c r="I55" s="37" t="s">
        <v>111</v>
      </c>
      <c r="J55" s="63"/>
      <c r="K55" s="83">
        <v>12</v>
      </c>
      <c r="L55" s="37" t="s">
        <v>111</v>
      </c>
      <c r="M55" s="63">
        <v>3093250000</v>
      </c>
      <c r="N55" s="83">
        <v>3</v>
      </c>
      <c r="O55" s="37" t="str">
        <f t="shared" si="1"/>
        <v>Kali</v>
      </c>
      <c r="P55" s="63">
        <v>369825000</v>
      </c>
      <c r="Q55" s="83">
        <v>2</v>
      </c>
      <c r="R55" s="37" t="str">
        <f t="shared" si="2"/>
        <v>Kali</v>
      </c>
      <c r="S55" s="63">
        <v>0</v>
      </c>
      <c r="T55" s="83">
        <v>2</v>
      </c>
      <c r="U55" s="37" t="str">
        <f t="shared" si="3"/>
        <v>Kali</v>
      </c>
      <c r="V55" s="63">
        <v>64550000</v>
      </c>
      <c r="W55" s="83">
        <v>5</v>
      </c>
      <c r="X55" s="37" t="str">
        <f t="shared" si="40"/>
        <v>Kali</v>
      </c>
      <c r="Y55" s="63">
        <v>911196000</v>
      </c>
      <c r="Z55" s="47">
        <f t="shared" ref="Z55" si="48">SUM(N55,Q55,T55,W55)</f>
        <v>12</v>
      </c>
      <c r="AA55" s="67" t="str">
        <f t="shared" ref="AA55" si="49">L55</f>
        <v>Kali</v>
      </c>
      <c r="AB55" s="47">
        <f t="shared" ref="AB55" si="50">Z55/K55*100</f>
        <v>100</v>
      </c>
      <c r="AC55" s="26" t="s">
        <v>110</v>
      </c>
      <c r="AD55" s="72">
        <f t="shared" ref="AD55" si="51">SUM(P55,S55,V55,Y55)</f>
        <v>1345571000</v>
      </c>
      <c r="AE55" s="76">
        <f t="shared" ref="AE55" si="52">AD55/M55*100</f>
        <v>43.500234381314151</v>
      </c>
      <c r="AF55" s="74" t="s">
        <v>110</v>
      </c>
      <c r="AG55" s="123">
        <f t="shared" ref="AG55" si="53">SUM(H55,Z55)</f>
        <v>24</v>
      </c>
      <c r="AH55" s="67" t="str">
        <f t="shared" ref="AH55" si="54">O55</f>
        <v>Kali</v>
      </c>
      <c r="AI55" s="72">
        <f t="shared" ref="AI55" si="55">SUM(J55,AD55)</f>
        <v>1345571000</v>
      </c>
      <c r="AJ55" s="48"/>
      <c r="AK55" s="26" t="s">
        <v>110</v>
      </c>
      <c r="AL55" s="76"/>
      <c r="AM55" s="11"/>
      <c r="AP55" s="19"/>
    </row>
    <row r="56" spans="1:42" ht="90" x14ac:dyDescent="0.2">
      <c r="A56" s="12"/>
      <c r="B56" s="13"/>
      <c r="C56" s="105"/>
      <c r="D56" s="20" t="s">
        <v>146</v>
      </c>
      <c r="E56" s="83">
        <f>K56*3</f>
        <v>15</v>
      </c>
      <c r="F56" s="37" t="s">
        <v>147</v>
      </c>
      <c r="G56" s="64"/>
      <c r="H56" s="83">
        <v>3</v>
      </c>
      <c r="I56" s="37" t="s">
        <v>147</v>
      </c>
      <c r="J56" s="64"/>
      <c r="K56" s="83">
        <v>5</v>
      </c>
      <c r="L56" s="37" t="s">
        <v>147</v>
      </c>
      <c r="M56" s="64"/>
      <c r="N56" s="83">
        <v>1</v>
      </c>
      <c r="O56" s="37" t="str">
        <f t="shared" si="1"/>
        <v>Kasus</v>
      </c>
      <c r="P56" s="64"/>
      <c r="Q56" s="83">
        <v>1</v>
      </c>
      <c r="R56" s="37" t="str">
        <f t="shared" si="2"/>
        <v>Kasus</v>
      </c>
      <c r="S56" s="64"/>
      <c r="T56" s="83">
        <v>2</v>
      </c>
      <c r="U56" s="37" t="str">
        <f t="shared" si="3"/>
        <v>Kasus</v>
      </c>
      <c r="V56" s="64"/>
      <c r="W56" s="83">
        <v>1</v>
      </c>
      <c r="X56" s="37" t="str">
        <f t="shared" si="40"/>
        <v>Kasus</v>
      </c>
      <c r="Y56" s="64"/>
      <c r="Z56" s="47">
        <f>SUM(N56,Q56,T56,W56)</f>
        <v>5</v>
      </c>
      <c r="AA56" s="67" t="str">
        <f t="shared" si="6"/>
        <v>Kasus</v>
      </c>
      <c r="AB56" s="47">
        <f t="shared" si="7"/>
        <v>100</v>
      </c>
      <c r="AC56" s="26" t="s">
        <v>110</v>
      </c>
      <c r="AD56" s="73"/>
      <c r="AE56" s="77"/>
      <c r="AF56" s="75"/>
      <c r="AG56" s="123">
        <f t="shared" si="10"/>
        <v>8</v>
      </c>
      <c r="AH56" s="67" t="str">
        <f t="shared" si="11"/>
        <v>Kasus</v>
      </c>
      <c r="AI56" s="73"/>
      <c r="AJ56" s="48"/>
      <c r="AK56" s="26" t="s">
        <v>110</v>
      </c>
      <c r="AL56" s="77"/>
      <c r="AM56" s="11"/>
      <c r="AP56" s="19"/>
    </row>
    <row r="57" spans="1:42" ht="83.25" customHeight="1" x14ac:dyDescent="0.2">
      <c r="A57" s="12"/>
      <c r="B57" s="13"/>
      <c r="C57" s="14" t="s">
        <v>135</v>
      </c>
      <c r="D57" s="14" t="s">
        <v>142</v>
      </c>
      <c r="E57" s="99">
        <v>3366</v>
      </c>
      <c r="F57" s="40" t="s">
        <v>120</v>
      </c>
      <c r="G57" s="33">
        <f>G58+G60</f>
        <v>135193634</v>
      </c>
      <c r="H57" s="42">
        <v>2589.91</v>
      </c>
      <c r="I57" s="40" t="s">
        <v>120</v>
      </c>
      <c r="J57" s="33">
        <f>J58+J60</f>
        <v>0</v>
      </c>
      <c r="K57" s="42">
        <v>2715.75</v>
      </c>
      <c r="L57" s="40" t="s">
        <v>120</v>
      </c>
      <c r="M57" s="33">
        <f>M58+M60</f>
        <v>37419728</v>
      </c>
      <c r="N57" s="42">
        <v>569.5</v>
      </c>
      <c r="O57" s="40" t="str">
        <f t="shared" si="1"/>
        <v>Ton</v>
      </c>
      <c r="P57" s="33">
        <f>P58+P60</f>
        <v>0</v>
      </c>
      <c r="Q57" s="42">
        <v>854.28</v>
      </c>
      <c r="R57" s="40" t="str">
        <f t="shared" si="2"/>
        <v>Ton</v>
      </c>
      <c r="S57" s="33">
        <f>S58+S60</f>
        <v>11618500</v>
      </c>
      <c r="T57" s="42">
        <v>825.8</v>
      </c>
      <c r="U57" s="40" t="str">
        <f t="shared" si="3"/>
        <v>Ton</v>
      </c>
      <c r="V57" s="33">
        <f>V58+V60</f>
        <v>5399250</v>
      </c>
      <c r="W57" s="42">
        <v>0</v>
      </c>
      <c r="X57" s="40" t="str">
        <f t="shared" si="40"/>
        <v>Ton</v>
      </c>
      <c r="Y57" s="33">
        <f>Y58+Y60</f>
        <v>15049917</v>
      </c>
      <c r="Z57" s="103">
        <f t="shared" si="5"/>
        <v>2249.58</v>
      </c>
      <c r="AA57" s="66" t="str">
        <f t="shared" si="6"/>
        <v>Ton</v>
      </c>
      <c r="AB57" s="45">
        <f t="shared" si="7"/>
        <v>82.834576083954701</v>
      </c>
      <c r="AC57" s="44" t="s">
        <v>110</v>
      </c>
      <c r="AD57" s="43">
        <f t="shared" si="8"/>
        <v>32067667</v>
      </c>
      <c r="AE57" s="45">
        <f t="shared" si="9"/>
        <v>85.697220995299588</v>
      </c>
      <c r="AF57" s="44" t="s">
        <v>110</v>
      </c>
      <c r="AG57" s="56">
        <f t="shared" si="10"/>
        <v>4839.49</v>
      </c>
      <c r="AH57" s="66" t="str">
        <f t="shared" si="11"/>
        <v>Ton</v>
      </c>
      <c r="AI57" s="43">
        <f t="shared" si="12"/>
        <v>32067667</v>
      </c>
      <c r="AJ57" s="45"/>
      <c r="AK57" s="44" t="s">
        <v>110</v>
      </c>
      <c r="AL57" s="45"/>
      <c r="AM57" s="11"/>
      <c r="AP57" s="19"/>
    </row>
    <row r="58" spans="1:42" ht="162.75" customHeight="1" x14ac:dyDescent="0.2">
      <c r="A58" s="12"/>
      <c r="B58" s="13"/>
      <c r="C58" s="14" t="s">
        <v>99</v>
      </c>
      <c r="D58" s="14" t="s">
        <v>138</v>
      </c>
      <c r="E58" s="81">
        <f>12*3</f>
        <v>36</v>
      </c>
      <c r="F58" s="36" t="s">
        <v>136</v>
      </c>
      <c r="G58" s="65">
        <f>SUM(G59)</f>
        <v>22140000</v>
      </c>
      <c r="H58" s="81">
        <v>12</v>
      </c>
      <c r="I58" s="36" t="s">
        <v>136</v>
      </c>
      <c r="J58" s="65">
        <f>SUM(J59)</f>
        <v>0</v>
      </c>
      <c r="K58" s="81">
        <v>12</v>
      </c>
      <c r="L58" s="36" t="s">
        <v>136</v>
      </c>
      <c r="M58" s="65">
        <f>SUM(M59)</f>
        <v>7380000</v>
      </c>
      <c r="N58" s="81">
        <v>3</v>
      </c>
      <c r="O58" s="36" t="str">
        <f t="shared" si="1"/>
        <v>Lap</v>
      </c>
      <c r="P58" s="65">
        <f>SUM(P59)</f>
        <v>0</v>
      </c>
      <c r="Q58" s="81">
        <v>3</v>
      </c>
      <c r="R58" s="36" t="str">
        <f t="shared" si="2"/>
        <v>Lap</v>
      </c>
      <c r="S58" s="65">
        <f>SUM(S59)</f>
        <v>1762500</v>
      </c>
      <c r="T58" s="81">
        <v>3</v>
      </c>
      <c r="U58" s="36" t="str">
        <f t="shared" si="3"/>
        <v>Lap</v>
      </c>
      <c r="V58" s="65">
        <f>SUM(V59)</f>
        <v>2962500</v>
      </c>
      <c r="W58" s="81">
        <v>3</v>
      </c>
      <c r="X58" s="36" t="str">
        <f t="shared" si="40"/>
        <v>Lap</v>
      </c>
      <c r="Y58" s="65">
        <f>SUM(Y59)</f>
        <v>2655000</v>
      </c>
      <c r="Z58" s="46">
        <f t="shared" si="5"/>
        <v>12</v>
      </c>
      <c r="AA58" s="66" t="str">
        <f t="shared" si="6"/>
        <v>Lap</v>
      </c>
      <c r="AB58" s="46">
        <f t="shared" si="7"/>
        <v>100</v>
      </c>
      <c r="AC58" s="44" t="s">
        <v>110</v>
      </c>
      <c r="AD58" s="43">
        <f t="shared" si="8"/>
        <v>7380000</v>
      </c>
      <c r="AE58" s="45">
        <f t="shared" si="9"/>
        <v>100</v>
      </c>
      <c r="AF58" s="44" t="s">
        <v>110</v>
      </c>
      <c r="AG58" s="46">
        <f t="shared" si="10"/>
        <v>24</v>
      </c>
      <c r="AH58" s="66" t="str">
        <f t="shared" si="11"/>
        <v>Lap</v>
      </c>
      <c r="AI58" s="43">
        <f t="shared" si="12"/>
        <v>7380000</v>
      </c>
      <c r="AJ58" s="45"/>
      <c r="AK58" s="44" t="s">
        <v>110</v>
      </c>
      <c r="AL58" s="45"/>
      <c r="AM58" s="11"/>
      <c r="AP58" s="19"/>
    </row>
    <row r="59" spans="1:42" ht="147" customHeight="1" x14ac:dyDescent="0.2">
      <c r="A59" s="12"/>
      <c r="B59" s="13"/>
      <c r="C59" s="59" t="s">
        <v>124</v>
      </c>
      <c r="D59" s="85" t="s">
        <v>137</v>
      </c>
      <c r="E59" s="82">
        <f>K59*3</f>
        <v>36</v>
      </c>
      <c r="F59" s="16" t="s">
        <v>111</v>
      </c>
      <c r="G59" s="17">
        <f>M59*3</f>
        <v>22140000</v>
      </c>
      <c r="H59" s="82">
        <v>12</v>
      </c>
      <c r="I59" s="16" t="s">
        <v>111</v>
      </c>
      <c r="J59" s="17">
        <v>0</v>
      </c>
      <c r="K59" s="82">
        <v>12</v>
      </c>
      <c r="L59" s="16" t="s">
        <v>111</v>
      </c>
      <c r="M59" s="61">
        <v>7380000</v>
      </c>
      <c r="N59" s="82">
        <v>3</v>
      </c>
      <c r="O59" s="16" t="str">
        <f t="shared" si="1"/>
        <v>Kali</v>
      </c>
      <c r="P59" s="63">
        <v>0</v>
      </c>
      <c r="Q59" s="82">
        <v>3</v>
      </c>
      <c r="R59" s="16" t="str">
        <f t="shared" si="2"/>
        <v>Kali</v>
      </c>
      <c r="S59" s="63">
        <v>1762500</v>
      </c>
      <c r="T59" s="82">
        <v>3</v>
      </c>
      <c r="U59" s="16" t="str">
        <f t="shared" si="3"/>
        <v>Kali</v>
      </c>
      <c r="V59" s="63">
        <v>2962500</v>
      </c>
      <c r="W59" s="82">
        <v>3</v>
      </c>
      <c r="X59" s="16" t="str">
        <f t="shared" si="40"/>
        <v>Kali</v>
      </c>
      <c r="Y59" s="61">
        <v>2655000</v>
      </c>
      <c r="Z59" s="47">
        <f t="shared" si="5"/>
        <v>12</v>
      </c>
      <c r="AA59" s="67" t="str">
        <f t="shared" si="6"/>
        <v>Kali</v>
      </c>
      <c r="AB59" s="47">
        <f t="shared" si="7"/>
        <v>100</v>
      </c>
      <c r="AC59" s="26" t="s">
        <v>110</v>
      </c>
      <c r="AD59" s="32">
        <f t="shared" si="8"/>
        <v>7380000</v>
      </c>
      <c r="AE59" s="48">
        <f t="shared" si="9"/>
        <v>100</v>
      </c>
      <c r="AF59" s="26" t="s">
        <v>110</v>
      </c>
      <c r="AG59" s="47">
        <f t="shared" si="10"/>
        <v>24</v>
      </c>
      <c r="AH59" s="67" t="str">
        <f t="shared" si="11"/>
        <v>Kali</v>
      </c>
      <c r="AI59" s="32">
        <f t="shared" si="12"/>
        <v>7380000</v>
      </c>
      <c r="AJ59" s="48"/>
      <c r="AK59" s="26" t="s">
        <v>110</v>
      </c>
      <c r="AL59" s="48"/>
      <c r="AM59" s="11"/>
      <c r="AP59" s="19"/>
    </row>
    <row r="60" spans="1:42" ht="110.25" x14ac:dyDescent="0.2">
      <c r="A60" s="12"/>
      <c r="B60" s="13"/>
      <c r="C60" s="60" t="s">
        <v>100</v>
      </c>
      <c r="D60" s="14" t="s">
        <v>140</v>
      </c>
      <c r="E60" s="102">
        <v>54.48</v>
      </c>
      <c r="F60" s="40" t="s">
        <v>141</v>
      </c>
      <c r="G60" s="33">
        <f>SUM(G61:G62)</f>
        <v>113053634</v>
      </c>
      <c r="H60" s="102">
        <v>62.68</v>
      </c>
      <c r="I60" s="40" t="s">
        <v>141</v>
      </c>
      <c r="J60" s="33">
        <f>SUM(J61:J62)</f>
        <v>0</v>
      </c>
      <c r="K60" s="102">
        <v>54.28</v>
      </c>
      <c r="L60" s="40" t="s">
        <v>141</v>
      </c>
      <c r="M60" s="33">
        <f>SUM(M61:M62)</f>
        <v>30039728</v>
      </c>
      <c r="N60" s="81">
        <v>0</v>
      </c>
      <c r="O60" s="40" t="str">
        <f t="shared" si="1"/>
        <v>Kg/Perkapita/Thn</v>
      </c>
      <c r="P60" s="33">
        <f>SUM(P61:P62)</f>
        <v>0</v>
      </c>
      <c r="Q60" s="81">
        <v>0</v>
      </c>
      <c r="R60" s="40" t="str">
        <f t="shared" si="2"/>
        <v>Kg/Perkapita/Thn</v>
      </c>
      <c r="S60" s="33">
        <f>SUM(S61:S62)</f>
        <v>9856000</v>
      </c>
      <c r="T60" s="81">
        <v>0</v>
      </c>
      <c r="U60" s="40" t="str">
        <f t="shared" si="3"/>
        <v>Kg/Perkapita/Thn</v>
      </c>
      <c r="V60" s="33">
        <f>SUM(V61:V62)</f>
        <v>2436750</v>
      </c>
      <c r="W60" s="81">
        <v>0</v>
      </c>
      <c r="X60" s="40" t="str">
        <f t="shared" si="40"/>
        <v>Kg/Perkapita/Thn</v>
      </c>
      <c r="Y60" s="33">
        <f>SUM(Y61:Y62)</f>
        <v>12394917</v>
      </c>
      <c r="Z60" s="47">
        <f t="shared" si="5"/>
        <v>0</v>
      </c>
      <c r="AA60" s="67" t="str">
        <f t="shared" si="6"/>
        <v>Kg/Perkapita/Thn</v>
      </c>
      <c r="AB60" s="47">
        <f t="shared" si="7"/>
        <v>0</v>
      </c>
      <c r="AC60" s="26" t="s">
        <v>110</v>
      </c>
      <c r="AD60" s="32">
        <f t="shared" si="8"/>
        <v>24687667</v>
      </c>
      <c r="AE60" s="48">
        <f t="shared" si="9"/>
        <v>82.183390608596724</v>
      </c>
      <c r="AF60" s="26" t="s">
        <v>110</v>
      </c>
      <c r="AG60" s="48">
        <f t="shared" si="10"/>
        <v>62.68</v>
      </c>
      <c r="AH60" s="67" t="str">
        <f t="shared" si="11"/>
        <v>Kg/Perkapita/Thn</v>
      </c>
      <c r="AI60" s="32">
        <f t="shared" si="12"/>
        <v>24687667</v>
      </c>
      <c r="AJ60" s="48"/>
      <c r="AK60" s="26" t="s">
        <v>110</v>
      </c>
      <c r="AL60" s="48"/>
      <c r="AM60" s="11"/>
      <c r="AP60" s="19"/>
    </row>
    <row r="61" spans="1:42" ht="105" x14ac:dyDescent="0.2">
      <c r="A61" s="12"/>
      <c r="B61" s="13"/>
      <c r="C61" s="59" t="s">
        <v>125</v>
      </c>
      <c r="D61" s="79" t="s">
        <v>139</v>
      </c>
      <c r="E61" s="82">
        <f>3*3</f>
        <v>9</v>
      </c>
      <c r="F61" s="16" t="s">
        <v>111</v>
      </c>
      <c r="G61" s="17">
        <f>M61+20996253*2</f>
        <v>62032234</v>
      </c>
      <c r="H61" s="82">
        <v>1</v>
      </c>
      <c r="I61" s="16" t="s">
        <v>111</v>
      </c>
      <c r="J61" s="17">
        <v>0</v>
      </c>
      <c r="K61" s="82">
        <v>3</v>
      </c>
      <c r="L61" s="16" t="s">
        <v>111</v>
      </c>
      <c r="M61" s="63">
        <v>20039728</v>
      </c>
      <c r="N61" s="82">
        <v>0</v>
      </c>
      <c r="O61" s="16" t="str">
        <f t="shared" si="1"/>
        <v>Kali</v>
      </c>
      <c r="P61" s="63">
        <v>0</v>
      </c>
      <c r="Q61" s="82">
        <v>0</v>
      </c>
      <c r="R61" s="16" t="str">
        <f t="shared" si="2"/>
        <v>Kali</v>
      </c>
      <c r="S61" s="63">
        <v>0</v>
      </c>
      <c r="T61" s="82">
        <v>0</v>
      </c>
      <c r="U61" s="16" t="str">
        <f t="shared" si="3"/>
        <v>Kali</v>
      </c>
      <c r="V61" s="63">
        <v>2436750</v>
      </c>
      <c r="W61" s="82">
        <v>3</v>
      </c>
      <c r="X61" s="16" t="str">
        <f t="shared" si="40"/>
        <v>Kali</v>
      </c>
      <c r="Y61" s="63">
        <v>12394917</v>
      </c>
      <c r="Z61" s="47">
        <f t="shared" si="5"/>
        <v>3</v>
      </c>
      <c r="AA61" s="67" t="str">
        <f t="shared" si="6"/>
        <v>Kali</v>
      </c>
      <c r="AB61" s="47">
        <f t="shared" si="7"/>
        <v>100</v>
      </c>
      <c r="AC61" s="26" t="s">
        <v>110</v>
      </c>
      <c r="AD61" s="32">
        <f t="shared" si="8"/>
        <v>14831667</v>
      </c>
      <c r="AE61" s="48">
        <f t="shared" si="9"/>
        <v>74.011318916105054</v>
      </c>
      <c r="AF61" s="26" t="s">
        <v>110</v>
      </c>
      <c r="AG61" s="47">
        <f t="shared" si="10"/>
        <v>4</v>
      </c>
      <c r="AH61" s="67" t="str">
        <f t="shared" si="11"/>
        <v>Kali</v>
      </c>
      <c r="AI61" s="32">
        <f t="shared" si="12"/>
        <v>14831667</v>
      </c>
      <c r="AJ61" s="48"/>
      <c r="AK61" s="26" t="s">
        <v>110</v>
      </c>
      <c r="AL61" s="48"/>
      <c r="AM61" s="11"/>
      <c r="AP61" s="19"/>
    </row>
    <row r="62" spans="1:42" ht="128.25" customHeight="1" x14ac:dyDescent="0.2">
      <c r="A62" s="12"/>
      <c r="B62" s="13"/>
      <c r="C62" s="59" t="s">
        <v>127</v>
      </c>
      <c r="D62" s="20" t="s">
        <v>126</v>
      </c>
      <c r="E62" s="82">
        <f>2+2+5</f>
        <v>9</v>
      </c>
      <c r="F62" s="37" t="s">
        <v>128</v>
      </c>
      <c r="G62" s="17">
        <f>10000000+11021400+30000000</f>
        <v>51021400</v>
      </c>
      <c r="H62" s="82">
        <v>1</v>
      </c>
      <c r="I62" s="37" t="s">
        <v>128</v>
      </c>
      <c r="J62" s="17">
        <v>0</v>
      </c>
      <c r="K62" s="82">
        <v>2</v>
      </c>
      <c r="L62" s="37" t="s">
        <v>128</v>
      </c>
      <c r="M62" s="63">
        <v>10000000</v>
      </c>
      <c r="N62" s="82">
        <v>0</v>
      </c>
      <c r="O62" s="37" t="str">
        <f t="shared" si="1"/>
        <v>Kelompok</v>
      </c>
      <c r="P62" s="63">
        <v>0</v>
      </c>
      <c r="Q62" s="82">
        <v>2</v>
      </c>
      <c r="R62" s="37" t="str">
        <f t="shared" si="2"/>
        <v>Kelompok</v>
      </c>
      <c r="S62" s="63">
        <v>9856000</v>
      </c>
      <c r="T62" s="82">
        <v>0</v>
      </c>
      <c r="U62" s="37" t="str">
        <f t="shared" si="3"/>
        <v>Kelompok</v>
      </c>
      <c r="V62" s="63">
        <v>0</v>
      </c>
      <c r="W62" s="82">
        <v>0</v>
      </c>
      <c r="X62" s="37" t="str">
        <f t="shared" si="40"/>
        <v>Kelompok</v>
      </c>
      <c r="Y62" s="63">
        <v>0</v>
      </c>
      <c r="Z62" s="47">
        <f t="shared" si="5"/>
        <v>2</v>
      </c>
      <c r="AA62" s="67" t="str">
        <f t="shared" si="6"/>
        <v>Kelompok</v>
      </c>
      <c r="AB62" s="47">
        <f t="shared" si="7"/>
        <v>100</v>
      </c>
      <c r="AC62" s="26" t="s">
        <v>110</v>
      </c>
      <c r="AD62" s="32">
        <f t="shared" si="8"/>
        <v>9856000</v>
      </c>
      <c r="AE62" s="48">
        <f t="shared" si="9"/>
        <v>98.56</v>
      </c>
      <c r="AF62" s="26" t="s">
        <v>110</v>
      </c>
      <c r="AG62" s="47">
        <f t="shared" si="10"/>
        <v>3</v>
      </c>
      <c r="AH62" s="67" t="str">
        <f t="shared" si="11"/>
        <v>Kelompok</v>
      </c>
      <c r="AI62" s="32">
        <f t="shared" si="12"/>
        <v>9856000</v>
      </c>
      <c r="AJ62" s="48"/>
      <c r="AK62" s="26" t="s">
        <v>110</v>
      </c>
      <c r="AL62" s="48"/>
      <c r="AM62" s="11"/>
      <c r="AP62" s="19"/>
    </row>
    <row r="63" spans="1:42" ht="15" x14ac:dyDescent="0.2">
      <c r="A63" s="165" t="s">
        <v>24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7"/>
      <c r="AB63" s="58">
        <f>AVERAGE(AB13:AB62)</f>
        <v>116.33825983062491</v>
      </c>
      <c r="AC63" s="50"/>
      <c r="AD63" s="49"/>
      <c r="AE63" s="58">
        <f>AVERAGE(AE13,AE35,AE40,AE52,AE57)</f>
        <v>80.07693573945491</v>
      </c>
      <c r="AF63" s="50"/>
      <c r="AG63" s="49"/>
      <c r="AH63" s="70"/>
      <c r="AI63" s="49"/>
      <c r="AJ63" s="49"/>
      <c r="AK63" s="50"/>
      <c r="AL63" s="51"/>
      <c r="AM63" s="11"/>
    </row>
    <row r="64" spans="1:42" ht="15" x14ac:dyDescent="0.2">
      <c r="A64" s="165" t="s">
        <v>25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7"/>
      <c r="AB64" s="22" t="str">
        <f>IF(AB63&gt;=91,"Sangat Tinggi",IF(AB63&gt;=76,"Tinggi",IF(AB63&gt;=66,"Sedang",IF(AB63&gt;=51,"Rendah",IF(AB63&lt;=50,"Sangat Rendah")))))</f>
        <v>Sangat Tinggi</v>
      </c>
      <c r="AC64" s="50"/>
      <c r="AD64" s="53"/>
      <c r="AE64" s="22" t="str">
        <f>IF(AE63&gt;=91,"Sangat Tinggi",IF(AE63&gt;=76,"Tinggi",IF(AE63&gt;=66,"Sedang",IF(AE63&gt;=51,"Rendah",IF(AE63&lt;=50,"Sangat Rendah")))))</f>
        <v>Tinggi</v>
      </c>
      <c r="AF64" s="50"/>
      <c r="AG64" s="52"/>
      <c r="AH64" s="70"/>
      <c r="AI64" s="53"/>
      <c r="AJ64" s="52"/>
      <c r="AK64" s="50"/>
      <c r="AL64" s="54"/>
      <c r="AM64" s="11"/>
    </row>
    <row r="65" spans="1:39" ht="15" x14ac:dyDescent="0.2">
      <c r="A65" s="164" t="s">
        <v>26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1"/>
    </row>
    <row r="66" spans="1:39" ht="15" x14ac:dyDescent="0.2">
      <c r="A66" s="164" t="s">
        <v>27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1"/>
    </row>
    <row r="67" spans="1:39" ht="15" x14ac:dyDescent="0.2">
      <c r="A67" s="164" t="s">
        <v>28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1"/>
    </row>
    <row r="68" spans="1:39" ht="15" x14ac:dyDescent="0.2">
      <c r="A68" s="164" t="s">
        <v>29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23"/>
    </row>
    <row r="69" spans="1:39" ht="15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68"/>
      <c r="AB69" s="24"/>
      <c r="AC69" s="25"/>
      <c r="AD69" s="24"/>
      <c r="AE69" s="24"/>
      <c r="AF69" s="25"/>
      <c r="AG69" s="24"/>
      <c r="AH69" s="68"/>
      <c r="AI69" s="24"/>
      <c r="AJ69" s="24"/>
      <c r="AK69" s="25"/>
      <c r="AL69" s="24"/>
    </row>
    <row r="70" spans="1:39" ht="1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168" t="s">
        <v>55</v>
      </c>
      <c r="AA70" s="168"/>
      <c r="AB70" s="168"/>
      <c r="AC70" s="168"/>
      <c r="AD70" s="168"/>
      <c r="AE70" s="168"/>
      <c r="AF70" s="25"/>
      <c r="AG70" s="24"/>
      <c r="AH70" s="168" t="s">
        <v>56</v>
      </c>
      <c r="AI70" s="168"/>
      <c r="AJ70" s="168"/>
      <c r="AK70" s="168"/>
      <c r="AL70" s="168"/>
      <c r="AM70" s="168"/>
    </row>
    <row r="71" spans="1:39" ht="15.75" x14ac:dyDescent="0.25">
      <c r="A71" s="30"/>
      <c r="B71" s="31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168" t="s">
        <v>165</v>
      </c>
      <c r="AA71" s="168"/>
      <c r="AB71" s="168"/>
      <c r="AC71" s="168"/>
      <c r="AD71" s="168"/>
      <c r="AE71" s="168"/>
      <c r="AF71" s="25"/>
      <c r="AG71" s="24"/>
      <c r="AH71" s="168" t="s">
        <v>166</v>
      </c>
      <c r="AI71" s="168"/>
      <c r="AJ71" s="168"/>
      <c r="AK71" s="168"/>
      <c r="AL71" s="168"/>
      <c r="AM71" s="168"/>
    </row>
    <row r="72" spans="1:39" ht="15" x14ac:dyDescent="0.2">
      <c r="Z72" s="168" t="s">
        <v>61</v>
      </c>
      <c r="AA72" s="168"/>
      <c r="AB72" s="168"/>
      <c r="AC72" s="168"/>
      <c r="AD72" s="168"/>
      <c r="AE72" s="168"/>
      <c r="AH72" s="168" t="s">
        <v>57</v>
      </c>
      <c r="AI72" s="168"/>
      <c r="AJ72" s="168"/>
      <c r="AK72" s="168"/>
      <c r="AL72" s="168"/>
      <c r="AM72" s="168"/>
    </row>
    <row r="73" spans="1:39" ht="15" x14ac:dyDescent="0.2">
      <c r="Z73" s="168" t="s">
        <v>58</v>
      </c>
      <c r="AA73" s="168"/>
      <c r="AB73" s="168"/>
      <c r="AC73" s="168"/>
      <c r="AD73" s="168"/>
      <c r="AE73" s="168"/>
      <c r="AH73" s="168" t="s">
        <v>58</v>
      </c>
      <c r="AI73" s="168"/>
      <c r="AJ73" s="168"/>
      <c r="AK73" s="168"/>
      <c r="AL73" s="168"/>
      <c r="AM73" s="168"/>
    </row>
    <row r="74" spans="1:39" ht="25.5" x14ac:dyDescent="0.2">
      <c r="A74" s="27" t="s">
        <v>30</v>
      </c>
      <c r="B74" s="27" t="s">
        <v>31</v>
      </c>
      <c r="C74" s="27" t="s">
        <v>32</v>
      </c>
      <c r="Z74" s="24"/>
      <c r="AA74" s="68"/>
      <c r="AB74" s="24"/>
      <c r="AC74" s="25"/>
      <c r="AD74" s="24"/>
      <c r="AH74" s="71"/>
      <c r="AI74" s="25"/>
      <c r="AJ74" s="24"/>
      <c r="AK74" s="25"/>
      <c r="AL74" s="24"/>
    </row>
    <row r="75" spans="1:39" ht="25.5" x14ac:dyDescent="0.25">
      <c r="A75" s="28" t="s">
        <v>33</v>
      </c>
      <c r="B75" s="28" t="s">
        <v>34</v>
      </c>
      <c r="C75" s="28" t="s">
        <v>35</v>
      </c>
      <c r="Z75" s="169" t="s">
        <v>62</v>
      </c>
      <c r="AA75" s="169"/>
      <c r="AB75" s="169"/>
      <c r="AC75" s="169"/>
      <c r="AD75" s="169"/>
      <c r="AE75" s="169"/>
      <c r="AH75" s="169" t="s">
        <v>59</v>
      </c>
      <c r="AI75" s="169"/>
      <c r="AJ75" s="169"/>
      <c r="AK75" s="169"/>
      <c r="AL75" s="169"/>
      <c r="AM75" s="169"/>
    </row>
    <row r="76" spans="1:39" ht="25.5" x14ac:dyDescent="0.2">
      <c r="A76" s="28" t="s">
        <v>36</v>
      </c>
      <c r="B76" s="28" t="s">
        <v>37</v>
      </c>
      <c r="C76" s="28" t="s">
        <v>38</v>
      </c>
      <c r="Z76" s="170" t="s">
        <v>63</v>
      </c>
      <c r="AA76" s="170"/>
      <c r="AB76" s="170"/>
      <c r="AC76" s="170"/>
      <c r="AD76" s="170"/>
      <c r="AE76" s="170"/>
      <c r="AH76" s="170" t="s">
        <v>60</v>
      </c>
      <c r="AI76" s="170"/>
      <c r="AJ76" s="170"/>
      <c r="AK76" s="170"/>
      <c r="AL76" s="170"/>
      <c r="AM76" s="170"/>
    </row>
    <row r="77" spans="1:39" ht="25.5" x14ac:dyDescent="0.2">
      <c r="A77" s="28" t="s">
        <v>39</v>
      </c>
      <c r="B77" s="28" t="s">
        <v>40</v>
      </c>
      <c r="C77" s="28" t="s">
        <v>41</v>
      </c>
    </row>
    <row r="78" spans="1:39" ht="25.5" x14ac:dyDescent="0.2">
      <c r="A78" s="28" t="s">
        <v>42</v>
      </c>
      <c r="B78" s="28" t="s">
        <v>43</v>
      </c>
      <c r="C78" s="28" t="s">
        <v>44</v>
      </c>
    </row>
    <row r="79" spans="1:39" ht="25.5" x14ac:dyDescent="0.2">
      <c r="A79" s="28" t="s">
        <v>45</v>
      </c>
      <c r="B79" s="29" t="s">
        <v>46</v>
      </c>
      <c r="C79" s="28" t="s">
        <v>47</v>
      </c>
    </row>
  </sheetData>
  <mergeCells count="82">
    <mergeCell ref="Z73:AE73"/>
    <mergeCell ref="AH73:AM73"/>
    <mergeCell ref="Z75:AE75"/>
    <mergeCell ref="AH75:AM75"/>
    <mergeCell ref="Z76:AE76"/>
    <mergeCell ref="AH76:AM76"/>
    <mergeCell ref="Z70:AE70"/>
    <mergeCell ref="AH70:AM70"/>
    <mergeCell ref="Z71:AE71"/>
    <mergeCell ref="AH71:AM71"/>
    <mergeCell ref="Z72:AE72"/>
    <mergeCell ref="AH72:AM72"/>
    <mergeCell ref="A66:AL66"/>
    <mergeCell ref="A67:AL67"/>
    <mergeCell ref="A68:AL68"/>
    <mergeCell ref="A63:AA63"/>
    <mergeCell ref="A64:AA64"/>
    <mergeCell ref="A10:A12"/>
    <mergeCell ref="B10:B12"/>
    <mergeCell ref="C10:C12"/>
    <mergeCell ref="D10:D12"/>
    <mergeCell ref="A65:AL65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E11:F12"/>
    <mergeCell ref="G11:G12"/>
    <mergeCell ref="H11:I12"/>
    <mergeCell ref="J11:J12"/>
    <mergeCell ref="K11:L12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Perikanan</vt:lpstr>
      <vt:lpstr>'Dinas Perikanan'!Print_Area</vt:lpstr>
      <vt:lpstr>'Dinas Perikanan'!Print_Titles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2020-06-02T00:39:45Z</cp:lastPrinted>
  <dcterms:created xsi:type="dcterms:W3CDTF">2020-03-18T05:59:44Z</dcterms:created>
  <dcterms:modified xsi:type="dcterms:W3CDTF">2022-01-10T01:16:25Z</dcterms:modified>
</cp:coreProperties>
</file>