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nas Kesehatan" sheetId="1" r:id="rId1"/>
  </sheets>
  <definedNames>
    <definedName name="_xlnm.Print_Area" localSheetId="0">'Dinas Kesehatan'!$A$1:$AM$184</definedName>
    <definedName name="_xlnm.Print_Titles" localSheetId="0">'Dinas Kesehatan'!$7:$12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4" i="1" l="1"/>
  <c r="AB54" i="1" l="1"/>
  <c r="AE53" i="1"/>
  <c r="AB53" i="1"/>
  <c r="AB64" i="1"/>
  <c r="Z118" i="1" l="1"/>
  <c r="Z41" i="1"/>
  <c r="AB40" i="1"/>
  <c r="AE40" i="1"/>
  <c r="AD132" i="1" l="1"/>
  <c r="Z130" i="1" l="1"/>
  <c r="AG130" i="1" s="1"/>
  <c r="AB130" i="1" l="1"/>
  <c r="AG64" i="1" l="1"/>
  <c r="W53" i="1"/>
  <c r="T53" i="1"/>
  <c r="W40" i="1"/>
  <c r="T40" i="1"/>
  <c r="W54" i="1" l="1"/>
  <c r="T54" i="1"/>
  <c r="W41" i="1"/>
  <c r="T41" i="1"/>
  <c r="M63" i="1" l="1"/>
  <c r="W128" i="1" l="1"/>
  <c r="Y27" i="1"/>
  <c r="W17" i="1"/>
  <c r="Y130" i="1"/>
  <c r="Y128" i="1"/>
  <c r="Y118" i="1"/>
  <c r="Y63" i="1"/>
  <c r="Y53" i="1"/>
  <c r="Y40" i="1"/>
  <c r="Y34" i="1"/>
  <c r="Y20" i="1"/>
  <c r="Y16" i="1"/>
  <c r="M40" i="1" l="1"/>
  <c r="M130" i="1"/>
  <c r="M118" i="1" l="1"/>
  <c r="J130" i="1"/>
  <c r="H130" i="1"/>
  <c r="T17" i="1" l="1"/>
  <c r="Q17" i="1"/>
  <c r="V63" i="1" l="1"/>
  <c r="S63" i="1"/>
  <c r="P63" i="1"/>
  <c r="AD63" i="1" l="1"/>
  <c r="AE63" i="1" s="1"/>
  <c r="T128" i="1"/>
  <c r="Q128" i="1"/>
  <c r="N128" i="1"/>
  <c r="V130" i="1"/>
  <c r="V128" i="1"/>
  <c r="V118" i="1"/>
  <c r="V53" i="1"/>
  <c r="V40" i="1"/>
  <c r="V34" i="1"/>
  <c r="V27" i="1"/>
  <c r="V20" i="1"/>
  <c r="V16" i="1"/>
  <c r="M53" i="1" l="1"/>
  <c r="J156" i="1" l="1"/>
  <c r="Q54" i="1" l="1"/>
  <c r="Z54" i="1" s="1"/>
  <c r="Q53" i="1"/>
  <c r="Q41" i="1"/>
  <c r="Q40" i="1"/>
  <c r="S53" i="1" l="1"/>
  <c r="S40" i="1"/>
  <c r="S130" i="1"/>
  <c r="S128" i="1"/>
  <c r="S118" i="1"/>
  <c r="S34" i="1"/>
  <c r="S27" i="1"/>
  <c r="S20" i="1"/>
  <c r="S16" i="1"/>
  <c r="H161" i="1" l="1"/>
  <c r="J27" i="1" l="1"/>
  <c r="J20" i="1"/>
  <c r="H118" i="1" l="1"/>
  <c r="H119" i="1"/>
  <c r="H128" i="1"/>
  <c r="H41" i="1"/>
  <c r="H40" i="1"/>
  <c r="H53" i="1"/>
  <c r="H54" i="1"/>
  <c r="AG54" i="1" s="1"/>
  <c r="H156" i="1"/>
  <c r="H160" i="1"/>
  <c r="P130" i="1" l="1"/>
  <c r="AD130" i="1" s="1"/>
  <c r="AE130" i="1" s="1"/>
  <c r="G130" i="1"/>
  <c r="J118" i="1"/>
  <c r="P118" i="1"/>
  <c r="J63" i="1"/>
  <c r="G63" i="1"/>
  <c r="Z36" i="1"/>
  <c r="AD36" i="1"/>
  <c r="AI37" i="1"/>
  <c r="AI39" i="1"/>
  <c r="AG37" i="1"/>
  <c r="AJ37" i="1" s="1"/>
  <c r="AI38" i="1"/>
  <c r="AG38" i="1"/>
  <c r="AJ38" i="1" s="1"/>
  <c r="AG39" i="1"/>
  <c r="AJ39" i="1" s="1"/>
  <c r="N17" i="1"/>
  <c r="AG36" i="1" l="1"/>
  <c r="AB36" i="1"/>
  <c r="AI36" i="1"/>
  <c r="AE36" i="1"/>
  <c r="P40" i="1" l="1"/>
  <c r="P53" i="1"/>
  <c r="P128" i="1"/>
  <c r="P34" i="1"/>
  <c r="G45" i="1" l="1"/>
  <c r="G44" i="1"/>
  <c r="G43" i="1"/>
  <c r="G58" i="1"/>
  <c r="G57" i="1"/>
  <c r="AD58" i="1"/>
  <c r="Z58" i="1"/>
  <c r="J34" i="1"/>
  <c r="M34" i="1"/>
  <c r="J128" i="1"/>
  <c r="M128" i="1"/>
  <c r="J40" i="1"/>
  <c r="AI58" i="1" l="1"/>
  <c r="AE58" i="1"/>
  <c r="AG58" i="1"/>
  <c r="AJ58" i="1" s="1"/>
  <c r="AB58" i="1"/>
  <c r="AL58" i="1"/>
  <c r="J53" i="1"/>
  <c r="G161" i="1"/>
  <c r="J161" i="1"/>
  <c r="G157" i="1"/>
  <c r="G159" i="1"/>
  <c r="AI157" i="1"/>
  <c r="AI163" i="1"/>
  <c r="AG163" i="1"/>
  <c r="AJ163" i="1" s="1"/>
  <c r="AI162" i="1"/>
  <c r="AL162" i="1" s="1"/>
  <c r="AG162" i="1"/>
  <c r="AJ162" i="1" s="1"/>
  <c r="AI161" i="1"/>
  <c r="AG161" i="1"/>
  <c r="AJ161" i="1" s="1"/>
  <c r="AI160" i="1"/>
  <c r="AL160" i="1" s="1"/>
  <c r="AG160" i="1"/>
  <c r="AJ160" i="1" s="1"/>
  <c r="AI159" i="1"/>
  <c r="AG159" i="1"/>
  <c r="AJ159" i="1" s="1"/>
  <c r="AI62" i="1"/>
  <c r="AL62" i="1" s="1"/>
  <c r="AG62" i="1"/>
  <c r="AJ62" i="1" s="1"/>
  <c r="AI61" i="1"/>
  <c r="AL61" i="1" s="1"/>
  <c r="AG61" i="1"/>
  <c r="AJ61" i="1" s="1"/>
  <c r="AI60" i="1"/>
  <c r="AL60" i="1" s="1"/>
  <c r="AG60" i="1"/>
  <c r="AJ60" i="1" s="1"/>
  <c r="AI51" i="1"/>
  <c r="AG51" i="1"/>
  <c r="AJ51" i="1" s="1"/>
  <c r="AI52" i="1"/>
  <c r="AL52" i="1" s="1"/>
  <c r="AG52" i="1"/>
  <c r="AJ52" i="1" s="1"/>
  <c r="AI50" i="1"/>
  <c r="AL50" i="1" s="1"/>
  <c r="AG50" i="1"/>
  <c r="AJ50" i="1" s="1"/>
  <c r="AI49" i="1"/>
  <c r="AL49" i="1" s="1"/>
  <c r="AG49" i="1"/>
  <c r="AJ49" i="1" s="1"/>
  <c r="E45" i="1"/>
  <c r="AI127" i="1"/>
  <c r="AL127" i="1" s="1"/>
  <c r="AG127" i="1"/>
  <c r="AJ127" i="1" s="1"/>
  <c r="AI126" i="1"/>
  <c r="AL126" i="1" s="1"/>
  <c r="AG126" i="1"/>
  <c r="AJ126" i="1" s="1"/>
  <c r="AG158" i="1" l="1"/>
  <c r="AJ158" i="1" s="1"/>
  <c r="AG157" i="1"/>
  <c r="AJ157" i="1" s="1"/>
  <c r="AG156" i="1"/>
  <c r="AJ156" i="1" s="1"/>
  <c r="AI156" i="1"/>
  <c r="AL157" i="1"/>
  <c r="AL161" i="1"/>
  <c r="G156" i="1"/>
  <c r="AL159" i="1"/>
  <c r="AL163" i="1"/>
  <c r="AL156" i="1" l="1"/>
  <c r="AI117" i="1"/>
  <c r="AL117" i="1" s="1"/>
  <c r="AG117" i="1"/>
  <c r="AJ117" i="1" s="1"/>
  <c r="G59" i="1"/>
  <c r="G56" i="1"/>
  <c r="G55" i="1"/>
  <c r="G47" i="1"/>
  <c r="E47" i="1"/>
  <c r="E46" i="1"/>
  <c r="G46" i="1"/>
  <c r="E44" i="1"/>
  <c r="E43" i="1"/>
  <c r="G42" i="1"/>
  <c r="G40" i="1" l="1"/>
  <c r="G53" i="1"/>
  <c r="AD131" i="1"/>
  <c r="Z131" i="1"/>
  <c r="G129" i="1"/>
  <c r="G128" i="1" s="1"/>
  <c r="AD125" i="1"/>
  <c r="Z125" i="1"/>
  <c r="G123" i="1"/>
  <c r="E123" i="1"/>
  <c r="G122" i="1"/>
  <c r="G121" i="1"/>
  <c r="G120" i="1"/>
  <c r="E112" i="1"/>
  <c r="AI115" i="1"/>
  <c r="AL115" i="1" s="1"/>
  <c r="AG115" i="1"/>
  <c r="AJ115" i="1" s="1"/>
  <c r="K63" i="1"/>
  <c r="H63" i="1"/>
  <c r="E63" i="1"/>
  <c r="AI131" i="1" l="1"/>
  <c r="AL131" i="1" s="1"/>
  <c r="AE131" i="1"/>
  <c r="AG116" i="1"/>
  <c r="AJ116" i="1" s="1"/>
  <c r="AI125" i="1"/>
  <c r="AL125" i="1" s="1"/>
  <c r="AE125" i="1"/>
  <c r="AG131" i="1"/>
  <c r="AJ131" i="1" s="1"/>
  <c r="AB131" i="1"/>
  <c r="AG125" i="1"/>
  <c r="AJ125" i="1" s="1"/>
  <c r="AB125" i="1"/>
  <c r="AI116" i="1"/>
  <c r="AL116" i="1" s="1"/>
  <c r="G118" i="1"/>
  <c r="P27" i="1"/>
  <c r="E26" i="1"/>
  <c r="E25" i="1"/>
  <c r="E24" i="1"/>
  <c r="P20" i="1"/>
  <c r="J16" i="1"/>
  <c r="M16" i="1"/>
  <c r="P16" i="1"/>
  <c r="G35" i="1" l="1"/>
  <c r="G36" i="1"/>
  <c r="AL36" i="1" s="1"/>
  <c r="E36" i="1"/>
  <c r="AJ36" i="1" s="1"/>
  <c r="E33" i="1"/>
  <c r="AL37" i="1"/>
  <c r="E35" i="1"/>
  <c r="E30" i="1"/>
  <c r="E32" i="1"/>
  <c r="E31" i="1"/>
  <c r="E29" i="1"/>
  <c r="E28" i="1"/>
  <c r="G34" i="1" l="1"/>
  <c r="M20" i="1"/>
  <c r="M27" i="1"/>
  <c r="G33" i="1"/>
  <c r="G32" i="1"/>
  <c r="G29" i="1"/>
  <c r="E22" i="1"/>
  <c r="E21" i="1"/>
  <c r="G26" i="1"/>
  <c r="G25" i="1"/>
  <c r="G24" i="1"/>
  <c r="G23" i="1"/>
  <c r="G22" i="1"/>
  <c r="G21" i="1"/>
  <c r="G19" i="1"/>
  <c r="G18" i="1"/>
  <c r="G16" i="1" s="1"/>
  <c r="E19" i="1"/>
  <c r="E18" i="1"/>
  <c r="G27" i="1" l="1"/>
  <c r="G20" i="1"/>
  <c r="AG41" i="1" l="1"/>
  <c r="Z119" i="1"/>
  <c r="Z17" i="1"/>
  <c r="AJ64" i="1" l="1"/>
  <c r="AG119" i="1"/>
  <c r="AJ119" i="1" s="1"/>
  <c r="AB119" i="1"/>
  <c r="AJ41" i="1"/>
  <c r="AB41" i="1"/>
  <c r="AG17" i="1"/>
  <c r="AJ17" i="1" s="1"/>
  <c r="AB17" i="1"/>
  <c r="AJ54" i="1"/>
  <c r="AD134" i="1"/>
  <c r="Z134" i="1"/>
  <c r="AD133" i="1"/>
  <c r="Z133" i="1"/>
  <c r="AB133" i="1" s="1"/>
  <c r="Z132" i="1"/>
  <c r="AI155" i="1"/>
  <c r="AL155" i="1" s="1"/>
  <c r="AI154" i="1"/>
  <c r="AL154" i="1" s="1"/>
  <c r="AI153" i="1"/>
  <c r="AL153" i="1" s="1"/>
  <c r="AI152" i="1"/>
  <c r="AL152" i="1" s="1"/>
  <c r="AI151" i="1"/>
  <c r="AL151" i="1" s="1"/>
  <c r="AI150" i="1"/>
  <c r="AL150" i="1" s="1"/>
  <c r="AI149" i="1"/>
  <c r="AL149" i="1" s="1"/>
  <c r="AI148" i="1"/>
  <c r="AL148" i="1" s="1"/>
  <c r="AI147" i="1"/>
  <c r="AL147" i="1" s="1"/>
  <c r="AI146" i="1"/>
  <c r="AL146" i="1" s="1"/>
  <c r="AI145" i="1"/>
  <c r="AL145" i="1" s="1"/>
  <c r="AI144" i="1"/>
  <c r="AL144" i="1" s="1"/>
  <c r="AD107" i="1"/>
  <c r="Z107" i="1"/>
  <c r="Z112" i="1"/>
  <c r="AD112" i="1"/>
  <c r="Z113" i="1"/>
  <c r="AD113" i="1"/>
  <c r="Z114" i="1"/>
  <c r="AD114" i="1"/>
  <c r="AD108" i="1"/>
  <c r="Z108" i="1"/>
  <c r="AD111" i="1"/>
  <c r="Z111" i="1"/>
  <c r="AD110" i="1"/>
  <c r="Z110" i="1"/>
  <c r="AD109" i="1"/>
  <c r="Z109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E65" i="1" s="1"/>
  <c r="Z65" i="1"/>
  <c r="AD94" i="1"/>
  <c r="AD93" i="1"/>
  <c r="AD92" i="1"/>
  <c r="AD91" i="1"/>
  <c r="AD90" i="1"/>
  <c r="AD89" i="1"/>
  <c r="AD88" i="1"/>
  <c r="AD81" i="1"/>
  <c r="AD82" i="1"/>
  <c r="AD83" i="1"/>
  <c r="AD84" i="1"/>
  <c r="AD85" i="1"/>
  <c r="Z86" i="1"/>
  <c r="AD86" i="1"/>
  <c r="AD87" i="1"/>
  <c r="Z30" i="1"/>
  <c r="AD30" i="1"/>
  <c r="Z31" i="1"/>
  <c r="AD31" i="1"/>
  <c r="Z33" i="1"/>
  <c r="AD33" i="1"/>
  <c r="AI86" i="1" l="1"/>
  <c r="AL86" i="1" s="1"/>
  <c r="AE86" i="1"/>
  <c r="AI89" i="1"/>
  <c r="AL89" i="1" s="1"/>
  <c r="AE89" i="1"/>
  <c r="AI66" i="1"/>
  <c r="AL66" i="1" s="1"/>
  <c r="AE66" i="1"/>
  <c r="AI74" i="1"/>
  <c r="AL74" i="1" s="1"/>
  <c r="AE74" i="1"/>
  <c r="AI101" i="1"/>
  <c r="AL101" i="1" s="1"/>
  <c r="AE101" i="1"/>
  <c r="AG86" i="1"/>
  <c r="AJ86" i="1" s="1"/>
  <c r="AB86" i="1"/>
  <c r="AI82" i="1"/>
  <c r="AL82" i="1" s="1"/>
  <c r="AE82" i="1"/>
  <c r="AI90" i="1"/>
  <c r="AL90" i="1" s="1"/>
  <c r="AE90" i="1"/>
  <c r="AI94" i="1"/>
  <c r="AL94" i="1" s="1"/>
  <c r="AE94" i="1"/>
  <c r="AI67" i="1"/>
  <c r="AL67" i="1" s="1"/>
  <c r="AE67" i="1"/>
  <c r="AI71" i="1"/>
  <c r="AL71" i="1" s="1"/>
  <c r="AE71" i="1"/>
  <c r="AI75" i="1"/>
  <c r="AL75" i="1" s="1"/>
  <c r="AE75" i="1"/>
  <c r="AI79" i="1"/>
  <c r="AL79" i="1" s="1"/>
  <c r="AE79" i="1"/>
  <c r="AI98" i="1"/>
  <c r="AL98" i="1" s="1"/>
  <c r="AE98" i="1"/>
  <c r="AI102" i="1"/>
  <c r="AL102" i="1" s="1"/>
  <c r="AE102" i="1"/>
  <c r="AI106" i="1"/>
  <c r="AL106" i="1" s="1"/>
  <c r="AE106" i="1"/>
  <c r="AI93" i="1"/>
  <c r="AL93" i="1" s="1"/>
  <c r="AE93" i="1"/>
  <c r="AI97" i="1"/>
  <c r="AL97" i="1" s="1"/>
  <c r="AE97" i="1"/>
  <c r="AI81" i="1"/>
  <c r="AL81" i="1" s="1"/>
  <c r="AE81" i="1"/>
  <c r="AI68" i="1"/>
  <c r="AL68" i="1" s="1"/>
  <c r="AE68" i="1"/>
  <c r="AI76" i="1"/>
  <c r="AL76" i="1" s="1"/>
  <c r="AE76" i="1"/>
  <c r="AI99" i="1"/>
  <c r="AL99" i="1" s="1"/>
  <c r="AE99" i="1"/>
  <c r="AI103" i="1"/>
  <c r="AL103" i="1" s="1"/>
  <c r="AE103" i="1"/>
  <c r="AI83" i="1"/>
  <c r="AL83" i="1" s="1"/>
  <c r="AE83" i="1"/>
  <c r="AI70" i="1"/>
  <c r="AL70" i="1" s="1"/>
  <c r="AE70" i="1"/>
  <c r="AI78" i="1"/>
  <c r="AL78" i="1" s="1"/>
  <c r="AE78" i="1"/>
  <c r="AI105" i="1"/>
  <c r="AL105" i="1" s="1"/>
  <c r="AE105" i="1"/>
  <c r="AI85" i="1"/>
  <c r="AL85" i="1" s="1"/>
  <c r="AE85" i="1"/>
  <c r="AI91" i="1"/>
  <c r="AL91" i="1" s="1"/>
  <c r="AE91" i="1"/>
  <c r="AI72" i="1"/>
  <c r="AL72" i="1" s="1"/>
  <c r="AE72" i="1"/>
  <c r="AI95" i="1"/>
  <c r="AL95" i="1" s="1"/>
  <c r="AE95" i="1"/>
  <c r="AI87" i="1"/>
  <c r="AL87" i="1" s="1"/>
  <c r="AE87" i="1"/>
  <c r="AI84" i="1"/>
  <c r="AL84" i="1" s="1"/>
  <c r="AE84" i="1"/>
  <c r="AI88" i="1"/>
  <c r="AL88" i="1" s="1"/>
  <c r="AE88" i="1"/>
  <c r="AI92" i="1"/>
  <c r="AL92" i="1" s="1"/>
  <c r="AE92" i="1"/>
  <c r="AI69" i="1"/>
  <c r="AL69" i="1" s="1"/>
  <c r="AE69" i="1"/>
  <c r="AI73" i="1"/>
  <c r="AL73" i="1" s="1"/>
  <c r="AE73" i="1"/>
  <c r="AI77" i="1"/>
  <c r="AL77" i="1" s="1"/>
  <c r="AE77" i="1"/>
  <c r="AI96" i="1"/>
  <c r="AL96" i="1" s="1"/>
  <c r="AE96" i="1"/>
  <c r="AI100" i="1"/>
  <c r="AL100" i="1" s="1"/>
  <c r="AE100" i="1"/>
  <c r="AI104" i="1"/>
  <c r="AL104" i="1" s="1"/>
  <c r="AE104" i="1"/>
  <c r="AG32" i="1"/>
  <c r="AJ32" i="1" s="1"/>
  <c r="AG30" i="1"/>
  <c r="AJ30" i="1" s="1"/>
  <c r="AB30" i="1"/>
  <c r="AG111" i="1"/>
  <c r="AJ111" i="1" s="1"/>
  <c r="AB111" i="1"/>
  <c r="AI112" i="1"/>
  <c r="AL112" i="1" s="1"/>
  <c r="AE112" i="1"/>
  <c r="AI33" i="1"/>
  <c r="AL33" i="1" s="1"/>
  <c r="AE33" i="1"/>
  <c r="AI31" i="1"/>
  <c r="AL31" i="1" s="1"/>
  <c r="AE31" i="1"/>
  <c r="AI65" i="1"/>
  <c r="AL65" i="1" s="1"/>
  <c r="AI109" i="1"/>
  <c r="AL109" i="1" s="1"/>
  <c r="AE109" i="1"/>
  <c r="AI111" i="1"/>
  <c r="AL111" i="1" s="1"/>
  <c r="AE111" i="1"/>
  <c r="AG114" i="1"/>
  <c r="AJ114" i="1" s="1"/>
  <c r="AB114" i="1"/>
  <c r="AG112" i="1"/>
  <c r="AJ112" i="1" s="1"/>
  <c r="AB112" i="1"/>
  <c r="AI132" i="1"/>
  <c r="AL132" i="1" s="1"/>
  <c r="AE132" i="1"/>
  <c r="AI134" i="1"/>
  <c r="AL134" i="1" s="1"/>
  <c r="AE134" i="1"/>
  <c r="AG65" i="1"/>
  <c r="AJ65" i="1" s="1"/>
  <c r="AB65" i="1"/>
  <c r="AG109" i="1"/>
  <c r="AJ109" i="1" s="1"/>
  <c r="AB109" i="1"/>
  <c r="AG132" i="1"/>
  <c r="AJ132" i="1" s="1"/>
  <c r="AB132" i="1"/>
  <c r="AG110" i="1"/>
  <c r="AJ110" i="1" s="1"/>
  <c r="AB110" i="1"/>
  <c r="AG108" i="1"/>
  <c r="AJ108" i="1" s="1"/>
  <c r="AB108" i="1"/>
  <c r="AI113" i="1"/>
  <c r="AL113" i="1" s="1"/>
  <c r="AE113" i="1"/>
  <c r="AG107" i="1"/>
  <c r="AJ107" i="1" s="1"/>
  <c r="AB107" i="1"/>
  <c r="AI114" i="1"/>
  <c r="AL114" i="1" s="1"/>
  <c r="AE114" i="1"/>
  <c r="AG134" i="1"/>
  <c r="AJ134" i="1" s="1"/>
  <c r="AB134" i="1"/>
  <c r="AG33" i="1"/>
  <c r="AJ33" i="1" s="1"/>
  <c r="AB33" i="1"/>
  <c r="AG31" i="1"/>
  <c r="AJ31" i="1" s="1"/>
  <c r="AB31" i="1"/>
  <c r="AI32" i="1"/>
  <c r="AL32" i="1" s="1"/>
  <c r="AI30" i="1"/>
  <c r="AL30" i="1" s="1"/>
  <c r="AE30" i="1"/>
  <c r="AI110" i="1"/>
  <c r="AL110" i="1" s="1"/>
  <c r="AE110" i="1"/>
  <c r="AI108" i="1"/>
  <c r="AL108" i="1" s="1"/>
  <c r="AE108" i="1"/>
  <c r="AG113" i="1"/>
  <c r="AJ113" i="1" s="1"/>
  <c r="AB113" i="1"/>
  <c r="AI107" i="1"/>
  <c r="AL107" i="1" s="1"/>
  <c r="AE107" i="1"/>
  <c r="AI133" i="1"/>
  <c r="AL133" i="1" s="1"/>
  <c r="AE133" i="1"/>
  <c r="AG133" i="1"/>
  <c r="AJ133" i="1" s="1"/>
  <c r="AD59" i="1"/>
  <c r="Z59" i="1"/>
  <c r="AD56" i="1"/>
  <c r="Z56" i="1"/>
  <c r="AD55" i="1"/>
  <c r="Z55" i="1"/>
  <c r="AD53" i="1"/>
  <c r="Z53" i="1"/>
  <c r="AG53" i="1" s="1"/>
  <c r="AD48" i="1"/>
  <c r="Z48" i="1"/>
  <c r="AD47" i="1"/>
  <c r="Z47" i="1"/>
  <c r="AD46" i="1"/>
  <c r="Z46" i="1"/>
  <c r="AD45" i="1"/>
  <c r="Z45" i="1"/>
  <c r="AD44" i="1"/>
  <c r="Z44" i="1"/>
  <c r="AD43" i="1"/>
  <c r="Z43" i="1"/>
  <c r="AD40" i="1"/>
  <c r="Z40" i="1"/>
  <c r="AI143" i="1"/>
  <c r="AL143" i="1" s="1"/>
  <c r="AI142" i="1"/>
  <c r="AL142" i="1" s="1"/>
  <c r="AI141" i="1"/>
  <c r="AL141" i="1" s="1"/>
  <c r="AI140" i="1"/>
  <c r="AL140" i="1" s="1"/>
  <c r="AI139" i="1"/>
  <c r="AL139" i="1" s="1"/>
  <c r="AI138" i="1"/>
  <c r="AL138" i="1" s="1"/>
  <c r="AI137" i="1"/>
  <c r="AL137" i="1" s="1"/>
  <c r="AI136" i="1"/>
  <c r="AL136" i="1" s="1"/>
  <c r="AI135" i="1"/>
  <c r="AL135" i="1" s="1"/>
  <c r="AG135" i="1"/>
  <c r="AJ135" i="1" s="1"/>
  <c r="AD129" i="1"/>
  <c r="Z129" i="1"/>
  <c r="AD128" i="1"/>
  <c r="Z128" i="1"/>
  <c r="AD124" i="1"/>
  <c r="Z124" i="1"/>
  <c r="AD122" i="1"/>
  <c r="Z122" i="1"/>
  <c r="AD121" i="1"/>
  <c r="Z121" i="1"/>
  <c r="AD120" i="1"/>
  <c r="Z120" i="1"/>
  <c r="AD118" i="1"/>
  <c r="AE118" i="1" s="1"/>
  <c r="AD80" i="1"/>
  <c r="Z63" i="1"/>
  <c r="AG63" i="1" s="1"/>
  <c r="AD34" i="1"/>
  <c r="Z34" i="1"/>
  <c r="AD28" i="1"/>
  <c r="Z28" i="1"/>
  <c r="AD27" i="1"/>
  <c r="Z27" i="1"/>
  <c r="AD26" i="1"/>
  <c r="Z26" i="1"/>
  <c r="AD25" i="1"/>
  <c r="Z25" i="1"/>
  <c r="AP24" i="1"/>
  <c r="AD24" i="1"/>
  <c r="Z24" i="1"/>
  <c r="AP23" i="1"/>
  <c r="AP22" i="1"/>
  <c r="AD22" i="1"/>
  <c r="Z22" i="1"/>
  <c r="AP21" i="1"/>
  <c r="AD21" i="1"/>
  <c r="Z21" i="1"/>
  <c r="AD20" i="1"/>
  <c r="Z20" i="1"/>
  <c r="AD18" i="1"/>
  <c r="Z18" i="1"/>
  <c r="AD19" i="1"/>
  <c r="Z19" i="1"/>
  <c r="AP16" i="1"/>
  <c r="AD16" i="1"/>
  <c r="Z16" i="1"/>
  <c r="AG16" i="1" s="1"/>
  <c r="AG118" i="1" l="1"/>
  <c r="AB118" i="1"/>
  <c r="AI80" i="1"/>
  <c r="AL80" i="1" s="1"/>
  <c r="AE80" i="1"/>
  <c r="AI53" i="1"/>
  <c r="AJ53" i="1"/>
  <c r="AI21" i="1"/>
  <c r="AL21" i="1" s="1"/>
  <c r="AE21" i="1"/>
  <c r="AI25" i="1"/>
  <c r="AL25" i="1" s="1"/>
  <c r="AE25" i="1"/>
  <c r="AI29" i="1"/>
  <c r="AL29" i="1" s="1"/>
  <c r="AG121" i="1"/>
  <c r="AJ121" i="1" s="1"/>
  <c r="AB121" i="1"/>
  <c r="AJ130" i="1"/>
  <c r="AG40" i="1"/>
  <c r="AJ40" i="1" s="1"/>
  <c r="AG47" i="1"/>
  <c r="AJ47" i="1" s="1"/>
  <c r="AB47" i="1"/>
  <c r="AG59" i="1"/>
  <c r="AJ59" i="1" s="1"/>
  <c r="AB59" i="1"/>
  <c r="AG19" i="1"/>
  <c r="AJ19" i="1" s="1"/>
  <c r="AB19" i="1"/>
  <c r="AG20" i="1"/>
  <c r="AJ20" i="1" s="1"/>
  <c r="AB20" i="1"/>
  <c r="AG23" i="1"/>
  <c r="AJ23" i="1" s="1"/>
  <c r="AI24" i="1"/>
  <c r="AL24" i="1" s="1"/>
  <c r="AE24" i="1"/>
  <c r="AG26" i="1"/>
  <c r="AJ26" i="1" s="1"/>
  <c r="AB26" i="1"/>
  <c r="AG28" i="1"/>
  <c r="AJ28" i="1" s="1"/>
  <c r="AB28" i="1"/>
  <c r="AG34" i="1"/>
  <c r="AJ34" i="1" s="1"/>
  <c r="AB34" i="1"/>
  <c r="AJ63" i="1"/>
  <c r="AB63" i="1"/>
  <c r="AI118" i="1"/>
  <c r="AL118" i="1" s="1"/>
  <c r="AI121" i="1"/>
  <c r="AL121" i="1" s="1"/>
  <c r="AE121" i="1"/>
  <c r="AI123" i="1"/>
  <c r="AL123" i="1" s="1"/>
  <c r="AI128" i="1"/>
  <c r="AL128" i="1" s="1"/>
  <c r="AE128" i="1"/>
  <c r="AI130" i="1"/>
  <c r="AL130" i="1" s="1"/>
  <c r="AI40" i="1"/>
  <c r="AL40" i="1" s="1"/>
  <c r="AI43" i="1"/>
  <c r="AL43" i="1" s="1"/>
  <c r="AE43" i="1"/>
  <c r="AI45" i="1"/>
  <c r="AL45" i="1" s="1"/>
  <c r="AE45" i="1"/>
  <c r="AI47" i="1"/>
  <c r="AL47" i="1" s="1"/>
  <c r="AE47" i="1"/>
  <c r="AL53" i="1"/>
  <c r="AI56" i="1"/>
  <c r="AL56" i="1" s="1"/>
  <c r="AE56" i="1"/>
  <c r="AI59" i="1"/>
  <c r="AL59" i="1" s="1"/>
  <c r="AE59" i="1"/>
  <c r="AG24" i="1"/>
  <c r="AJ24" i="1" s="1"/>
  <c r="AB24" i="1"/>
  <c r="AI35" i="1"/>
  <c r="AL35" i="1" s="1"/>
  <c r="AG128" i="1"/>
  <c r="AJ128" i="1" s="1"/>
  <c r="AB128" i="1"/>
  <c r="AJ16" i="1"/>
  <c r="AB16" i="1"/>
  <c r="AG22" i="1"/>
  <c r="AJ22" i="1" s="1"/>
  <c r="AB22" i="1"/>
  <c r="AI28" i="1"/>
  <c r="AL28" i="1" s="1"/>
  <c r="AE28" i="1"/>
  <c r="AI34" i="1"/>
  <c r="AL34" i="1" s="1"/>
  <c r="AE34" i="1"/>
  <c r="AI63" i="1"/>
  <c r="AL63" i="1" s="1"/>
  <c r="AG120" i="1"/>
  <c r="AJ120" i="1" s="1"/>
  <c r="AB120" i="1"/>
  <c r="AG122" i="1"/>
  <c r="AJ122" i="1" s="1"/>
  <c r="AB122" i="1"/>
  <c r="AG124" i="1"/>
  <c r="AJ124" i="1" s="1"/>
  <c r="AB124" i="1"/>
  <c r="AG129" i="1"/>
  <c r="AJ129" i="1" s="1"/>
  <c r="AB129" i="1"/>
  <c r="AG42" i="1"/>
  <c r="AJ42" i="1" s="1"/>
  <c r="AG44" i="1"/>
  <c r="AJ44" i="1" s="1"/>
  <c r="AB44" i="1"/>
  <c r="AG46" i="1"/>
  <c r="AJ46" i="1" s="1"/>
  <c r="AB46" i="1"/>
  <c r="AG48" i="1"/>
  <c r="AJ48" i="1" s="1"/>
  <c r="AB48" i="1"/>
  <c r="AG55" i="1"/>
  <c r="AJ55" i="1" s="1"/>
  <c r="AB55" i="1"/>
  <c r="AG57" i="1"/>
  <c r="AJ57" i="1" s="1"/>
  <c r="AI18" i="1"/>
  <c r="AL18" i="1" s="1"/>
  <c r="AE18" i="1"/>
  <c r="AI27" i="1"/>
  <c r="AL27" i="1" s="1"/>
  <c r="AE27" i="1"/>
  <c r="AJ118" i="1"/>
  <c r="AG123" i="1"/>
  <c r="AJ123" i="1" s="1"/>
  <c r="AG43" i="1"/>
  <c r="AJ43" i="1" s="1"/>
  <c r="AB43" i="1"/>
  <c r="AG45" i="1"/>
  <c r="AJ45" i="1" s="1"/>
  <c r="AB45" i="1"/>
  <c r="AG56" i="1"/>
  <c r="AJ56" i="1" s="1"/>
  <c r="AB56" i="1"/>
  <c r="AI19" i="1"/>
  <c r="AL19" i="1" s="1"/>
  <c r="AE19" i="1"/>
  <c r="AI20" i="1"/>
  <c r="AL20" i="1" s="1"/>
  <c r="AE20" i="1"/>
  <c r="AI23" i="1"/>
  <c r="AL23" i="1" s="1"/>
  <c r="AI26" i="1"/>
  <c r="AL26" i="1" s="1"/>
  <c r="AE26" i="1"/>
  <c r="AI16" i="1"/>
  <c r="AL16" i="1" s="1"/>
  <c r="AE16" i="1"/>
  <c r="AG18" i="1"/>
  <c r="AJ18" i="1" s="1"/>
  <c r="AB18" i="1"/>
  <c r="AG21" i="1"/>
  <c r="AJ21" i="1" s="1"/>
  <c r="AB21" i="1"/>
  <c r="AI22" i="1"/>
  <c r="AL22" i="1" s="1"/>
  <c r="AE22" i="1"/>
  <c r="AG25" i="1"/>
  <c r="AJ25" i="1" s="1"/>
  <c r="AB25" i="1"/>
  <c r="AG27" i="1"/>
  <c r="AJ27" i="1" s="1"/>
  <c r="AB27" i="1"/>
  <c r="AG29" i="1"/>
  <c r="AJ29" i="1" s="1"/>
  <c r="AG35" i="1"/>
  <c r="AJ35" i="1" s="1"/>
  <c r="AI120" i="1"/>
  <c r="AL120" i="1" s="1"/>
  <c r="AE120" i="1"/>
  <c r="AI122" i="1"/>
  <c r="AL122" i="1" s="1"/>
  <c r="AE122" i="1"/>
  <c r="AI124" i="1"/>
  <c r="AL124" i="1" s="1"/>
  <c r="AE124" i="1"/>
  <c r="AI129" i="1"/>
  <c r="AL129" i="1" s="1"/>
  <c r="AE129" i="1"/>
  <c r="AI42" i="1"/>
  <c r="AL42" i="1" s="1"/>
  <c r="AI44" i="1"/>
  <c r="AL44" i="1" s="1"/>
  <c r="AE44" i="1"/>
  <c r="AI46" i="1"/>
  <c r="AL46" i="1" s="1"/>
  <c r="AE46" i="1"/>
  <c r="AI48" i="1"/>
  <c r="AL48" i="1" s="1"/>
  <c r="AE48" i="1"/>
  <c r="AI55" i="1"/>
  <c r="AL55" i="1" s="1"/>
  <c r="AE55" i="1"/>
  <c r="AI57" i="1"/>
  <c r="AL57" i="1" s="1"/>
  <c r="AE164" i="1" l="1"/>
  <c r="AE165" i="1" s="1"/>
  <c r="AB164" i="1"/>
  <c r="AB165" i="1" s="1"/>
</calcChain>
</file>

<file path=xl/comments1.xml><?xml version="1.0" encoding="utf-8"?>
<comments xmlns="http://schemas.openxmlformats.org/spreadsheetml/2006/main">
  <authors>
    <author>W10 PRO</author>
  </authors>
  <commentList>
    <comment ref="D40" authorId="0" shapeId="0">
      <text>
        <r>
          <rPr>
            <b/>
            <sz val="12"/>
            <color indexed="81"/>
            <rFont val="Tahoma"/>
            <family val="2"/>
          </rPr>
          <t>Sarana</t>
        </r>
      </text>
    </comment>
    <comment ref="H40" authorId="0" shapeId="0">
      <text>
        <r>
          <rPr>
            <b/>
            <sz val="12"/>
            <color indexed="81"/>
            <rFont val="Tahoma"/>
            <family val="2"/>
          </rPr>
          <t>Jumlah poskesdes/jumlah desa dikali 100</t>
        </r>
      </text>
    </comment>
    <comment ref="Q40" authorId="0" shapeId="0">
      <text>
        <r>
          <rPr>
            <b/>
            <sz val="12"/>
            <color indexed="81"/>
            <rFont val="Tahoma"/>
            <family val="2"/>
          </rPr>
          <t>Jumlah poskesdes/jumlah desa dikali 100</t>
        </r>
      </text>
    </comment>
    <comment ref="T40" authorId="0" shapeId="0">
      <text>
        <r>
          <rPr>
            <b/>
            <sz val="12"/>
            <color indexed="81"/>
            <rFont val="Tahoma"/>
            <family val="2"/>
          </rPr>
          <t>Jumlah poskesdes/jumlah desa dikali 100</t>
        </r>
      </text>
    </comment>
    <comment ref="W40" authorId="0" shapeId="0">
      <text>
        <r>
          <rPr>
            <b/>
            <sz val="12"/>
            <color indexed="81"/>
            <rFont val="Tahoma"/>
            <family val="2"/>
          </rPr>
          <t>Jumlah poskesdes/jumlah desa dikali 100</t>
        </r>
      </text>
    </comment>
    <comment ref="D41" authorId="0" shapeId="0">
      <text>
        <r>
          <rPr>
            <b/>
            <sz val="12"/>
            <color indexed="81"/>
            <rFont val="Tahoma"/>
            <family val="2"/>
          </rPr>
          <t>Prasarana</t>
        </r>
      </text>
    </comment>
    <comment ref="H41" authorId="0" shapeId="0">
      <text>
        <r>
          <rPr>
            <b/>
            <sz val="11"/>
            <color indexed="81"/>
            <rFont val="Tahoma"/>
            <family val="2"/>
          </rPr>
          <t>Jumlah alkes rata-rata per PKM/Jumlah alkes standar per PKM dikali 100</t>
        </r>
      </text>
    </comment>
    <comment ref="Q41" authorId="0" shapeId="0">
      <text>
        <r>
          <rPr>
            <b/>
            <sz val="11"/>
            <color indexed="81"/>
            <rFont val="Tahoma"/>
            <family val="2"/>
          </rPr>
          <t>Jumlah alkes rata-rata per PKM/Jumlah alkes standar per PKM dikali 100</t>
        </r>
      </text>
    </comment>
    <comment ref="T41" authorId="0" shapeId="0">
      <text>
        <r>
          <rPr>
            <b/>
            <sz val="11"/>
            <color indexed="81"/>
            <rFont val="Tahoma"/>
            <family val="2"/>
          </rPr>
          <t>Jumlah alkes rata-rata per PKM/Jumlah alkes standar per PKM dikali 100</t>
        </r>
      </text>
    </comment>
    <comment ref="W41" authorId="0" shapeId="0">
      <text>
        <r>
          <rPr>
            <b/>
            <sz val="11"/>
            <color indexed="81"/>
            <rFont val="Tahoma"/>
            <family val="2"/>
          </rPr>
          <t>Jumlah alkes rata-rata per PKM/Jumlah alkes standar per PKM dikali 100</t>
        </r>
      </text>
    </comment>
    <comment ref="D53" authorId="0" shapeId="0">
      <text>
        <r>
          <rPr>
            <b/>
            <sz val="12"/>
            <color indexed="81"/>
            <rFont val="Tahoma"/>
            <family val="2"/>
          </rPr>
          <t>Sarana</t>
        </r>
      </text>
    </comment>
    <comment ref="H53" authorId="0" shapeId="0">
      <text>
        <r>
          <rPr>
            <b/>
            <sz val="11"/>
            <color indexed="81"/>
            <rFont val="Tahoma"/>
            <family val="2"/>
          </rPr>
          <t>Jumlah Puskesmas+RSDS yg direhab/jumlah PKM yg tersedia+RSDS dikali 100</t>
        </r>
      </text>
    </comment>
    <comment ref="Q53" authorId="0" shapeId="0">
      <text>
        <r>
          <rPr>
            <b/>
            <sz val="11"/>
            <color indexed="81"/>
            <rFont val="Tahoma"/>
            <family val="2"/>
          </rPr>
          <t>Jumlah Puskesmas+RSDS yg direhab/jumlah PKM yg tersedia+RSDS dikali 100</t>
        </r>
      </text>
    </comment>
    <comment ref="T53" authorId="0" shapeId="0">
      <text>
        <r>
          <rPr>
            <b/>
            <sz val="11"/>
            <color indexed="81"/>
            <rFont val="Tahoma"/>
            <family val="2"/>
          </rPr>
          <t>Jumlah Puskesmas+RSDS yg direhab/jumlah PKM yg tersedia+RSDS dikali 100</t>
        </r>
      </text>
    </comment>
    <comment ref="W53" authorId="0" shapeId="0">
      <text>
        <r>
          <rPr>
            <b/>
            <sz val="11"/>
            <color indexed="81"/>
            <rFont val="Tahoma"/>
            <family val="2"/>
          </rPr>
          <t>Jumlah Puskesmas+RSDS yg direhab/jumlah PKM yg tersedia+RSDS dikali 100</t>
        </r>
      </text>
    </comment>
    <comment ref="D54" authorId="0" shapeId="0">
      <text>
        <r>
          <rPr>
            <b/>
            <sz val="12"/>
            <color indexed="81"/>
            <rFont val="Tahoma"/>
            <family val="2"/>
          </rPr>
          <t>Prasarana</t>
        </r>
      </text>
    </comment>
    <comment ref="H54" authorId="0" shapeId="0">
      <text>
        <r>
          <rPr>
            <b/>
            <sz val="12"/>
            <color indexed="81"/>
            <rFont val="Tahoma"/>
            <family val="2"/>
          </rPr>
          <t>Jumlah puskesmas yg memenuhi standar/jumlah puskesmas yg tersedia dikali 100</t>
        </r>
      </text>
    </comment>
    <comment ref="Q54" authorId="0" shapeId="0">
      <text>
        <r>
          <rPr>
            <b/>
            <sz val="12"/>
            <color indexed="81"/>
            <rFont val="Tahoma"/>
            <family val="2"/>
          </rPr>
          <t>Jumlah puskesmas yg memenuhi standar/jumlah puskesmas yg tersedia dikali 100</t>
        </r>
      </text>
    </comment>
    <comment ref="T54" authorId="0" shapeId="0">
      <text>
        <r>
          <rPr>
            <b/>
            <sz val="12"/>
            <color indexed="81"/>
            <rFont val="Tahoma"/>
            <family val="2"/>
          </rPr>
          <t>Jumlah puskesmas yg memenuhi standar/jumlah puskesmas yg tersedia dikali 100</t>
        </r>
      </text>
    </comment>
    <comment ref="W54" authorId="0" shapeId="0">
      <text>
        <r>
          <rPr>
            <b/>
            <sz val="12"/>
            <color indexed="81"/>
            <rFont val="Tahoma"/>
            <family val="2"/>
          </rPr>
          <t>Jumlah puskesmas yg memenuhi standar/jumlah puskesmas yg tersedia dikali 100</t>
        </r>
      </text>
    </comment>
    <comment ref="E63" authorId="0" shapeId="0">
      <text>
        <r>
          <rPr>
            <b/>
            <sz val="12"/>
            <color indexed="81"/>
            <rFont val="Tahoma"/>
            <family val="2"/>
          </rPr>
          <t>Jumlah faskes milik pemerintah yang terakreditasi paripurna/seluruh faskes milik pemerintah dikali 100</t>
        </r>
      </text>
    </comment>
    <comment ref="H118" authorId="0" shapeId="0">
      <text>
        <r>
          <rPr>
            <b/>
            <sz val="12"/>
            <color indexed="81"/>
            <rFont val="Tahoma"/>
            <family val="2"/>
          </rPr>
          <t>Rata-rata capaian 6 indikator pemenuhan SPM penyakit menular dan tidak menular</t>
        </r>
      </text>
    </comment>
    <comment ref="H119" authorId="0" shapeId="0">
      <text>
        <r>
          <rPr>
            <b/>
            <sz val="12"/>
            <color indexed="81"/>
            <rFont val="Tahoma"/>
            <family val="2"/>
          </rPr>
          <t>rata-rata capaian 5 indikator pengendalian penyakit menular</t>
        </r>
      </text>
    </comment>
    <comment ref="H128" authorId="0" shapeId="0">
      <text>
        <r>
          <rPr>
            <b/>
            <sz val="12"/>
            <color indexed="81"/>
            <rFont val="Tahoma"/>
            <family val="2"/>
          </rPr>
          <t>Jumlah penduduk yang memiliki jaminan kesehatan/jumlah total penduduk dikali 100</t>
        </r>
      </text>
    </comment>
    <comment ref="H130" authorId="0" shapeId="0">
      <text>
        <r>
          <rPr>
            <b/>
            <sz val="12"/>
            <color indexed="81"/>
            <rFont val="Tahoma"/>
            <family val="2"/>
          </rPr>
          <t>Persentase rata-rata capaian SPM 6 Indikator</t>
        </r>
      </text>
    </comment>
    <comment ref="H156" authorId="0" shapeId="0">
      <text>
        <r>
          <rPr>
            <b/>
            <sz val="11"/>
            <color indexed="81"/>
            <rFont val="Tahoma"/>
            <family val="2"/>
          </rPr>
          <t>Persentase kader kesehatan yg dibina + persentase realisasi media promosi yg dipromosikan</t>
        </r>
      </text>
    </comment>
    <comment ref="H160" authorId="0" shapeId="0">
      <text>
        <r>
          <rPr>
            <b/>
            <sz val="11"/>
            <color indexed="81"/>
            <rFont val="Tahoma"/>
            <family val="2"/>
          </rPr>
          <t>Kader Kesehatan yg dibina/target penduduk yg dibina dikali 100</t>
        </r>
      </text>
    </comment>
    <comment ref="H161" authorId="0" shapeId="0">
      <text>
        <r>
          <rPr>
            <b/>
            <sz val="12"/>
            <color indexed="81"/>
            <rFont val="Tahoma"/>
            <family val="2"/>
          </rPr>
          <t>Persentase rata-rata capaian SPM 6 Indikator</t>
        </r>
      </text>
    </comment>
  </commentList>
</comments>
</file>

<file path=xl/sharedStrings.xml><?xml version="1.0" encoding="utf-8"?>
<sst xmlns="http://schemas.openxmlformats.org/spreadsheetml/2006/main" count="1215" uniqueCount="301">
  <si>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</si>
  <si>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</si>
  <si>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</si>
  <si>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</si>
  <si>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</si>
  <si>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</si>
  <si>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</si>
  <si>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</si>
  <si>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</si>
  <si>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</si>
  <si>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</si>
  <si>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</si>
  <si>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</si>
  <si>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</si>
  <si>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</si>
  <si>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</si>
  <si>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</si>
  <si>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</si>
  <si>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</si>
  <si>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</si>
  <si>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</si>
  <si>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</si>
  <si>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</si>
  <si>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</si>
  <si>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</si>
  <si>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</si>
  <si>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</si>
  <si>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</si>
  <si>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</si>
  <si>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</si>
  <si>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</si>
  <si>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</si>
  <si>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</si>
  <si>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</si>
  <si>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</si>
  <si>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</si>
  <si>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</si>
  <si>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</si>
  <si>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</si>
  <si>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</si>
  <si>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</si>
  <si>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Penyediaan Jasa Administrasi Kantor</t>
  </si>
  <si>
    <t xml:space="preserve">Penyediaan jasa komunikasi, sumber daya air dan listrik			 												</t>
  </si>
  <si>
    <t xml:space="preserve">Penyebarluasan Informasi Tugas Pokok Dan Fungsi SKPD			 												</t>
  </si>
  <si>
    <t xml:space="preserve">Penyediaan makanan dan minuman			</t>
  </si>
  <si>
    <t xml:space="preserve">Kegiatan Penyediaan Jasa Tenaga Pendukung Administrasi/Teknis Lainnya			 			</t>
  </si>
  <si>
    <t xml:space="preserve">Rapat Rapat Koordinasi, Konsultasi dan Lapangan			 			</t>
  </si>
  <si>
    <t>Program Peningkatan Sarana dan Prasarana Aparatur</t>
  </si>
  <si>
    <t>Pemeliharaan rutin/berkala kendaraan dinas/operasional</t>
  </si>
  <si>
    <t>Pemeliharaan peralatan dan perlengkapan kantor</t>
  </si>
  <si>
    <t>Program Peningkatan Pelayanan Kinerja Perangkat Daerah</t>
  </si>
  <si>
    <t>Rata-rata Capaian Kinerja (%)</t>
  </si>
  <si>
    <t>Predikat Kinerja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</si>
  <si>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</si>
  <si>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</si>
  <si>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</si>
  <si>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</si>
  <si>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</si>
  <si>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</si>
  <si>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</si>
  <si>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</si>
  <si>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</si>
  <si>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</si>
  <si>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</si>
  <si>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</si>
  <si>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</si>
  <si>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</si>
  <si>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</si>
  <si>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</si>
  <si>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</si>
  <si>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</si>
  <si>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</si>
  <si>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</si>
  <si>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</si>
  <si>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</si>
  <si>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Dok</t>
  </si>
  <si>
    <t>Indeks</t>
  </si>
  <si>
    <t>Bln</t>
  </si>
  <si>
    <t>Keg</t>
  </si>
  <si>
    <t>Jenis</t>
  </si>
  <si>
    <t>%</t>
  </si>
  <si>
    <t>Paket</t>
  </si>
  <si>
    <t>DINAS KESEHATAN</t>
  </si>
  <si>
    <t>Dinas Kesehatan</t>
  </si>
  <si>
    <t>Penyediaan peralatan dan perlengkapan kantor</t>
  </si>
  <si>
    <t>Pemeliharaan rutin/berkala rumah dinas</t>
  </si>
  <si>
    <t>Pemeliharaan rutin/berkala gedung kantor</t>
  </si>
  <si>
    <t>Rehabilitasi sedang/berat rumah dinas</t>
  </si>
  <si>
    <t>Peralatan dan perlengkapan kantor yang tersedia</t>
  </si>
  <si>
    <t>Rumah dinas dalam kondisi baik</t>
  </si>
  <si>
    <t>Gedung kantor dalam kondisi baik</t>
  </si>
  <si>
    <t>kendaraan dinas operasional dalam kondisi baik</t>
  </si>
  <si>
    <t>peralatan dan perlengkapan kantor dalam kondisi baik</t>
  </si>
  <si>
    <t>Unit</t>
  </si>
  <si>
    <t>Penilaian Kinerja Bidang Kesehatan</t>
  </si>
  <si>
    <t>Pelayanan Kesehatan Masyarakat</t>
  </si>
  <si>
    <t>Pelayanan perangkat daerah sesuai standar</t>
  </si>
  <si>
    <t>Meningkatnya Akses dan Kualitas Pelayanan Kesehatan</t>
  </si>
  <si>
    <t>Program Peningkatan Kualitas Layanan PKM dan Jaringannya</t>
  </si>
  <si>
    <t>Bantuan Operasional Kesehatan (BOK) Kabupaten Kota (DAK)</t>
  </si>
  <si>
    <t>Penyediaan Makan Minum Pelayanan</t>
  </si>
  <si>
    <t>Pemenuhan Standar Akreditasi</t>
  </si>
  <si>
    <t xml:space="preserve">Jumlah puskesmas yang melaksanakan pengobatan sesuai standar </t>
  </si>
  <si>
    <t>Pelayanan Jaminan Kesehatan Nasional (JKN) Puskesmas Kandangan</t>
  </si>
  <si>
    <t>Pelayanan Jaminan Kesehatan Nasional (JKN) Puskesmas Jambu Hilir</t>
  </si>
  <si>
    <t>Pelayanan Jaminan Kesehatan Nasional (JKN) Puskesmas Gambah</t>
  </si>
  <si>
    <t>Pelayanan Jaminan Kesehatan Nasional (JKN) Puskesmas Sungai Raya</t>
  </si>
  <si>
    <t>Pelayanan Jaminan Kesehatan Nasional (JKN) Puskesmas Batang Kulur</t>
  </si>
  <si>
    <t>Pelayanan Jaminan Kesehatan Nasional (JKN) Puskesmas Kalumpang</t>
  </si>
  <si>
    <t xml:space="preserve">Pelayanan Jaminan Kesehatan Nasional (JKN) Puskesmas Simpur </t>
  </si>
  <si>
    <t>Pelayanan Jaminan Kesehatan Nasional (JKN) Puskesmas Wasah</t>
  </si>
  <si>
    <t>Pelayanan Jaminan Kesehatan Nasional (JKN) Puskesmas Bamban</t>
  </si>
  <si>
    <t>Pelayanan Jaminan Kesehatan Nasional (JKN) Puskesmas Angkinang</t>
  </si>
  <si>
    <t>Pelayanan Jaminan Kesehatan Nasional (JKN) Puskesmas Telaga Langsat</t>
  </si>
  <si>
    <t>Pelayanan Jaminan Kesehatan Nasional (JKN) Puskesmas Loksado</t>
  </si>
  <si>
    <t>Pelayanan Jaminan Kesehatan Nasional (JKN) Puskesmas Malinau</t>
  </si>
  <si>
    <t>Pelayanan Jaminan Kesehatan Nasional (JKN) Puskesmas Padang Batung</t>
  </si>
  <si>
    <t>Pelayanan Jaminan Kesehatan Nasional (JKN) Puskesmas Kaliring</t>
  </si>
  <si>
    <t>Pelayanan Jaminan Kesehatan Nasional (JKN) Puskesmas Pasungkan</t>
  </si>
  <si>
    <t xml:space="preserve">Pelayanan Jaminan Kesehatan Nasional (JKN) Puskesmas Negara </t>
  </si>
  <si>
    <t>Pelayanan Jaminan Kesehatan Nasional (JKN) Puskesmas Bayanan</t>
  </si>
  <si>
    <t>Pelayanan Jaminan Kesehatan Nasional (JKN) Puskesmas Sungai Pinang</t>
  </si>
  <si>
    <t>Pelayanan Jaminan Kesehatan Nasional (JKN) Puskesmas Baruh Jaya</t>
  </si>
  <si>
    <t>Bantuan Operasional Kesehatan Puskesmas Kandangan (DAK)</t>
  </si>
  <si>
    <t>Bantuan Operasional Kesehatan Puskesmas Jambu Hilir (DAK)</t>
  </si>
  <si>
    <t>Bantuan Operasional Kesehatan Puskesmas Gambah (DAK)</t>
  </si>
  <si>
    <t>Bantuan Operasional Kesehatan Puskesmas Sungai Raya (DAK)</t>
  </si>
  <si>
    <t>Bantuan Operasional Kesehatan Puskesmas Batang Kulur (DAK)</t>
  </si>
  <si>
    <t>Bantuan Operasional Kesehatan Puskesmas Kalumpang (DAK)</t>
  </si>
  <si>
    <t>Bantuan Operasional Kesehatan Puskesmas Simpur (DAK)</t>
  </si>
  <si>
    <t>Bantuan Operasional Kesehatan Puskesmas Wasah (DAK)</t>
  </si>
  <si>
    <t>Bantuan Operasional Kesehatan Puskesmas Bamban (DAK)</t>
  </si>
  <si>
    <t>Bantuan Operasional Kesehatan Puskesmas Angkinang (DAK)</t>
  </si>
  <si>
    <t>Bantuan Operasional Kesehatan Puskesmas Telaga Langsat (DAK)</t>
  </si>
  <si>
    <t>Bantuan Operasional Kesehatan Puskesmas Loksado (DAK)</t>
  </si>
  <si>
    <t>Bantuan Operasional Kesehatan Puskesmas Malinau (DAK)</t>
  </si>
  <si>
    <t>Bantuan Operasional Kesehatan Puskesmas Padang Batung (DAK)</t>
  </si>
  <si>
    <t>Bantuan Operasional Kesehatan Puskesmas Kaliring (DAK)</t>
  </si>
  <si>
    <t>Bantuan Operasional Kesehatan Puskesmas Pasungkan (DAK)</t>
  </si>
  <si>
    <t>Bantuan Operasional Kesehatan Puskesmas Negara (DAK)</t>
  </si>
  <si>
    <t>Bantuan Operasional Kesehatan Puskesmas Bayanan (DAK)</t>
  </si>
  <si>
    <t>Bantuan Operasional Kesehatan Puskesmas Sungai Pinang (DAK)</t>
  </si>
  <si>
    <t>Bantuan Operasional Kesehatan Puskesmas Baruh Jaya (DAK)</t>
  </si>
  <si>
    <t>Bantuan Operasional Kesehatan Puskesmas Bajayau (DAK)</t>
  </si>
  <si>
    <t>Pengadaan Obat dan Perbekalan Kesehatan (DAK)</t>
  </si>
  <si>
    <t>Peningkatan Pemerataan Obat dan Perbekalan Kesehatan (DAK)</t>
  </si>
  <si>
    <t>Dukungan manajemen BOK KAB/KOTA dan JAMPERSAL (DAK)</t>
  </si>
  <si>
    <t>Penyusunan standar pelayanan kesehatan primer (DAK)</t>
  </si>
  <si>
    <t>Persentase peserta JKN yang mendapatkan pelayanan kesehatan tingkat pertama</t>
  </si>
  <si>
    <t>Jumlah puskesmas yang melaksanakan pelayanan promotif dan preventif sesuai standar</t>
  </si>
  <si>
    <t xml:space="preserve">umlah puskesmas yang melaksanakan pelayanan promotif dan preventif sesuai standar </t>
  </si>
  <si>
    <t xml:space="preserve">Jumlah puskesmas yang melaksanakan pelayanan promotif dan preventif sesuai standar </t>
  </si>
  <si>
    <t>Jumlah puskesmas yang melaksanakan pengobatan sesuai standar</t>
  </si>
  <si>
    <t>Makan minum pasien sesuai standar</t>
  </si>
  <si>
    <t xml:space="preserve">jumlah puskesmas yang terakreditasi </t>
  </si>
  <si>
    <t>Pkm</t>
  </si>
  <si>
    <t xml:space="preserve">Program Pengendalian dan Pencegahan Penyakit </t>
  </si>
  <si>
    <t>Surveilens dan imunisasi</t>
  </si>
  <si>
    <t>Pencegahan dan pengendalian penyakit menular</t>
  </si>
  <si>
    <t>Pencegahan dan pengendalian penyakit tidak menular</t>
  </si>
  <si>
    <t>Pemenuhan Indikator Kabupaten Sehat</t>
  </si>
  <si>
    <t>Peningkatan pencegahan dan pengendalian penyakit (DAK)</t>
  </si>
  <si>
    <t>Jumlah puskesmas yang melaksanakan pelayanan imunisasi</t>
  </si>
  <si>
    <t>Jumlah Indikator tatanan kawasan kabupaten sehat yang terpenuhi</t>
  </si>
  <si>
    <t>Indikator</t>
  </si>
  <si>
    <t>Program Pelayanan Kesehatan Masyarakat</t>
  </si>
  <si>
    <t>Pembayaran premi JKN</t>
  </si>
  <si>
    <t>Jumlah penduduk yang memiliki jaminan kesehatan</t>
  </si>
  <si>
    <t>Program Peningkatan Kesehatan Keluarga</t>
  </si>
  <si>
    <t>Pengadaan Obat Gizi (DAK)</t>
  </si>
  <si>
    <t>Jaminan Persalinan Puskesmas Kandangan (DAK)</t>
  </si>
  <si>
    <t>Jaminan Persalinan Puskesmas Jambu Hilir (DAK)</t>
  </si>
  <si>
    <t>Jaminan Persalinan Puskesmas Gambah (DAK)</t>
  </si>
  <si>
    <t>Jaminan Persalinan Puskesmas Sungai Raya (DAK)</t>
  </si>
  <si>
    <t>Jaminan Persalinan Puskesmas Batang Kulur (DAK)</t>
  </si>
  <si>
    <t>Jaminan Persalinan Puskesmas Kalumpang (DAK)</t>
  </si>
  <si>
    <t>Jaminan Persalinan Puskesmas Simpur (DAK)</t>
  </si>
  <si>
    <t>Jaminan Persalinan Puskesmas Wasah (DAK)</t>
  </si>
  <si>
    <t>Jaminan Persalinan Puskesmas Pasungkan (DAK)</t>
  </si>
  <si>
    <t>Jaminan Persalinan Puskesmas Negara (DAK)</t>
  </si>
  <si>
    <t>Jaminan Persalinan Puskesmas Bajayau (DAK)</t>
  </si>
  <si>
    <t>Jaminan Persalinan Puskesmas Baruh Jaya (DAK)</t>
  </si>
  <si>
    <t>Jaminan Persalinan Puskesmas Sungai Pinang (DAK)</t>
  </si>
  <si>
    <t>Jaminan Persalinan Puskesmas Bayanan (DAK)</t>
  </si>
  <si>
    <t>Jaminan Persalinan Puskesmas Bamban (DAK)</t>
  </si>
  <si>
    <t>Jaminan Persalinan Puskesmas Angkinang (DAK)</t>
  </si>
  <si>
    <t>Jaminan Persalinan Puskesmas Telaga Langsat (DAK)</t>
  </si>
  <si>
    <t>Jaminan Persalinan Puskesmas Loksado (DAK)</t>
  </si>
  <si>
    <t>Jaminan Persalinan Puskesmas Malinau (DAK)</t>
  </si>
  <si>
    <t>Jaminan Persalinan Puskesmas Padang Batung (DAK)</t>
  </si>
  <si>
    <t>Jaminan Persalinan Puskesmas Kaliring (DAK)</t>
  </si>
  <si>
    <t>Pencegahan dan penanggulangan stunting</t>
  </si>
  <si>
    <t>Peningkatan Kesehatan Ibu Hamil Bersalin, Nifas, dan Anak</t>
  </si>
  <si>
    <t>Puskesmas yang melaksanakan pelayanan ibu melahirkan sesuai standar</t>
  </si>
  <si>
    <t xml:space="preserve">Puskesmas yang melaksanakan pelayanan ibu melahirkan sesuai standar </t>
  </si>
  <si>
    <t xml:space="preserve">Jumlah puskesmas yang melaksanakan upaya perbaikan gizi masyarakat sesuai standar </t>
  </si>
  <si>
    <t>Jumlah puskesmas yang melaksanakan pelayanan kesehatan ibu hamil, bersalin, nifas, dan anak sesuai standar</t>
  </si>
  <si>
    <t>Pencegahan dan penanggulangan stunting (DAK)</t>
  </si>
  <si>
    <t>Program Peningkatan Akses Sarana Prasarana Kesehatan</t>
  </si>
  <si>
    <t>Pengadaan Sarana/perlengkapan/Alat Kesehatan Rumah Sakit</t>
  </si>
  <si>
    <t>Pengadaan sarana pelayanan kesehatan</t>
  </si>
  <si>
    <t>Pengadaan prasarana pelayanan kesehatan</t>
  </si>
  <si>
    <t>Pengadaan alat kesehatan</t>
  </si>
  <si>
    <t>Pengadaan alat kesehatan (DAK)</t>
  </si>
  <si>
    <t>Pengadaan prasarana pelayanan kesehatan (DAK)</t>
  </si>
  <si>
    <t>Pengadaan alat dan bahan pengendalian penyakit dan kesehatan lingkungan (DAK)</t>
  </si>
  <si>
    <t xml:space="preserve">Jumlah alat kesehatan rumah sakit sesuai standar kebutuhan </t>
  </si>
  <si>
    <t>Jumlah sarana yang dibangun</t>
  </si>
  <si>
    <t>Jumlah prasarana yang tersedia</t>
  </si>
  <si>
    <t>Alat kesehatan yang tersedia</t>
  </si>
  <si>
    <t>Jumlah alat yang tersedia</t>
  </si>
  <si>
    <t>Program Peningkatan Mutu Sarana Prasarana Kesehatan</t>
  </si>
  <si>
    <t>Pemeliharaan berkala bangunan RSUD Daha Sejahtera</t>
  </si>
  <si>
    <t>Pemeliharaan sarana pelayanan kesehatan RSUD Daha Sejahtera</t>
  </si>
  <si>
    <t>Rehabilitasi dan pemeliharaan sarana pelayanan kesehatan</t>
  </si>
  <si>
    <t>Pemeliharaan prasarana dan alat kesehatan</t>
  </si>
  <si>
    <t xml:space="preserve">Bangunan rumah sakit dalam kondisi baik </t>
  </si>
  <si>
    <t>sarana pelayanan kesehatan RSUD Daha Sejahtera dalam kondisi baik</t>
  </si>
  <si>
    <t>sarana pelayanan kesehatan yang direhab dan dipelihara</t>
  </si>
  <si>
    <t>jumlah prasarana dan alat kesehatan yang dipelihara</t>
  </si>
  <si>
    <t xml:space="preserve"> Tingkat pemenuhan aspek kualitas dokumen AKIP</t>
  </si>
  <si>
    <t>Tingkat pemenuhan aspek kualitas dokumen keuangan daerah</t>
  </si>
  <si>
    <t>Indeks Kepuasan Masyarakat</t>
  </si>
  <si>
    <t>Persentase pemenuhan capaian indikator pengendalian penyakit menular</t>
  </si>
  <si>
    <t>Persentase pemenuhan akses sarana kesehatan</t>
  </si>
  <si>
    <t>Persentase pemenuhan kualitas sarana kesehatan</t>
  </si>
  <si>
    <t>Persentase fasyankes yang terakreditasi paripurna</t>
  </si>
  <si>
    <t>Dokumen AKIP yang Memenuhi Aspek Kualitas</t>
  </si>
  <si>
    <t>Laporan Keuangan yang Memenuhi Aspek Kualitas</t>
  </si>
  <si>
    <t>Tingkat Kepuasan Pelayanan</t>
  </si>
  <si>
    <t>Pelayanan Administrasi Sesuai Standar</t>
  </si>
  <si>
    <t>Pelayanan Masyarakat</t>
  </si>
  <si>
    <t>Pengelolaan Limbah Medis</t>
  </si>
  <si>
    <t>Kg</t>
  </si>
  <si>
    <t>Pengadaan Obat dan Perbekalan Kesehatan</t>
  </si>
  <si>
    <t>Pelayanan kefarmasian (DAK)</t>
  </si>
  <si>
    <t>Pemenuhan Standar Akreditasi (DAK)</t>
  </si>
  <si>
    <t>Persentase Pemenuhan pencapaian SPM pelayanan kesehatan dasar, penyakit menular dan tidak menular</t>
  </si>
  <si>
    <t>Pencegahan dan pengendalian Covid-19 (BTT dan DID)</t>
  </si>
  <si>
    <t>Persentase penduduk yang memiliki jaminan kesehatan</t>
  </si>
  <si>
    <t>Org</t>
  </si>
  <si>
    <t>Persentase Pemenuhan pencapaian SPM pelayanan kesehatan dasar pada bayi, balita, anak usia sekolah dasar, ibu, dan lansia</t>
  </si>
  <si>
    <t>Jaminan Persalinan (DAK)</t>
  </si>
  <si>
    <t>Jumlah ibu melahirkan yang mendapatkan pelayanan sesuai standar</t>
  </si>
  <si>
    <t>Persentase pemenuhan akses prasarana kesehatan</t>
  </si>
  <si>
    <t>Persentase pemenuhan kualitas prasarana kesehatan</t>
  </si>
  <si>
    <t>Pengelolaan Keuangan satuan kerja di puskesmas dan rumah sakit</t>
  </si>
  <si>
    <t>Fasyankes</t>
  </si>
  <si>
    <t>Fasyankes Pemerintah BLUD</t>
  </si>
  <si>
    <t>Verifikasi desa SBS</t>
  </si>
  <si>
    <t>Jumlah KK yang Menggunakan jamban sehat</t>
  </si>
  <si>
    <t>KK</t>
  </si>
  <si>
    <t>Pemeriksaan kesehatan dan tes kebugaran jamaah haji</t>
  </si>
  <si>
    <t>Jumlah Puskesmas yang melaksanakan tes kesehatan dan kebugaran jamaah haji</t>
  </si>
  <si>
    <t>Pengadaan dan Pemeliharaan sarana pelayanan kesehatan</t>
  </si>
  <si>
    <t>Pengadaan dan Pemeliharaan Sarana Kesehatan Keluarga (DAK)</t>
  </si>
  <si>
    <t>Jumlah sarana pelayanan kesehatan dalam kondisi baik</t>
  </si>
  <si>
    <t>Jumlah ambulance transport single gardan</t>
  </si>
  <si>
    <t>Jumlah set kesehatan gigi dan mulut</t>
  </si>
  <si>
    <t>set</t>
  </si>
  <si>
    <t>Pengadaan dan Pemeliharan Sarana Pelayanan Kesehatan (DAK)</t>
  </si>
  <si>
    <t>Jumlah set persalinan</t>
  </si>
  <si>
    <t>Set</t>
  </si>
  <si>
    <t>Rehab Poskesdes</t>
  </si>
  <si>
    <t>Rehab Puskesmas</t>
  </si>
  <si>
    <t>Rehab Puskesmas (DAK)</t>
  </si>
  <si>
    <t>Jumlah Poskesdes dalam kondisi baik</t>
  </si>
  <si>
    <t>Jumlah Puskesmas dalam kondisi baik</t>
  </si>
  <si>
    <t>Program Promosi Kesehatan</t>
  </si>
  <si>
    <t>Upaya promosi kesehatan</t>
  </si>
  <si>
    <t>Pemberdayaan kesehatan masyarakat</t>
  </si>
  <si>
    <t>Program Perbaikan Gizi Masyarakat</t>
  </si>
  <si>
    <t>Pemberian PMT dan obat gizi</t>
  </si>
  <si>
    <t>Persentase pemenuhan layanan promosi kesehatan</t>
  </si>
  <si>
    <t>Jumlah puskesmas yang melaksanakan pelayanan promosi sesuai standar</t>
  </si>
  <si>
    <t>Persentase kader kesehatan yang dibina</t>
  </si>
  <si>
    <t>Upaya promosi kesehatan dan pemberdayaan kesehatan masyarakat</t>
  </si>
  <si>
    <t>Persentase Pemenuhan pencapaian SPM pelayanan kesehatan dasar pada bayi, balita, anak usia sekolah dasar,  ibu, dan lansia</t>
  </si>
  <si>
    <t>Jumlah puskesmas yang melaksanakan pelayanan gizi sesuai standar</t>
  </si>
  <si>
    <t>Rehabilitasi dan pemeliharaan sarana pelayanan kesehatan (DAK)</t>
  </si>
  <si>
    <t>237.702</t>
  </si>
  <si>
    <t>248.482</t>
  </si>
  <si>
    <t>Jumlah puskesmas yang melaksanakan pelayanan pengendalian dan pencegahan penyakit tidak menular sesuai standar</t>
  </si>
  <si>
    <t>Jumlah puskesmas yang melaksanakan pelayanan pengendalian dan pencegahan penyakit menular sesuai standar</t>
  </si>
  <si>
    <t>Jumlah puskesmas yang melaksanakan pelayanan pengendalian dan pencegahan penyakit sesuai standar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</si>
  <si>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</si>
  <si>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</si>
  <si>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</si>
  <si>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</si>
  <si>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</si>
  <si>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</si>
  <si>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</si>
  <si>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</si>
  <si>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</si>
  <si>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Kesehatan</t>
  </si>
  <si>
    <t xml:space="preserve">Faktor pendorong keberhasilan pencapaian: </t>
  </si>
  <si>
    <t>dr. Hj. SITI ZAINAB</t>
  </si>
  <si>
    <t>NIP. 19710723 200212 2 004</t>
  </si>
  <si>
    <t>PERIODE PELAKSANAAN TRIWULAN IV TAHUN 2020</t>
  </si>
  <si>
    <t>Kandangan, 4 Januari 2021</t>
  </si>
  <si>
    <t>Pelayanan Jaminan Kesehatan Nasional (JKN) Puskesmas Bajayau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</si>
</sst>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20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4" fillId="0" borderId="11" xfId="0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6" fontId="8" fillId="0" borderId="2" xfId="2" applyFont="1" applyFill="1" applyBorder="1" applyAlignment="1">
      <alignment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66" fontId="8" fillId="0" borderId="15" xfId="2" applyFont="1" applyFill="1" applyBorder="1" applyAlignment="1">
      <alignment vertical="top"/>
    </xf>
    <xf numFmtId="166" fontId="8" fillId="0" borderId="2" xfId="2" applyFont="1" applyFill="1" applyBorder="1" applyAlignment="1">
      <alignment horizontal="center" vertical="top" wrapText="1"/>
    </xf>
    <xf numFmtId="166" fontId="8" fillId="0" borderId="2" xfId="2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/>
    </xf>
    <xf numFmtId="0" fontId="8" fillId="0" borderId="2" xfId="2" applyNumberFormat="1" applyFont="1" applyFill="1" applyBorder="1" applyAlignment="1">
      <alignment horizontal="center" vertical="top"/>
    </xf>
    <xf numFmtId="166" fontId="8" fillId="0" borderId="6" xfId="2" applyFont="1" applyFill="1" applyBorder="1" applyAlignment="1">
      <alignment vertical="top"/>
    </xf>
    <xf numFmtId="165" fontId="8" fillId="0" borderId="6" xfId="1" applyNumberFormat="1" applyFont="1" applyFill="1" applyBorder="1" applyAlignment="1">
      <alignment vertical="top"/>
    </xf>
    <xf numFmtId="165" fontId="6" fillId="0" borderId="2" xfId="1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9" fontId="8" fillId="0" borderId="6" xfId="0" applyNumberFormat="1" applyFont="1" applyFill="1" applyBorder="1" applyAlignment="1">
      <alignment horizontal="center" vertical="top"/>
    </xf>
    <xf numFmtId="9" fontId="8" fillId="0" borderId="11" xfId="0" applyNumberFormat="1" applyFont="1" applyFill="1" applyBorder="1" applyAlignment="1">
      <alignment horizontal="center" vertical="top"/>
    </xf>
    <xf numFmtId="0" fontId="8" fillId="0" borderId="2" xfId="0" quotePrefix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166" fontId="8" fillId="0" borderId="2" xfId="2" applyFont="1" applyFill="1" applyBorder="1" applyAlignment="1">
      <alignment horizontal="center" vertical="top"/>
    </xf>
    <xf numFmtId="165" fontId="6" fillId="0" borderId="6" xfId="1" quotePrefix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166" fontId="6" fillId="0" borderId="15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1" fontId="8" fillId="0" borderId="6" xfId="0" applyNumberFormat="1" applyFont="1" applyFill="1" applyBorder="1" applyAlignment="1">
      <alignment horizontal="center" vertical="top"/>
    </xf>
    <xf numFmtId="1" fontId="8" fillId="0" borderId="11" xfId="0" applyNumberFormat="1" applyFont="1" applyFill="1" applyBorder="1" applyAlignment="1">
      <alignment horizontal="center" vertical="top"/>
    </xf>
    <xf numFmtId="1" fontId="8" fillId="0" borderId="15" xfId="0" applyNumberFormat="1" applyFont="1" applyFill="1" applyBorder="1" applyAlignment="1">
      <alignment horizontal="center" vertical="top"/>
    </xf>
    <xf numFmtId="2" fontId="8" fillId="0" borderId="6" xfId="0" applyNumberFormat="1" applyFont="1" applyFill="1" applyBorder="1" applyAlignment="1">
      <alignment horizontal="center" vertical="top"/>
    </xf>
    <xf numFmtId="2" fontId="8" fillId="0" borderId="11" xfId="0" applyNumberFormat="1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165" fontId="8" fillId="0" borderId="6" xfId="1" quotePrefix="1" applyNumberFormat="1" applyFont="1" applyFill="1" applyBorder="1" applyAlignment="1">
      <alignment vertical="top"/>
    </xf>
    <xf numFmtId="166" fontId="8" fillId="0" borderId="6" xfId="0" applyNumberFormat="1" applyFont="1" applyFill="1" applyBorder="1" applyAlignment="1">
      <alignment vertical="top"/>
    </xf>
    <xf numFmtId="166" fontId="8" fillId="0" borderId="15" xfId="0" applyNumberFormat="1" applyFont="1" applyFill="1" applyBorder="1" applyAlignment="1">
      <alignment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2" fontId="8" fillId="4" borderId="14" xfId="0" applyNumberFormat="1" applyFont="1" applyFill="1" applyBorder="1" applyAlignment="1">
      <alignment horizontal="right"/>
    </xf>
    <xf numFmtId="0" fontId="8" fillId="4" borderId="14" xfId="0" applyFont="1" applyFill="1" applyBorder="1"/>
    <xf numFmtId="166" fontId="8" fillId="0" borderId="2" xfId="2" quotePrefix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2" fontId="8" fillId="4" borderId="2" xfId="0" applyNumberFormat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180"/>
  <sheetViews>
    <sheetView tabSelected="1" showRuler="0" view="pageBreakPreview" topLeftCell="B116" zoomScale="70" zoomScaleNormal="40" zoomScaleSheetLayoutView="70" zoomScalePageLayoutView="55" workbookViewId="0">
      <selection activeCell="Z118" sqref="Z118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9.140625" style="2" customWidth="1"/>
    <col min="8" max="8" width="8.710937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9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10.7109375" style="2" customWidth="1"/>
    <col min="27" max="27" width="5.5703125" style="4" customWidth="1"/>
    <col min="28" max="28" width="8" style="2" customWidth="1"/>
    <col min="29" max="29" width="5.5703125" style="4" customWidth="1"/>
    <col min="30" max="30" width="17.85546875" style="2" customWidth="1"/>
    <col min="31" max="31" width="8" style="2" customWidth="1"/>
    <col min="32" max="32" width="5.5703125" style="4" customWidth="1"/>
    <col min="33" max="33" width="10.5703125" style="2" customWidth="1"/>
    <col min="34" max="34" width="5.5703125" style="4" customWidth="1"/>
    <col min="35" max="35" width="18" style="2" customWidth="1"/>
    <col min="36" max="36" width="8" style="2" customWidth="1"/>
    <col min="37" max="37" width="5.5703125" style="4" customWidth="1"/>
    <col min="38" max="38" width="10.425781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"/>
    </row>
    <row r="2" spans="1:45" ht="23.25" x14ac:dyDescent="0.35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3"/>
    </row>
    <row r="3" spans="1:45" ht="23.25" x14ac:dyDescent="0.35">
      <c r="A3" s="192" t="s">
        <v>82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3"/>
    </row>
    <row r="4" spans="1:45" ht="23.25" x14ac:dyDescent="0.35">
      <c r="A4" s="193" t="s">
        <v>298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"/>
    </row>
    <row r="5" spans="1:45" ht="18" x14ac:dyDescent="0.2">
      <c r="A5" s="194" t="s">
        <v>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</row>
    <row r="6" spans="1:45" ht="18" x14ac:dyDescent="0.25">
      <c r="A6" s="191" t="s">
        <v>82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</row>
    <row r="7" spans="1:45" ht="81" customHeight="1" x14ac:dyDescent="0.2">
      <c r="A7" s="195" t="s">
        <v>3</v>
      </c>
      <c r="B7" s="195" t="s">
        <v>4</v>
      </c>
      <c r="C7" s="196" t="s">
        <v>5</v>
      </c>
      <c r="D7" s="196" t="s">
        <v>6</v>
      </c>
      <c r="E7" s="182" t="s">
        <v>7</v>
      </c>
      <c r="F7" s="183"/>
      <c r="G7" s="186"/>
      <c r="H7" s="182" t="s">
        <v>8</v>
      </c>
      <c r="I7" s="183"/>
      <c r="J7" s="186"/>
      <c r="K7" s="182" t="s">
        <v>9</v>
      </c>
      <c r="L7" s="183"/>
      <c r="M7" s="183"/>
      <c r="N7" s="182" t="s">
        <v>10</v>
      </c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6"/>
      <c r="Z7" s="182" t="s">
        <v>285</v>
      </c>
      <c r="AA7" s="183"/>
      <c r="AB7" s="183"/>
      <c r="AC7" s="183"/>
      <c r="AD7" s="183"/>
      <c r="AE7" s="183"/>
      <c r="AF7" s="186"/>
      <c r="AG7" s="182" t="s">
        <v>11</v>
      </c>
      <c r="AH7" s="183"/>
      <c r="AI7" s="186"/>
      <c r="AJ7" s="182" t="s">
        <v>12</v>
      </c>
      <c r="AK7" s="183"/>
      <c r="AL7" s="183"/>
      <c r="AM7" s="174" t="s">
        <v>13</v>
      </c>
      <c r="AO7" s="4"/>
      <c r="AP7" s="4"/>
      <c r="AQ7" s="4"/>
      <c r="AR7" s="4"/>
      <c r="AS7" s="4"/>
    </row>
    <row r="8" spans="1:45" ht="18" customHeight="1" x14ac:dyDescent="0.2">
      <c r="A8" s="195"/>
      <c r="B8" s="195"/>
      <c r="C8" s="196"/>
      <c r="D8" s="196"/>
      <c r="E8" s="188"/>
      <c r="F8" s="189"/>
      <c r="G8" s="190"/>
      <c r="H8" s="188"/>
      <c r="I8" s="189"/>
      <c r="J8" s="190"/>
      <c r="K8" s="184"/>
      <c r="L8" s="185"/>
      <c r="M8" s="185"/>
      <c r="N8" s="184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7"/>
      <c r="Z8" s="184"/>
      <c r="AA8" s="185"/>
      <c r="AB8" s="185"/>
      <c r="AC8" s="185"/>
      <c r="AD8" s="185"/>
      <c r="AE8" s="185"/>
      <c r="AF8" s="187"/>
      <c r="AG8" s="184"/>
      <c r="AH8" s="185"/>
      <c r="AI8" s="187"/>
      <c r="AJ8" s="184"/>
      <c r="AK8" s="185"/>
      <c r="AL8" s="185"/>
      <c r="AM8" s="175"/>
    </row>
    <row r="9" spans="1:45" ht="15.75" customHeight="1" x14ac:dyDescent="0.2">
      <c r="A9" s="195"/>
      <c r="B9" s="195"/>
      <c r="C9" s="196"/>
      <c r="D9" s="196"/>
      <c r="E9" s="184"/>
      <c r="F9" s="185"/>
      <c r="G9" s="187"/>
      <c r="H9" s="184"/>
      <c r="I9" s="185"/>
      <c r="J9" s="187"/>
      <c r="K9" s="176">
        <v>2020</v>
      </c>
      <c r="L9" s="177"/>
      <c r="M9" s="178"/>
      <c r="N9" s="179" t="s">
        <v>14</v>
      </c>
      <c r="O9" s="180"/>
      <c r="P9" s="181"/>
      <c r="Q9" s="179" t="s">
        <v>15</v>
      </c>
      <c r="R9" s="180"/>
      <c r="S9" s="181"/>
      <c r="T9" s="179" t="s">
        <v>16</v>
      </c>
      <c r="U9" s="180"/>
      <c r="V9" s="181"/>
      <c r="W9" s="179" t="s">
        <v>17</v>
      </c>
      <c r="X9" s="180"/>
      <c r="Y9" s="181"/>
      <c r="Z9" s="179">
        <v>2020</v>
      </c>
      <c r="AA9" s="180"/>
      <c r="AB9" s="180"/>
      <c r="AC9" s="180"/>
      <c r="AD9" s="180"/>
      <c r="AE9" s="180"/>
      <c r="AF9" s="181"/>
      <c r="AG9" s="179">
        <v>2020</v>
      </c>
      <c r="AH9" s="180"/>
      <c r="AI9" s="181"/>
      <c r="AJ9" s="179">
        <v>2020</v>
      </c>
      <c r="AK9" s="180"/>
      <c r="AL9" s="181"/>
      <c r="AM9" s="5"/>
    </row>
    <row r="10" spans="1:45" s="7" customFormat="1" ht="15.75" x14ac:dyDescent="0.25">
      <c r="A10" s="143">
        <v>1</v>
      </c>
      <c r="B10" s="143">
        <v>2</v>
      </c>
      <c r="C10" s="143">
        <v>3</v>
      </c>
      <c r="D10" s="143">
        <v>4</v>
      </c>
      <c r="E10" s="146">
        <v>5</v>
      </c>
      <c r="F10" s="173"/>
      <c r="G10" s="147"/>
      <c r="H10" s="146">
        <v>6</v>
      </c>
      <c r="I10" s="173"/>
      <c r="J10" s="147"/>
      <c r="K10" s="170">
        <v>7</v>
      </c>
      <c r="L10" s="171"/>
      <c r="M10" s="172"/>
      <c r="N10" s="170">
        <v>8</v>
      </c>
      <c r="O10" s="171"/>
      <c r="P10" s="172"/>
      <c r="Q10" s="170">
        <v>9</v>
      </c>
      <c r="R10" s="171"/>
      <c r="S10" s="172"/>
      <c r="T10" s="170">
        <v>10</v>
      </c>
      <c r="U10" s="171"/>
      <c r="V10" s="172"/>
      <c r="W10" s="170">
        <v>11</v>
      </c>
      <c r="X10" s="171"/>
      <c r="Y10" s="172"/>
      <c r="Z10" s="132">
        <v>12</v>
      </c>
      <c r="AA10" s="133"/>
      <c r="AB10" s="133"/>
      <c r="AC10" s="133"/>
      <c r="AD10" s="133"/>
      <c r="AE10" s="133"/>
      <c r="AF10" s="134"/>
      <c r="AG10" s="132">
        <v>13</v>
      </c>
      <c r="AH10" s="133"/>
      <c r="AI10" s="134"/>
      <c r="AJ10" s="132">
        <v>14</v>
      </c>
      <c r="AK10" s="133"/>
      <c r="AL10" s="134"/>
      <c r="AM10" s="6">
        <v>15</v>
      </c>
    </row>
    <row r="11" spans="1:45" s="7" customFormat="1" ht="87" customHeight="1" x14ac:dyDescent="0.2">
      <c r="A11" s="145"/>
      <c r="B11" s="145"/>
      <c r="C11" s="145"/>
      <c r="D11" s="145"/>
      <c r="E11" s="139" t="s">
        <v>18</v>
      </c>
      <c r="F11" s="140"/>
      <c r="G11" s="144" t="s">
        <v>19</v>
      </c>
      <c r="H11" s="139" t="s">
        <v>18</v>
      </c>
      <c r="I11" s="140"/>
      <c r="J11" s="144" t="s">
        <v>19</v>
      </c>
      <c r="K11" s="139" t="s">
        <v>18</v>
      </c>
      <c r="L11" s="140"/>
      <c r="M11" s="143" t="s">
        <v>19</v>
      </c>
      <c r="N11" s="139" t="s">
        <v>18</v>
      </c>
      <c r="O11" s="140"/>
      <c r="P11" s="143" t="s">
        <v>19</v>
      </c>
      <c r="Q11" s="139" t="s">
        <v>18</v>
      </c>
      <c r="R11" s="140"/>
      <c r="S11" s="143" t="s">
        <v>19</v>
      </c>
      <c r="T11" s="139" t="s">
        <v>18</v>
      </c>
      <c r="U11" s="140"/>
      <c r="V11" s="143" t="s">
        <v>19</v>
      </c>
      <c r="W11" s="139" t="s">
        <v>18</v>
      </c>
      <c r="X11" s="140"/>
      <c r="Y11" s="143" t="s">
        <v>19</v>
      </c>
      <c r="Z11" s="146" t="s">
        <v>20</v>
      </c>
      <c r="AA11" s="147"/>
      <c r="AB11" s="146" t="s">
        <v>286</v>
      </c>
      <c r="AC11" s="147"/>
      <c r="AD11" s="8" t="s">
        <v>21</v>
      </c>
      <c r="AE11" s="146" t="s">
        <v>287</v>
      </c>
      <c r="AF11" s="147"/>
      <c r="AG11" s="146" t="s">
        <v>22</v>
      </c>
      <c r="AH11" s="147"/>
      <c r="AI11" s="8" t="s">
        <v>23</v>
      </c>
      <c r="AJ11" s="146" t="s">
        <v>24</v>
      </c>
      <c r="AK11" s="147"/>
      <c r="AL11" s="8" t="s">
        <v>25</v>
      </c>
      <c r="AM11" s="9"/>
    </row>
    <row r="12" spans="1:45" s="7" customFormat="1" ht="15.75" x14ac:dyDescent="0.2">
      <c r="A12" s="144"/>
      <c r="B12" s="144"/>
      <c r="C12" s="144"/>
      <c r="D12" s="144"/>
      <c r="E12" s="141"/>
      <c r="F12" s="142"/>
      <c r="G12" s="169"/>
      <c r="H12" s="141"/>
      <c r="I12" s="142"/>
      <c r="J12" s="169"/>
      <c r="K12" s="141"/>
      <c r="L12" s="142"/>
      <c r="M12" s="144"/>
      <c r="N12" s="141"/>
      <c r="O12" s="142"/>
      <c r="P12" s="144"/>
      <c r="Q12" s="141"/>
      <c r="R12" s="142"/>
      <c r="S12" s="144"/>
      <c r="T12" s="141"/>
      <c r="U12" s="142"/>
      <c r="V12" s="144"/>
      <c r="W12" s="141"/>
      <c r="X12" s="142"/>
      <c r="Y12" s="144"/>
      <c r="Z12" s="141" t="s">
        <v>18</v>
      </c>
      <c r="AA12" s="142"/>
      <c r="AB12" s="141" t="s">
        <v>18</v>
      </c>
      <c r="AC12" s="142"/>
      <c r="AD12" s="10" t="s">
        <v>19</v>
      </c>
      <c r="AE12" s="141" t="s">
        <v>19</v>
      </c>
      <c r="AF12" s="142"/>
      <c r="AG12" s="141" t="s">
        <v>18</v>
      </c>
      <c r="AH12" s="142"/>
      <c r="AI12" s="10" t="s">
        <v>19</v>
      </c>
      <c r="AJ12" s="141" t="s">
        <v>18</v>
      </c>
      <c r="AK12" s="142"/>
      <c r="AL12" s="10" t="s">
        <v>19</v>
      </c>
      <c r="AM12" s="120"/>
    </row>
    <row r="13" spans="1:45" ht="15" hidden="1" customHeight="1" x14ac:dyDescent="0.2">
      <c r="A13" s="157"/>
      <c r="B13" s="160" t="s">
        <v>26</v>
      </c>
      <c r="C13" s="148" t="s">
        <v>27</v>
      </c>
      <c r="D13" s="160" t="s">
        <v>28</v>
      </c>
      <c r="E13" s="163" t="s">
        <v>29</v>
      </c>
      <c r="F13" s="164"/>
      <c r="G13" s="157"/>
      <c r="H13" s="163" t="s">
        <v>30</v>
      </c>
      <c r="I13" s="164"/>
      <c r="J13" s="148" t="s">
        <v>31</v>
      </c>
      <c r="K13" s="151" t="s">
        <v>32</v>
      </c>
      <c r="L13" s="152"/>
      <c r="M13" s="148" t="s">
        <v>33</v>
      </c>
      <c r="N13" s="151" t="s">
        <v>34</v>
      </c>
      <c r="O13" s="152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  <c r="AB13" s="11"/>
      <c r="AC13" s="113"/>
      <c r="AD13" s="11"/>
      <c r="AE13" s="11"/>
      <c r="AF13" s="113"/>
      <c r="AG13" s="11"/>
      <c r="AH13" s="12"/>
      <c r="AI13" s="11"/>
      <c r="AJ13" s="11"/>
      <c r="AK13" s="12"/>
      <c r="AL13" s="11"/>
      <c r="AM13" s="13"/>
    </row>
    <row r="14" spans="1:45" ht="15" hidden="1" customHeight="1" x14ac:dyDescent="0.2">
      <c r="A14" s="158"/>
      <c r="B14" s="161"/>
      <c r="C14" s="149"/>
      <c r="D14" s="161"/>
      <c r="E14" s="165"/>
      <c r="F14" s="166"/>
      <c r="G14" s="158"/>
      <c r="H14" s="165"/>
      <c r="I14" s="166"/>
      <c r="J14" s="149"/>
      <c r="K14" s="153"/>
      <c r="L14" s="154"/>
      <c r="M14" s="149"/>
      <c r="N14" s="153"/>
      <c r="O14" s="15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14"/>
      <c r="AC14" s="114"/>
      <c r="AD14" s="14"/>
      <c r="AE14" s="14"/>
      <c r="AF14" s="114"/>
      <c r="AG14" s="14"/>
      <c r="AH14" s="15"/>
      <c r="AI14" s="14"/>
      <c r="AJ14" s="14"/>
      <c r="AK14" s="15"/>
      <c r="AL14" s="14"/>
      <c r="AM14" s="13"/>
    </row>
    <row r="15" spans="1:45" ht="15" hidden="1" customHeight="1" x14ac:dyDescent="0.2">
      <c r="A15" s="159"/>
      <c r="B15" s="162"/>
      <c r="C15" s="150"/>
      <c r="D15" s="162"/>
      <c r="E15" s="167"/>
      <c r="F15" s="168"/>
      <c r="G15" s="159"/>
      <c r="H15" s="167"/>
      <c r="I15" s="168"/>
      <c r="J15" s="150"/>
      <c r="K15" s="155"/>
      <c r="L15" s="156"/>
      <c r="M15" s="150"/>
      <c r="N15" s="155"/>
      <c r="O15" s="15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6"/>
      <c r="AC15" s="115"/>
      <c r="AD15" s="16"/>
      <c r="AE15" s="16"/>
      <c r="AF15" s="115"/>
      <c r="AG15" s="16"/>
      <c r="AH15" s="17"/>
      <c r="AI15" s="16"/>
      <c r="AJ15" s="16"/>
      <c r="AK15" s="17"/>
      <c r="AL15" s="16"/>
      <c r="AM15" s="13"/>
    </row>
    <row r="16" spans="1:45" ht="122.25" customHeight="1" x14ac:dyDescent="0.2">
      <c r="A16" s="53">
        <v>1</v>
      </c>
      <c r="B16" s="19" t="s">
        <v>35</v>
      </c>
      <c r="C16" s="54" t="s">
        <v>36</v>
      </c>
      <c r="D16" s="21" t="s">
        <v>220</v>
      </c>
      <c r="E16" s="50">
        <v>89.06</v>
      </c>
      <c r="F16" s="51" t="s">
        <v>74</v>
      </c>
      <c r="G16" s="83">
        <f>SUM(G18:G19)</f>
        <v>79650000</v>
      </c>
      <c r="H16" s="50">
        <v>81.66</v>
      </c>
      <c r="I16" s="51" t="s">
        <v>74</v>
      </c>
      <c r="J16" s="83">
        <f>SUM(J18:J19)</f>
        <v>13900000</v>
      </c>
      <c r="K16" s="50">
        <v>82.55</v>
      </c>
      <c r="L16" s="51" t="s">
        <v>74</v>
      </c>
      <c r="M16" s="83">
        <f>SUM(M18:M19)</f>
        <v>9184775</v>
      </c>
      <c r="N16" s="50">
        <v>0.17</v>
      </c>
      <c r="O16" s="51" t="s">
        <v>74</v>
      </c>
      <c r="P16" s="83">
        <f>SUM(P18:P19)</f>
        <v>2740000</v>
      </c>
      <c r="Q16" s="64">
        <v>0</v>
      </c>
      <c r="R16" s="51" t="s">
        <v>74</v>
      </c>
      <c r="S16" s="83">
        <f>SUM(S18:S19)</f>
        <v>0</v>
      </c>
      <c r="T16" s="64">
        <v>0</v>
      </c>
      <c r="U16" s="51" t="s">
        <v>74</v>
      </c>
      <c r="V16" s="83">
        <f>SUM(V18:V19)</f>
        <v>0</v>
      </c>
      <c r="W16" s="64">
        <v>0</v>
      </c>
      <c r="X16" s="51" t="s">
        <v>74</v>
      </c>
      <c r="Y16" s="83">
        <f>SUM(Y18:Y19)</f>
        <v>3955000</v>
      </c>
      <c r="Z16" s="66">
        <f>N16+Q16+T16+W16</f>
        <v>0.17</v>
      </c>
      <c r="AA16" s="51" t="s">
        <v>74</v>
      </c>
      <c r="AB16" s="66">
        <f>AG16/K16*100</f>
        <v>99.127801332525749</v>
      </c>
      <c r="AC16" s="75" t="s">
        <v>80</v>
      </c>
      <c r="AD16" s="84">
        <f>P16+S16+V16+Y16</f>
        <v>6695000</v>
      </c>
      <c r="AE16" s="86">
        <f>AD16/M16*100</f>
        <v>72.892368076517926</v>
      </c>
      <c r="AF16" s="53" t="s">
        <v>80</v>
      </c>
      <c r="AG16" s="66">
        <f>H16+Z16</f>
        <v>81.83</v>
      </c>
      <c r="AH16" s="51" t="s">
        <v>74</v>
      </c>
      <c r="AI16" s="84">
        <f>J16+AD16</f>
        <v>20595000</v>
      </c>
      <c r="AJ16" s="66">
        <f>AG16/E16*100</f>
        <v>91.881877386031888</v>
      </c>
      <c r="AK16" s="75" t="s">
        <v>80</v>
      </c>
      <c r="AL16" s="86">
        <f>AI16/G16*100</f>
        <v>25.856873822975519</v>
      </c>
      <c r="AM16" s="27" t="s">
        <v>83</v>
      </c>
      <c r="AP16" s="28">
        <f t="shared" ref="AP16:AP24" si="0">P16+S16+V16+Y16</f>
        <v>6695000</v>
      </c>
    </row>
    <row r="17" spans="1:42" ht="120" customHeight="1" x14ac:dyDescent="0.2">
      <c r="A17" s="18"/>
      <c r="B17" s="19"/>
      <c r="C17" s="20"/>
      <c r="D17" s="21" t="s">
        <v>221</v>
      </c>
      <c r="E17" s="50">
        <v>100</v>
      </c>
      <c r="F17" s="51" t="s">
        <v>80</v>
      </c>
      <c r="G17" s="46"/>
      <c r="H17" s="50">
        <v>100</v>
      </c>
      <c r="I17" s="51" t="s">
        <v>80</v>
      </c>
      <c r="J17" s="46"/>
      <c r="K17" s="50">
        <v>100</v>
      </c>
      <c r="L17" s="51" t="s">
        <v>80</v>
      </c>
      <c r="M17" s="46"/>
      <c r="N17" s="64">
        <f>N19/K19*100</f>
        <v>33.333333333333329</v>
      </c>
      <c r="O17" s="51" t="s">
        <v>80</v>
      </c>
      <c r="P17" s="46"/>
      <c r="Q17" s="64">
        <f>Q19/K19*100</f>
        <v>25</v>
      </c>
      <c r="R17" s="51" t="s">
        <v>80</v>
      </c>
      <c r="S17" s="46"/>
      <c r="T17" s="64">
        <f>T19/K19*100</f>
        <v>33.333333333333329</v>
      </c>
      <c r="U17" s="51" t="s">
        <v>80</v>
      </c>
      <c r="V17" s="46"/>
      <c r="W17" s="64">
        <f>W19/K19*100</f>
        <v>8.3333333333333321</v>
      </c>
      <c r="X17" s="51" t="s">
        <v>80</v>
      </c>
      <c r="Y17" s="46"/>
      <c r="Z17" s="66">
        <f>N17+Q17+T17+W17</f>
        <v>99.999999999999986</v>
      </c>
      <c r="AA17" s="51" t="s">
        <v>80</v>
      </c>
      <c r="AB17" s="66">
        <f>Z17/K17*100</f>
        <v>99.999999999999986</v>
      </c>
      <c r="AC17" s="75" t="s">
        <v>80</v>
      </c>
      <c r="AD17" s="85"/>
      <c r="AE17" s="87"/>
      <c r="AF17" s="119"/>
      <c r="AG17" s="66">
        <f>H17+Z17</f>
        <v>200</v>
      </c>
      <c r="AH17" s="51" t="s">
        <v>80</v>
      </c>
      <c r="AI17" s="85"/>
      <c r="AJ17" s="66">
        <f>AG17/E17*100</f>
        <v>200</v>
      </c>
      <c r="AK17" s="75" t="s">
        <v>80</v>
      </c>
      <c r="AL17" s="87"/>
      <c r="AM17" s="27"/>
      <c r="AP17" s="28"/>
    </row>
    <row r="18" spans="1:42" ht="75" x14ac:dyDescent="0.2">
      <c r="A18" s="18"/>
      <c r="B18" s="19"/>
      <c r="C18" s="29" t="s">
        <v>38</v>
      </c>
      <c r="D18" s="33" t="s">
        <v>227</v>
      </c>
      <c r="E18" s="22">
        <f>15*5</f>
        <v>75</v>
      </c>
      <c r="F18" s="23" t="s">
        <v>75</v>
      </c>
      <c r="G18" s="55">
        <f>10430000*5</f>
        <v>52150000</v>
      </c>
      <c r="H18" s="49">
        <v>15</v>
      </c>
      <c r="I18" s="23" t="s">
        <v>75</v>
      </c>
      <c r="J18" s="25">
        <v>8400000</v>
      </c>
      <c r="K18" s="22">
        <v>15</v>
      </c>
      <c r="L18" s="23" t="s">
        <v>75</v>
      </c>
      <c r="M18" s="26">
        <v>3580000</v>
      </c>
      <c r="N18" s="22">
        <v>6</v>
      </c>
      <c r="O18" s="23" t="s">
        <v>75</v>
      </c>
      <c r="P18" s="26">
        <v>1365000</v>
      </c>
      <c r="Q18" s="22">
        <v>3</v>
      </c>
      <c r="R18" s="23" t="s">
        <v>75</v>
      </c>
      <c r="S18" s="26">
        <v>0</v>
      </c>
      <c r="T18" s="22">
        <v>3</v>
      </c>
      <c r="U18" s="23" t="s">
        <v>75</v>
      </c>
      <c r="V18" s="26">
        <v>0</v>
      </c>
      <c r="W18" s="22">
        <v>3</v>
      </c>
      <c r="X18" s="23" t="s">
        <v>75</v>
      </c>
      <c r="Y18" s="26">
        <v>2215000</v>
      </c>
      <c r="Z18" s="72">
        <f>N18+Q18+T18+W18</f>
        <v>15</v>
      </c>
      <c r="AA18" s="23" t="s">
        <v>75</v>
      </c>
      <c r="AB18" s="71">
        <f>Z18/K18*100</f>
        <v>100</v>
      </c>
      <c r="AC18" s="39" t="s">
        <v>80</v>
      </c>
      <c r="AD18" s="45">
        <f>P18+S18+V18+Y18</f>
        <v>3580000</v>
      </c>
      <c r="AE18" s="71">
        <f>AD18/M18*100</f>
        <v>100</v>
      </c>
      <c r="AF18" s="39" t="s">
        <v>80</v>
      </c>
      <c r="AG18" s="72">
        <f>H18+Z18</f>
        <v>30</v>
      </c>
      <c r="AH18" s="23" t="s">
        <v>75</v>
      </c>
      <c r="AI18" s="45">
        <f>J18+AD18</f>
        <v>11980000</v>
      </c>
      <c r="AJ18" s="71">
        <f>AG18/E18*100</f>
        <v>40</v>
      </c>
      <c r="AK18" s="39" t="s">
        <v>80</v>
      </c>
      <c r="AL18" s="71">
        <f>AI18/G18*100</f>
        <v>22.972195589645253</v>
      </c>
      <c r="AM18" s="13"/>
      <c r="AP18" s="28"/>
    </row>
    <row r="19" spans="1:42" ht="90" x14ac:dyDescent="0.2">
      <c r="A19" s="18"/>
      <c r="B19" s="19"/>
      <c r="C19" s="29" t="s">
        <v>37</v>
      </c>
      <c r="D19" s="33" t="s">
        <v>228</v>
      </c>
      <c r="E19" s="22">
        <f>12*5</f>
        <v>60</v>
      </c>
      <c r="F19" s="23" t="s">
        <v>75</v>
      </c>
      <c r="G19" s="55">
        <f>5500000*5</f>
        <v>27500000</v>
      </c>
      <c r="H19" s="49">
        <v>12</v>
      </c>
      <c r="I19" s="23" t="s">
        <v>75</v>
      </c>
      <c r="J19" s="25">
        <v>5500000</v>
      </c>
      <c r="K19" s="22">
        <v>12</v>
      </c>
      <c r="L19" s="23" t="s">
        <v>75</v>
      </c>
      <c r="M19" s="26">
        <v>5604775</v>
      </c>
      <c r="N19" s="22">
        <v>4</v>
      </c>
      <c r="O19" s="23" t="s">
        <v>75</v>
      </c>
      <c r="P19" s="26">
        <v>1375000</v>
      </c>
      <c r="Q19" s="22">
        <v>3</v>
      </c>
      <c r="R19" s="23" t="s">
        <v>75</v>
      </c>
      <c r="S19" s="26">
        <v>0</v>
      </c>
      <c r="T19" s="22">
        <v>4</v>
      </c>
      <c r="U19" s="23" t="s">
        <v>75</v>
      </c>
      <c r="V19" s="26">
        <v>0</v>
      </c>
      <c r="W19" s="22">
        <v>1</v>
      </c>
      <c r="X19" s="23" t="s">
        <v>75</v>
      </c>
      <c r="Y19" s="26">
        <v>1740000</v>
      </c>
      <c r="Z19" s="72">
        <f t="shared" ref="Z19:Z129" si="1">N19+Q19+T19+W19</f>
        <v>12</v>
      </c>
      <c r="AA19" s="23" t="s">
        <v>75</v>
      </c>
      <c r="AB19" s="71">
        <f>Z19/K19*100</f>
        <v>100</v>
      </c>
      <c r="AC19" s="39" t="s">
        <v>80</v>
      </c>
      <c r="AD19" s="45">
        <f>P19+S19+V19+Y19</f>
        <v>3115000</v>
      </c>
      <c r="AE19" s="71">
        <f>AD19/M19*100</f>
        <v>55.577610162763001</v>
      </c>
      <c r="AF19" s="39" t="s">
        <v>80</v>
      </c>
      <c r="AG19" s="72">
        <f t="shared" ref="AG19:AG129" si="2">H19+Z19</f>
        <v>24</v>
      </c>
      <c r="AH19" s="23" t="s">
        <v>75</v>
      </c>
      <c r="AI19" s="45">
        <f t="shared" ref="AI19:AI130" si="3">J19+AD19</f>
        <v>8615000</v>
      </c>
      <c r="AJ19" s="71">
        <f>AG19/E19*100</f>
        <v>40</v>
      </c>
      <c r="AK19" s="39" t="s">
        <v>80</v>
      </c>
      <c r="AL19" s="71">
        <f t="shared" ref="AL19:AL130" si="4">AI19/G19*100</f>
        <v>31.327272727272724</v>
      </c>
      <c r="AM19" s="13"/>
      <c r="AP19" s="28"/>
    </row>
    <row r="20" spans="1:42" ht="85.5" customHeight="1" x14ac:dyDescent="0.2">
      <c r="A20" s="53">
        <v>2</v>
      </c>
      <c r="B20" s="54" t="s">
        <v>39</v>
      </c>
      <c r="C20" s="19" t="s">
        <v>40</v>
      </c>
      <c r="D20" s="20" t="s">
        <v>229</v>
      </c>
      <c r="E20" s="59">
        <v>100</v>
      </c>
      <c r="F20" s="60" t="s">
        <v>80</v>
      </c>
      <c r="G20" s="46">
        <f>SUM(G21:G26)</f>
        <v>10305561000</v>
      </c>
      <c r="H20" s="59">
        <v>100</v>
      </c>
      <c r="I20" s="60" t="s">
        <v>80</v>
      </c>
      <c r="J20" s="46">
        <f>SUM(J21:J26)</f>
        <v>1142296071</v>
      </c>
      <c r="K20" s="59">
        <v>100</v>
      </c>
      <c r="L20" s="60" t="s">
        <v>80</v>
      </c>
      <c r="M20" s="46">
        <f>SUM(M21:M26)</f>
        <v>7692262127</v>
      </c>
      <c r="N20" s="59">
        <v>25</v>
      </c>
      <c r="O20" s="60" t="s">
        <v>80</v>
      </c>
      <c r="P20" s="46">
        <f>SUM(P21:P26)</f>
        <v>1116907320</v>
      </c>
      <c r="Q20" s="59">
        <v>25</v>
      </c>
      <c r="R20" s="60" t="s">
        <v>80</v>
      </c>
      <c r="S20" s="46">
        <f>SUM(S21:S26)</f>
        <v>1247565635</v>
      </c>
      <c r="T20" s="59">
        <v>25</v>
      </c>
      <c r="U20" s="60" t="s">
        <v>80</v>
      </c>
      <c r="V20" s="46">
        <f>SUM(V21:V26)</f>
        <v>1238864405</v>
      </c>
      <c r="W20" s="59">
        <v>25</v>
      </c>
      <c r="X20" s="60" t="s">
        <v>80</v>
      </c>
      <c r="Y20" s="46">
        <f>SUM(Y21:Y26)</f>
        <v>1656790951</v>
      </c>
      <c r="Z20" s="73">
        <f t="shared" si="1"/>
        <v>100</v>
      </c>
      <c r="AA20" s="60" t="s">
        <v>80</v>
      </c>
      <c r="AB20" s="66">
        <f>Z20/K20*100</f>
        <v>100</v>
      </c>
      <c r="AC20" s="75" t="s">
        <v>80</v>
      </c>
      <c r="AD20" s="74">
        <f t="shared" ref="AD20:AD129" si="5">P20+S20+V20+Y20</f>
        <v>5260128311</v>
      </c>
      <c r="AE20" s="66">
        <f>AD20/M20*100</f>
        <v>68.38207310352621</v>
      </c>
      <c r="AF20" s="75" t="s">
        <v>80</v>
      </c>
      <c r="AG20" s="73">
        <f t="shared" si="2"/>
        <v>200</v>
      </c>
      <c r="AH20" s="60" t="s">
        <v>80</v>
      </c>
      <c r="AI20" s="74">
        <f t="shared" si="3"/>
        <v>6402424382</v>
      </c>
      <c r="AJ20" s="66">
        <f t="shared" ref="AJ20:AJ130" si="6">AG20/E20*100</f>
        <v>200</v>
      </c>
      <c r="AK20" s="75" t="s">
        <v>80</v>
      </c>
      <c r="AL20" s="66">
        <f t="shared" si="4"/>
        <v>62.125918055310137</v>
      </c>
      <c r="AM20" s="13"/>
      <c r="AP20" s="28"/>
    </row>
    <row r="21" spans="1:42" ht="89.25" customHeight="1" x14ac:dyDescent="0.2">
      <c r="A21" s="18"/>
      <c r="B21" s="19"/>
      <c r="C21" s="33" t="s">
        <v>41</v>
      </c>
      <c r="D21" s="29" t="s">
        <v>230</v>
      </c>
      <c r="E21" s="22">
        <f>12*5</f>
        <v>60</v>
      </c>
      <c r="F21" s="30" t="s">
        <v>77</v>
      </c>
      <c r="G21" s="61">
        <f>270412200*5</f>
        <v>1352061000</v>
      </c>
      <c r="H21" s="48">
        <v>12</v>
      </c>
      <c r="I21" s="30" t="s">
        <v>77</v>
      </c>
      <c r="J21" s="31">
        <v>125779190</v>
      </c>
      <c r="K21" s="48">
        <v>12</v>
      </c>
      <c r="L21" s="30" t="s">
        <v>77</v>
      </c>
      <c r="M21" s="32">
        <v>63264000</v>
      </c>
      <c r="N21" s="49">
        <v>3</v>
      </c>
      <c r="O21" s="30" t="s">
        <v>77</v>
      </c>
      <c r="P21" s="32">
        <v>10146250</v>
      </c>
      <c r="Q21" s="49">
        <v>3</v>
      </c>
      <c r="R21" s="30" t="s">
        <v>77</v>
      </c>
      <c r="S21" s="32">
        <v>6582250</v>
      </c>
      <c r="T21" s="49">
        <v>3</v>
      </c>
      <c r="U21" s="30" t="s">
        <v>77</v>
      </c>
      <c r="V21" s="32">
        <v>10855750</v>
      </c>
      <c r="W21" s="49">
        <v>3</v>
      </c>
      <c r="X21" s="30" t="s">
        <v>77</v>
      </c>
      <c r="Y21" s="32">
        <v>30120000</v>
      </c>
      <c r="Z21" s="72">
        <f t="shared" si="1"/>
        <v>12</v>
      </c>
      <c r="AA21" s="30" t="s">
        <v>77</v>
      </c>
      <c r="AB21" s="71">
        <f>Z21/K21*100</f>
        <v>100</v>
      </c>
      <c r="AC21" s="39" t="s">
        <v>80</v>
      </c>
      <c r="AD21" s="45">
        <f t="shared" si="5"/>
        <v>57704250</v>
      </c>
      <c r="AE21" s="71">
        <f>AD21/M21*100</f>
        <v>91.211826631259484</v>
      </c>
      <c r="AF21" s="39" t="s">
        <v>80</v>
      </c>
      <c r="AG21" s="72">
        <f t="shared" si="2"/>
        <v>24</v>
      </c>
      <c r="AH21" s="30" t="s">
        <v>77</v>
      </c>
      <c r="AI21" s="45">
        <f t="shared" si="3"/>
        <v>183483440</v>
      </c>
      <c r="AJ21" s="71">
        <f t="shared" si="6"/>
        <v>40</v>
      </c>
      <c r="AK21" s="39" t="s">
        <v>80</v>
      </c>
      <c r="AL21" s="71">
        <f t="shared" si="4"/>
        <v>13.570648069872588</v>
      </c>
      <c r="AM21" s="34"/>
      <c r="AP21" s="28">
        <f t="shared" si="0"/>
        <v>57704250</v>
      </c>
    </row>
    <row r="22" spans="1:42" ht="102" customHeight="1" x14ac:dyDescent="0.2">
      <c r="A22" s="18"/>
      <c r="B22" s="19"/>
      <c r="C22" s="33" t="s">
        <v>42</v>
      </c>
      <c r="D22" s="29" t="s">
        <v>230</v>
      </c>
      <c r="E22" s="22">
        <f>12*5</f>
        <v>60</v>
      </c>
      <c r="F22" s="23" t="s">
        <v>77</v>
      </c>
      <c r="G22" s="55">
        <f>275100000*5</f>
        <v>1375500000</v>
      </c>
      <c r="H22" s="49">
        <v>12</v>
      </c>
      <c r="I22" s="23" t="s">
        <v>77</v>
      </c>
      <c r="J22" s="25">
        <v>458046368</v>
      </c>
      <c r="K22" s="49">
        <v>12</v>
      </c>
      <c r="L22" s="23" t="s">
        <v>77</v>
      </c>
      <c r="M22" s="26">
        <v>623760000</v>
      </c>
      <c r="N22" s="49">
        <v>3</v>
      </c>
      <c r="O22" s="23" t="s">
        <v>77</v>
      </c>
      <c r="P22" s="26">
        <v>110725557</v>
      </c>
      <c r="Q22" s="49">
        <v>3</v>
      </c>
      <c r="R22" s="23" t="s">
        <v>77</v>
      </c>
      <c r="S22" s="26">
        <v>122588985</v>
      </c>
      <c r="T22" s="49">
        <v>3</v>
      </c>
      <c r="U22" s="23" t="s">
        <v>77</v>
      </c>
      <c r="V22" s="26">
        <v>112997775</v>
      </c>
      <c r="W22" s="49">
        <v>3</v>
      </c>
      <c r="X22" s="23" t="s">
        <v>77</v>
      </c>
      <c r="Y22" s="26">
        <v>154409591</v>
      </c>
      <c r="Z22" s="72">
        <f t="shared" si="1"/>
        <v>12</v>
      </c>
      <c r="AA22" s="23" t="s">
        <v>77</v>
      </c>
      <c r="AB22" s="71">
        <f t="shared" ref="AB22:AB36" si="7">Z22/K22*100</f>
        <v>100</v>
      </c>
      <c r="AC22" s="39" t="s">
        <v>80</v>
      </c>
      <c r="AD22" s="45">
        <f t="shared" si="5"/>
        <v>500721908</v>
      </c>
      <c r="AE22" s="71">
        <f t="shared" ref="AE22:AE36" si="8">AD22/M22*100</f>
        <v>80.274770424522259</v>
      </c>
      <c r="AF22" s="39" t="s">
        <v>80</v>
      </c>
      <c r="AG22" s="72">
        <f t="shared" si="2"/>
        <v>24</v>
      </c>
      <c r="AH22" s="23" t="s">
        <v>77</v>
      </c>
      <c r="AI22" s="45">
        <f t="shared" si="3"/>
        <v>958768276</v>
      </c>
      <c r="AJ22" s="71">
        <f t="shared" si="6"/>
        <v>40</v>
      </c>
      <c r="AK22" s="39" t="s">
        <v>80</v>
      </c>
      <c r="AL22" s="71">
        <f t="shared" si="4"/>
        <v>69.703255252635415</v>
      </c>
      <c r="AM22" s="13"/>
      <c r="AP22" s="28">
        <f t="shared" si="0"/>
        <v>500721908</v>
      </c>
    </row>
    <row r="23" spans="1:42" ht="87" customHeight="1" x14ac:dyDescent="0.2">
      <c r="A23" s="18"/>
      <c r="B23" s="19"/>
      <c r="C23" s="124" t="s">
        <v>43</v>
      </c>
      <c r="D23" s="125" t="s">
        <v>230</v>
      </c>
      <c r="E23" s="22">
        <v>15</v>
      </c>
      <c r="F23" s="23" t="s">
        <v>78</v>
      </c>
      <c r="G23" s="55">
        <f>14000000*5</f>
        <v>70000000</v>
      </c>
      <c r="H23" s="49">
        <v>3</v>
      </c>
      <c r="I23" s="23" t="s">
        <v>78</v>
      </c>
      <c r="J23" s="25">
        <v>13987000</v>
      </c>
      <c r="K23" s="49">
        <v>3</v>
      </c>
      <c r="L23" s="23" t="s">
        <v>78</v>
      </c>
      <c r="M23" s="26">
        <v>0</v>
      </c>
      <c r="N23" s="49"/>
      <c r="O23" s="23"/>
      <c r="P23" s="26"/>
      <c r="Q23" s="49"/>
      <c r="R23" s="23"/>
      <c r="S23" s="26"/>
      <c r="T23" s="49"/>
      <c r="U23" s="23"/>
      <c r="V23" s="26"/>
      <c r="W23" s="49"/>
      <c r="X23" s="23"/>
      <c r="Y23" s="26"/>
      <c r="Z23" s="72"/>
      <c r="AA23" s="23"/>
      <c r="AB23" s="71"/>
      <c r="AC23" s="39"/>
      <c r="AD23" s="45"/>
      <c r="AE23" s="71"/>
      <c r="AF23" s="39"/>
      <c r="AG23" s="72">
        <f t="shared" si="2"/>
        <v>3</v>
      </c>
      <c r="AH23" s="23" t="s">
        <v>78</v>
      </c>
      <c r="AI23" s="45">
        <f t="shared" si="3"/>
        <v>13987000</v>
      </c>
      <c r="AJ23" s="71">
        <f t="shared" si="6"/>
        <v>20</v>
      </c>
      <c r="AK23" s="39" t="s">
        <v>80</v>
      </c>
      <c r="AL23" s="71">
        <f t="shared" si="4"/>
        <v>19.981428571428573</v>
      </c>
      <c r="AM23" s="13"/>
      <c r="AP23" s="28">
        <f t="shared" si="0"/>
        <v>0</v>
      </c>
    </row>
    <row r="24" spans="1:42" ht="60" x14ac:dyDescent="0.2">
      <c r="A24" s="18"/>
      <c r="B24" s="19"/>
      <c r="C24" s="33" t="s">
        <v>44</v>
      </c>
      <c r="D24" s="29" t="s">
        <v>230</v>
      </c>
      <c r="E24" s="22">
        <f>12*5</f>
        <v>60</v>
      </c>
      <c r="F24" s="23" t="s">
        <v>77</v>
      </c>
      <c r="G24" s="55">
        <f>7000000*5</f>
        <v>35000000</v>
      </c>
      <c r="H24" s="22">
        <v>12</v>
      </c>
      <c r="I24" s="23" t="s">
        <v>77</v>
      </c>
      <c r="J24" s="25">
        <v>0</v>
      </c>
      <c r="K24" s="22">
        <v>12</v>
      </c>
      <c r="L24" s="23" t="s">
        <v>77</v>
      </c>
      <c r="M24" s="26">
        <v>13300000</v>
      </c>
      <c r="N24" s="49">
        <v>3</v>
      </c>
      <c r="O24" s="23" t="s">
        <v>77</v>
      </c>
      <c r="P24" s="26">
        <v>525000</v>
      </c>
      <c r="Q24" s="49">
        <v>3</v>
      </c>
      <c r="R24" s="23" t="s">
        <v>77</v>
      </c>
      <c r="S24" s="26">
        <v>8100000</v>
      </c>
      <c r="T24" s="49">
        <v>3</v>
      </c>
      <c r="U24" s="23" t="s">
        <v>77</v>
      </c>
      <c r="V24" s="26">
        <v>0</v>
      </c>
      <c r="W24" s="49">
        <v>3</v>
      </c>
      <c r="X24" s="23" t="s">
        <v>77</v>
      </c>
      <c r="Y24" s="26">
        <v>4200000</v>
      </c>
      <c r="Z24" s="72">
        <f t="shared" si="1"/>
        <v>12</v>
      </c>
      <c r="AA24" s="23" t="s">
        <v>77</v>
      </c>
      <c r="AB24" s="71">
        <f t="shared" si="7"/>
        <v>100</v>
      </c>
      <c r="AC24" s="39" t="s">
        <v>80</v>
      </c>
      <c r="AD24" s="45">
        <f t="shared" si="5"/>
        <v>12825000</v>
      </c>
      <c r="AE24" s="71">
        <f t="shared" si="8"/>
        <v>96.428571428571431</v>
      </c>
      <c r="AF24" s="39" t="s">
        <v>80</v>
      </c>
      <c r="AG24" s="72">
        <f t="shared" si="2"/>
        <v>24</v>
      </c>
      <c r="AH24" s="23" t="s">
        <v>77</v>
      </c>
      <c r="AI24" s="45">
        <f t="shared" si="3"/>
        <v>12825000</v>
      </c>
      <c r="AJ24" s="71">
        <f t="shared" si="6"/>
        <v>40</v>
      </c>
      <c r="AK24" s="39" t="s">
        <v>80</v>
      </c>
      <c r="AL24" s="71">
        <f t="shared" si="4"/>
        <v>36.642857142857146</v>
      </c>
      <c r="AM24" s="13"/>
      <c r="AP24" s="28">
        <f t="shared" si="0"/>
        <v>12825000</v>
      </c>
    </row>
    <row r="25" spans="1:42" ht="110.25" customHeight="1" x14ac:dyDescent="0.2">
      <c r="A25" s="18"/>
      <c r="B25" s="19"/>
      <c r="C25" s="29" t="s">
        <v>45</v>
      </c>
      <c r="D25" s="29" t="s">
        <v>230</v>
      </c>
      <c r="E25" s="22">
        <f>12*5</f>
        <v>60</v>
      </c>
      <c r="F25" s="23" t="s">
        <v>77</v>
      </c>
      <c r="G25" s="55">
        <f>1000000000*4</f>
        <v>4000000000</v>
      </c>
      <c r="H25" s="22">
        <v>12</v>
      </c>
      <c r="I25" s="23" t="s">
        <v>77</v>
      </c>
      <c r="J25" s="25">
        <v>544483513</v>
      </c>
      <c r="K25" s="22">
        <v>12</v>
      </c>
      <c r="L25" s="23" t="s">
        <v>77</v>
      </c>
      <c r="M25" s="26">
        <v>6836517650</v>
      </c>
      <c r="N25" s="49">
        <v>3</v>
      </c>
      <c r="O25" s="23" t="s">
        <v>77</v>
      </c>
      <c r="P25" s="26">
        <v>925722400</v>
      </c>
      <c r="Q25" s="49">
        <v>3</v>
      </c>
      <c r="R25" s="23" t="s">
        <v>77</v>
      </c>
      <c r="S25" s="26">
        <v>1073774400</v>
      </c>
      <c r="T25" s="49">
        <v>3</v>
      </c>
      <c r="U25" s="23" t="s">
        <v>77</v>
      </c>
      <c r="V25" s="26">
        <v>1102980880</v>
      </c>
      <c r="W25" s="49">
        <v>3</v>
      </c>
      <c r="X25" s="23" t="s">
        <v>77</v>
      </c>
      <c r="Y25" s="26">
        <v>1448321360</v>
      </c>
      <c r="Z25" s="72">
        <f t="shared" si="1"/>
        <v>12</v>
      </c>
      <c r="AA25" s="23" t="s">
        <v>77</v>
      </c>
      <c r="AB25" s="71">
        <f t="shared" si="7"/>
        <v>100</v>
      </c>
      <c r="AC25" s="39" t="s">
        <v>80</v>
      </c>
      <c r="AD25" s="45">
        <f t="shared" si="5"/>
        <v>4550799040</v>
      </c>
      <c r="AE25" s="71">
        <f t="shared" si="8"/>
        <v>66.566039509895802</v>
      </c>
      <c r="AF25" s="39" t="s">
        <v>80</v>
      </c>
      <c r="AG25" s="72">
        <f t="shared" si="2"/>
        <v>24</v>
      </c>
      <c r="AH25" s="23" t="s">
        <v>77</v>
      </c>
      <c r="AI25" s="45">
        <f t="shared" si="3"/>
        <v>5095282553</v>
      </c>
      <c r="AJ25" s="71">
        <f t="shared" si="6"/>
        <v>40</v>
      </c>
      <c r="AK25" s="39" t="s">
        <v>80</v>
      </c>
      <c r="AL25" s="71">
        <f t="shared" si="4"/>
        <v>127.38206382499999</v>
      </c>
      <c r="AM25" s="13"/>
      <c r="AP25" s="28"/>
    </row>
    <row r="26" spans="1:42" ht="85.5" customHeight="1" x14ac:dyDescent="0.2">
      <c r="A26" s="18"/>
      <c r="B26" s="19"/>
      <c r="C26" s="29" t="s">
        <v>46</v>
      </c>
      <c r="D26" s="29" t="s">
        <v>230</v>
      </c>
      <c r="E26" s="22">
        <f>12*5</f>
        <v>60</v>
      </c>
      <c r="F26" s="23" t="s">
        <v>77</v>
      </c>
      <c r="G26" s="55">
        <f>694600000*5</f>
        <v>3473000000</v>
      </c>
      <c r="H26" s="22">
        <v>12</v>
      </c>
      <c r="I26" s="23" t="s">
        <v>77</v>
      </c>
      <c r="J26" s="25"/>
      <c r="K26" s="22">
        <v>12</v>
      </c>
      <c r="L26" s="23" t="s">
        <v>77</v>
      </c>
      <c r="M26" s="26">
        <v>155420477</v>
      </c>
      <c r="N26" s="49">
        <v>3</v>
      </c>
      <c r="O26" s="23" t="s">
        <v>77</v>
      </c>
      <c r="P26" s="26">
        <v>69788113</v>
      </c>
      <c r="Q26" s="49">
        <v>3</v>
      </c>
      <c r="R26" s="23" t="s">
        <v>77</v>
      </c>
      <c r="S26" s="26">
        <v>36520000</v>
      </c>
      <c r="T26" s="49">
        <v>3</v>
      </c>
      <c r="U26" s="23" t="s">
        <v>77</v>
      </c>
      <c r="V26" s="26">
        <v>12030000</v>
      </c>
      <c r="W26" s="49">
        <v>3</v>
      </c>
      <c r="X26" s="23" t="s">
        <v>77</v>
      </c>
      <c r="Y26" s="26">
        <v>19740000</v>
      </c>
      <c r="Z26" s="72">
        <f t="shared" si="1"/>
        <v>12</v>
      </c>
      <c r="AA26" s="23" t="s">
        <v>77</v>
      </c>
      <c r="AB26" s="71">
        <f t="shared" si="7"/>
        <v>100</v>
      </c>
      <c r="AC26" s="39" t="s">
        <v>80</v>
      </c>
      <c r="AD26" s="45">
        <f t="shared" si="5"/>
        <v>138078113</v>
      </c>
      <c r="AE26" s="71">
        <f t="shared" si="8"/>
        <v>88.84164793806417</v>
      </c>
      <c r="AF26" s="39" t="s">
        <v>80</v>
      </c>
      <c r="AG26" s="72">
        <f t="shared" si="2"/>
        <v>24</v>
      </c>
      <c r="AH26" s="23" t="s">
        <v>77</v>
      </c>
      <c r="AI26" s="45">
        <f t="shared" si="3"/>
        <v>138078113</v>
      </c>
      <c r="AJ26" s="71">
        <f t="shared" si="6"/>
        <v>40</v>
      </c>
      <c r="AK26" s="39" t="s">
        <v>80</v>
      </c>
      <c r="AL26" s="71">
        <f t="shared" si="4"/>
        <v>3.9757590843651021</v>
      </c>
      <c r="AM26" s="13"/>
      <c r="AP26" s="28"/>
    </row>
    <row r="27" spans="1:42" ht="97.5" customHeight="1" x14ac:dyDescent="0.2">
      <c r="A27" s="18"/>
      <c r="B27" s="19"/>
      <c r="C27" s="20" t="s">
        <v>47</v>
      </c>
      <c r="D27" s="20" t="s">
        <v>229</v>
      </c>
      <c r="E27" s="59">
        <v>100</v>
      </c>
      <c r="F27" s="60" t="s">
        <v>80</v>
      </c>
      <c r="G27" s="47">
        <f>SUM(G28:G33)</f>
        <v>2661380000</v>
      </c>
      <c r="H27" s="59">
        <v>100</v>
      </c>
      <c r="I27" s="60" t="s">
        <v>80</v>
      </c>
      <c r="J27" s="47">
        <f>SUM(J28:J33)</f>
        <v>943352600</v>
      </c>
      <c r="K27" s="59">
        <v>100</v>
      </c>
      <c r="L27" s="60" t="s">
        <v>80</v>
      </c>
      <c r="M27" s="47">
        <f>SUM(M28:M33)</f>
        <v>353193000</v>
      </c>
      <c r="N27" s="59">
        <v>25</v>
      </c>
      <c r="O27" s="60" t="s">
        <v>80</v>
      </c>
      <c r="P27" s="47">
        <f>SUM(P28:P33)</f>
        <v>36323563</v>
      </c>
      <c r="Q27" s="59">
        <v>25</v>
      </c>
      <c r="R27" s="60" t="s">
        <v>80</v>
      </c>
      <c r="S27" s="47">
        <f>SUM(S28:S33)</f>
        <v>81183899</v>
      </c>
      <c r="T27" s="59">
        <v>25</v>
      </c>
      <c r="U27" s="60" t="s">
        <v>80</v>
      </c>
      <c r="V27" s="47">
        <f>SUM(V28:V33)</f>
        <v>86825288</v>
      </c>
      <c r="W27" s="59">
        <v>25</v>
      </c>
      <c r="X27" s="60" t="s">
        <v>80</v>
      </c>
      <c r="Y27" s="47">
        <f>SUM(Y28:Y33)</f>
        <v>60629656</v>
      </c>
      <c r="Z27" s="73">
        <f t="shared" si="1"/>
        <v>100</v>
      </c>
      <c r="AA27" s="60" t="s">
        <v>80</v>
      </c>
      <c r="AB27" s="66">
        <f t="shared" si="7"/>
        <v>100</v>
      </c>
      <c r="AC27" s="75" t="s">
        <v>80</v>
      </c>
      <c r="AD27" s="74">
        <f t="shared" si="5"/>
        <v>264962406</v>
      </c>
      <c r="AE27" s="66">
        <f t="shared" si="8"/>
        <v>75.019155532527535</v>
      </c>
      <c r="AF27" s="75" t="s">
        <v>80</v>
      </c>
      <c r="AG27" s="73">
        <f t="shared" si="2"/>
        <v>200</v>
      </c>
      <c r="AH27" s="60" t="s">
        <v>80</v>
      </c>
      <c r="AI27" s="74">
        <f t="shared" si="3"/>
        <v>1208315006</v>
      </c>
      <c r="AJ27" s="66">
        <f t="shared" si="6"/>
        <v>200</v>
      </c>
      <c r="AK27" s="75" t="s">
        <v>80</v>
      </c>
      <c r="AL27" s="66">
        <f t="shared" si="4"/>
        <v>45.401821836791441</v>
      </c>
      <c r="AM27" s="13"/>
      <c r="AP27" s="28"/>
    </row>
    <row r="28" spans="1:42" ht="83.25" customHeight="1" x14ac:dyDescent="0.2">
      <c r="A28" s="18"/>
      <c r="B28" s="19"/>
      <c r="C28" s="29" t="s">
        <v>84</v>
      </c>
      <c r="D28" s="33" t="s">
        <v>88</v>
      </c>
      <c r="E28" s="22">
        <f>12*5</f>
        <v>60</v>
      </c>
      <c r="F28" s="23" t="s">
        <v>77</v>
      </c>
      <c r="G28" s="55">
        <v>661380000</v>
      </c>
      <c r="H28" s="22">
        <v>12</v>
      </c>
      <c r="I28" s="23" t="s">
        <v>77</v>
      </c>
      <c r="J28" s="25">
        <v>393260083</v>
      </c>
      <c r="K28" s="22">
        <v>12</v>
      </c>
      <c r="L28" s="23" t="s">
        <v>77</v>
      </c>
      <c r="M28" s="26">
        <v>56138000</v>
      </c>
      <c r="N28" s="22">
        <v>3</v>
      </c>
      <c r="O28" s="23" t="s">
        <v>77</v>
      </c>
      <c r="P28" s="26">
        <v>0</v>
      </c>
      <c r="Q28" s="22">
        <v>3</v>
      </c>
      <c r="R28" s="23" t="s">
        <v>77</v>
      </c>
      <c r="S28" s="26">
        <v>55910113</v>
      </c>
      <c r="T28" s="22">
        <v>3</v>
      </c>
      <c r="U28" s="23" t="s">
        <v>77</v>
      </c>
      <c r="V28" s="26">
        <v>0</v>
      </c>
      <c r="W28" s="22">
        <v>3</v>
      </c>
      <c r="X28" s="23" t="s">
        <v>77</v>
      </c>
      <c r="Y28" s="26">
        <v>0</v>
      </c>
      <c r="Z28" s="72">
        <f t="shared" si="1"/>
        <v>12</v>
      </c>
      <c r="AA28" s="23" t="s">
        <v>77</v>
      </c>
      <c r="AB28" s="71">
        <f t="shared" si="7"/>
        <v>100</v>
      </c>
      <c r="AC28" s="39" t="s">
        <v>80</v>
      </c>
      <c r="AD28" s="45">
        <f t="shared" si="5"/>
        <v>55910113</v>
      </c>
      <c r="AE28" s="71">
        <f t="shared" si="8"/>
        <v>99.594059282482448</v>
      </c>
      <c r="AF28" s="39" t="s">
        <v>80</v>
      </c>
      <c r="AG28" s="72">
        <f t="shared" si="2"/>
        <v>24</v>
      </c>
      <c r="AH28" s="23" t="s">
        <v>77</v>
      </c>
      <c r="AI28" s="45">
        <f t="shared" si="3"/>
        <v>449170196</v>
      </c>
      <c r="AJ28" s="71">
        <f t="shared" si="6"/>
        <v>40</v>
      </c>
      <c r="AK28" s="39" t="s">
        <v>80</v>
      </c>
      <c r="AL28" s="71">
        <f t="shared" si="4"/>
        <v>67.914088118781947</v>
      </c>
      <c r="AM28" s="13"/>
      <c r="AP28" s="28"/>
    </row>
    <row r="29" spans="1:42" ht="77.25" customHeight="1" x14ac:dyDescent="0.2">
      <c r="A29" s="18"/>
      <c r="B29" s="19"/>
      <c r="C29" s="125" t="s">
        <v>85</v>
      </c>
      <c r="D29" s="124" t="s">
        <v>89</v>
      </c>
      <c r="E29" s="22">
        <f>5*5</f>
        <v>25</v>
      </c>
      <c r="F29" s="23" t="s">
        <v>93</v>
      </c>
      <c r="G29" s="55">
        <f>50000000*5</f>
        <v>250000000</v>
      </c>
      <c r="H29" s="22">
        <v>5</v>
      </c>
      <c r="I29" s="23" t="s">
        <v>93</v>
      </c>
      <c r="J29" s="25">
        <v>49984000</v>
      </c>
      <c r="K29" s="22">
        <v>5</v>
      </c>
      <c r="L29" s="23" t="s">
        <v>93</v>
      </c>
      <c r="M29" s="26">
        <v>0</v>
      </c>
      <c r="N29" s="22"/>
      <c r="O29" s="23"/>
      <c r="P29" s="26"/>
      <c r="Q29" s="22"/>
      <c r="R29" s="23"/>
      <c r="S29" s="26"/>
      <c r="T29" s="22"/>
      <c r="U29" s="23"/>
      <c r="V29" s="26"/>
      <c r="W29" s="22"/>
      <c r="X29" s="23"/>
      <c r="Y29" s="26"/>
      <c r="Z29" s="72"/>
      <c r="AA29" s="23"/>
      <c r="AB29" s="71"/>
      <c r="AC29" s="39"/>
      <c r="AD29" s="45"/>
      <c r="AE29" s="71"/>
      <c r="AF29" s="39"/>
      <c r="AG29" s="72">
        <f t="shared" si="2"/>
        <v>5</v>
      </c>
      <c r="AH29" s="23" t="s">
        <v>93</v>
      </c>
      <c r="AI29" s="45">
        <f t="shared" si="3"/>
        <v>49984000</v>
      </c>
      <c r="AJ29" s="71">
        <f t="shared" si="6"/>
        <v>20</v>
      </c>
      <c r="AK29" s="39" t="s">
        <v>80</v>
      </c>
      <c r="AL29" s="71">
        <f t="shared" si="4"/>
        <v>19.993600000000001</v>
      </c>
      <c r="AM29" s="13"/>
      <c r="AP29" s="28"/>
    </row>
    <row r="30" spans="1:42" ht="77.25" customHeight="1" x14ac:dyDescent="0.2">
      <c r="A30" s="18"/>
      <c r="B30" s="19"/>
      <c r="C30" s="29" t="s">
        <v>86</v>
      </c>
      <c r="D30" s="33" t="s">
        <v>90</v>
      </c>
      <c r="E30" s="22">
        <f>2*5</f>
        <v>10</v>
      </c>
      <c r="F30" s="23" t="s">
        <v>93</v>
      </c>
      <c r="G30" s="55">
        <v>450000000</v>
      </c>
      <c r="H30" s="22">
        <v>2</v>
      </c>
      <c r="I30" s="23" t="s">
        <v>93</v>
      </c>
      <c r="J30" s="25">
        <v>385250000</v>
      </c>
      <c r="K30" s="22">
        <v>2</v>
      </c>
      <c r="L30" s="23" t="s">
        <v>93</v>
      </c>
      <c r="M30" s="26">
        <v>43030000</v>
      </c>
      <c r="N30" s="22">
        <v>1</v>
      </c>
      <c r="O30" s="23" t="s">
        <v>93</v>
      </c>
      <c r="P30" s="26">
        <v>26261000</v>
      </c>
      <c r="Q30" s="22">
        <v>1</v>
      </c>
      <c r="R30" s="23" t="s">
        <v>93</v>
      </c>
      <c r="S30" s="26">
        <v>16769000</v>
      </c>
      <c r="T30" s="22">
        <v>0</v>
      </c>
      <c r="U30" s="23" t="s">
        <v>93</v>
      </c>
      <c r="V30" s="26">
        <v>0</v>
      </c>
      <c r="W30" s="22">
        <v>0</v>
      </c>
      <c r="X30" s="23" t="s">
        <v>93</v>
      </c>
      <c r="Y30" s="26">
        <v>0</v>
      </c>
      <c r="Z30" s="72">
        <f t="shared" ref="Z30:Z33" si="9">N30+Q30+T30+W30</f>
        <v>2</v>
      </c>
      <c r="AA30" s="23" t="s">
        <v>93</v>
      </c>
      <c r="AB30" s="71">
        <f t="shared" si="7"/>
        <v>100</v>
      </c>
      <c r="AC30" s="39" t="s">
        <v>80</v>
      </c>
      <c r="AD30" s="45">
        <f t="shared" ref="AD30:AD33" si="10">P30+S30+V30+Y30</f>
        <v>43030000</v>
      </c>
      <c r="AE30" s="71">
        <f t="shared" si="8"/>
        <v>100</v>
      </c>
      <c r="AF30" s="39" t="s">
        <v>80</v>
      </c>
      <c r="AG30" s="72">
        <f t="shared" ref="AG30:AG33" si="11">H30+Z30</f>
        <v>4</v>
      </c>
      <c r="AH30" s="23" t="s">
        <v>93</v>
      </c>
      <c r="AI30" s="45">
        <f t="shared" ref="AI30:AI33" si="12">J30+AD30</f>
        <v>428280000</v>
      </c>
      <c r="AJ30" s="71">
        <f t="shared" ref="AJ30:AJ33" si="13">AG30/E30*100</f>
        <v>40</v>
      </c>
      <c r="AK30" s="39" t="s">
        <v>80</v>
      </c>
      <c r="AL30" s="71">
        <f t="shared" ref="AL30:AL33" si="14">AI30/G30*100</f>
        <v>95.173333333333332</v>
      </c>
      <c r="AM30" s="13"/>
      <c r="AP30" s="28"/>
    </row>
    <row r="31" spans="1:42" ht="77.25" customHeight="1" x14ac:dyDescent="0.2">
      <c r="A31" s="18"/>
      <c r="B31" s="19"/>
      <c r="C31" s="29" t="s">
        <v>48</v>
      </c>
      <c r="D31" s="33" t="s">
        <v>91</v>
      </c>
      <c r="E31" s="22">
        <f>12*5</f>
        <v>60</v>
      </c>
      <c r="F31" s="23" t="s">
        <v>77</v>
      </c>
      <c r="G31" s="55">
        <v>850000000</v>
      </c>
      <c r="H31" s="22">
        <v>12</v>
      </c>
      <c r="I31" s="23" t="s">
        <v>77</v>
      </c>
      <c r="J31" s="25">
        <v>102888517</v>
      </c>
      <c r="K31" s="22">
        <v>12</v>
      </c>
      <c r="L31" s="23" t="s">
        <v>77</v>
      </c>
      <c r="M31" s="26">
        <v>139500000</v>
      </c>
      <c r="N31" s="22">
        <v>3</v>
      </c>
      <c r="O31" s="23" t="s">
        <v>77</v>
      </c>
      <c r="P31" s="26">
        <v>10062563</v>
      </c>
      <c r="Q31" s="22">
        <v>3</v>
      </c>
      <c r="R31" s="23" t="s">
        <v>77</v>
      </c>
      <c r="S31" s="26">
        <v>8504786</v>
      </c>
      <c r="T31" s="22">
        <v>3</v>
      </c>
      <c r="U31" s="23" t="s">
        <v>77</v>
      </c>
      <c r="V31" s="26">
        <v>14748288</v>
      </c>
      <c r="W31" s="22">
        <v>3</v>
      </c>
      <c r="X31" s="23" t="s">
        <v>77</v>
      </c>
      <c r="Y31" s="26">
        <v>18939656</v>
      </c>
      <c r="Z31" s="72">
        <f t="shared" si="9"/>
        <v>12</v>
      </c>
      <c r="AA31" s="23" t="s">
        <v>77</v>
      </c>
      <c r="AB31" s="71">
        <f t="shared" si="7"/>
        <v>100</v>
      </c>
      <c r="AC31" s="39" t="s">
        <v>80</v>
      </c>
      <c r="AD31" s="45">
        <f t="shared" si="10"/>
        <v>52255293</v>
      </c>
      <c r="AE31" s="71">
        <f t="shared" si="8"/>
        <v>37.458991397849459</v>
      </c>
      <c r="AF31" s="39" t="s">
        <v>80</v>
      </c>
      <c r="AG31" s="72">
        <f t="shared" si="11"/>
        <v>24</v>
      </c>
      <c r="AH31" s="23" t="s">
        <v>77</v>
      </c>
      <c r="AI31" s="45">
        <f t="shared" si="12"/>
        <v>155143810</v>
      </c>
      <c r="AJ31" s="71">
        <f t="shared" si="13"/>
        <v>40</v>
      </c>
      <c r="AK31" s="39" t="s">
        <v>80</v>
      </c>
      <c r="AL31" s="71">
        <f t="shared" si="14"/>
        <v>18.25221294117647</v>
      </c>
      <c r="AM31" s="13"/>
      <c r="AP31" s="28"/>
    </row>
    <row r="32" spans="1:42" ht="77.25" customHeight="1" x14ac:dyDescent="0.2">
      <c r="A32" s="18"/>
      <c r="B32" s="19"/>
      <c r="C32" s="125" t="s">
        <v>49</v>
      </c>
      <c r="D32" s="124" t="s">
        <v>92</v>
      </c>
      <c r="E32" s="22">
        <f>12*5</f>
        <v>60</v>
      </c>
      <c r="F32" s="23" t="s">
        <v>77</v>
      </c>
      <c r="G32" s="55">
        <f>50000000*5</f>
        <v>250000000</v>
      </c>
      <c r="H32" s="22">
        <v>12</v>
      </c>
      <c r="I32" s="23" t="s">
        <v>77</v>
      </c>
      <c r="J32" s="25">
        <v>11970000</v>
      </c>
      <c r="K32" s="22">
        <v>12</v>
      </c>
      <c r="L32" s="23" t="s">
        <v>77</v>
      </c>
      <c r="M32" s="26">
        <v>0</v>
      </c>
      <c r="N32" s="22"/>
      <c r="O32" s="23"/>
      <c r="P32" s="26"/>
      <c r="Q32" s="22"/>
      <c r="R32" s="23"/>
      <c r="S32" s="26"/>
      <c r="T32" s="22"/>
      <c r="U32" s="23"/>
      <c r="V32" s="26"/>
      <c r="W32" s="22"/>
      <c r="X32" s="23"/>
      <c r="Y32" s="26"/>
      <c r="Z32" s="72"/>
      <c r="AA32" s="23"/>
      <c r="AB32" s="71"/>
      <c r="AC32" s="39"/>
      <c r="AD32" s="45"/>
      <c r="AE32" s="71"/>
      <c r="AF32" s="39"/>
      <c r="AG32" s="72">
        <f t="shared" si="11"/>
        <v>12</v>
      </c>
      <c r="AH32" s="23" t="s">
        <v>77</v>
      </c>
      <c r="AI32" s="45">
        <f t="shared" si="12"/>
        <v>11970000</v>
      </c>
      <c r="AJ32" s="71">
        <f t="shared" si="13"/>
        <v>20</v>
      </c>
      <c r="AK32" s="39" t="s">
        <v>80</v>
      </c>
      <c r="AL32" s="71">
        <f t="shared" si="14"/>
        <v>4.7880000000000003</v>
      </c>
      <c r="AM32" s="13"/>
      <c r="AP32" s="28"/>
    </row>
    <row r="33" spans="1:42" ht="77.25" customHeight="1" x14ac:dyDescent="0.2">
      <c r="A33" s="18"/>
      <c r="B33" s="19"/>
      <c r="C33" s="29" t="s">
        <v>87</v>
      </c>
      <c r="D33" s="33" t="s">
        <v>89</v>
      </c>
      <c r="E33" s="22">
        <f>2*4</f>
        <v>8</v>
      </c>
      <c r="F33" s="23" t="s">
        <v>93</v>
      </c>
      <c r="G33" s="55">
        <f>50000000*4</f>
        <v>200000000</v>
      </c>
      <c r="H33" s="22"/>
      <c r="I33" s="23"/>
      <c r="J33" s="25"/>
      <c r="K33" s="22">
        <v>2</v>
      </c>
      <c r="L33" s="23" t="s">
        <v>93</v>
      </c>
      <c r="M33" s="26">
        <v>114525000</v>
      </c>
      <c r="N33" s="22">
        <v>0</v>
      </c>
      <c r="O33" s="23" t="s">
        <v>93</v>
      </c>
      <c r="P33" s="26">
        <v>0</v>
      </c>
      <c r="Q33" s="22">
        <v>0</v>
      </c>
      <c r="R33" s="23" t="s">
        <v>93</v>
      </c>
      <c r="S33" s="26">
        <v>0</v>
      </c>
      <c r="T33" s="22">
        <v>2</v>
      </c>
      <c r="U33" s="23" t="s">
        <v>93</v>
      </c>
      <c r="V33" s="26">
        <v>72077000</v>
      </c>
      <c r="W33" s="22">
        <v>0</v>
      </c>
      <c r="X33" s="23" t="s">
        <v>93</v>
      </c>
      <c r="Y33" s="26">
        <v>41690000</v>
      </c>
      <c r="Z33" s="72">
        <f t="shared" si="9"/>
        <v>2</v>
      </c>
      <c r="AA33" s="23" t="s">
        <v>93</v>
      </c>
      <c r="AB33" s="71">
        <f t="shared" si="7"/>
        <v>100</v>
      </c>
      <c r="AC33" s="39" t="s">
        <v>80</v>
      </c>
      <c r="AD33" s="45">
        <f t="shared" si="10"/>
        <v>113767000</v>
      </c>
      <c r="AE33" s="71">
        <f t="shared" si="8"/>
        <v>99.338135778214365</v>
      </c>
      <c r="AF33" s="39" t="s">
        <v>80</v>
      </c>
      <c r="AG33" s="72">
        <f t="shared" si="11"/>
        <v>2</v>
      </c>
      <c r="AH33" s="23" t="s">
        <v>93</v>
      </c>
      <c r="AI33" s="45">
        <f t="shared" si="12"/>
        <v>113767000</v>
      </c>
      <c r="AJ33" s="71">
        <f t="shared" si="13"/>
        <v>25</v>
      </c>
      <c r="AK33" s="39" t="s">
        <v>80</v>
      </c>
      <c r="AL33" s="71">
        <f t="shared" si="14"/>
        <v>56.883499999999998</v>
      </c>
      <c r="AM33" s="13"/>
      <c r="AP33" s="28"/>
    </row>
    <row r="34" spans="1:42" ht="102" customHeight="1" x14ac:dyDescent="0.2">
      <c r="A34" s="18"/>
      <c r="B34" s="19"/>
      <c r="C34" s="20" t="s">
        <v>50</v>
      </c>
      <c r="D34" s="20" t="s">
        <v>229</v>
      </c>
      <c r="E34" s="59">
        <v>100</v>
      </c>
      <c r="F34" s="60" t="s">
        <v>80</v>
      </c>
      <c r="G34" s="47">
        <f>SUM(G35:G39)</f>
        <v>34078995000</v>
      </c>
      <c r="H34" s="59">
        <v>100</v>
      </c>
      <c r="I34" s="60" t="s">
        <v>80</v>
      </c>
      <c r="J34" s="47">
        <f>SUM(J35:J39)</f>
        <v>6879753659</v>
      </c>
      <c r="K34" s="59">
        <v>100</v>
      </c>
      <c r="L34" s="60" t="s">
        <v>80</v>
      </c>
      <c r="M34" s="47">
        <f>SUM(M35:M39)</f>
        <v>19650000</v>
      </c>
      <c r="N34" s="59">
        <v>25</v>
      </c>
      <c r="O34" s="60" t="s">
        <v>80</v>
      </c>
      <c r="P34" s="47">
        <f>SUM(P35:P39)</f>
        <v>0</v>
      </c>
      <c r="Q34" s="59">
        <v>25</v>
      </c>
      <c r="R34" s="60" t="s">
        <v>80</v>
      </c>
      <c r="S34" s="47">
        <f>SUM(S35:S39)</f>
        <v>0</v>
      </c>
      <c r="T34" s="59">
        <v>25</v>
      </c>
      <c r="U34" s="60" t="s">
        <v>80</v>
      </c>
      <c r="V34" s="47">
        <f>SUM(V35:V39)</f>
        <v>0</v>
      </c>
      <c r="W34" s="59">
        <v>25</v>
      </c>
      <c r="X34" s="60" t="s">
        <v>80</v>
      </c>
      <c r="Y34" s="47">
        <f>SUM(Y35:Y39)</f>
        <v>19312500</v>
      </c>
      <c r="Z34" s="73">
        <f t="shared" si="1"/>
        <v>100</v>
      </c>
      <c r="AA34" s="60" t="s">
        <v>80</v>
      </c>
      <c r="AB34" s="66">
        <f t="shared" si="7"/>
        <v>100</v>
      </c>
      <c r="AC34" s="75" t="s">
        <v>80</v>
      </c>
      <c r="AD34" s="74">
        <f t="shared" si="5"/>
        <v>19312500</v>
      </c>
      <c r="AE34" s="66">
        <f t="shared" si="8"/>
        <v>98.282442748091597</v>
      </c>
      <c r="AF34" s="75" t="s">
        <v>80</v>
      </c>
      <c r="AG34" s="73">
        <f t="shared" si="2"/>
        <v>200</v>
      </c>
      <c r="AH34" s="60" t="s">
        <v>80</v>
      </c>
      <c r="AI34" s="74">
        <f t="shared" si="3"/>
        <v>6899066159</v>
      </c>
      <c r="AJ34" s="66">
        <f t="shared" si="6"/>
        <v>200</v>
      </c>
      <c r="AK34" s="75" t="s">
        <v>80</v>
      </c>
      <c r="AL34" s="66">
        <f t="shared" si="4"/>
        <v>20.244335723515324</v>
      </c>
      <c r="AM34" s="13"/>
      <c r="AP34" s="28"/>
    </row>
    <row r="35" spans="1:42" ht="63.75" customHeight="1" x14ac:dyDescent="0.2">
      <c r="A35" s="18"/>
      <c r="B35" s="19"/>
      <c r="C35" s="125" t="s">
        <v>94</v>
      </c>
      <c r="D35" s="124" t="s">
        <v>96</v>
      </c>
      <c r="E35" s="22">
        <f>4*5</f>
        <v>20</v>
      </c>
      <c r="F35" s="23" t="s">
        <v>78</v>
      </c>
      <c r="G35" s="55">
        <f>172454000*5</f>
        <v>862270000</v>
      </c>
      <c r="H35" s="22">
        <v>4</v>
      </c>
      <c r="I35" s="23" t="s">
        <v>78</v>
      </c>
      <c r="J35" s="25">
        <v>148944000</v>
      </c>
      <c r="K35" s="22">
        <v>4</v>
      </c>
      <c r="L35" s="23" t="s">
        <v>78</v>
      </c>
      <c r="M35" s="26">
        <v>0</v>
      </c>
      <c r="N35" s="22"/>
      <c r="O35" s="23"/>
      <c r="P35" s="26"/>
      <c r="Q35" s="22"/>
      <c r="R35" s="23"/>
      <c r="S35" s="26"/>
      <c r="T35" s="22"/>
      <c r="U35" s="23"/>
      <c r="V35" s="26"/>
      <c r="W35" s="22"/>
      <c r="X35" s="23"/>
      <c r="Y35" s="26"/>
      <c r="Z35" s="72"/>
      <c r="AA35" s="23"/>
      <c r="AB35" s="71"/>
      <c r="AC35" s="39"/>
      <c r="AD35" s="45"/>
      <c r="AE35" s="71"/>
      <c r="AF35" s="39"/>
      <c r="AG35" s="72">
        <f t="shared" si="2"/>
        <v>4</v>
      </c>
      <c r="AH35" s="23" t="s">
        <v>78</v>
      </c>
      <c r="AI35" s="45">
        <f t="shared" si="3"/>
        <v>148944000</v>
      </c>
      <c r="AJ35" s="71">
        <f t="shared" si="6"/>
        <v>20</v>
      </c>
      <c r="AK35" s="39" t="s">
        <v>80</v>
      </c>
      <c r="AL35" s="71">
        <f t="shared" si="4"/>
        <v>17.273475825437508</v>
      </c>
      <c r="AM35" s="13"/>
      <c r="AP35" s="28"/>
    </row>
    <row r="36" spans="1:42" ht="63.75" customHeight="1" x14ac:dyDescent="0.2">
      <c r="A36" s="18"/>
      <c r="B36" s="19"/>
      <c r="C36" s="29" t="s">
        <v>95</v>
      </c>
      <c r="D36" s="33" t="s">
        <v>96</v>
      </c>
      <c r="E36" s="22">
        <f>12*4</f>
        <v>48</v>
      </c>
      <c r="F36" s="23" t="s">
        <v>77</v>
      </c>
      <c r="G36" s="55">
        <f>6643345000*4</f>
        <v>26573380000</v>
      </c>
      <c r="H36" s="22"/>
      <c r="I36" s="23"/>
      <c r="J36" s="25"/>
      <c r="K36" s="22">
        <v>12</v>
      </c>
      <c r="L36" s="23" t="s">
        <v>77</v>
      </c>
      <c r="M36" s="26">
        <v>19650000</v>
      </c>
      <c r="N36" s="22">
        <v>3</v>
      </c>
      <c r="O36" s="23" t="s">
        <v>77</v>
      </c>
      <c r="P36" s="26">
        <v>0</v>
      </c>
      <c r="Q36" s="22">
        <v>3</v>
      </c>
      <c r="R36" s="23" t="s">
        <v>77</v>
      </c>
      <c r="S36" s="26">
        <v>0</v>
      </c>
      <c r="T36" s="22">
        <v>3</v>
      </c>
      <c r="U36" s="23" t="s">
        <v>77</v>
      </c>
      <c r="V36" s="26">
        <v>0</v>
      </c>
      <c r="W36" s="22">
        <v>3</v>
      </c>
      <c r="X36" s="23" t="s">
        <v>77</v>
      </c>
      <c r="Y36" s="26">
        <v>19312500</v>
      </c>
      <c r="Z36" s="72">
        <f t="shared" ref="Z36" si="15">N36+Q36+T36+W36</f>
        <v>12</v>
      </c>
      <c r="AA36" s="23" t="s">
        <v>77</v>
      </c>
      <c r="AB36" s="71">
        <f t="shared" si="7"/>
        <v>100</v>
      </c>
      <c r="AC36" s="39" t="s">
        <v>80</v>
      </c>
      <c r="AD36" s="45">
        <f t="shared" ref="AD36" si="16">P36+S36+V36+Y36</f>
        <v>19312500</v>
      </c>
      <c r="AE36" s="71">
        <f t="shared" si="8"/>
        <v>98.282442748091597</v>
      </c>
      <c r="AF36" s="39" t="s">
        <v>80</v>
      </c>
      <c r="AG36" s="72">
        <f t="shared" ref="AG36" si="17">H36+Z36</f>
        <v>12</v>
      </c>
      <c r="AH36" s="23" t="s">
        <v>77</v>
      </c>
      <c r="AI36" s="45">
        <f t="shared" ref="AI36" si="18">J36+AD36</f>
        <v>19312500</v>
      </c>
      <c r="AJ36" s="71">
        <f t="shared" ref="AJ36" si="19">AG36/E36*100</f>
        <v>25</v>
      </c>
      <c r="AK36" s="39" t="s">
        <v>80</v>
      </c>
      <c r="AL36" s="71">
        <f t="shared" ref="AL36" si="20">AI36/G36*100</f>
        <v>7.2676114216558077E-2</v>
      </c>
      <c r="AM36" s="13"/>
      <c r="AP36" s="28"/>
    </row>
    <row r="37" spans="1:42" ht="63.75" customHeight="1" x14ac:dyDescent="0.2">
      <c r="A37" s="18"/>
      <c r="B37" s="19"/>
      <c r="C37" s="97" t="s">
        <v>231</v>
      </c>
      <c r="D37" s="98" t="s">
        <v>96</v>
      </c>
      <c r="E37" s="22">
        <v>12</v>
      </c>
      <c r="F37" s="23" t="s">
        <v>77</v>
      </c>
      <c r="G37" s="55">
        <v>6126110000</v>
      </c>
      <c r="H37" s="22">
        <v>12</v>
      </c>
      <c r="I37" s="23" t="s">
        <v>77</v>
      </c>
      <c r="J37" s="25">
        <v>6467769159</v>
      </c>
      <c r="K37" s="22"/>
      <c r="L37" s="23"/>
      <c r="M37" s="26"/>
      <c r="N37" s="22"/>
      <c r="O37" s="23"/>
      <c r="P37" s="26"/>
      <c r="Q37" s="22"/>
      <c r="R37" s="23"/>
      <c r="S37" s="26"/>
      <c r="T37" s="22"/>
      <c r="U37" s="23"/>
      <c r="V37" s="26"/>
      <c r="W37" s="22"/>
      <c r="X37" s="23"/>
      <c r="Y37" s="26"/>
      <c r="Z37" s="72"/>
      <c r="AA37" s="23"/>
      <c r="AB37" s="71"/>
      <c r="AC37" s="39"/>
      <c r="AD37" s="45"/>
      <c r="AE37" s="71"/>
      <c r="AF37" s="39"/>
      <c r="AG37" s="72">
        <f t="shared" ref="AG37:AG39" si="21">H37+Z37</f>
        <v>12</v>
      </c>
      <c r="AH37" s="23" t="s">
        <v>77</v>
      </c>
      <c r="AI37" s="45">
        <f t="shared" ref="AI37:AI39" si="22">J37+AD37</f>
        <v>6467769159</v>
      </c>
      <c r="AJ37" s="71">
        <f t="shared" ref="AJ37:AJ39" si="23">AG37/E37*100</f>
        <v>100</v>
      </c>
      <c r="AK37" s="39" t="s">
        <v>80</v>
      </c>
      <c r="AL37" s="71">
        <f t="shared" ref="AL37" si="24">AI37/G37*100</f>
        <v>105.57709801162565</v>
      </c>
      <c r="AM37" s="13"/>
      <c r="AP37" s="28"/>
    </row>
    <row r="38" spans="1:42" ht="63.75" customHeight="1" x14ac:dyDescent="0.2">
      <c r="A38" s="18"/>
      <c r="B38" s="19"/>
      <c r="C38" s="97" t="s">
        <v>232</v>
      </c>
      <c r="D38" s="98" t="s">
        <v>96</v>
      </c>
      <c r="E38" s="62">
        <v>3301</v>
      </c>
      <c r="F38" s="23" t="s">
        <v>233</v>
      </c>
      <c r="G38" s="55">
        <v>106610000</v>
      </c>
      <c r="H38" s="63">
        <v>3301</v>
      </c>
      <c r="I38" s="23" t="s">
        <v>233</v>
      </c>
      <c r="J38" s="25">
        <v>138000000</v>
      </c>
      <c r="K38" s="22"/>
      <c r="L38" s="23"/>
      <c r="M38" s="26"/>
      <c r="N38" s="22"/>
      <c r="O38" s="23"/>
      <c r="P38" s="26"/>
      <c r="Q38" s="22"/>
      <c r="R38" s="23"/>
      <c r="S38" s="26"/>
      <c r="T38" s="22"/>
      <c r="U38" s="23"/>
      <c r="V38" s="26"/>
      <c r="W38" s="22"/>
      <c r="X38" s="23"/>
      <c r="Y38" s="26"/>
      <c r="Z38" s="72"/>
      <c r="AA38" s="23"/>
      <c r="AB38" s="71"/>
      <c r="AC38" s="39"/>
      <c r="AD38" s="45"/>
      <c r="AE38" s="71"/>
      <c r="AF38" s="39"/>
      <c r="AG38" s="82">
        <f t="shared" si="21"/>
        <v>3301</v>
      </c>
      <c r="AH38" s="23" t="s">
        <v>77</v>
      </c>
      <c r="AI38" s="45">
        <f t="shared" si="22"/>
        <v>138000000</v>
      </c>
      <c r="AJ38" s="71">
        <f t="shared" si="23"/>
        <v>100</v>
      </c>
      <c r="AK38" s="39" t="s">
        <v>80</v>
      </c>
      <c r="AL38" s="71"/>
      <c r="AM38" s="13"/>
      <c r="AP38" s="28"/>
    </row>
    <row r="39" spans="1:42" ht="63.75" customHeight="1" x14ac:dyDescent="0.2">
      <c r="A39" s="18"/>
      <c r="B39" s="19"/>
      <c r="C39" s="97" t="s">
        <v>100</v>
      </c>
      <c r="D39" s="98" t="s">
        <v>96</v>
      </c>
      <c r="E39" s="22">
        <v>12</v>
      </c>
      <c r="F39" s="23" t="s">
        <v>77</v>
      </c>
      <c r="G39" s="55">
        <v>410625000</v>
      </c>
      <c r="H39" s="22">
        <v>12</v>
      </c>
      <c r="I39" s="23" t="s">
        <v>77</v>
      </c>
      <c r="J39" s="25">
        <v>125040500</v>
      </c>
      <c r="K39" s="22"/>
      <c r="L39" s="23"/>
      <c r="M39" s="26"/>
      <c r="N39" s="22"/>
      <c r="O39" s="23"/>
      <c r="P39" s="26"/>
      <c r="Q39" s="22"/>
      <c r="R39" s="23"/>
      <c r="S39" s="26"/>
      <c r="T39" s="22"/>
      <c r="U39" s="23"/>
      <c r="V39" s="26"/>
      <c r="W39" s="22"/>
      <c r="X39" s="23"/>
      <c r="Y39" s="26"/>
      <c r="Z39" s="72"/>
      <c r="AA39" s="23"/>
      <c r="AB39" s="71"/>
      <c r="AC39" s="39"/>
      <c r="AD39" s="45"/>
      <c r="AE39" s="71"/>
      <c r="AF39" s="39"/>
      <c r="AG39" s="72">
        <f t="shared" si="21"/>
        <v>12</v>
      </c>
      <c r="AH39" s="23" t="s">
        <v>77</v>
      </c>
      <c r="AI39" s="45">
        <f t="shared" si="22"/>
        <v>125040500</v>
      </c>
      <c r="AJ39" s="71">
        <f t="shared" si="23"/>
        <v>100</v>
      </c>
      <c r="AK39" s="39" t="s">
        <v>80</v>
      </c>
      <c r="AL39" s="71"/>
      <c r="AM39" s="13"/>
      <c r="AP39" s="28"/>
    </row>
    <row r="40" spans="1:42" ht="94.5" x14ac:dyDescent="0.2">
      <c r="A40" s="53">
        <v>3</v>
      </c>
      <c r="B40" s="54" t="s">
        <v>97</v>
      </c>
      <c r="C40" s="54" t="s">
        <v>198</v>
      </c>
      <c r="D40" s="21" t="s">
        <v>244</v>
      </c>
      <c r="E40" s="64">
        <v>89</v>
      </c>
      <c r="F40" s="51" t="s">
        <v>80</v>
      </c>
      <c r="G40" s="83">
        <f>SUM(G42:G52)</f>
        <v>9036253675</v>
      </c>
      <c r="H40" s="64">
        <f>111/144*100</f>
        <v>77.083333333333343</v>
      </c>
      <c r="I40" s="51" t="s">
        <v>80</v>
      </c>
      <c r="J40" s="83">
        <f>SUM(J42:J52)</f>
        <v>1316229448</v>
      </c>
      <c r="K40" s="64">
        <v>83</v>
      </c>
      <c r="L40" s="51" t="s">
        <v>80</v>
      </c>
      <c r="M40" s="83">
        <f>SUM(M42:M52)</f>
        <v>4914240000</v>
      </c>
      <c r="N40" s="50">
        <v>0</v>
      </c>
      <c r="O40" s="51" t="s">
        <v>80</v>
      </c>
      <c r="P40" s="83">
        <f>SUM(P42:P52)</f>
        <v>237776430</v>
      </c>
      <c r="Q40" s="64">
        <f>2/144*100</f>
        <v>1.3888888888888888</v>
      </c>
      <c r="R40" s="51" t="s">
        <v>80</v>
      </c>
      <c r="S40" s="83">
        <f>SUM(S42:S52)</f>
        <v>1151099054</v>
      </c>
      <c r="T40" s="64">
        <f>0/144*100</f>
        <v>0</v>
      </c>
      <c r="U40" s="51" t="s">
        <v>80</v>
      </c>
      <c r="V40" s="83">
        <f>SUM(V42:V52)</f>
        <v>1761513000</v>
      </c>
      <c r="W40" s="64">
        <f>0/144*100</f>
        <v>0</v>
      </c>
      <c r="X40" s="51" t="s">
        <v>80</v>
      </c>
      <c r="Y40" s="83">
        <f>SUM(Y42:Y52)</f>
        <v>1348358935</v>
      </c>
      <c r="Z40" s="66">
        <f>N40+Q40+T40+W40</f>
        <v>1.3888888888888888</v>
      </c>
      <c r="AA40" s="51" t="s">
        <v>80</v>
      </c>
      <c r="AB40" s="66">
        <f>AG40/K40*100</f>
        <v>94.544846050870163</v>
      </c>
      <c r="AC40" s="75" t="s">
        <v>80</v>
      </c>
      <c r="AD40" s="84">
        <f>P40+S40+V40+Y40</f>
        <v>4498747419</v>
      </c>
      <c r="AE40" s="86">
        <f>AD40/M40*100</f>
        <v>91.545130457608906</v>
      </c>
      <c r="AF40" s="53" t="s">
        <v>80</v>
      </c>
      <c r="AG40" s="66">
        <f>H40+Z40</f>
        <v>78.472222222222229</v>
      </c>
      <c r="AH40" s="51" t="s">
        <v>80</v>
      </c>
      <c r="AI40" s="84">
        <f>J40+AD40</f>
        <v>5814976867</v>
      </c>
      <c r="AJ40" s="66">
        <f>AG40/E40*100</f>
        <v>88.171036204744084</v>
      </c>
      <c r="AK40" s="75" t="s">
        <v>80</v>
      </c>
      <c r="AL40" s="86">
        <f>AI40/G40*100</f>
        <v>64.351633720597164</v>
      </c>
      <c r="AM40" s="13"/>
      <c r="AP40" s="28"/>
    </row>
    <row r="41" spans="1:42" ht="78.75" x14ac:dyDescent="0.2">
      <c r="A41" s="18"/>
      <c r="B41" s="19"/>
      <c r="C41" s="20"/>
      <c r="D41" s="21" t="s">
        <v>224</v>
      </c>
      <c r="E41" s="50">
        <v>24.79</v>
      </c>
      <c r="F41" s="51" t="s">
        <v>80</v>
      </c>
      <c r="G41" s="61"/>
      <c r="H41" s="64">
        <f>224/1049*100</f>
        <v>21.353670162059103</v>
      </c>
      <c r="I41" s="51" t="s">
        <v>80</v>
      </c>
      <c r="J41" s="31"/>
      <c r="K41" s="50">
        <v>21.45</v>
      </c>
      <c r="L41" s="51" t="s">
        <v>80</v>
      </c>
      <c r="M41" s="46"/>
      <c r="N41" s="50">
        <v>0</v>
      </c>
      <c r="O41" s="51" t="s">
        <v>80</v>
      </c>
      <c r="P41" s="46"/>
      <c r="Q41" s="64">
        <f>3/1049*100</f>
        <v>0.2859866539561487</v>
      </c>
      <c r="R41" s="51" t="s">
        <v>80</v>
      </c>
      <c r="S41" s="46"/>
      <c r="T41" s="64">
        <f>281/1049*100</f>
        <v>26.78741658722593</v>
      </c>
      <c r="U41" s="51" t="s">
        <v>80</v>
      </c>
      <c r="V41" s="46"/>
      <c r="W41" s="64">
        <f>1/1049*100</f>
        <v>9.532888465204957E-2</v>
      </c>
      <c r="X41" s="51" t="s">
        <v>80</v>
      </c>
      <c r="Y41" s="46"/>
      <c r="Z41" s="66">
        <f>N41+Q41+T41+W41</f>
        <v>27.168732125834126</v>
      </c>
      <c r="AA41" s="51" t="s">
        <v>80</v>
      </c>
      <c r="AB41" s="66">
        <f t="shared" ref="AB41:AB48" si="25">Z41/K41*100</f>
        <v>126.66075583139454</v>
      </c>
      <c r="AC41" s="75" t="s">
        <v>80</v>
      </c>
      <c r="AD41" s="85"/>
      <c r="AE41" s="87"/>
      <c r="AF41" s="119"/>
      <c r="AG41" s="66">
        <f>H41+Z41</f>
        <v>48.522402287893229</v>
      </c>
      <c r="AH41" s="51" t="s">
        <v>80</v>
      </c>
      <c r="AI41" s="85"/>
      <c r="AJ41" s="66">
        <f t="shared" ref="AJ41" si="26">AG41/E41*100</f>
        <v>195.73377284345796</v>
      </c>
      <c r="AK41" s="75" t="s">
        <v>80</v>
      </c>
      <c r="AL41" s="87"/>
      <c r="AM41" s="13"/>
      <c r="AP41" s="28"/>
    </row>
    <row r="42" spans="1:42" ht="90" x14ac:dyDescent="0.2">
      <c r="A42" s="18"/>
      <c r="B42" s="19"/>
      <c r="C42" s="125" t="s">
        <v>199</v>
      </c>
      <c r="D42" s="124" t="s">
        <v>206</v>
      </c>
      <c r="E42" s="22">
        <v>4</v>
      </c>
      <c r="F42" s="23" t="s">
        <v>81</v>
      </c>
      <c r="G42" s="55">
        <f>25000000*4</f>
        <v>100000000</v>
      </c>
      <c r="H42" s="24"/>
      <c r="I42" s="23"/>
      <c r="J42" s="25"/>
      <c r="K42" s="22">
        <v>1</v>
      </c>
      <c r="L42" s="23" t="s">
        <v>81</v>
      </c>
      <c r="M42" s="26">
        <v>0</v>
      </c>
      <c r="N42" s="22"/>
      <c r="O42" s="23"/>
      <c r="P42" s="26"/>
      <c r="Q42" s="22"/>
      <c r="R42" s="23"/>
      <c r="S42" s="26"/>
      <c r="T42" s="22"/>
      <c r="U42" s="23"/>
      <c r="V42" s="26"/>
      <c r="W42" s="22"/>
      <c r="X42" s="23"/>
      <c r="Y42" s="26"/>
      <c r="Z42" s="72"/>
      <c r="AA42" s="23"/>
      <c r="AB42" s="71"/>
      <c r="AC42" s="39"/>
      <c r="AD42" s="45"/>
      <c r="AE42" s="71"/>
      <c r="AF42" s="39"/>
      <c r="AG42" s="72">
        <f t="shared" ref="AG42:AG48" si="27">H42+Z42</f>
        <v>0</v>
      </c>
      <c r="AH42" s="23" t="s">
        <v>81</v>
      </c>
      <c r="AI42" s="45">
        <f t="shared" ref="AI42:AI48" si="28">J42+AD42</f>
        <v>0</v>
      </c>
      <c r="AJ42" s="71">
        <f t="shared" ref="AJ42:AJ48" si="29">AG42/E42*100</f>
        <v>0</v>
      </c>
      <c r="AK42" s="39" t="s">
        <v>80</v>
      </c>
      <c r="AL42" s="71">
        <f t="shared" ref="AL42:AL48" si="30">AI42/G42*100</f>
        <v>0</v>
      </c>
      <c r="AM42" s="13"/>
      <c r="AP42" s="28"/>
    </row>
    <row r="43" spans="1:42" ht="60" x14ac:dyDescent="0.2">
      <c r="A43" s="18"/>
      <c r="B43" s="19"/>
      <c r="C43" s="29" t="s">
        <v>200</v>
      </c>
      <c r="D43" s="33" t="s">
        <v>207</v>
      </c>
      <c r="E43" s="22">
        <f>4*4</f>
        <v>16</v>
      </c>
      <c r="F43" s="23" t="s">
        <v>93</v>
      </c>
      <c r="G43" s="55">
        <f>519450000*4</f>
        <v>2077800000</v>
      </c>
      <c r="H43" s="24"/>
      <c r="I43" s="23"/>
      <c r="J43" s="25"/>
      <c r="K43" s="22">
        <v>2</v>
      </c>
      <c r="L43" s="23" t="s">
        <v>93</v>
      </c>
      <c r="M43" s="26">
        <v>834450000</v>
      </c>
      <c r="N43" s="22">
        <v>0</v>
      </c>
      <c r="O43" s="23" t="s">
        <v>93</v>
      </c>
      <c r="P43" s="26">
        <v>237776430</v>
      </c>
      <c r="Q43" s="22">
        <v>2</v>
      </c>
      <c r="R43" s="23" t="s">
        <v>93</v>
      </c>
      <c r="S43" s="26">
        <v>591454720</v>
      </c>
      <c r="T43" s="22">
        <v>0</v>
      </c>
      <c r="U43" s="23" t="s">
        <v>93</v>
      </c>
      <c r="V43" s="26">
        <v>2600000</v>
      </c>
      <c r="W43" s="22">
        <v>0</v>
      </c>
      <c r="X43" s="23" t="s">
        <v>93</v>
      </c>
      <c r="Y43" s="26">
        <v>0</v>
      </c>
      <c r="Z43" s="72">
        <f t="shared" ref="Z43:Z48" si="31">N43+Q43+T43+W43</f>
        <v>2</v>
      </c>
      <c r="AA43" s="23" t="s">
        <v>93</v>
      </c>
      <c r="AB43" s="71">
        <f t="shared" si="25"/>
        <v>100</v>
      </c>
      <c r="AC43" s="39" t="s">
        <v>80</v>
      </c>
      <c r="AD43" s="45">
        <f t="shared" ref="AD43:AD48" si="32">P43+S43+V43+Y43</f>
        <v>831831150</v>
      </c>
      <c r="AE43" s="71">
        <f t="shared" ref="AE43:AE48" si="33">AD43/M43*100</f>
        <v>99.686158547546285</v>
      </c>
      <c r="AF43" s="39" t="s">
        <v>80</v>
      </c>
      <c r="AG43" s="72">
        <f t="shared" si="27"/>
        <v>2</v>
      </c>
      <c r="AH43" s="23" t="s">
        <v>93</v>
      </c>
      <c r="AI43" s="45">
        <f t="shared" si="28"/>
        <v>831831150</v>
      </c>
      <c r="AJ43" s="71">
        <f t="shared" si="29"/>
        <v>12.5</v>
      </c>
      <c r="AK43" s="39" t="s">
        <v>80</v>
      </c>
      <c r="AL43" s="71">
        <f t="shared" si="30"/>
        <v>40.034226104533644</v>
      </c>
      <c r="AM43" s="13"/>
      <c r="AP43" s="28"/>
    </row>
    <row r="44" spans="1:42" ht="60" x14ac:dyDescent="0.2">
      <c r="A44" s="18"/>
      <c r="B44" s="19"/>
      <c r="C44" s="29" t="s">
        <v>201</v>
      </c>
      <c r="D44" s="33" t="s">
        <v>208</v>
      </c>
      <c r="E44" s="22">
        <f>5*4</f>
        <v>20</v>
      </c>
      <c r="F44" s="23" t="s">
        <v>79</v>
      </c>
      <c r="G44" s="55">
        <f>700000000*4</f>
        <v>2800000000</v>
      </c>
      <c r="H44" s="24"/>
      <c r="I44" s="23"/>
      <c r="J44" s="25"/>
      <c r="K44" s="22">
        <v>4</v>
      </c>
      <c r="L44" s="23" t="s">
        <v>79</v>
      </c>
      <c r="M44" s="26">
        <v>82950000</v>
      </c>
      <c r="N44" s="22">
        <v>0</v>
      </c>
      <c r="O44" s="23" t="s">
        <v>79</v>
      </c>
      <c r="P44" s="26">
        <v>0</v>
      </c>
      <c r="Q44" s="22">
        <v>0</v>
      </c>
      <c r="R44" s="23" t="s">
        <v>79</v>
      </c>
      <c r="S44" s="26">
        <v>0</v>
      </c>
      <c r="T44" s="22">
        <v>0</v>
      </c>
      <c r="U44" s="23" t="s">
        <v>79</v>
      </c>
      <c r="V44" s="26">
        <v>0</v>
      </c>
      <c r="W44" s="22">
        <v>4</v>
      </c>
      <c r="X44" s="23" t="s">
        <v>79</v>
      </c>
      <c r="Y44" s="26">
        <v>81049935</v>
      </c>
      <c r="Z44" s="72">
        <f t="shared" si="31"/>
        <v>4</v>
      </c>
      <c r="AA44" s="23" t="s">
        <v>79</v>
      </c>
      <c r="AB44" s="71">
        <f t="shared" si="25"/>
        <v>100</v>
      </c>
      <c r="AC44" s="39" t="s">
        <v>80</v>
      </c>
      <c r="AD44" s="45">
        <f t="shared" si="32"/>
        <v>81049935</v>
      </c>
      <c r="AE44" s="71">
        <f t="shared" si="33"/>
        <v>97.709385171790231</v>
      </c>
      <c r="AF44" s="39" t="s">
        <v>80</v>
      </c>
      <c r="AG44" s="72">
        <f t="shared" si="27"/>
        <v>4</v>
      </c>
      <c r="AH44" s="23" t="s">
        <v>79</v>
      </c>
      <c r="AI44" s="45">
        <f t="shared" si="28"/>
        <v>81049935</v>
      </c>
      <c r="AJ44" s="71">
        <f t="shared" si="29"/>
        <v>20</v>
      </c>
      <c r="AK44" s="39" t="s">
        <v>80</v>
      </c>
      <c r="AL44" s="71">
        <f t="shared" si="30"/>
        <v>2.8946405357142857</v>
      </c>
      <c r="AM44" s="13"/>
      <c r="AP44" s="28"/>
    </row>
    <row r="45" spans="1:42" ht="52.5" customHeight="1" x14ac:dyDescent="0.2">
      <c r="A45" s="18"/>
      <c r="B45" s="19"/>
      <c r="C45" s="29" t="s">
        <v>202</v>
      </c>
      <c r="D45" s="33" t="s">
        <v>209</v>
      </c>
      <c r="E45" s="22">
        <f>4*4</f>
        <v>16</v>
      </c>
      <c r="F45" s="23" t="s">
        <v>79</v>
      </c>
      <c r="G45" s="55">
        <f>31540735*4</f>
        <v>126162940</v>
      </c>
      <c r="H45" s="22"/>
      <c r="I45" s="23"/>
      <c r="J45" s="25"/>
      <c r="K45" s="22">
        <v>1</v>
      </c>
      <c r="L45" s="23" t="s">
        <v>79</v>
      </c>
      <c r="M45" s="26">
        <v>72700000</v>
      </c>
      <c r="N45" s="22">
        <v>0</v>
      </c>
      <c r="O45" s="23" t="s">
        <v>79</v>
      </c>
      <c r="P45" s="26">
        <v>0</v>
      </c>
      <c r="Q45" s="22">
        <v>1</v>
      </c>
      <c r="R45" s="23" t="s">
        <v>79</v>
      </c>
      <c r="S45" s="26">
        <v>45778334</v>
      </c>
      <c r="T45" s="22">
        <v>0</v>
      </c>
      <c r="U45" s="23" t="s">
        <v>79</v>
      </c>
      <c r="V45" s="26">
        <v>18783000</v>
      </c>
      <c r="W45" s="22">
        <v>0</v>
      </c>
      <c r="X45" s="23" t="s">
        <v>79</v>
      </c>
      <c r="Y45" s="26">
        <v>7050000</v>
      </c>
      <c r="Z45" s="72">
        <f t="shared" si="31"/>
        <v>1</v>
      </c>
      <c r="AA45" s="23" t="s">
        <v>79</v>
      </c>
      <c r="AB45" s="71">
        <f t="shared" si="25"/>
        <v>100</v>
      </c>
      <c r="AC45" s="39" t="s">
        <v>80</v>
      </c>
      <c r="AD45" s="45">
        <f t="shared" si="32"/>
        <v>71611334</v>
      </c>
      <c r="AE45" s="71">
        <f t="shared" si="33"/>
        <v>98.502522696011013</v>
      </c>
      <c r="AF45" s="39" t="s">
        <v>80</v>
      </c>
      <c r="AG45" s="72">
        <f t="shared" si="27"/>
        <v>1</v>
      </c>
      <c r="AH45" s="23" t="s">
        <v>79</v>
      </c>
      <c r="AI45" s="45">
        <f t="shared" si="28"/>
        <v>71611334</v>
      </c>
      <c r="AJ45" s="71">
        <f t="shared" si="29"/>
        <v>6.25</v>
      </c>
      <c r="AK45" s="39" t="s">
        <v>80</v>
      </c>
      <c r="AL45" s="71">
        <f t="shared" si="30"/>
        <v>56.760990192524055</v>
      </c>
      <c r="AM45" s="13"/>
      <c r="AP45" s="28"/>
    </row>
    <row r="46" spans="1:42" ht="60" x14ac:dyDescent="0.2">
      <c r="A46" s="18"/>
      <c r="B46" s="19"/>
      <c r="C46" s="29" t="s">
        <v>203</v>
      </c>
      <c r="D46" s="33" t="s">
        <v>210</v>
      </c>
      <c r="E46" s="22">
        <f>3*4</f>
        <v>12</v>
      </c>
      <c r="F46" s="23" t="s">
        <v>79</v>
      </c>
      <c r="G46" s="55">
        <f>50000000*4</f>
        <v>200000000</v>
      </c>
      <c r="H46" s="24"/>
      <c r="I46" s="23"/>
      <c r="J46" s="25"/>
      <c r="K46" s="22">
        <v>4</v>
      </c>
      <c r="L46" s="23" t="s">
        <v>79</v>
      </c>
      <c r="M46" s="26">
        <v>1553240850</v>
      </c>
      <c r="N46" s="22">
        <v>0</v>
      </c>
      <c r="O46" s="23" t="s">
        <v>79</v>
      </c>
      <c r="P46" s="26">
        <v>0</v>
      </c>
      <c r="Q46" s="22">
        <v>2</v>
      </c>
      <c r="R46" s="23" t="s">
        <v>79</v>
      </c>
      <c r="S46" s="26">
        <v>513866000</v>
      </c>
      <c r="T46" s="22">
        <v>2</v>
      </c>
      <c r="U46" s="23" t="s">
        <v>79</v>
      </c>
      <c r="V46" s="26">
        <v>982130000</v>
      </c>
      <c r="W46" s="22">
        <v>0</v>
      </c>
      <c r="X46" s="23" t="s">
        <v>79</v>
      </c>
      <c r="Y46" s="26">
        <v>0</v>
      </c>
      <c r="Z46" s="72">
        <f t="shared" si="31"/>
        <v>4</v>
      </c>
      <c r="AA46" s="23" t="s">
        <v>79</v>
      </c>
      <c r="AB46" s="71">
        <f t="shared" si="25"/>
        <v>100</v>
      </c>
      <c r="AC46" s="39" t="s">
        <v>80</v>
      </c>
      <c r="AD46" s="45">
        <f t="shared" si="32"/>
        <v>1495996000</v>
      </c>
      <c r="AE46" s="71">
        <f t="shared" si="33"/>
        <v>96.314489797251994</v>
      </c>
      <c r="AF46" s="39" t="s">
        <v>80</v>
      </c>
      <c r="AG46" s="72">
        <f t="shared" si="27"/>
        <v>4</v>
      </c>
      <c r="AH46" s="23" t="s">
        <v>79</v>
      </c>
      <c r="AI46" s="45">
        <f t="shared" si="28"/>
        <v>1495996000</v>
      </c>
      <c r="AJ46" s="71">
        <f t="shared" si="29"/>
        <v>33.333333333333329</v>
      </c>
      <c r="AK46" s="39" t="s">
        <v>80</v>
      </c>
      <c r="AL46" s="71">
        <f t="shared" si="30"/>
        <v>747.99800000000005</v>
      </c>
      <c r="AM46" s="13"/>
      <c r="AP46" s="28"/>
    </row>
    <row r="47" spans="1:42" ht="75" x14ac:dyDescent="0.2">
      <c r="A47" s="18"/>
      <c r="B47" s="19"/>
      <c r="C47" s="29" t="s">
        <v>204</v>
      </c>
      <c r="D47" s="33" t="s">
        <v>208</v>
      </c>
      <c r="E47" s="22">
        <f>5*4</f>
        <v>20</v>
      </c>
      <c r="F47" s="23" t="s">
        <v>93</v>
      </c>
      <c r="G47" s="55">
        <f>500000000*4</f>
        <v>2000000000</v>
      </c>
      <c r="H47" s="24"/>
      <c r="I47" s="23"/>
      <c r="J47" s="25"/>
      <c r="K47" s="22">
        <v>4</v>
      </c>
      <c r="L47" s="23" t="s">
        <v>93</v>
      </c>
      <c r="M47" s="26">
        <v>2118899150</v>
      </c>
      <c r="N47" s="22">
        <v>0</v>
      </c>
      <c r="O47" s="23" t="s">
        <v>93</v>
      </c>
      <c r="P47" s="26">
        <v>0</v>
      </c>
      <c r="Q47" s="22">
        <v>2</v>
      </c>
      <c r="R47" s="23" t="s">
        <v>93</v>
      </c>
      <c r="S47" s="26">
        <v>0</v>
      </c>
      <c r="T47" s="22">
        <v>0</v>
      </c>
      <c r="U47" s="23" t="s">
        <v>93</v>
      </c>
      <c r="V47" s="26">
        <v>508500000</v>
      </c>
      <c r="W47" s="22">
        <v>2</v>
      </c>
      <c r="X47" s="23" t="s">
        <v>93</v>
      </c>
      <c r="Y47" s="26">
        <v>1260259000</v>
      </c>
      <c r="Z47" s="72">
        <f t="shared" si="31"/>
        <v>4</v>
      </c>
      <c r="AA47" s="23" t="s">
        <v>93</v>
      </c>
      <c r="AB47" s="71">
        <f t="shared" si="25"/>
        <v>100</v>
      </c>
      <c r="AC47" s="39" t="s">
        <v>80</v>
      </c>
      <c r="AD47" s="45">
        <f t="shared" si="32"/>
        <v>1768759000</v>
      </c>
      <c r="AE47" s="71">
        <f t="shared" si="33"/>
        <v>83.475374465084855</v>
      </c>
      <c r="AF47" s="39" t="s">
        <v>80</v>
      </c>
      <c r="AG47" s="72">
        <f t="shared" si="27"/>
        <v>4</v>
      </c>
      <c r="AH47" s="23" t="s">
        <v>93</v>
      </c>
      <c r="AI47" s="45">
        <f t="shared" si="28"/>
        <v>1768759000</v>
      </c>
      <c r="AJ47" s="71">
        <f t="shared" si="29"/>
        <v>20</v>
      </c>
      <c r="AK47" s="39" t="s">
        <v>80</v>
      </c>
      <c r="AL47" s="71">
        <f t="shared" si="30"/>
        <v>88.437950000000001</v>
      </c>
      <c r="AM47" s="13"/>
      <c r="AP47" s="28"/>
    </row>
    <row r="48" spans="1:42" ht="124.5" customHeight="1" x14ac:dyDescent="0.2">
      <c r="A48" s="18"/>
      <c r="B48" s="19"/>
      <c r="C48" s="29" t="s">
        <v>205</v>
      </c>
      <c r="D48" s="33" t="s">
        <v>210</v>
      </c>
      <c r="E48" s="22">
        <v>9</v>
      </c>
      <c r="F48" s="23" t="s">
        <v>93</v>
      </c>
      <c r="G48" s="26">
        <v>252000000</v>
      </c>
      <c r="H48" s="24"/>
      <c r="I48" s="23"/>
      <c r="J48" s="25"/>
      <c r="K48" s="22">
        <v>9</v>
      </c>
      <c r="L48" s="23" t="s">
        <v>93</v>
      </c>
      <c r="M48" s="26">
        <v>252000000</v>
      </c>
      <c r="N48" s="22">
        <v>0</v>
      </c>
      <c r="O48" s="23" t="s">
        <v>93</v>
      </c>
      <c r="P48" s="26">
        <v>0</v>
      </c>
      <c r="Q48" s="22">
        <v>0</v>
      </c>
      <c r="R48" s="23" t="s">
        <v>93</v>
      </c>
      <c r="S48" s="26">
        <v>0</v>
      </c>
      <c r="T48" s="22">
        <v>9</v>
      </c>
      <c r="U48" s="23" t="s">
        <v>93</v>
      </c>
      <c r="V48" s="26">
        <v>249500000</v>
      </c>
      <c r="W48" s="22">
        <v>0</v>
      </c>
      <c r="X48" s="23" t="s">
        <v>93</v>
      </c>
      <c r="Y48" s="26">
        <v>0</v>
      </c>
      <c r="Z48" s="72">
        <f t="shared" si="31"/>
        <v>9</v>
      </c>
      <c r="AA48" s="23" t="s">
        <v>93</v>
      </c>
      <c r="AB48" s="71">
        <f t="shared" si="25"/>
        <v>100</v>
      </c>
      <c r="AC48" s="39" t="s">
        <v>80</v>
      </c>
      <c r="AD48" s="45">
        <f t="shared" si="32"/>
        <v>249500000</v>
      </c>
      <c r="AE48" s="71">
        <f t="shared" si="33"/>
        <v>99.007936507936506</v>
      </c>
      <c r="AF48" s="39" t="s">
        <v>80</v>
      </c>
      <c r="AG48" s="72">
        <f t="shared" si="27"/>
        <v>9</v>
      </c>
      <c r="AH48" s="23" t="s">
        <v>93</v>
      </c>
      <c r="AI48" s="45">
        <f t="shared" si="28"/>
        <v>249500000</v>
      </c>
      <c r="AJ48" s="71">
        <f t="shared" si="29"/>
        <v>100</v>
      </c>
      <c r="AK48" s="39" t="s">
        <v>80</v>
      </c>
      <c r="AL48" s="71">
        <f t="shared" si="30"/>
        <v>99.007936507936506</v>
      </c>
      <c r="AM48" s="13"/>
      <c r="AP48" s="28"/>
    </row>
    <row r="49" spans="1:42" ht="90" x14ac:dyDescent="0.2">
      <c r="A49" s="18"/>
      <c r="B49" s="19"/>
      <c r="C49" s="97" t="s">
        <v>254</v>
      </c>
      <c r="D49" s="98" t="s">
        <v>256</v>
      </c>
      <c r="E49" s="22">
        <v>5</v>
      </c>
      <c r="F49" s="23" t="s">
        <v>79</v>
      </c>
      <c r="G49" s="55">
        <v>748750000</v>
      </c>
      <c r="H49" s="22">
        <v>5</v>
      </c>
      <c r="I49" s="23" t="s">
        <v>79</v>
      </c>
      <c r="J49" s="25">
        <v>648432048</v>
      </c>
      <c r="K49" s="22"/>
      <c r="L49" s="23"/>
      <c r="M49" s="26"/>
      <c r="N49" s="22"/>
      <c r="O49" s="23"/>
      <c r="P49" s="26"/>
      <c r="Q49" s="22"/>
      <c r="R49" s="23"/>
      <c r="S49" s="26"/>
      <c r="T49" s="22"/>
      <c r="U49" s="23"/>
      <c r="V49" s="26"/>
      <c r="W49" s="22"/>
      <c r="X49" s="23"/>
      <c r="Y49" s="26"/>
      <c r="Z49" s="72"/>
      <c r="AA49" s="23"/>
      <c r="AB49" s="71"/>
      <c r="AC49" s="39"/>
      <c r="AD49" s="45"/>
      <c r="AE49" s="71"/>
      <c r="AF49" s="39"/>
      <c r="AG49" s="72">
        <f t="shared" ref="AG49:AG52" si="34">H49+Z49</f>
        <v>5</v>
      </c>
      <c r="AH49" s="23" t="s">
        <v>79</v>
      </c>
      <c r="AI49" s="45">
        <f t="shared" ref="AI49:AI52" si="35">J49+AD49</f>
        <v>648432048</v>
      </c>
      <c r="AJ49" s="71">
        <f t="shared" ref="AJ49:AJ52" si="36">AG49/E49*100</f>
        <v>100</v>
      </c>
      <c r="AK49" s="39" t="s">
        <v>80</v>
      </c>
      <c r="AL49" s="71">
        <f t="shared" ref="AL49:AL52" si="37">AI49/G49*100</f>
        <v>86.601942971619366</v>
      </c>
      <c r="AM49" s="13"/>
      <c r="AP49" s="28"/>
    </row>
    <row r="50" spans="1:42" ht="105" x14ac:dyDescent="0.2">
      <c r="A50" s="18"/>
      <c r="B50" s="19"/>
      <c r="C50" s="99" t="s">
        <v>260</v>
      </c>
      <c r="D50" s="98" t="s">
        <v>257</v>
      </c>
      <c r="E50" s="22">
        <v>2</v>
      </c>
      <c r="F50" s="23" t="s">
        <v>93</v>
      </c>
      <c r="G50" s="68">
        <v>679161835</v>
      </c>
      <c r="H50" s="22">
        <v>2</v>
      </c>
      <c r="I50" s="23" t="s">
        <v>93</v>
      </c>
      <c r="J50" s="69">
        <v>667797400</v>
      </c>
      <c r="K50" s="22"/>
      <c r="L50" s="23"/>
      <c r="M50" s="26"/>
      <c r="N50" s="22"/>
      <c r="O50" s="23"/>
      <c r="P50" s="26"/>
      <c r="Q50" s="22"/>
      <c r="R50" s="23"/>
      <c r="S50" s="26"/>
      <c r="T50" s="22"/>
      <c r="U50" s="23"/>
      <c r="V50" s="26"/>
      <c r="W50" s="22"/>
      <c r="X50" s="23"/>
      <c r="Y50" s="26"/>
      <c r="Z50" s="72"/>
      <c r="AA50" s="23"/>
      <c r="AB50" s="71"/>
      <c r="AC50" s="39"/>
      <c r="AD50" s="45"/>
      <c r="AE50" s="71"/>
      <c r="AF50" s="39"/>
      <c r="AG50" s="72">
        <f t="shared" si="34"/>
        <v>2</v>
      </c>
      <c r="AH50" s="23" t="s">
        <v>93</v>
      </c>
      <c r="AI50" s="45">
        <f t="shared" si="35"/>
        <v>667797400</v>
      </c>
      <c r="AJ50" s="71">
        <f t="shared" si="36"/>
        <v>100</v>
      </c>
      <c r="AK50" s="39" t="s">
        <v>80</v>
      </c>
      <c r="AL50" s="91">
        <f t="shared" si="37"/>
        <v>98.326697052993268</v>
      </c>
      <c r="AM50" s="13"/>
      <c r="AP50" s="28"/>
    </row>
    <row r="51" spans="1:42" ht="60" x14ac:dyDescent="0.2">
      <c r="A51" s="18"/>
      <c r="B51" s="19"/>
      <c r="C51" s="97"/>
      <c r="D51" s="98" t="s">
        <v>258</v>
      </c>
      <c r="E51" s="22">
        <v>1</v>
      </c>
      <c r="F51" s="23" t="s">
        <v>259</v>
      </c>
      <c r="G51" s="61"/>
      <c r="H51" s="22">
        <v>1</v>
      </c>
      <c r="I51" s="23" t="s">
        <v>259</v>
      </c>
      <c r="J51" s="31"/>
      <c r="K51" s="22"/>
      <c r="L51" s="23"/>
      <c r="M51" s="26"/>
      <c r="N51" s="22"/>
      <c r="O51" s="23"/>
      <c r="P51" s="26"/>
      <c r="Q51" s="22"/>
      <c r="R51" s="23"/>
      <c r="S51" s="26"/>
      <c r="T51" s="22"/>
      <c r="U51" s="23"/>
      <c r="V51" s="26"/>
      <c r="W51" s="22"/>
      <c r="X51" s="23"/>
      <c r="Y51" s="26"/>
      <c r="Z51" s="72"/>
      <c r="AA51" s="23"/>
      <c r="AB51" s="71"/>
      <c r="AC51" s="39"/>
      <c r="AD51" s="45"/>
      <c r="AE51" s="71"/>
      <c r="AF51" s="39"/>
      <c r="AG51" s="72">
        <f t="shared" ref="AG51" si="38">H51+Z51</f>
        <v>1</v>
      </c>
      <c r="AH51" s="23" t="s">
        <v>259</v>
      </c>
      <c r="AI51" s="45">
        <f t="shared" ref="AI51" si="39">J51+AD51</f>
        <v>0</v>
      </c>
      <c r="AJ51" s="71">
        <f t="shared" ref="AJ51" si="40">AG51/E51*100</f>
        <v>100</v>
      </c>
      <c r="AK51" s="39" t="s">
        <v>80</v>
      </c>
      <c r="AL51" s="93"/>
      <c r="AM51" s="13"/>
      <c r="AP51" s="28"/>
    </row>
    <row r="52" spans="1:42" ht="124.5" customHeight="1" x14ac:dyDescent="0.2">
      <c r="A52" s="18"/>
      <c r="B52" s="19"/>
      <c r="C52" s="97" t="s">
        <v>255</v>
      </c>
      <c r="D52" s="98" t="s">
        <v>261</v>
      </c>
      <c r="E52" s="22">
        <v>7</v>
      </c>
      <c r="F52" s="23" t="s">
        <v>262</v>
      </c>
      <c r="G52" s="26">
        <v>52378900</v>
      </c>
      <c r="H52" s="22">
        <v>0</v>
      </c>
      <c r="I52" s="23" t="s">
        <v>262</v>
      </c>
      <c r="J52" s="25">
        <v>0</v>
      </c>
      <c r="K52" s="22"/>
      <c r="L52" s="23"/>
      <c r="M52" s="26"/>
      <c r="N52" s="22"/>
      <c r="O52" s="23"/>
      <c r="P52" s="26"/>
      <c r="Q52" s="22"/>
      <c r="R52" s="23"/>
      <c r="S52" s="26"/>
      <c r="T52" s="22"/>
      <c r="U52" s="23"/>
      <c r="V52" s="26"/>
      <c r="W52" s="22"/>
      <c r="X52" s="23"/>
      <c r="Y52" s="26"/>
      <c r="Z52" s="72"/>
      <c r="AA52" s="23"/>
      <c r="AB52" s="71"/>
      <c r="AC52" s="39"/>
      <c r="AD52" s="45"/>
      <c r="AE52" s="71"/>
      <c r="AF52" s="39"/>
      <c r="AG52" s="72">
        <f t="shared" si="34"/>
        <v>0</v>
      </c>
      <c r="AH52" s="23" t="s">
        <v>262</v>
      </c>
      <c r="AI52" s="45">
        <f t="shared" si="35"/>
        <v>0</v>
      </c>
      <c r="AJ52" s="71">
        <f t="shared" si="36"/>
        <v>0</v>
      </c>
      <c r="AK52" s="39" t="s">
        <v>80</v>
      </c>
      <c r="AL52" s="71">
        <f t="shared" si="37"/>
        <v>0</v>
      </c>
      <c r="AM52" s="13"/>
      <c r="AP52" s="28"/>
    </row>
    <row r="53" spans="1:42" ht="87.75" customHeight="1" x14ac:dyDescent="0.2">
      <c r="A53" s="18"/>
      <c r="B53" s="19"/>
      <c r="C53" s="54" t="s">
        <v>211</v>
      </c>
      <c r="D53" s="21" t="s">
        <v>245</v>
      </c>
      <c r="E53" s="50">
        <v>90.91</v>
      </c>
      <c r="F53" s="51" t="s">
        <v>80</v>
      </c>
      <c r="G53" s="83">
        <f>SUM(G55:G62)</f>
        <v>25106821325</v>
      </c>
      <c r="H53" s="64">
        <f>19/22*100</f>
        <v>86.36363636363636</v>
      </c>
      <c r="I53" s="51" t="s">
        <v>80</v>
      </c>
      <c r="J53" s="83">
        <f>SUM(J55:J62)</f>
        <v>5171513188</v>
      </c>
      <c r="K53" s="50">
        <v>72.73</v>
      </c>
      <c r="L53" s="51" t="s">
        <v>80</v>
      </c>
      <c r="M53" s="83">
        <f>SUM(M55:M62)</f>
        <v>3000925000</v>
      </c>
      <c r="N53" s="50">
        <v>0</v>
      </c>
      <c r="O53" s="51" t="s">
        <v>80</v>
      </c>
      <c r="P53" s="83">
        <f>SUM(P55:P62)</f>
        <v>0</v>
      </c>
      <c r="Q53" s="64">
        <f>0/22*100</f>
        <v>0</v>
      </c>
      <c r="R53" s="51" t="s">
        <v>80</v>
      </c>
      <c r="S53" s="83">
        <f>SUM(S55:S62)</f>
        <v>35325000</v>
      </c>
      <c r="T53" s="64">
        <f>0/22*100</f>
        <v>0</v>
      </c>
      <c r="U53" s="51" t="s">
        <v>80</v>
      </c>
      <c r="V53" s="83">
        <f>SUM(V55:V62)</f>
        <v>29600000</v>
      </c>
      <c r="W53" s="64">
        <f>3/22*100</f>
        <v>13.636363636363635</v>
      </c>
      <c r="X53" s="51" t="s">
        <v>80</v>
      </c>
      <c r="Y53" s="83">
        <f>SUM(Y55:Y62)</f>
        <v>2838862499</v>
      </c>
      <c r="Z53" s="66">
        <f>N53+Q53+T53+W53</f>
        <v>13.636363636363635</v>
      </c>
      <c r="AA53" s="51" t="s">
        <v>80</v>
      </c>
      <c r="AB53" s="66">
        <f>AG53/K53*100</f>
        <v>137.49484394335212</v>
      </c>
      <c r="AC53" s="75" t="s">
        <v>80</v>
      </c>
      <c r="AD53" s="84">
        <f>P53+S53+V53+Y53</f>
        <v>2903787499</v>
      </c>
      <c r="AE53" s="86">
        <f>AD53/M53*100</f>
        <v>96.763081349917115</v>
      </c>
      <c r="AF53" s="53" t="s">
        <v>80</v>
      </c>
      <c r="AG53" s="66">
        <f>H53+Z53</f>
        <v>100</v>
      </c>
      <c r="AH53" s="51" t="s">
        <v>80</v>
      </c>
      <c r="AI53" s="84">
        <f>J53+AD53</f>
        <v>8075300687</v>
      </c>
      <c r="AJ53" s="66">
        <f>AG53/E53*100</f>
        <v>109.9989000109999</v>
      </c>
      <c r="AK53" s="75" t="s">
        <v>80</v>
      </c>
      <c r="AL53" s="86">
        <f>AI53/G53*100</f>
        <v>32.163771679687137</v>
      </c>
      <c r="AM53" s="13"/>
      <c r="AP53" s="28"/>
    </row>
    <row r="54" spans="1:42" ht="87.75" customHeight="1" x14ac:dyDescent="0.2">
      <c r="A54" s="18"/>
      <c r="B54" s="19"/>
      <c r="C54" s="20"/>
      <c r="D54" s="21" t="s">
        <v>225</v>
      </c>
      <c r="E54" s="50">
        <v>90.48</v>
      </c>
      <c r="F54" s="51" t="s">
        <v>80</v>
      </c>
      <c r="G54" s="61"/>
      <c r="H54" s="64">
        <f>8/21*100</f>
        <v>38.095238095238095</v>
      </c>
      <c r="I54" s="51" t="s">
        <v>80</v>
      </c>
      <c r="J54" s="31"/>
      <c r="K54" s="50">
        <v>52.38</v>
      </c>
      <c r="L54" s="51" t="s">
        <v>80</v>
      </c>
      <c r="M54" s="46"/>
      <c r="N54" s="50">
        <v>0</v>
      </c>
      <c r="O54" s="51" t="s">
        <v>80</v>
      </c>
      <c r="P54" s="46"/>
      <c r="Q54" s="64">
        <f>1/21*100</f>
        <v>4.7619047619047619</v>
      </c>
      <c r="R54" s="51" t="s">
        <v>80</v>
      </c>
      <c r="S54" s="46"/>
      <c r="T54" s="64">
        <f>9/21*100</f>
        <v>42.857142857142854</v>
      </c>
      <c r="U54" s="51" t="s">
        <v>80</v>
      </c>
      <c r="V54" s="46"/>
      <c r="W54" s="64">
        <f>2/21*100</f>
        <v>9.5238095238095237</v>
      </c>
      <c r="X54" s="51" t="s">
        <v>80</v>
      </c>
      <c r="Y54" s="46"/>
      <c r="Z54" s="66">
        <f>N54+Q54+T54+W54</f>
        <v>57.142857142857139</v>
      </c>
      <c r="AA54" s="51" t="s">
        <v>80</v>
      </c>
      <c r="AB54" s="66">
        <f>Z54/K54*100</f>
        <v>109.09289259804721</v>
      </c>
      <c r="AC54" s="75" t="s">
        <v>80</v>
      </c>
      <c r="AD54" s="85"/>
      <c r="AE54" s="87"/>
      <c r="AF54" s="119"/>
      <c r="AG54" s="66">
        <f>H54+Z54</f>
        <v>95.238095238095241</v>
      </c>
      <c r="AH54" s="51" t="s">
        <v>80</v>
      </c>
      <c r="AI54" s="85"/>
      <c r="AJ54" s="66">
        <f t="shared" ref="AJ54" si="41">AG54/E54*100</f>
        <v>105.25872594838113</v>
      </c>
      <c r="AK54" s="75" t="s">
        <v>80</v>
      </c>
      <c r="AL54" s="87"/>
      <c r="AM54" s="13"/>
      <c r="AP54" s="28"/>
    </row>
    <row r="55" spans="1:42" ht="75" x14ac:dyDescent="0.2">
      <c r="A55" s="18"/>
      <c r="B55" s="19"/>
      <c r="C55" s="29" t="s">
        <v>212</v>
      </c>
      <c r="D55" s="33" t="s">
        <v>216</v>
      </c>
      <c r="E55" s="22">
        <v>4</v>
      </c>
      <c r="F55" s="23" t="s">
        <v>81</v>
      </c>
      <c r="G55" s="55">
        <f>40000000*4</f>
        <v>160000000</v>
      </c>
      <c r="H55" s="24"/>
      <c r="I55" s="23"/>
      <c r="J55" s="25"/>
      <c r="K55" s="22">
        <v>1</v>
      </c>
      <c r="L55" s="23" t="s">
        <v>81</v>
      </c>
      <c r="M55" s="26">
        <v>35325000</v>
      </c>
      <c r="N55" s="22">
        <v>0</v>
      </c>
      <c r="O55" s="23" t="s">
        <v>81</v>
      </c>
      <c r="P55" s="26">
        <v>0</v>
      </c>
      <c r="Q55" s="22">
        <v>1</v>
      </c>
      <c r="R55" s="23" t="s">
        <v>81</v>
      </c>
      <c r="S55" s="26">
        <v>35325000</v>
      </c>
      <c r="T55" s="22">
        <v>0</v>
      </c>
      <c r="U55" s="23" t="s">
        <v>81</v>
      </c>
      <c r="V55" s="26">
        <v>0</v>
      </c>
      <c r="W55" s="22">
        <v>0</v>
      </c>
      <c r="X55" s="23" t="s">
        <v>81</v>
      </c>
      <c r="Y55" s="26">
        <v>0</v>
      </c>
      <c r="Z55" s="72">
        <f>N55+Q55+T55+W55</f>
        <v>1</v>
      </c>
      <c r="AA55" s="23" t="s">
        <v>81</v>
      </c>
      <c r="AB55" s="71">
        <f t="shared" ref="AB55:AB59" si="42">Z55/K55*100</f>
        <v>100</v>
      </c>
      <c r="AC55" s="39" t="s">
        <v>80</v>
      </c>
      <c r="AD55" s="45">
        <f>P55+S55+V55+Y55</f>
        <v>35325000</v>
      </c>
      <c r="AE55" s="71">
        <f t="shared" ref="AE55:AE59" si="43">AD55/M55*100</f>
        <v>100</v>
      </c>
      <c r="AF55" s="39" t="s">
        <v>80</v>
      </c>
      <c r="AG55" s="72">
        <f>H55+Z55</f>
        <v>1</v>
      </c>
      <c r="AH55" s="23" t="s">
        <v>81</v>
      </c>
      <c r="AI55" s="45">
        <f>J55+AD55</f>
        <v>35325000</v>
      </c>
      <c r="AJ55" s="71">
        <f>AG55/E55*100</f>
        <v>25</v>
      </c>
      <c r="AK55" s="39" t="s">
        <v>80</v>
      </c>
      <c r="AL55" s="71">
        <f>AI55/G55*100</f>
        <v>22.078125</v>
      </c>
      <c r="AM55" s="13"/>
      <c r="AP55" s="28"/>
    </row>
    <row r="56" spans="1:42" ht="105" x14ac:dyDescent="0.2">
      <c r="A56" s="18"/>
      <c r="B56" s="19"/>
      <c r="C56" s="29" t="s">
        <v>213</v>
      </c>
      <c r="D56" s="33" t="s">
        <v>217</v>
      </c>
      <c r="E56" s="22">
        <v>4</v>
      </c>
      <c r="F56" s="23" t="s">
        <v>81</v>
      </c>
      <c r="G56" s="55">
        <f>80000000*4</f>
        <v>320000000</v>
      </c>
      <c r="H56" s="24"/>
      <c r="I56" s="23"/>
      <c r="J56" s="25"/>
      <c r="K56" s="22">
        <v>1</v>
      </c>
      <c r="L56" s="23" t="s">
        <v>81</v>
      </c>
      <c r="M56" s="26">
        <v>50000000</v>
      </c>
      <c r="N56" s="22">
        <v>0</v>
      </c>
      <c r="O56" s="23" t="s">
        <v>81</v>
      </c>
      <c r="P56" s="26">
        <v>0</v>
      </c>
      <c r="Q56" s="22">
        <v>0</v>
      </c>
      <c r="R56" s="23" t="s">
        <v>81</v>
      </c>
      <c r="S56" s="26">
        <v>0</v>
      </c>
      <c r="T56" s="22">
        <v>0</v>
      </c>
      <c r="U56" s="23" t="s">
        <v>81</v>
      </c>
      <c r="V56" s="26">
        <v>0</v>
      </c>
      <c r="W56" s="22">
        <v>0</v>
      </c>
      <c r="X56" s="23" t="s">
        <v>81</v>
      </c>
      <c r="Y56" s="26">
        <v>0</v>
      </c>
      <c r="Z56" s="72">
        <f>N56+Q56+T56+W56</f>
        <v>0</v>
      </c>
      <c r="AA56" s="23" t="s">
        <v>81</v>
      </c>
      <c r="AB56" s="71">
        <f t="shared" si="42"/>
        <v>0</v>
      </c>
      <c r="AC56" s="39" t="s">
        <v>80</v>
      </c>
      <c r="AD56" s="45">
        <f>P56+S56+V56+Y56</f>
        <v>0</v>
      </c>
      <c r="AE56" s="71">
        <f t="shared" si="43"/>
        <v>0</v>
      </c>
      <c r="AF56" s="39" t="s">
        <v>80</v>
      </c>
      <c r="AG56" s="72">
        <f>H56+Z56</f>
        <v>0</v>
      </c>
      <c r="AH56" s="23" t="s">
        <v>81</v>
      </c>
      <c r="AI56" s="45">
        <f>J56+AD56</f>
        <v>0</v>
      </c>
      <c r="AJ56" s="71">
        <f>AG56/E56*100</f>
        <v>0</v>
      </c>
      <c r="AK56" s="39" t="s">
        <v>80</v>
      </c>
      <c r="AL56" s="71">
        <f>AI56/G56*100</f>
        <v>0</v>
      </c>
      <c r="AM56" s="13"/>
      <c r="AP56" s="28"/>
    </row>
    <row r="57" spans="1:42" ht="90" x14ac:dyDescent="0.2">
      <c r="A57" s="18"/>
      <c r="B57" s="19"/>
      <c r="C57" s="125" t="s">
        <v>214</v>
      </c>
      <c r="D57" s="124" t="s">
        <v>218</v>
      </c>
      <c r="E57" s="22">
        <v>16</v>
      </c>
      <c r="F57" s="23" t="s">
        <v>93</v>
      </c>
      <c r="G57" s="55">
        <f>90000000*4</f>
        <v>360000000</v>
      </c>
      <c r="H57" s="24"/>
      <c r="I57" s="23"/>
      <c r="J57" s="25"/>
      <c r="K57" s="22">
        <v>4</v>
      </c>
      <c r="L57" s="23" t="s">
        <v>93</v>
      </c>
      <c r="M57" s="26">
        <v>0</v>
      </c>
      <c r="N57" s="22"/>
      <c r="O57" s="23"/>
      <c r="P57" s="26"/>
      <c r="Q57" s="22"/>
      <c r="R57" s="23"/>
      <c r="S57" s="26"/>
      <c r="T57" s="22"/>
      <c r="U57" s="23"/>
      <c r="V57" s="26"/>
      <c r="W57" s="22"/>
      <c r="X57" s="23"/>
      <c r="Y57" s="26"/>
      <c r="Z57" s="72"/>
      <c r="AA57" s="23"/>
      <c r="AB57" s="71"/>
      <c r="AC57" s="39"/>
      <c r="AD57" s="45"/>
      <c r="AE57" s="71"/>
      <c r="AF57" s="39"/>
      <c r="AG57" s="72">
        <f>H57+Z57</f>
        <v>0</v>
      </c>
      <c r="AH57" s="23" t="s">
        <v>93</v>
      </c>
      <c r="AI57" s="45">
        <f>J57+AD57</f>
        <v>0</v>
      </c>
      <c r="AJ57" s="71">
        <f>AG57/E57*100</f>
        <v>0</v>
      </c>
      <c r="AK57" s="39" t="s">
        <v>80</v>
      </c>
      <c r="AL57" s="71">
        <f>AI57/G57*100</f>
        <v>0</v>
      </c>
      <c r="AM57" s="13"/>
      <c r="AP57" s="28"/>
    </row>
    <row r="58" spans="1:42" ht="105" x14ac:dyDescent="0.2">
      <c r="A58" s="18"/>
      <c r="B58" s="19"/>
      <c r="C58" s="29" t="s">
        <v>279</v>
      </c>
      <c r="D58" s="33" t="s">
        <v>218</v>
      </c>
      <c r="E58" s="22">
        <v>6</v>
      </c>
      <c r="F58" s="23" t="s">
        <v>93</v>
      </c>
      <c r="G58" s="55">
        <f>4716514265*4</f>
        <v>18866057060</v>
      </c>
      <c r="H58" s="24"/>
      <c r="I58" s="23"/>
      <c r="J58" s="25"/>
      <c r="K58" s="22">
        <v>8</v>
      </c>
      <c r="L58" s="23" t="s">
        <v>93</v>
      </c>
      <c r="M58" s="26">
        <v>2874500000</v>
      </c>
      <c r="N58" s="22">
        <v>0</v>
      </c>
      <c r="O58" s="23" t="s">
        <v>93</v>
      </c>
      <c r="P58" s="26">
        <v>0</v>
      </c>
      <c r="Q58" s="22">
        <v>0</v>
      </c>
      <c r="R58" s="23" t="s">
        <v>93</v>
      </c>
      <c r="S58" s="26">
        <v>0</v>
      </c>
      <c r="T58" s="22">
        <v>0</v>
      </c>
      <c r="U58" s="23" t="s">
        <v>93</v>
      </c>
      <c r="V58" s="26">
        <v>0</v>
      </c>
      <c r="W58" s="22">
        <v>8</v>
      </c>
      <c r="X58" s="23" t="s">
        <v>93</v>
      </c>
      <c r="Y58" s="26">
        <v>2830287999</v>
      </c>
      <c r="Z58" s="72">
        <f t="shared" ref="Z58" si="44">N58+Q58+T58+W58</f>
        <v>8</v>
      </c>
      <c r="AA58" s="23" t="s">
        <v>93</v>
      </c>
      <c r="AB58" s="71">
        <f t="shared" si="42"/>
        <v>100</v>
      </c>
      <c r="AC58" s="39" t="s">
        <v>80</v>
      </c>
      <c r="AD58" s="45">
        <f t="shared" ref="AD58" si="45">P58+S58+V58+Y58</f>
        <v>2830287999</v>
      </c>
      <c r="AE58" s="71">
        <f t="shared" si="43"/>
        <v>98.461923778048359</v>
      </c>
      <c r="AF58" s="39" t="s">
        <v>80</v>
      </c>
      <c r="AG58" s="72">
        <f t="shared" ref="AG58" si="46">H58+Z58</f>
        <v>8</v>
      </c>
      <c r="AH58" s="23" t="s">
        <v>93</v>
      </c>
      <c r="AI58" s="45">
        <f t="shared" ref="AI58" si="47">J58+AD58</f>
        <v>2830287999</v>
      </c>
      <c r="AJ58" s="71">
        <f t="shared" ref="AJ58" si="48">AG58/E58*100</f>
        <v>133.33333333333331</v>
      </c>
      <c r="AK58" s="39" t="s">
        <v>80</v>
      </c>
      <c r="AL58" s="71">
        <f t="shared" ref="AL58" si="49">AI58/G58*100</f>
        <v>15.002011231063245</v>
      </c>
      <c r="AM58" s="13"/>
      <c r="AP58" s="28"/>
    </row>
    <row r="59" spans="1:42" ht="90" x14ac:dyDescent="0.2">
      <c r="A59" s="18"/>
      <c r="B59" s="19"/>
      <c r="C59" s="29" t="s">
        <v>215</v>
      </c>
      <c r="D59" s="33" t="s">
        <v>219</v>
      </c>
      <c r="E59" s="22">
        <v>40</v>
      </c>
      <c r="F59" s="23" t="s">
        <v>79</v>
      </c>
      <c r="G59" s="55">
        <f>25000000*4</f>
        <v>100000000</v>
      </c>
      <c r="H59" s="24"/>
      <c r="I59" s="23"/>
      <c r="J59" s="25"/>
      <c r="K59" s="22">
        <v>10</v>
      </c>
      <c r="L59" s="23" t="s">
        <v>79</v>
      </c>
      <c r="M59" s="26">
        <v>41100000</v>
      </c>
      <c r="N59" s="22">
        <v>0</v>
      </c>
      <c r="O59" s="23" t="s">
        <v>79</v>
      </c>
      <c r="P59" s="26">
        <v>0</v>
      </c>
      <c r="Q59" s="22">
        <v>0</v>
      </c>
      <c r="R59" s="23" t="s">
        <v>79</v>
      </c>
      <c r="S59" s="26">
        <v>0</v>
      </c>
      <c r="T59" s="22">
        <v>2</v>
      </c>
      <c r="U59" s="23" t="s">
        <v>79</v>
      </c>
      <c r="V59" s="26">
        <v>29600000</v>
      </c>
      <c r="W59" s="22">
        <v>1</v>
      </c>
      <c r="X59" s="23" t="s">
        <v>79</v>
      </c>
      <c r="Y59" s="26">
        <v>8574500</v>
      </c>
      <c r="Z59" s="72">
        <f>N59+Q59+T59+W59</f>
        <v>3</v>
      </c>
      <c r="AA59" s="23" t="s">
        <v>79</v>
      </c>
      <c r="AB59" s="71">
        <f t="shared" si="42"/>
        <v>30</v>
      </c>
      <c r="AC59" s="39" t="s">
        <v>80</v>
      </c>
      <c r="AD59" s="45">
        <f>P59+S59+V59+Y59</f>
        <v>38174500</v>
      </c>
      <c r="AE59" s="71">
        <f t="shared" si="43"/>
        <v>92.881995133819956</v>
      </c>
      <c r="AF59" s="39" t="s">
        <v>80</v>
      </c>
      <c r="AG59" s="72">
        <f>H59+Z59</f>
        <v>3</v>
      </c>
      <c r="AH59" s="23" t="s">
        <v>79</v>
      </c>
      <c r="AI59" s="45">
        <f>J59+AD59</f>
        <v>38174500</v>
      </c>
      <c r="AJ59" s="71">
        <f>AG59/E59*100</f>
        <v>7.5</v>
      </c>
      <c r="AK59" s="39" t="s">
        <v>80</v>
      </c>
      <c r="AL59" s="71">
        <f>AI59/G59*100</f>
        <v>38.174500000000002</v>
      </c>
      <c r="AM59" s="13"/>
      <c r="AP59" s="28"/>
    </row>
    <row r="60" spans="1:42" ht="60" x14ac:dyDescent="0.2">
      <c r="A60" s="18"/>
      <c r="B60" s="19"/>
      <c r="C60" s="97" t="s">
        <v>263</v>
      </c>
      <c r="D60" s="98" t="s">
        <v>266</v>
      </c>
      <c r="E60" s="22">
        <v>3</v>
      </c>
      <c r="F60" s="23" t="s">
        <v>93</v>
      </c>
      <c r="G60" s="55">
        <v>188850000</v>
      </c>
      <c r="H60" s="22">
        <v>3</v>
      </c>
      <c r="I60" s="23" t="s">
        <v>93</v>
      </c>
      <c r="J60" s="25">
        <v>182364000</v>
      </c>
      <c r="K60" s="22"/>
      <c r="L60" s="23"/>
      <c r="M60" s="26"/>
      <c r="N60" s="22"/>
      <c r="O60" s="23"/>
      <c r="P60" s="26"/>
      <c r="Q60" s="22"/>
      <c r="R60" s="23"/>
      <c r="S60" s="26"/>
      <c r="T60" s="22"/>
      <c r="U60" s="23"/>
      <c r="V60" s="26"/>
      <c r="W60" s="22"/>
      <c r="X60" s="23"/>
      <c r="Y60" s="26"/>
      <c r="Z60" s="72"/>
      <c r="AA60" s="23"/>
      <c r="AB60" s="71"/>
      <c r="AC60" s="39"/>
      <c r="AD60" s="45"/>
      <c r="AE60" s="71"/>
      <c r="AF60" s="39"/>
      <c r="AG60" s="72">
        <f>H60+Z60</f>
        <v>3</v>
      </c>
      <c r="AH60" s="23" t="s">
        <v>93</v>
      </c>
      <c r="AI60" s="45">
        <f>J60+AD60</f>
        <v>182364000</v>
      </c>
      <c r="AJ60" s="71">
        <f>AG60/E60*100</f>
        <v>100</v>
      </c>
      <c r="AK60" s="39" t="s">
        <v>80</v>
      </c>
      <c r="AL60" s="71">
        <f>AI60/G60*100</f>
        <v>96.565528196981731</v>
      </c>
      <c r="AM60" s="13"/>
      <c r="AP60" s="28"/>
    </row>
    <row r="61" spans="1:42" ht="60" x14ac:dyDescent="0.2">
      <c r="A61" s="18"/>
      <c r="B61" s="19"/>
      <c r="C61" s="97" t="s">
        <v>264</v>
      </c>
      <c r="D61" s="98" t="s">
        <v>267</v>
      </c>
      <c r="E61" s="22">
        <v>5</v>
      </c>
      <c r="F61" s="23" t="s">
        <v>93</v>
      </c>
      <c r="G61" s="55">
        <v>315400000</v>
      </c>
      <c r="H61" s="22">
        <v>5</v>
      </c>
      <c r="I61" s="23" t="s">
        <v>93</v>
      </c>
      <c r="J61" s="25">
        <v>289090000</v>
      </c>
      <c r="K61" s="22"/>
      <c r="L61" s="23"/>
      <c r="M61" s="26"/>
      <c r="N61" s="22"/>
      <c r="O61" s="23"/>
      <c r="P61" s="26"/>
      <c r="Q61" s="22"/>
      <c r="R61" s="23"/>
      <c r="S61" s="26"/>
      <c r="T61" s="22"/>
      <c r="U61" s="23"/>
      <c r="V61" s="26"/>
      <c r="W61" s="22"/>
      <c r="X61" s="23"/>
      <c r="Y61" s="26"/>
      <c r="Z61" s="72"/>
      <c r="AA61" s="23"/>
      <c r="AB61" s="71"/>
      <c r="AC61" s="39"/>
      <c r="AD61" s="45"/>
      <c r="AE61" s="71"/>
      <c r="AF61" s="39"/>
      <c r="AG61" s="72">
        <f>H61+Z61</f>
        <v>5</v>
      </c>
      <c r="AH61" s="23" t="s">
        <v>93</v>
      </c>
      <c r="AI61" s="45">
        <f>J61+AD61</f>
        <v>289090000</v>
      </c>
      <c r="AJ61" s="71">
        <f>AG61/E61*100</f>
        <v>100</v>
      </c>
      <c r="AK61" s="39" t="s">
        <v>80</v>
      </c>
      <c r="AL61" s="71">
        <f>AI61/G61*100</f>
        <v>91.658211794546602</v>
      </c>
      <c r="AM61" s="13"/>
      <c r="AP61" s="28"/>
    </row>
    <row r="62" spans="1:42" ht="60" x14ac:dyDescent="0.2">
      <c r="A62" s="18"/>
      <c r="B62" s="19"/>
      <c r="C62" s="97" t="s">
        <v>265</v>
      </c>
      <c r="D62" s="98" t="s">
        <v>267</v>
      </c>
      <c r="E62" s="22">
        <v>2</v>
      </c>
      <c r="F62" s="23" t="s">
        <v>93</v>
      </c>
      <c r="G62" s="55">
        <v>4796514265</v>
      </c>
      <c r="H62" s="49">
        <v>2</v>
      </c>
      <c r="I62" s="23" t="s">
        <v>93</v>
      </c>
      <c r="J62" s="25">
        <v>4700059188</v>
      </c>
      <c r="K62" s="22"/>
      <c r="L62" s="23"/>
      <c r="M62" s="26"/>
      <c r="N62" s="22"/>
      <c r="O62" s="23"/>
      <c r="P62" s="26"/>
      <c r="Q62" s="22"/>
      <c r="R62" s="23"/>
      <c r="S62" s="26"/>
      <c r="T62" s="22"/>
      <c r="U62" s="23"/>
      <c r="V62" s="26"/>
      <c r="W62" s="22"/>
      <c r="X62" s="23"/>
      <c r="Y62" s="26"/>
      <c r="Z62" s="72"/>
      <c r="AA62" s="23"/>
      <c r="AB62" s="71"/>
      <c r="AC62" s="39"/>
      <c r="AD62" s="45"/>
      <c r="AE62" s="71"/>
      <c r="AF62" s="39"/>
      <c r="AG62" s="72">
        <f>H62+Z62</f>
        <v>2</v>
      </c>
      <c r="AH62" s="23" t="s">
        <v>93</v>
      </c>
      <c r="AI62" s="45">
        <f>J62+AD62</f>
        <v>4700059188</v>
      </c>
      <c r="AJ62" s="71">
        <f>AG62/E62*100</f>
        <v>100</v>
      </c>
      <c r="AK62" s="39" t="s">
        <v>80</v>
      </c>
      <c r="AL62" s="71">
        <f>AI62/G62*100</f>
        <v>97.989058894209293</v>
      </c>
      <c r="AM62" s="13"/>
      <c r="AP62" s="28"/>
    </row>
    <row r="63" spans="1:42" ht="108.75" customHeight="1" x14ac:dyDescent="0.2">
      <c r="A63" s="18"/>
      <c r="B63" s="19"/>
      <c r="C63" s="54" t="s">
        <v>98</v>
      </c>
      <c r="D63" s="21" t="s">
        <v>226</v>
      </c>
      <c r="E63" s="50">
        <f>4/23*100</f>
        <v>17.391304347826086</v>
      </c>
      <c r="F63" s="51" t="s">
        <v>80</v>
      </c>
      <c r="G63" s="83">
        <f>SUM(G65:G117)</f>
        <v>164852347820</v>
      </c>
      <c r="H63" s="64">
        <f>1/23*100</f>
        <v>4.3478260869565215</v>
      </c>
      <c r="I63" s="51" t="s">
        <v>80</v>
      </c>
      <c r="J63" s="83">
        <f>SUM(J65:J117)</f>
        <v>27556920372</v>
      </c>
      <c r="K63" s="64">
        <f>1/23*100</f>
        <v>4.3478260869565215</v>
      </c>
      <c r="L63" s="51" t="s">
        <v>80</v>
      </c>
      <c r="M63" s="83">
        <f>SUM(M65:M117)</f>
        <v>31919037475</v>
      </c>
      <c r="N63" s="64">
        <v>0</v>
      </c>
      <c r="O63" s="51" t="s">
        <v>80</v>
      </c>
      <c r="P63" s="83">
        <f>SUM(P65:P117)</f>
        <v>4190190223</v>
      </c>
      <c r="Q63" s="64">
        <v>0</v>
      </c>
      <c r="R63" s="51" t="s">
        <v>80</v>
      </c>
      <c r="S63" s="83">
        <f>SUM(S65:S117)</f>
        <v>4766648727</v>
      </c>
      <c r="T63" s="64">
        <v>0</v>
      </c>
      <c r="U63" s="51" t="s">
        <v>80</v>
      </c>
      <c r="V63" s="83">
        <f>SUM(V65:V117)</f>
        <v>6463232611</v>
      </c>
      <c r="W63" s="64">
        <v>0</v>
      </c>
      <c r="X63" s="51" t="s">
        <v>80</v>
      </c>
      <c r="Y63" s="83">
        <f>SUM(Y65:Y117)</f>
        <v>10694159131</v>
      </c>
      <c r="Z63" s="66">
        <f t="shared" si="1"/>
        <v>0</v>
      </c>
      <c r="AA63" s="51" t="s">
        <v>80</v>
      </c>
      <c r="AB63" s="66">
        <f t="shared" ref="AB63:AB65" si="50">Z63/K63*100</f>
        <v>0</v>
      </c>
      <c r="AC63" s="75" t="s">
        <v>80</v>
      </c>
      <c r="AD63" s="84">
        <f>P63+S63+V63+Y63</f>
        <v>26114230692</v>
      </c>
      <c r="AE63" s="86">
        <f>AD63/M63*100</f>
        <v>81.813966703894152</v>
      </c>
      <c r="AF63" s="53" t="s">
        <v>80</v>
      </c>
      <c r="AG63" s="66">
        <f>H63+Z63</f>
        <v>4.3478260869565215</v>
      </c>
      <c r="AH63" s="51" t="s">
        <v>80</v>
      </c>
      <c r="AI63" s="84">
        <f t="shared" si="3"/>
        <v>53671151064</v>
      </c>
      <c r="AJ63" s="66">
        <f t="shared" si="6"/>
        <v>25</v>
      </c>
      <c r="AK63" s="75" t="s">
        <v>80</v>
      </c>
      <c r="AL63" s="86">
        <f t="shared" si="4"/>
        <v>32.55710444755254</v>
      </c>
      <c r="AM63" s="13"/>
      <c r="AP63" s="28"/>
    </row>
    <row r="64" spans="1:42" ht="47.25" x14ac:dyDescent="0.2">
      <c r="A64" s="18"/>
      <c r="B64" s="19"/>
      <c r="C64" s="20"/>
      <c r="D64" s="21" t="s">
        <v>222</v>
      </c>
      <c r="E64" s="50">
        <v>82</v>
      </c>
      <c r="F64" s="65" t="s">
        <v>76</v>
      </c>
      <c r="G64" s="16"/>
      <c r="H64" s="50">
        <v>80.92</v>
      </c>
      <c r="I64" s="65" t="s">
        <v>76</v>
      </c>
      <c r="J64" s="31"/>
      <c r="K64" s="50">
        <v>82</v>
      </c>
      <c r="L64" s="65" t="s">
        <v>76</v>
      </c>
      <c r="M64" s="46"/>
      <c r="N64" s="50">
        <v>0</v>
      </c>
      <c r="O64" s="65" t="s">
        <v>76</v>
      </c>
      <c r="P64" s="46"/>
      <c r="Q64" s="50">
        <v>78.23</v>
      </c>
      <c r="R64" s="65" t="s">
        <v>76</v>
      </c>
      <c r="S64" s="46"/>
      <c r="T64" s="50">
        <v>0</v>
      </c>
      <c r="U64" s="65" t="s">
        <v>76</v>
      </c>
      <c r="V64" s="46"/>
      <c r="W64" s="50">
        <v>84.21</v>
      </c>
      <c r="X64" s="65" t="s">
        <v>76</v>
      </c>
      <c r="Y64" s="46"/>
      <c r="Z64" s="66">
        <f>AVERAGE(Q64,W64)</f>
        <v>81.22</v>
      </c>
      <c r="AA64" s="65" t="s">
        <v>76</v>
      </c>
      <c r="AB64" s="66">
        <f>Z64/K64*100</f>
        <v>99.048780487804876</v>
      </c>
      <c r="AC64" s="75" t="s">
        <v>80</v>
      </c>
      <c r="AD64" s="85"/>
      <c r="AE64" s="87"/>
      <c r="AF64" s="119"/>
      <c r="AG64" s="66">
        <f>Z64</f>
        <v>81.22</v>
      </c>
      <c r="AH64" s="65" t="s">
        <v>76</v>
      </c>
      <c r="AI64" s="85"/>
      <c r="AJ64" s="66">
        <f t="shared" ref="AJ64" si="51">AG64/E64*100</f>
        <v>99.048780487804876</v>
      </c>
      <c r="AK64" s="75" t="s">
        <v>80</v>
      </c>
      <c r="AL64" s="87"/>
      <c r="AM64" s="13"/>
      <c r="AP64" s="28"/>
    </row>
    <row r="65" spans="1:42" ht="120" x14ac:dyDescent="0.2">
      <c r="A65" s="18"/>
      <c r="B65" s="19"/>
      <c r="C65" s="29" t="s">
        <v>103</v>
      </c>
      <c r="D65" s="33" t="s">
        <v>148</v>
      </c>
      <c r="E65" s="56">
        <v>21</v>
      </c>
      <c r="F65" s="76" t="s">
        <v>155</v>
      </c>
      <c r="G65" s="55">
        <v>6347520000</v>
      </c>
      <c r="H65" s="56">
        <v>21</v>
      </c>
      <c r="I65" s="76" t="s">
        <v>155</v>
      </c>
      <c r="J65" s="25">
        <v>1334177802</v>
      </c>
      <c r="K65" s="56">
        <v>21</v>
      </c>
      <c r="L65" s="76" t="s">
        <v>155</v>
      </c>
      <c r="M65" s="26">
        <v>1613942382</v>
      </c>
      <c r="N65" s="56">
        <v>21</v>
      </c>
      <c r="O65" s="76" t="s">
        <v>155</v>
      </c>
      <c r="P65" s="26">
        <v>282047871</v>
      </c>
      <c r="Q65" s="116">
        <v>0</v>
      </c>
      <c r="R65" s="76" t="s">
        <v>155</v>
      </c>
      <c r="S65" s="26">
        <v>345454315</v>
      </c>
      <c r="T65" s="121">
        <v>0</v>
      </c>
      <c r="U65" s="76" t="s">
        <v>155</v>
      </c>
      <c r="V65" s="26">
        <v>329790326</v>
      </c>
      <c r="W65" s="126">
        <v>0</v>
      </c>
      <c r="X65" s="76" t="s">
        <v>155</v>
      </c>
      <c r="Y65" s="26">
        <v>477461212</v>
      </c>
      <c r="Z65" s="88">
        <f t="shared" ref="Z65" si="52">N65+Q65+T65+W65</f>
        <v>21</v>
      </c>
      <c r="AA65" s="76" t="s">
        <v>155</v>
      </c>
      <c r="AB65" s="91">
        <f t="shared" si="50"/>
        <v>100</v>
      </c>
      <c r="AC65" s="94" t="s">
        <v>80</v>
      </c>
      <c r="AD65" s="45">
        <f t="shared" ref="AD65:AD79" si="53">P65+S65+V65+Y65</f>
        <v>1434753724</v>
      </c>
      <c r="AE65" s="91">
        <f>AD65/M65*100</f>
        <v>88.897456315760849</v>
      </c>
      <c r="AF65" s="94" t="s">
        <v>80</v>
      </c>
      <c r="AG65" s="88">
        <f t="shared" ref="AG65" si="54">H65+Z65</f>
        <v>42</v>
      </c>
      <c r="AH65" s="76" t="s">
        <v>155</v>
      </c>
      <c r="AI65" s="45">
        <f t="shared" ref="AI65:AI79" si="55">J65+AD65</f>
        <v>2768931526</v>
      </c>
      <c r="AJ65" s="91">
        <f>AG65/E65*100</f>
        <v>200</v>
      </c>
      <c r="AK65" s="94" t="s">
        <v>80</v>
      </c>
      <c r="AL65" s="71">
        <f>AI65/G65*100</f>
        <v>43.622257606120186</v>
      </c>
      <c r="AM65" s="13"/>
      <c r="AP65" s="28"/>
    </row>
    <row r="66" spans="1:42" ht="120" x14ac:dyDescent="0.2">
      <c r="A66" s="18"/>
      <c r="B66" s="19"/>
      <c r="C66" s="29" t="s">
        <v>104</v>
      </c>
      <c r="D66" s="33" t="s">
        <v>148</v>
      </c>
      <c r="E66" s="57"/>
      <c r="F66" s="77"/>
      <c r="G66" s="55">
        <v>4780932000</v>
      </c>
      <c r="H66" s="57"/>
      <c r="I66" s="77"/>
      <c r="J66" s="25">
        <v>852159399</v>
      </c>
      <c r="K66" s="57"/>
      <c r="L66" s="77"/>
      <c r="M66" s="26">
        <v>1128466601</v>
      </c>
      <c r="N66" s="57"/>
      <c r="O66" s="77"/>
      <c r="P66" s="26">
        <v>210227430</v>
      </c>
      <c r="Q66" s="117"/>
      <c r="R66" s="77"/>
      <c r="S66" s="26">
        <v>233647631</v>
      </c>
      <c r="T66" s="122"/>
      <c r="U66" s="77"/>
      <c r="V66" s="26">
        <v>205284737</v>
      </c>
      <c r="W66" s="127"/>
      <c r="X66" s="77"/>
      <c r="Y66" s="26">
        <v>291587405</v>
      </c>
      <c r="Z66" s="89"/>
      <c r="AA66" s="77"/>
      <c r="AB66" s="92"/>
      <c r="AC66" s="95"/>
      <c r="AD66" s="45">
        <f t="shared" si="53"/>
        <v>940747203</v>
      </c>
      <c r="AE66" s="91">
        <f t="shared" ref="AE66:AE106" si="56">AD66/M66*100</f>
        <v>83.365090483524199</v>
      </c>
      <c r="AF66" s="94" t="s">
        <v>80</v>
      </c>
      <c r="AG66" s="89"/>
      <c r="AH66" s="77"/>
      <c r="AI66" s="45">
        <f t="shared" si="55"/>
        <v>1792906602</v>
      </c>
      <c r="AJ66" s="92"/>
      <c r="AK66" s="95"/>
      <c r="AL66" s="71">
        <f t="shared" ref="AL66:AL79" si="57">AI66/G66*100</f>
        <v>37.501194369633367</v>
      </c>
      <c r="AM66" s="13"/>
      <c r="AP66" s="28"/>
    </row>
    <row r="67" spans="1:42" ht="120" x14ac:dyDescent="0.2">
      <c r="A67" s="18"/>
      <c r="B67" s="19"/>
      <c r="C67" s="29" t="s">
        <v>105</v>
      </c>
      <c r="D67" s="33" t="s">
        <v>148</v>
      </c>
      <c r="E67" s="57"/>
      <c r="F67" s="77"/>
      <c r="G67" s="55">
        <v>1353978000</v>
      </c>
      <c r="H67" s="57"/>
      <c r="I67" s="77"/>
      <c r="J67" s="25">
        <v>266773317</v>
      </c>
      <c r="K67" s="57"/>
      <c r="L67" s="77"/>
      <c r="M67" s="26">
        <v>411528493</v>
      </c>
      <c r="N67" s="57"/>
      <c r="O67" s="77"/>
      <c r="P67" s="26">
        <v>95168757</v>
      </c>
      <c r="Q67" s="117"/>
      <c r="R67" s="77"/>
      <c r="S67" s="26">
        <v>64136988</v>
      </c>
      <c r="T67" s="122"/>
      <c r="U67" s="77"/>
      <c r="V67" s="26">
        <v>47899738</v>
      </c>
      <c r="W67" s="127"/>
      <c r="X67" s="77"/>
      <c r="Y67" s="26">
        <v>146533502</v>
      </c>
      <c r="Z67" s="89"/>
      <c r="AA67" s="77"/>
      <c r="AB67" s="92"/>
      <c r="AC67" s="95"/>
      <c r="AD67" s="45">
        <f t="shared" si="53"/>
        <v>353738985</v>
      </c>
      <c r="AE67" s="91">
        <f t="shared" si="56"/>
        <v>85.957349495117469</v>
      </c>
      <c r="AF67" s="94" t="s">
        <v>80</v>
      </c>
      <c r="AG67" s="89"/>
      <c r="AH67" s="77"/>
      <c r="AI67" s="45">
        <f t="shared" si="55"/>
        <v>620512302</v>
      </c>
      <c r="AJ67" s="92"/>
      <c r="AK67" s="95"/>
      <c r="AL67" s="71">
        <f t="shared" si="57"/>
        <v>45.828831930799467</v>
      </c>
      <c r="AM67" s="13"/>
      <c r="AP67" s="28"/>
    </row>
    <row r="68" spans="1:42" ht="120" x14ac:dyDescent="0.2">
      <c r="A68" s="18"/>
      <c r="B68" s="19"/>
      <c r="C68" s="29" t="s">
        <v>106</v>
      </c>
      <c r="D68" s="33" t="s">
        <v>148</v>
      </c>
      <c r="E68" s="57"/>
      <c r="F68" s="77"/>
      <c r="G68" s="55">
        <v>2450659200</v>
      </c>
      <c r="H68" s="57"/>
      <c r="I68" s="77"/>
      <c r="J68" s="25">
        <v>545553650</v>
      </c>
      <c r="K68" s="57"/>
      <c r="L68" s="77"/>
      <c r="M68" s="26">
        <v>512717656</v>
      </c>
      <c r="N68" s="57"/>
      <c r="O68" s="77"/>
      <c r="P68" s="26">
        <v>123809400</v>
      </c>
      <c r="Q68" s="117"/>
      <c r="R68" s="77"/>
      <c r="S68" s="26">
        <v>118149400</v>
      </c>
      <c r="T68" s="122"/>
      <c r="U68" s="77"/>
      <c r="V68" s="26">
        <v>125320725</v>
      </c>
      <c r="W68" s="127"/>
      <c r="X68" s="77"/>
      <c r="Y68" s="26">
        <v>100764150</v>
      </c>
      <c r="Z68" s="89"/>
      <c r="AA68" s="77"/>
      <c r="AB68" s="92"/>
      <c r="AC68" s="95"/>
      <c r="AD68" s="45">
        <f t="shared" si="53"/>
        <v>468043675</v>
      </c>
      <c r="AE68" s="91">
        <f t="shared" si="56"/>
        <v>91.286826096739688</v>
      </c>
      <c r="AF68" s="94" t="s">
        <v>80</v>
      </c>
      <c r="AG68" s="89"/>
      <c r="AH68" s="77"/>
      <c r="AI68" s="45">
        <f t="shared" si="55"/>
        <v>1013597325</v>
      </c>
      <c r="AJ68" s="92"/>
      <c r="AK68" s="95"/>
      <c r="AL68" s="71">
        <f t="shared" si="57"/>
        <v>41.36019096412916</v>
      </c>
      <c r="AM68" s="13"/>
      <c r="AP68" s="28"/>
    </row>
    <row r="69" spans="1:42" ht="120" x14ac:dyDescent="0.2">
      <c r="A69" s="18"/>
      <c r="B69" s="19"/>
      <c r="C69" s="29" t="s">
        <v>107</v>
      </c>
      <c r="D69" s="33" t="s">
        <v>148</v>
      </c>
      <c r="E69" s="57"/>
      <c r="F69" s="77"/>
      <c r="G69" s="55">
        <v>1138500000</v>
      </c>
      <c r="H69" s="57"/>
      <c r="I69" s="77"/>
      <c r="J69" s="25">
        <v>244455317</v>
      </c>
      <c r="K69" s="57"/>
      <c r="L69" s="77"/>
      <c r="M69" s="26">
        <v>282820110</v>
      </c>
      <c r="N69" s="57"/>
      <c r="O69" s="77"/>
      <c r="P69" s="26">
        <v>59414513</v>
      </c>
      <c r="Q69" s="117"/>
      <c r="R69" s="77"/>
      <c r="S69" s="26">
        <v>70265663</v>
      </c>
      <c r="T69" s="122"/>
      <c r="U69" s="77"/>
      <c r="V69" s="26">
        <v>66505901</v>
      </c>
      <c r="W69" s="127"/>
      <c r="X69" s="77"/>
      <c r="Y69" s="26">
        <v>72694588</v>
      </c>
      <c r="Z69" s="89"/>
      <c r="AA69" s="77"/>
      <c r="AB69" s="92"/>
      <c r="AC69" s="95"/>
      <c r="AD69" s="45">
        <f t="shared" si="53"/>
        <v>268880665</v>
      </c>
      <c r="AE69" s="91">
        <f t="shared" si="56"/>
        <v>95.071268093347399</v>
      </c>
      <c r="AF69" s="94" t="s">
        <v>80</v>
      </c>
      <c r="AG69" s="89"/>
      <c r="AH69" s="77"/>
      <c r="AI69" s="45">
        <f t="shared" si="55"/>
        <v>513335982</v>
      </c>
      <c r="AJ69" s="92"/>
      <c r="AK69" s="95"/>
      <c r="AL69" s="71">
        <f t="shared" si="57"/>
        <v>45.088799472990779</v>
      </c>
      <c r="AM69" s="13"/>
      <c r="AP69" s="28"/>
    </row>
    <row r="70" spans="1:42" ht="120" x14ac:dyDescent="0.2">
      <c r="A70" s="18"/>
      <c r="B70" s="19"/>
      <c r="C70" s="29" t="s">
        <v>108</v>
      </c>
      <c r="D70" s="33" t="s">
        <v>148</v>
      </c>
      <c r="E70" s="57"/>
      <c r="F70" s="77"/>
      <c r="G70" s="55">
        <v>1334264400</v>
      </c>
      <c r="H70" s="57"/>
      <c r="I70" s="77"/>
      <c r="J70" s="25">
        <v>311086409</v>
      </c>
      <c r="K70" s="57"/>
      <c r="L70" s="77"/>
      <c r="M70" s="26">
        <v>364464633</v>
      </c>
      <c r="N70" s="57"/>
      <c r="O70" s="77"/>
      <c r="P70" s="26">
        <v>99334470</v>
      </c>
      <c r="Q70" s="117"/>
      <c r="R70" s="77"/>
      <c r="S70" s="26">
        <v>55315451</v>
      </c>
      <c r="T70" s="122"/>
      <c r="U70" s="77"/>
      <c r="V70" s="26">
        <v>51064751</v>
      </c>
      <c r="W70" s="127"/>
      <c r="X70" s="77"/>
      <c r="Y70" s="26">
        <v>117618533</v>
      </c>
      <c r="Z70" s="89"/>
      <c r="AA70" s="77"/>
      <c r="AB70" s="92"/>
      <c r="AC70" s="95"/>
      <c r="AD70" s="45">
        <f t="shared" si="53"/>
        <v>323333205</v>
      </c>
      <c r="AE70" s="91">
        <f t="shared" si="56"/>
        <v>88.71456260064609</v>
      </c>
      <c r="AF70" s="94" t="s">
        <v>80</v>
      </c>
      <c r="AG70" s="89"/>
      <c r="AH70" s="77"/>
      <c r="AI70" s="45">
        <f t="shared" si="55"/>
        <v>634419614</v>
      </c>
      <c r="AJ70" s="92"/>
      <c r="AK70" s="95"/>
      <c r="AL70" s="71">
        <f t="shared" si="57"/>
        <v>47.548268094389691</v>
      </c>
      <c r="AM70" s="13"/>
      <c r="AP70" s="28"/>
    </row>
    <row r="71" spans="1:42" ht="120" x14ac:dyDescent="0.2">
      <c r="A71" s="18"/>
      <c r="B71" s="19"/>
      <c r="C71" s="29" t="s">
        <v>109</v>
      </c>
      <c r="D71" s="33" t="s">
        <v>148</v>
      </c>
      <c r="E71" s="57"/>
      <c r="F71" s="77"/>
      <c r="G71" s="55">
        <v>2341332000</v>
      </c>
      <c r="H71" s="57"/>
      <c r="I71" s="77"/>
      <c r="J71" s="25">
        <v>478202371</v>
      </c>
      <c r="K71" s="57"/>
      <c r="L71" s="77"/>
      <c r="M71" s="26">
        <v>664806076</v>
      </c>
      <c r="N71" s="57"/>
      <c r="O71" s="77"/>
      <c r="P71" s="26">
        <v>129091338</v>
      </c>
      <c r="Q71" s="117"/>
      <c r="R71" s="77"/>
      <c r="S71" s="26">
        <v>159842051</v>
      </c>
      <c r="T71" s="122"/>
      <c r="U71" s="77"/>
      <c r="V71" s="26">
        <v>121789176</v>
      </c>
      <c r="W71" s="127"/>
      <c r="X71" s="77"/>
      <c r="Y71" s="26">
        <v>166680438</v>
      </c>
      <c r="Z71" s="89"/>
      <c r="AA71" s="77"/>
      <c r="AB71" s="92"/>
      <c r="AC71" s="95"/>
      <c r="AD71" s="45">
        <f t="shared" si="53"/>
        <v>577403003</v>
      </c>
      <c r="AE71" s="91">
        <f t="shared" si="56"/>
        <v>86.852846844317952</v>
      </c>
      <c r="AF71" s="94" t="s">
        <v>80</v>
      </c>
      <c r="AG71" s="89"/>
      <c r="AH71" s="77"/>
      <c r="AI71" s="45">
        <f t="shared" si="55"/>
        <v>1055605374</v>
      </c>
      <c r="AJ71" s="92"/>
      <c r="AK71" s="95"/>
      <c r="AL71" s="71">
        <f t="shared" si="57"/>
        <v>45.085676614850009</v>
      </c>
      <c r="AM71" s="13"/>
      <c r="AP71" s="28"/>
    </row>
    <row r="72" spans="1:42" ht="120" x14ac:dyDescent="0.2">
      <c r="A72" s="18"/>
      <c r="B72" s="19"/>
      <c r="C72" s="29" t="s">
        <v>110</v>
      </c>
      <c r="D72" s="33" t="s">
        <v>148</v>
      </c>
      <c r="E72" s="57"/>
      <c r="F72" s="77"/>
      <c r="G72" s="55">
        <v>1277164800</v>
      </c>
      <c r="H72" s="57"/>
      <c r="I72" s="77"/>
      <c r="J72" s="25">
        <v>304835071</v>
      </c>
      <c r="K72" s="57"/>
      <c r="L72" s="77"/>
      <c r="M72" s="26">
        <v>396798785</v>
      </c>
      <c r="N72" s="57"/>
      <c r="O72" s="77"/>
      <c r="P72" s="26">
        <v>78937194</v>
      </c>
      <c r="Q72" s="117"/>
      <c r="R72" s="77"/>
      <c r="S72" s="26">
        <v>99091800</v>
      </c>
      <c r="T72" s="122"/>
      <c r="U72" s="77"/>
      <c r="V72" s="26">
        <v>42622964</v>
      </c>
      <c r="W72" s="127"/>
      <c r="X72" s="77"/>
      <c r="Y72" s="26">
        <v>145344811</v>
      </c>
      <c r="Z72" s="89"/>
      <c r="AA72" s="77"/>
      <c r="AB72" s="92"/>
      <c r="AC72" s="95"/>
      <c r="AD72" s="45">
        <f t="shared" si="53"/>
        <v>365996769</v>
      </c>
      <c r="AE72" s="91">
        <f t="shared" si="56"/>
        <v>92.237371392152824</v>
      </c>
      <c r="AF72" s="94" t="s">
        <v>80</v>
      </c>
      <c r="AG72" s="89"/>
      <c r="AH72" s="77"/>
      <c r="AI72" s="45">
        <f t="shared" si="55"/>
        <v>670831840</v>
      </c>
      <c r="AJ72" s="92"/>
      <c r="AK72" s="95"/>
      <c r="AL72" s="71">
        <f t="shared" si="57"/>
        <v>52.525080553425838</v>
      </c>
      <c r="AM72" s="13"/>
      <c r="AP72" s="28"/>
    </row>
    <row r="73" spans="1:42" ht="120" x14ac:dyDescent="0.2">
      <c r="A73" s="18"/>
      <c r="B73" s="19"/>
      <c r="C73" s="29" t="s">
        <v>111</v>
      </c>
      <c r="D73" s="33" t="s">
        <v>148</v>
      </c>
      <c r="E73" s="57"/>
      <c r="F73" s="77"/>
      <c r="G73" s="55">
        <v>1419840000</v>
      </c>
      <c r="H73" s="57"/>
      <c r="I73" s="77"/>
      <c r="J73" s="25">
        <v>290482528</v>
      </c>
      <c r="K73" s="57"/>
      <c r="L73" s="77"/>
      <c r="M73" s="26">
        <v>289649549</v>
      </c>
      <c r="N73" s="57"/>
      <c r="O73" s="77"/>
      <c r="P73" s="26">
        <v>62854625</v>
      </c>
      <c r="Q73" s="117"/>
      <c r="R73" s="77"/>
      <c r="S73" s="26">
        <v>61830793</v>
      </c>
      <c r="T73" s="122"/>
      <c r="U73" s="77"/>
      <c r="V73" s="26">
        <v>60319275</v>
      </c>
      <c r="W73" s="127"/>
      <c r="X73" s="77"/>
      <c r="Y73" s="26">
        <v>69200265</v>
      </c>
      <c r="Z73" s="89"/>
      <c r="AA73" s="77"/>
      <c r="AB73" s="92"/>
      <c r="AC73" s="95"/>
      <c r="AD73" s="45">
        <f t="shared" si="53"/>
        <v>254204958</v>
      </c>
      <c r="AE73" s="91">
        <f t="shared" si="56"/>
        <v>87.762939344331585</v>
      </c>
      <c r="AF73" s="94" t="s">
        <v>80</v>
      </c>
      <c r="AG73" s="89"/>
      <c r="AH73" s="77"/>
      <c r="AI73" s="45">
        <f t="shared" si="55"/>
        <v>544687486</v>
      </c>
      <c r="AJ73" s="92"/>
      <c r="AK73" s="95"/>
      <c r="AL73" s="71">
        <f t="shared" si="57"/>
        <v>38.36259620802344</v>
      </c>
      <c r="AM73" s="13"/>
      <c r="AP73" s="28"/>
    </row>
    <row r="74" spans="1:42" ht="120" x14ac:dyDescent="0.2">
      <c r="A74" s="18"/>
      <c r="B74" s="19"/>
      <c r="C74" s="29" t="s">
        <v>112</v>
      </c>
      <c r="D74" s="33" t="s">
        <v>148</v>
      </c>
      <c r="E74" s="57"/>
      <c r="F74" s="77"/>
      <c r="G74" s="55">
        <v>3185661600</v>
      </c>
      <c r="H74" s="57"/>
      <c r="I74" s="77"/>
      <c r="J74" s="25">
        <v>668118196</v>
      </c>
      <c r="K74" s="57"/>
      <c r="L74" s="77"/>
      <c r="M74" s="26">
        <v>719915102</v>
      </c>
      <c r="N74" s="57"/>
      <c r="O74" s="77"/>
      <c r="P74" s="26">
        <v>165429513</v>
      </c>
      <c r="Q74" s="117"/>
      <c r="R74" s="77"/>
      <c r="S74" s="26">
        <v>126498456</v>
      </c>
      <c r="T74" s="122"/>
      <c r="U74" s="77"/>
      <c r="V74" s="26">
        <v>131164502</v>
      </c>
      <c r="W74" s="127"/>
      <c r="X74" s="77"/>
      <c r="Y74" s="26">
        <v>210705213</v>
      </c>
      <c r="Z74" s="89"/>
      <c r="AA74" s="77"/>
      <c r="AB74" s="92"/>
      <c r="AC74" s="95"/>
      <c r="AD74" s="45">
        <f t="shared" si="53"/>
        <v>633797684</v>
      </c>
      <c r="AE74" s="91">
        <f t="shared" si="56"/>
        <v>88.037836994840532</v>
      </c>
      <c r="AF74" s="94" t="s">
        <v>80</v>
      </c>
      <c r="AG74" s="89"/>
      <c r="AH74" s="77"/>
      <c r="AI74" s="45">
        <f t="shared" si="55"/>
        <v>1301915880</v>
      </c>
      <c r="AJ74" s="92"/>
      <c r="AK74" s="95"/>
      <c r="AL74" s="71">
        <f t="shared" si="57"/>
        <v>40.867990498425819</v>
      </c>
      <c r="AM74" s="13"/>
      <c r="AP74" s="28"/>
    </row>
    <row r="75" spans="1:42" ht="120" x14ac:dyDescent="0.2">
      <c r="A75" s="18"/>
      <c r="B75" s="19"/>
      <c r="C75" s="29" t="s">
        <v>113</v>
      </c>
      <c r="D75" s="33" t="s">
        <v>148</v>
      </c>
      <c r="E75" s="57"/>
      <c r="F75" s="77"/>
      <c r="G75" s="55">
        <v>1998000000</v>
      </c>
      <c r="H75" s="57"/>
      <c r="I75" s="77"/>
      <c r="J75" s="25">
        <v>208484739</v>
      </c>
      <c r="K75" s="57"/>
      <c r="L75" s="77"/>
      <c r="M75" s="26">
        <v>613677143</v>
      </c>
      <c r="N75" s="57"/>
      <c r="O75" s="77"/>
      <c r="P75" s="26">
        <v>119974369</v>
      </c>
      <c r="Q75" s="117"/>
      <c r="R75" s="77"/>
      <c r="S75" s="26">
        <v>108030042</v>
      </c>
      <c r="T75" s="122"/>
      <c r="U75" s="77"/>
      <c r="V75" s="26">
        <v>114899863</v>
      </c>
      <c r="W75" s="127"/>
      <c r="X75" s="77"/>
      <c r="Y75" s="26">
        <v>199738851</v>
      </c>
      <c r="Z75" s="89"/>
      <c r="AA75" s="77"/>
      <c r="AB75" s="92"/>
      <c r="AC75" s="95"/>
      <c r="AD75" s="45">
        <f t="shared" si="53"/>
        <v>542643125</v>
      </c>
      <c r="AE75" s="91">
        <f t="shared" si="56"/>
        <v>88.424855184805224</v>
      </c>
      <c r="AF75" s="94" t="s">
        <v>80</v>
      </c>
      <c r="AG75" s="89"/>
      <c r="AH75" s="77"/>
      <c r="AI75" s="45">
        <f t="shared" si="55"/>
        <v>751127864</v>
      </c>
      <c r="AJ75" s="92"/>
      <c r="AK75" s="95"/>
      <c r="AL75" s="71">
        <f t="shared" si="57"/>
        <v>37.593987187187189</v>
      </c>
      <c r="AM75" s="13"/>
      <c r="AP75" s="28"/>
    </row>
    <row r="76" spans="1:42" ht="120" x14ac:dyDescent="0.2">
      <c r="A76" s="18"/>
      <c r="B76" s="19"/>
      <c r="C76" s="29" t="s">
        <v>114</v>
      </c>
      <c r="D76" s="33" t="s">
        <v>148</v>
      </c>
      <c r="E76" s="57"/>
      <c r="F76" s="77"/>
      <c r="G76" s="55">
        <v>1150416000</v>
      </c>
      <c r="H76" s="57"/>
      <c r="I76" s="77"/>
      <c r="J76" s="25">
        <v>278220750</v>
      </c>
      <c r="K76" s="57"/>
      <c r="L76" s="77"/>
      <c r="M76" s="26">
        <v>386423788</v>
      </c>
      <c r="N76" s="57"/>
      <c r="O76" s="77"/>
      <c r="P76" s="26">
        <v>79452875</v>
      </c>
      <c r="Q76" s="117"/>
      <c r="R76" s="77"/>
      <c r="S76" s="26">
        <v>69206725</v>
      </c>
      <c r="T76" s="122"/>
      <c r="U76" s="77"/>
      <c r="V76" s="26">
        <v>43070650</v>
      </c>
      <c r="W76" s="127"/>
      <c r="X76" s="77"/>
      <c r="Y76" s="26">
        <v>127740412</v>
      </c>
      <c r="Z76" s="89"/>
      <c r="AA76" s="77"/>
      <c r="AB76" s="92"/>
      <c r="AC76" s="95"/>
      <c r="AD76" s="45">
        <f t="shared" si="53"/>
        <v>319470662</v>
      </c>
      <c r="AE76" s="91">
        <f t="shared" si="56"/>
        <v>82.67365310336433</v>
      </c>
      <c r="AF76" s="94" t="s">
        <v>80</v>
      </c>
      <c r="AG76" s="89"/>
      <c r="AH76" s="77"/>
      <c r="AI76" s="45">
        <f t="shared" si="55"/>
        <v>597691412</v>
      </c>
      <c r="AJ76" s="92"/>
      <c r="AK76" s="95"/>
      <c r="AL76" s="71">
        <f t="shared" si="57"/>
        <v>51.954372331400123</v>
      </c>
      <c r="AM76" s="13"/>
      <c r="AP76" s="28"/>
    </row>
    <row r="77" spans="1:42" ht="120" x14ac:dyDescent="0.2">
      <c r="A77" s="18"/>
      <c r="B77" s="19"/>
      <c r="C77" s="29" t="s">
        <v>115</v>
      </c>
      <c r="D77" s="33" t="s">
        <v>148</v>
      </c>
      <c r="E77" s="57"/>
      <c r="F77" s="77"/>
      <c r="G77" s="55">
        <v>867456000</v>
      </c>
      <c r="H77" s="57"/>
      <c r="I77" s="77"/>
      <c r="J77" s="25">
        <v>157774050</v>
      </c>
      <c r="K77" s="57"/>
      <c r="L77" s="77"/>
      <c r="M77" s="26">
        <v>198318258</v>
      </c>
      <c r="N77" s="57"/>
      <c r="O77" s="77"/>
      <c r="P77" s="26">
        <v>42158225</v>
      </c>
      <c r="Q77" s="117"/>
      <c r="R77" s="77"/>
      <c r="S77" s="26">
        <v>44769025</v>
      </c>
      <c r="T77" s="122"/>
      <c r="U77" s="77"/>
      <c r="V77" s="26">
        <v>30448275</v>
      </c>
      <c r="W77" s="127"/>
      <c r="X77" s="77"/>
      <c r="Y77" s="26">
        <v>65862050</v>
      </c>
      <c r="Z77" s="89"/>
      <c r="AA77" s="77"/>
      <c r="AB77" s="92"/>
      <c r="AC77" s="95"/>
      <c r="AD77" s="45">
        <f t="shared" si="53"/>
        <v>183237575</v>
      </c>
      <c r="AE77" s="91">
        <f t="shared" si="56"/>
        <v>92.39571628346998</v>
      </c>
      <c r="AF77" s="94" t="s">
        <v>80</v>
      </c>
      <c r="AG77" s="89"/>
      <c r="AH77" s="77"/>
      <c r="AI77" s="45">
        <f t="shared" si="55"/>
        <v>341011625</v>
      </c>
      <c r="AJ77" s="92"/>
      <c r="AK77" s="95"/>
      <c r="AL77" s="71">
        <f t="shared" si="57"/>
        <v>39.311691313449906</v>
      </c>
      <c r="AM77" s="13"/>
      <c r="AP77" s="28"/>
    </row>
    <row r="78" spans="1:42" ht="120" x14ac:dyDescent="0.2">
      <c r="A78" s="18"/>
      <c r="B78" s="19"/>
      <c r="C78" s="29" t="s">
        <v>116</v>
      </c>
      <c r="D78" s="33" t="s">
        <v>148</v>
      </c>
      <c r="E78" s="57"/>
      <c r="F78" s="77"/>
      <c r="G78" s="55">
        <v>1818379800</v>
      </c>
      <c r="H78" s="57"/>
      <c r="I78" s="77"/>
      <c r="J78" s="25">
        <v>344825074</v>
      </c>
      <c r="K78" s="57"/>
      <c r="L78" s="77"/>
      <c r="M78" s="26">
        <v>481451625</v>
      </c>
      <c r="N78" s="57"/>
      <c r="O78" s="77"/>
      <c r="P78" s="26">
        <v>93697213</v>
      </c>
      <c r="Q78" s="117"/>
      <c r="R78" s="77"/>
      <c r="S78" s="26">
        <v>30678675</v>
      </c>
      <c r="T78" s="122"/>
      <c r="U78" s="77"/>
      <c r="V78" s="26">
        <v>196848788</v>
      </c>
      <c r="W78" s="127"/>
      <c r="X78" s="77"/>
      <c r="Y78" s="26">
        <v>119794813</v>
      </c>
      <c r="Z78" s="89"/>
      <c r="AA78" s="77"/>
      <c r="AB78" s="92"/>
      <c r="AC78" s="95"/>
      <c r="AD78" s="45">
        <f t="shared" si="53"/>
        <v>441019489</v>
      </c>
      <c r="AE78" s="91">
        <f t="shared" si="56"/>
        <v>91.602035614689228</v>
      </c>
      <c r="AF78" s="94" t="s">
        <v>80</v>
      </c>
      <c r="AG78" s="89"/>
      <c r="AH78" s="77"/>
      <c r="AI78" s="45">
        <f t="shared" si="55"/>
        <v>785844563</v>
      </c>
      <c r="AJ78" s="92"/>
      <c r="AK78" s="95"/>
      <c r="AL78" s="71">
        <f t="shared" si="57"/>
        <v>43.216745093626756</v>
      </c>
      <c r="AM78" s="13"/>
      <c r="AP78" s="28"/>
    </row>
    <row r="79" spans="1:42" ht="120" x14ac:dyDescent="0.2">
      <c r="A79" s="18"/>
      <c r="B79" s="19"/>
      <c r="C79" s="29" t="s">
        <v>117</v>
      </c>
      <c r="D79" s="33" t="s">
        <v>148</v>
      </c>
      <c r="E79" s="57"/>
      <c r="F79" s="77"/>
      <c r="G79" s="55">
        <v>2293626240</v>
      </c>
      <c r="H79" s="57"/>
      <c r="I79" s="77"/>
      <c r="J79" s="25">
        <v>504016598</v>
      </c>
      <c r="K79" s="57"/>
      <c r="L79" s="77"/>
      <c r="M79" s="26">
        <v>502839475</v>
      </c>
      <c r="N79" s="57"/>
      <c r="O79" s="77"/>
      <c r="P79" s="26">
        <v>92867570</v>
      </c>
      <c r="Q79" s="117"/>
      <c r="R79" s="77"/>
      <c r="S79" s="26">
        <v>109585975</v>
      </c>
      <c r="T79" s="122"/>
      <c r="U79" s="77"/>
      <c r="V79" s="26">
        <v>109787457</v>
      </c>
      <c r="W79" s="127"/>
      <c r="X79" s="77"/>
      <c r="Y79" s="26">
        <v>151036569</v>
      </c>
      <c r="Z79" s="89"/>
      <c r="AA79" s="77"/>
      <c r="AB79" s="92"/>
      <c r="AC79" s="95"/>
      <c r="AD79" s="45">
        <f t="shared" si="53"/>
        <v>463277571</v>
      </c>
      <c r="AE79" s="91">
        <f t="shared" si="56"/>
        <v>92.132299477880096</v>
      </c>
      <c r="AF79" s="94" t="s">
        <v>80</v>
      </c>
      <c r="AG79" s="89"/>
      <c r="AH79" s="77"/>
      <c r="AI79" s="45">
        <f t="shared" si="55"/>
        <v>967294169</v>
      </c>
      <c r="AJ79" s="92"/>
      <c r="AK79" s="95"/>
      <c r="AL79" s="71">
        <f t="shared" si="57"/>
        <v>42.173138418576869</v>
      </c>
      <c r="AM79" s="13"/>
      <c r="AP79" s="28"/>
    </row>
    <row r="80" spans="1:42" ht="120" x14ac:dyDescent="0.2">
      <c r="A80" s="18"/>
      <c r="B80" s="19"/>
      <c r="C80" s="29" t="s">
        <v>118</v>
      </c>
      <c r="D80" s="33" t="s">
        <v>148</v>
      </c>
      <c r="E80" s="57"/>
      <c r="F80" s="77"/>
      <c r="G80" s="55">
        <v>2735000000</v>
      </c>
      <c r="H80" s="57"/>
      <c r="I80" s="77"/>
      <c r="J80" s="25">
        <v>609623441</v>
      </c>
      <c r="K80" s="57"/>
      <c r="L80" s="77"/>
      <c r="M80" s="26">
        <v>640601157</v>
      </c>
      <c r="N80" s="57"/>
      <c r="O80" s="77"/>
      <c r="P80" s="26">
        <v>138907938</v>
      </c>
      <c r="Q80" s="117"/>
      <c r="R80" s="77"/>
      <c r="S80" s="26">
        <v>91358963</v>
      </c>
      <c r="T80" s="122"/>
      <c r="U80" s="77"/>
      <c r="V80" s="26">
        <v>118980998</v>
      </c>
      <c r="W80" s="127"/>
      <c r="X80" s="77"/>
      <c r="Y80" s="26">
        <v>164391059</v>
      </c>
      <c r="Z80" s="89"/>
      <c r="AA80" s="77"/>
      <c r="AB80" s="92"/>
      <c r="AC80" s="95"/>
      <c r="AD80" s="45">
        <f t="shared" si="5"/>
        <v>513638958</v>
      </c>
      <c r="AE80" s="91">
        <f t="shared" si="56"/>
        <v>80.180772761233086</v>
      </c>
      <c r="AF80" s="94" t="s">
        <v>80</v>
      </c>
      <c r="AG80" s="89"/>
      <c r="AH80" s="77"/>
      <c r="AI80" s="45">
        <f t="shared" si="3"/>
        <v>1123262399</v>
      </c>
      <c r="AJ80" s="92"/>
      <c r="AK80" s="95"/>
      <c r="AL80" s="71">
        <f t="shared" si="4"/>
        <v>41.069923180987203</v>
      </c>
      <c r="AM80" s="13"/>
      <c r="AP80" s="28"/>
    </row>
    <row r="81" spans="1:42" ht="120" x14ac:dyDescent="0.2">
      <c r="A81" s="18"/>
      <c r="B81" s="19"/>
      <c r="C81" s="29" t="s">
        <v>119</v>
      </c>
      <c r="D81" s="33" t="s">
        <v>148</v>
      </c>
      <c r="E81" s="57"/>
      <c r="F81" s="77"/>
      <c r="G81" s="55">
        <v>6595920000</v>
      </c>
      <c r="H81" s="57"/>
      <c r="I81" s="77"/>
      <c r="J81" s="25">
        <v>1366039732</v>
      </c>
      <c r="K81" s="57"/>
      <c r="L81" s="77"/>
      <c r="M81" s="26">
        <v>2258671905</v>
      </c>
      <c r="N81" s="57"/>
      <c r="O81" s="77"/>
      <c r="P81" s="26">
        <v>328405553</v>
      </c>
      <c r="Q81" s="117"/>
      <c r="R81" s="77"/>
      <c r="S81" s="26">
        <v>483909139</v>
      </c>
      <c r="T81" s="122"/>
      <c r="U81" s="77"/>
      <c r="V81" s="26">
        <v>279088913</v>
      </c>
      <c r="W81" s="127"/>
      <c r="X81" s="77"/>
      <c r="Y81" s="26">
        <v>739858455</v>
      </c>
      <c r="Z81" s="89"/>
      <c r="AA81" s="77"/>
      <c r="AB81" s="92"/>
      <c r="AC81" s="95"/>
      <c r="AD81" s="45">
        <f t="shared" ref="AD81:AD88" si="58">P81+S81+V81+Y81</f>
        <v>1831262060</v>
      </c>
      <c r="AE81" s="91">
        <f t="shared" si="56"/>
        <v>81.076939769169357</v>
      </c>
      <c r="AF81" s="94" t="s">
        <v>80</v>
      </c>
      <c r="AG81" s="89"/>
      <c r="AH81" s="77"/>
      <c r="AI81" s="45">
        <f t="shared" ref="AI81:AI88" si="59">J81+AD81</f>
        <v>3197301792</v>
      </c>
      <c r="AJ81" s="92"/>
      <c r="AK81" s="95"/>
      <c r="AL81" s="71">
        <f t="shared" ref="AL81:AL88" si="60">AI81/G81*100</f>
        <v>48.473932249026667</v>
      </c>
      <c r="AM81" s="13"/>
      <c r="AP81" s="28"/>
    </row>
    <row r="82" spans="1:42" ht="120" x14ac:dyDescent="0.2">
      <c r="A82" s="18"/>
      <c r="B82" s="19"/>
      <c r="C82" s="29" t="s">
        <v>120</v>
      </c>
      <c r="D82" s="33" t="s">
        <v>148</v>
      </c>
      <c r="E82" s="57"/>
      <c r="F82" s="77"/>
      <c r="G82" s="55">
        <v>2739876000</v>
      </c>
      <c r="H82" s="57"/>
      <c r="I82" s="77"/>
      <c r="J82" s="25">
        <v>530081854</v>
      </c>
      <c r="K82" s="57"/>
      <c r="L82" s="77"/>
      <c r="M82" s="26">
        <v>504800694</v>
      </c>
      <c r="N82" s="57"/>
      <c r="O82" s="77"/>
      <c r="P82" s="26">
        <v>112281462</v>
      </c>
      <c r="Q82" s="117"/>
      <c r="R82" s="77"/>
      <c r="S82" s="26">
        <v>111945080</v>
      </c>
      <c r="T82" s="122"/>
      <c r="U82" s="77"/>
      <c r="V82" s="26">
        <v>92536767</v>
      </c>
      <c r="W82" s="127"/>
      <c r="X82" s="77"/>
      <c r="Y82" s="26">
        <v>139826329</v>
      </c>
      <c r="Z82" s="89"/>
      <c r="AA82" s="77"/>
      <c r="AB82" s="92"/>
      <c r="AC82" s="95"/>
      <c r="AD82" s="45">
        <f t="shared" si="58"/>
        <v>456589638</v>
      </c>
      <c r="AE82" s="91">
        <f t="shared" si="56"/>
        <v>90.449486981093571</v>
      </c>
      <c r="AF82" s="94" t="s">
        <v>80</v>
      </c>
      <c r="AG82" s="89"/>
      <c r="AH82" s="77"/>
      <c r="AI82" s="45">
        <f t="shared" si="59"/>
        <v>986671492</v>
      </c>
      <c r="AJ82" s="92"/>
      <c r="AK82" s="95"/>
      <c r="AL82" s="71">
        <f t="shared" si="60"/>
        <v>36.011538186399676</v>
      </c>
      <c r="AM82" s="13"/>
      <c r="AP82" s="28"/>
    </row>
    <row r="83" spans="1:42" ht="120" x14ac:dyDescent="0.2">
      <c r="A83" s="18"/>
      <c r="B83" s="19"/>
      <c r="C83" s="29" t="s">
        <v>121</v>
      </c>
      <c r="D83" s="33" t="s">
        <v>148</v>
      </c>
      <c r="E83" s="57"/>
      <c r="F83" s="77"/>
      <c r="G83" s="55">
        <v>3377619000</v>
      </c>
      <c r="H83" s="57"/>
      <c r="I83" s="77"/>
      <c r="J83" s="25">
        <v>666211867</v>
      </c>
      <c r="K83" s="57"/>
      <c r="L83" s="77"/>
      <c r="M83" s="26">
        <v>790435892</v>
      </c>
      <c r="N83" s="57"/>
      <c r="O83" s="77"/>
      <c r="P83" s="26">
        <v>158167231</v>
      </c>
      <c r="Q83" s="117"/>
      <c r="R83" s="77"/>
      <c r="S83" s="26">
        <v>155403663</v>
      </c>
      <c r="T83" s="122"/>
      <c r="U83" s="77"/>
      <c r="V83" s="26">
        <v>171856792</v>
      </c>
      <c r="W83" s="127"/>
      <c r="X83" s="77"/>
      <c r="Y83" s="26">
        <v>224088913</v>
      </c>
      <c r="Z83" s="89"/>
      <c r="AA83" s="77"/>
      <c r="AB83" s="92"/>
      <c r="AC83" s="95"/>
      <c r="AD83" s="45">
        <f t="shared" si="58"/>
        <v>709516599</v>
      </c>
      <c r="AE83" s="91">
        <f t="shared" si="56"/>
        <v>89.76270007232921</v>
      </c>
      <c r="AF83" s="94" t="s">
        <v>80</v>
      </c>
      <c r="AG83" s="89"/>
      <c r="AH83" s="77"/>
      <c r="AI83" s="45">
        <f t="shared" si="59"/>
        <v>1375728466</v>
      </c>
      <c r="AJ83" s="92"/>
      <c r="AK83" s="95"/>
      <c r="AL83" s="71">
        <f t="shared" si="60"/>
        <v>40.730717881442516</v>
      </c>
      <c r="AM83" s="13"/>
      <c r="AP83" s="28"/>
    </row>
    <row r="84" spans="1:42" ht="120" x14ac:dyDescent="0.2">
      <c r="A84" s="18"/>
      <c r="B84" s="19"/>
      <c r="C84" s="29" t="s">
        <v>122</v>
      </c>
      <c r="D84" s="33" t="s">
        <v>148</v>
      </c>
      <c r="E84" s="57"/>
      <c r="F84" s="77"/>
      <c r="G84" s="55">
        <v>3549960000</v>
      </c>
      <c r="H84" s="57"/>
      <c r="I84" s="77"/>
      <c r="J84" s="25">
        <v>767521008</v>
      </c>
      <c r="K84" s="57"/>
      <c r="L84" s="77"/>
      <c r="M84" s="26">
        <v>790187894</v>
      </c>
      <c r="N84" s="57"/>
      <c r="O84" s="77"/>
      <c r="P84" s="26">
        <v>151834154</v>
      </c>
      <c r="Q84" s="117"/>
      <c r="R84" s="77"/>
      <c r="S84" s="26">
        <v>163115676</v>
      </c>
      <c r="T84" s="122"/>
      <c r="U84" s="77"/>
      <c r="V84" s="26">
        <v>155092814</v>
      </c>
      <c r="W84" s="127"/>
      <c r="X84" s="77"/>
      <c r="Y84" s="26">
        <v>250399588</v>
      </c>
      <c r="Z84" s="89"/>
      <c r="AA84" s="77"/>
      <c r="AB84" s="92"/>
      <c r="AC84" s="95"/>
      <c r="AD84" s="45">
        <f t="shared" si="58"/>
        <v>720442232</v>
      </c>
      <c r="AE84" s="91">
        <f t="shared" si="56"/>
        <v>91.17353448090158</v>
      </c>
      <c r="AF84" s="94" t="s">
        <v>80</v>
      </c>
      <c r="AG84" s="89"/>
      <c r="AH84" s="77"/>
      <c r="AI84" s="45">
        <f t="shared" si="59"/>
        <v>1487963240</v>
      </c>
      <c r="AJ84" s="92"/>
      <c r="AK84" s="95"/>
      <c r="AL84" s="71">
        <f t="shared" si="60"/>
        <v>41.914929745687274</v>
      </c>
      <c r="AM84" s="13"/>
      <c r="AP84" s="28"/>
    </row>
    <row r="85" spans="1:42" ht="120" x14ac:dyDescent="0.2">
      <c r="A85" s="18"/>
      <c r="B85" s="19"/>
      <c r="C85" s="29" t="s">
        <v>300</v>
      </c>
      <c r="D85" s="33" t="s">
        <v>148</v>
      </c>
      <c r="E85" s="58"/>
      <c r="F85" s="30"/>
      <c r="G85" s="55">
        <v>1475000000</v>
      </c>
      <c r="H85" s="58"/>
      <c r="I85" s="30"/>
      <c r="J85" s="25">
        <v>323061400</v>
      </c>
      <c r="K85" s="58"/>
      <c r="L85" s="30"/>
      <c r="M85" s="26">
        <v>441197907</v>
      </c>
      <c r="N85" s="58"/>
      <c r="O85" s="30"/>
      <c r="P85" s="26">
        <v>86458625</v>
      </c>
      <c r="Q85" s="118"/>
      <c r="R85" s="30"/>
      <c r="S85" s="26">
        <v>88658275</v>
      </c>
      <c r="T85" s="123"/>
      <c r="U85" s="30"/>
      <c r="V85" s="26">
        <v>81439263</v>
      </c>
      <c r="W85" s="128"/>
      <c r="X85" s="30"/>
      <c r="Y85" s="26">
        <v>131153670</v>
      </c>
      <c r="Z85" s="90"/>
      <c r="AA85" s="30"/>
      <c r="AB85" s="93"/>
      <c r="AC85" s="96"/>
      <c r="AD85" s="45">
        <f t="shared" si="58"/>
        <v>387709833</v>
      </c>
      <c r="AE85" s="91">
        <f t="shared" si="56"/>
        <v>87.876625625062175</v>
      </c>
      <c r="AF85" s="94" t="s">
        <v>80</v>
      </c>
      <c r="AG85" s="90"/>
      <c r="AH85" s="30"/>
      <c r="AI85" s="45">
        <f t="shared" si="59"/>
        <v>710771233</v>
      </c>
      <c r="AJ85" s="93"/>
      <c r="AK85" s="96"/>
      <c r="AL85" s="71">
        <f t="shared" si="60"/>
        <v>48.187880203389831</v>
      </c>
      <c r="AM85" s="13"/>
      <c r="AP85" s="28"/>
    </row>
    <row r="86" spans="1:42" ht="135" x14ac:dyDescent="0.2">
      <c r="A86" s="18"/>
      <c r="B86" s="19"/>
      <c r="C86" s="29" t="s">
        <v>123</v>
      </c>
      <c r="D86" s="33" t="s">
        <v>149</v>
      </c>
      <c r="E86" s="56">
        <v>21</v>
      </c>
      <c r="F86" s="76" t="s">
        <v>155</v>
      </c>
      <c r="G86" s="55">
        <v>4941685000</v>
      </c>
      <c r="H86" s="56">
        <v>21</v>
      </c>
      <c r="I86" s="76" t="s">
        <v>155</v>
      </c>
      <c r="J86" s="25">
        <v>679377250</v>
      </c>
      <c r="K86" s="56">
        <v>21</v>
      </c>
      <c r="L86" s="76" t="s">
        <v>155</v>
      </c>
      <c r="M86" s="26">
        <v>591178000</v>
      </c>
      <c r="N86" s="56">
        <v>21</v>
      </c>
      <c r="O86" s="76" t="s">
        <v>155</v>
      </c>
      <c r="P86" s="26">
        <v>58555400</v>
      </c>
      <c r="Q86" s="116">
        <v>0</v>
      </c>
      <c r="R86" s="76" t="s">
        <v>155</v>
      </c>
      <c r="S86" s="26">
        <v>82603250</v>
      </c>
      <c r="T86" s="121">
        <v>0</v>
      </c>
      <c r="U86" s="76" t="s">
        <v>155</v>
      </c>
      <c r="V86" s="26">
        <v>101077950</v>
      </c>
      <c r="W86" s="126">
        <v>0</v>
      </c>
      <c r="X86" s="76" t="s">
        <v>155</v>
      </c>
      <c r="Y86" s="26">
        <v>199440750</v>
      </c>
      <c r="Z86" s="88">
        <f t="shared" ref="Z86" si="61">N86+Q86+T86+W86</f>
        <v>21</v>
      </c>
      <c r="AA86" s="76" t="s">
        <v>155</v>
      </c>
      <c r="AB86" s="91">
        <f>Z86/K86*100</f>
        <v>100</v>
      </c>
      <c r="AC86" s="94" t="s">
        <v>80</v>
      </c>
      <c r="AD86" s="45">
        <f t="shared" si="58"/>
        <v>441677350</v>
      </c>
      <c r="AE86" s="91">
        <f t="shared" si="56"/>
        <v>74.711398259069185</v>
      </c>
      <c r="AF86" s="94" t="s">
        <v>80</v>
      </c>
      <c r="AG86" s="88">
        <f>H86+Z86</f>
        <v>42</v>
      </c>
      <c r="AH86" s="76" t="s">
        <v>155</v>
      </c>
      <c r="AI86" s="45">
        <f>J86+AD86</f>
        <v>1121054600</v>
      </c>
      <c r="AJ86" s="91">
        <f>AG86/E86*100</f>
        <v>200</v>
      </c>
      <c r="AK86" s="94" t="s">
        <v>80</v>
      </c>
      <c r="AL86" s="71">
        <f>AI86/G86*100</f>
        <v>22.685675027849815</v>
      </c>
      <c r="AM86" s="13"/>
      <c r="AP86" s="28"/>
    </row>
    <row r="87" spans="1:42" ht="135" x14ac:dyDescent="0.2">
      <c r="A87" s="18"/>
      <c r="B87" s="19"/>
      <c r="C87" s="29" t="s">
        <v>124</v>
      </c>
      <c r="D87" s="33" t="s">
        <v>149</v>
      </c>
      <c r="E87" s="57"/>
      <c r="F87" s="77"/>
      <c r="G87" s="55">
        <v>4941435000</v>
      </c>
      <c r="H87" s="57"/>
      <c r="I87" s="77"/>
      <c r="J87" s="25">
        <v>889990600</v>
      </c>
      <c r="K87" s="57"/>
      <c r="L87" s="77"/>
      <c r="M87" s="26">
        <v>591163000</v>
      </c>
      <c r="N87" s="57"/>
      <c r="O87" s="77"/>
      <c r="P87" s="26">
        <v>61567450</v>
      </c>
      <c r="Q87" s="117"/>
      <c r="R87" s="77"/>
      <c r="S87" s="26">
        <v>70357250</v>
      </c>
      <c r="T87" s="122"/>
      <c r="U87" s="77"/>
      <c r="V87" s="26">
        <v>148849900</v>
      </c>
      <c r="W87" s="127"/>
      <c r="X87" s="77"/>
      <c r="Y87" s="26">
        <v>219920800</v>
      </c>
      <c r="Z87" s="89"/>
      <c r="AA87" s="77"/>
      <c r="AB87" s="92"/>
      <c r="AC87" s="95"/>
      <c r="AD87" s="45">
        <f t="shared" si="58"/>
        <v>500695400</v>
      </c>
      <c r="AE87" s="91">
        <f t="shared" si="56"/>
        <v>84.69667418292417</v>
      </c>
      <c r="AF87" s="94" t="s">
        <v>80</v>
      </c>
      <c r="AG87" s="89"/>
      <c r="AH87" s="77"/>
      <c r="AI87" s="45">
        <f t="shared" si="59"/>
        <v>1390686000</v>
      </c>
      <c r="AJ87" s="92"/>
      <c r="AK87" s="95"/>
      <c r="AL87" s="71">
        <f t="shared" si="60"/>
        <v>28.143363213317592</v>
      </c>
      <c r="AM87" s="13"/>
      <c r="AP87" s="28"/>
    </row>
    <row r="88" spans="1:42" ht="135" x14ac:dyDescent="0.2">
      <c r="A88" s="18"/>
      <c r="B88" s="19"/>
      <c r="C88" s="29" t="s">
        <v>125</v>
      </c>
      <c r="D88" s="33" t="s">
        <v>149</v>
      </c>
      <c r="E88" s="57"/>
      <c r="F88" s="77"/>
      <c r="G88" s="55">
        <v>2809464000</v>
      </c>
      <c r="H88" s="57"/>
      <c r="I88" s="77"/>
      <c r="J88" s="25">
        <v>397093984</v>
      </c>
      <c r="K88" s="57"/>
      <c r="L88" s="77"/>
      <c r="M88" s="26">
        <v>465541000</v>
      </c>
      <c r="N88" s="57"/>
      <c r="O88" s="77"/>
      <c r="P88" s="26">
        <v>85028300</v>
      </c>
      <c r="Q88" s="117"/>
      <c r="R88" s="77"/>
      <c r="S88" s="26">
        <v>43332500</v>
      </c>
      <c r="T88" s="122"/>
      <c r="U88" s="77"/>
      <c r="V88" s="26">
        <v>32137000</v>
      </c>
      <c r="W88" s="127"/>
      <c r="X88" s="77"/>
      <c r="Y88" s="26">
        <v>189987000</v>
      </c>
      <c r="Z88" s="89"/>
      <c r="AA88" s="77"/>
      <c r="AB88" s="92"/>
      <c r="AC88" s="95"/>
      <c r="AD88" s="45">
        <f t="shared" si="58"/>
        <v>350484800</v>
      </c>
      <c r="AE88" s="91">
        <f t="shared" si="56"/>
        <v>75.285485059318077</v>
      </c>
      <c r="AF88" s="94" t="s">
        <v>80</v>
      </c>
      <c r="AG88" s="89"/>
      <c r="AH88" s="77"/>
      <c r="AI88" s="45">
        <f t="shared" si="59"/>
        <v>747578784</v>
      </c>
      <c r="AJ88" s="92"/>
      <c r="AK88" s="95"/>
      <c r="AL88" s="71">
        <f t="shared" si="60"/>
        <v>26.609302842107962</v>
      </c>
      <c r="AM88" s="13"/>
      <c r="AP88" s="28"/>
    </row>
    <row r="89" spans="1:42" ht="135" x14ac:dyDescent="0.2">
      <c r="A89" s="18"/>
      <c r="B89" s="19"/>
      <c r="C89" s="29" t="s">
        <v>126</v>
      </c>
      <c r="D89" s="33" t="s">
        <v>149</v>
      </c>
      <c r="E89" s="57"/>
      <c r="F89" s="77"/>
      <c r="G89" s="55">
        <v>3697730000</v>
      </c>
      <c r="H89" s="57"/>
      <c r="I89" s="77"/>
      <c r="J89" s="25">
        <v>187082000</v>
      </c>
      <c r="K89" s="57"/>
      <c r="L89" s="77"/>
      <c r="M89" s="26">
        <v>517879950</v>
      </c>
      <c r="N89" s="57"/>
      <c r="O89" s="77"/>
      <c r="P89" s="26">
        <v>31953000</v>
      </c>
      <c r="Q89" s="117"/>
      <c r="R89" s="77"/>
      <c r="S89" s="26">
        <v>89951900</v>
      </c>
      <c r="T89" s="122"/>
      <c r="U89" s="77"/>
      <c r="V89" s="26">
        <v>137894250</v>
      </c>
      <c r="W89" s="127"/>
      <c r="X89" s="77"/>
      <c r="Y89" s="26">
        <v>141245000</v>
      </c>
      <c r="Z89" s="89"/>
      <c r="AA89" s="77"/>
      <c r="AB89" s="92"/>
      <c r="AC89" s="95"/>
      <c r="AD89" s="45">
        <f t="shared" ref="AD89:AD106" si="62">P89+S89+V89+Y89</f>
        <v>401044150</v>
      </c>
      <c r="AE89" s="91">
        <f t="shared" si="56"/>
        <v>77.439597729164831</v>
      </c>
      <c r="AF89" s="94" t="s">
        <v>80</v>
      </c>
      <c r="AG89" s="89"/>
      <c r="AH89" s="77"/>
      <c r="AI89" s="45">
        <f t="shared" ref="AI89:AI106" si="63">J89+AD89</f>
        <v>588126150</v>
      </c>
      <c r="AJ89" s="92"/>
      <c r="AK89" s="95"/>
      <c r="AL89" s="71">
        <f t="shared" ref="AL89:AL106" si="64">AI89/G89*100</f>
        <v>15.905059320177514</v>
      </c>
      <c r="AM89" s="13"/>
      <c r="AP89" s="28"/>
    </row>
    <row r="90" spans="1:42" ht="135" x14ac:dyDescent="0.2">
      <c r="A90" s="18"/>
      <c r="B90" s="19"/>
      <c r="C90" s="29" t="s">
        <v>127</v>
      </c>
      <c r="D90" s="33" t="s">
        <v>149</v>
      </c>
      <c r="E90" s="57"/>
      <c r="F90" s="77"/>
      <c r="G90" s="55">
        <v>4595640000</v>
      </c>
      <c r="H90" s="57"/>
      <c r="I90" s="77"/>
      <c r="J90" s="25">
        <v>851821100</v>
      </c>
      <c r="K90" s="57"/>
      <c r="L90" s="77"/>
      <c r="M90" s="26">
        <v>570752000</v>
      </c>
      <c r="N90" s="57"/>
      <c r="O90" s="77"/>
      <c r="P90" s="26">
        <v>48893900</v>
      </c>
      <c r="Q90" s="117"/>
      <c r="R90" s="77"/>
      <c r="S90" s="26">
        <v>98958400</v>
      </c>
      <c r="T90" s="122"/>
      <c r="U90" s="77"/>
      <c r="V90" s="26">
        <v>177323900</v>
      </c>
      <c r="W90" s="127"/>
      <c r="X90" s="77"/>
      <c r="Y90" s="26">
        <v>133287488</v>
      </c>
      <c r="Z90" s="89"/>
      <c r="AA90" s="77"/>
      <c r="AB90" s="92"/>
      <c r="AC90" s="95"/>
      <c r="AD90" s="45">
        <f t="shared" si="62"/>
        <v>458463688</v>
      </c>
      <c r="AE90" s="91">
        <f t="shared" si="56"/>
        <v>80.326251681991479</v>
      </c>
      <c r="AF90" s="94" t="s">
        <v>80</v>
      </c>
      <c r="AG90" s="89"/>
      <c r="AH90" s="77"/>
      <c r="AI90" s="45">
        <f t="shared" si="63"/>
        <v>1310284788</v>
      </c>
      <c r="AJ90" s="92"/>
      <c r="AK90" s="95"/>
      <c r="AL90" s="71">
        <f t="shared" si="64"/>
        <v>28.511475833616213</v>
      </c>
      <c r="AM90" s="13"/>
      <c r="AP90" s="28"/>
    </row>
    <row r="91" spans="1:42" ht="135" x14ac:dyDescent="0.2">
      <c r="A91" s="18"/>
      <c r="B91" s="19"/>
      <c r="C91" s="29" t="s">
        <v>128</v>
      </c>
      <c r="D91" s="33" t="s">
        <v>150</v>
      </c>
      <c r="E91" s="57"/>
      <c r="F91" s="77"/>
      <c r="G91" s="55">
        <v>3505860000</v>
      </c>
      <c r="H91" s="57"/>
      <c r="I91" s="77"/>
      <c r="J91" s="25">
        <v>578844750</v>
      </c>
      <c r="K91" s="57"/>
      <c r="L91" s="77"/>
      <c r="M91" s="26">
        <v>506575000</v>
      </c>
      <c r="N91" s="57"/>
      <c r="O91" s="77"/>
      <c r="P91" s="26">
        <v>70801522</v>
      </c>
      <c r="Q91" s="117"/>
      <c r="R91" s="77"/>
      <c r="S91" s="26">
        <v>46123278</v>
      </c>
      <c r="T91" s="122"/>
      <c r="U91" s="77"/>
      <c r="V91" s="26">
        <v>178853388</v>
      </c>
      <c r="W91" s="127"/>
      <c r="X91" s="77"/>
      <c r="Y91" s="26">
        <v>128875412</v>
      </c>
      <c r="Z91" s="89"/>
      <c r="AA91" s="77"/>
      <c r="AB91" s="92"/>
      <c r="AC91" s="95"/>
      <c r="AD91" s="45">
        <f t="shared" si="62"/>
        <v>424653600</v>
      </c>
      <c r="AE91" s="91">
        <f t="shared" si="56"/>
        <v>83.828376844494883</v>
      </c>
      <c r="AF91" s="94" t="s">
        <v>80</v>
      </c>
      <c r="AG91" s="89"/>
      <c r="AH91" s="77"/>
      <c r="AI91" s="45">
        <f t="shared" si="63"/>
        <v>1003498350</v>
      </c>
      <c r="AJ91" s="92"/>
      <c r="AK91" s="95"/>
      <c r="AL91" s="71">
        <f t="shared" si="64"/>
        <v>28.623457582447674</v>
      </c>
      <c r="AM91" s="13"/>
      <c r="AP91" s="28"/>
    </row>
    <row r="92" spans="1:42" ht="135" x14ac:dyDescent="0.2">
      <c r="A92" s="18"/>
      <c r="B92" s="19"/>
      <c r="C92" s="29" t="s">
        <v>129</v>
      </c>
      <c r="D92" s="33" t="s">
        <v>151</v>
      </c>
      <c r="E92" s="57"/>
      <c r="F92" s="77"/>
      <c r="G92" s="55">
        <v>3540905000</v>
      </c>
      <c r="H92" s="57"/>
      <c r="I92" s="77"/>
      <c r="J92" s="25">
        <v>578443018</v>
      </c>
      <c r="K92" s="57"/>
      <c r="L92" s="77"/>
      <c r="M92" s="26">
        <v>508640000</v>
      </c>
      <c r="N92" s="57"/>
      <c r="O92" s="77"/>
      <c r="P92" s="26">
        <v>59433250</v>
      </c>
      <c r="Q92" s="117"/>
      <c r="R92" s="77"/>
      <c r="S92" s="26">
        <v>99996700</v>
      </c>
      <c r="T92" s="122"/>
      <c r="U92" s="77"/>
      <c r="V92" s="26">
        <v>118124000</v>
      </c>
      <c r="W92" s="127"/>
      <c r="X92" s="77"/>
      <c r="Y92" s="26">
        <v>188668750</v>
      </c>
      <c r="Z92" s="89"/>
      <c r="AA92" s="77"/>
      <c r="AB92" s="92"/>
      <c r="AC92" s="95"/>
      <c r="AD92" s="45">
        <f t="shared" si="62"/>
        <v>466222700</v>
      </c>
      <c r="AE92" s="91">
        <f t="shared" si="56"/>
        <v>91.660644070462411</v>
      </c>
      <c r="AF92" s="94" t="s">
        <v>80</v>
      </c>
      <c r="AG92" s="89"/>
      <c r="AH92" s="77"/>
      <c r="AI92" s="45">
        <f t="shared" si="63"/>
        <v>1044665718</v>
      </c>
      <c r="AJ92" s="92"/>
      <c r="AK92" s="95"/>
      <c r="AL92" s="71">
        <f t="shared" si="64"/>
        <v>29.502788637368134</v>
      </c>
      <c r="AM92" s="13"/>
      <c r="AP92" s="28"/>
    </row>
    <row r="93" spans="1:42" ht="135" x14ac:dyDescent="0.2">
      <c r="A93" s="18"/>
      <c r="B93" s="19"/>
      <c r="C93" s="29" t="s">
        <v>130</v>
      </c>
      <c r="D93" s="33" t="s">
        <v>151</v>
      </c>
      <c r="E93" s="57"/>
      <c r="F93" s="77"/>
      <c r="G93" s="55">
        <v>2875555000</v>
      </c>
      <c r="H93" s="57"/>
      <c r="I93" s="77"/>
      <c r="J93" s="25">
        <v>415094800</v>
      </c>
      <c r="K93" s="57"/>
      <c r="L93" s="77"/>
      <c r="M93" s="26">
        <v>469435000</v>
      </c>
      <c r="N93" s="57"/>
      <c r="O93" s="77"/>
      <c r="P93" s="26">
        <v>25372625</v>
      </c>
      <c r="Q93" s="117"/>
      <c r="R93" s="77"/>
      <c r="S93" s="26">
        <v>150229525</v>
      </c>
      <c r="T93" s="122"/>
      <c r="U93" s="77"/>
      <c r="V93" s="26">
        <v>130056250</v>
      </c>
      <c r="W93" s="127"/>
      <c r="X93" s="77"/>
      <c r="Y93" s="26">
        <v>88123590</v>
      </c>
      <c r="Z93" s="89"/>
      <c r="AA93" s="77"/>
      <c r="AB93" s="92"/>
      <c r="AC93" s="95"/>
      <c r="AD93" s="45">
        <f t="shared" si="62"/>
        <v>393781990</v>
      </c>
      <c r="AE93" s="91">
        <f t="shared" si="56"/>
        <v>83.884241694803336</v>
      </c>
      <c r="AF93" s="94" t="s">
        <v>80</v>
      </c>
      <c r="AG93" s="89"/>
      <c r="AH93" s="77"/>
      <c r="AI93" s="45">
        <f t="shared" si="63"/>
        <v>808876790</v>
      </c>
      <c r="AJ93" s="92"/>
      <c r="AK93" s="95"/>
      <c r="AL93" s="71">
        <f t="shared" si="64"/>
        <v>28.129414669515974</v>
      </c>
      <c r="AM93" s="13"/>
      <c r="AP93" s="28"/>
    </row>
    <row r="94" spans="1:42" ht="135" x14ac:dyDescent="0.2">
      <c r="A94" s="18"/>
      <c r="B94" s="19"/>
      <c r="C94" s="29" t="s">
        <v>131</v>
      </c>
      <c r="D94" s="33" t="s">
        <v>151</v>
      </c>
      <c r="E94" s="57"/>
      <c r="F94" s="77"/>
      <c r="G94" s="55">
        <v>2560800000</v>
      </c>
      <c r="H94" s="57"/>
      <c r="I94" s="77"/>
      <c r="J94" s="25">
        <v>401518150</v>
      </c>
      <c r="K94" s="57"/>
      <c r="L94" s="77"/>
      <c r="M94" s="26">
        <v>450889000</v>
      </c>
      <c r="N94" s="57"/>
      <c r="O94" s="77"/>
      <c r="P94" s="26">
        <v>77291600</v>
      </c>
      <c r="Q94" s="117"/>
      <c r="R94" s="77"/>
      <c r="S94" s="26">
        <v>21818000</v>
      </c>
      <c r="T94" s="122"/>
      <c r="U94" s="77"/>
      <c r="V94" s="26">
        <v>189581375</v>
      </c>
      <c r="W94" s="127"/>
      <c r="X94" s="77"/>
      <c r="Y94" s="26">
        <v>91907375</v>
      </c>
      <c r="Z94" s="89"/>
      <c r="AA94" s="77"/>
      <c r="AB94" s="92"/>
      <c r="AC94" s="95"/>
      <c r="AD94" s="45">
        <f t="shared" si="62"/>
        <v>380598350</v>
      </c>
      <c r="AE94" s="91">
        <f t="shared" si="56"/>
        <v>84.410653176280633</v>
      </c>
      <c r="AF94" s="94" t="s">
        <v>80</v>
      </c>
      <c r="AG94" s="89"/>
      <c r="AH94" s="77"/>
      <c r="AI94" s="45">
        <f t="shared" si="63"/>
        <v>782116500</v>
      </c>
      <c r="AJ94" s="92"/>
      <c r="AK94" s="95"/>
      <c r="AL94" s="71">
        <f t="shared" si="64"/>
        <v>30.541881443298969</v>
      </c>
      <c r="AM94" s="13"/>
      <c r="AP94" s="28"/>
    </row>
    <row r="95" spans="1:42" ht="135" x14ac:dyDescent="0.2">
      <c r="A95" s="18"/>
      <c r="B95" s="19"/>
      <c r="C95" s="29" t="s">
        <v>132</v>
      </c>
      <c r="D95" s="33" t="s">
        <v>151</v>
      </c>
      <c r="E95" s="57"/>
      <c r="F95" s="77"/>
      <c r="G95" s="55">
        <v>3859235000</v>
      </c>
      <c r="H95" s="57"/>
      <c r="I95" s="77"/>
      <c r="J95" s="25">
        <v>615152000</v>
      </c>
      <c r="K95" s="57"/>
      <c r="L95" s="77"/>
      <c r="M95" s="26">
        <v>527397000</v>
      </c>
      <c r="N95" s="57"/>
      <c r="O95" s="77"/>
      <c r="P95" s="26">
        <v>36792900</v>
      </c>
      <c r="Q95" s="117"/>
      <c r="R95" s="77"/>
      <c r="S95" s="26">
        <v>112726250</v>
      </c>
      <c r="T95" s="122"/>
      <c r="U95" s="77"/>
      <c r="V95" s="26">
        <v>166672000</v>
      </c>
      <c r="W95" s="127"/>
      <c r="X95" s="77"/>
      <c r="Y95" s="26">
        <v>156901250</v>
      </c>
      <c r="Z95" s="89"/>
      <c r="AA95" s="77"/>
      <c r="AB95" s="92"/>
      <c r="AC95" s="95"/>
      <c r="AD95" s="45">
        <f t="shared" si="62"/>
        <v>473092400</v>
      </c>
      <c r="AE95" s="91">
        <f t="shared" si="56"/>
        <v>89.703278554864738</v>
      </c>
      <c r="AF95" s="94" t="s">
        <v>80</v>
      </c>
      <c r="AG95" s="89"/>
      <c r="AH95" s="77"/>
      <c r="AI95" s="45">
        <f t="shared" si="63"/>
        <v>1088244400</v>
      </c>
      <c r="AJ95" s="92"/>
      <c r="AK95" s="95"/>
      <c r="AL95" s="71">
        <f t="shared" si="64"/>
        <v>28.198448656275144</v>
      </c>
      <c r="AM95" s="13"/>
      <c r="AP95" s="28"/>
    </row>
    <row r="96" spans="1:42" ht="135" x14ac:dyDescent="0.2">
      <c r="A96" s="18"/>
      <c r="B96" s="19"/>
      <c r="C96" s="29" t="s">
        <v>133</v>
      </c>
      <c r="D96" s="33" t="s">
        <v>151</v>
      </c>
      <c r="E96" s="57"/>
      <c r="F96" s="77"/>
      <c r="G96" s="55">
        <v>4554650000</v>
      </c>
      <c r="H96" s="57"/>
      <c r="I96" s="77"/>
      <c r="J96" s="25">
        <v>652985850</v>
      </c>
      <c r="K96" s="57"/>
      <c r="L96" s="77"/>
      <c r="M96" s="26">
        <v>568372000</v>
      </c>
      <c r="N96" s="57"/>
      <c r="O96" s="77"/>
      <c r="P96" s="26">
        <v>91599800</v>
      </c>
      <c r="Q96" s="117"/>
      <c r="R96" s="77"/>
      <c r="S96" s="26">
        <v>59898591</v>
      </c>
      <c r="T96" s="122"/>
      <c r="U96" s="77"/>
      <c r="V96" s="26">
        <v>99717800</v>
      </c>
      <c r="W96" s="127"/>
      <c r="X96" s="77"/>
      <c r="Y96" s="26">
        <v>200585500</v>
      </c>
      <c r="Z96" s="89"/>
      <c r="AA96" s="77"/>
      <c r="AB96" s="92"/>
      <c r="AC96" s="95"/>
      <c r="AD96" s="45">
        <f t="shared" si="62"/>
        <v>451801691</v>
      </c>
      <c r="AE96" s="91">
        <f t="shared" si="56"/>
        <v>79.490490559000094</v>
      </c>
      <c r="AF96" s="94" t="s">
        <v>80</v>
      </c>
      <c r="AG96" s="89"/>
      <c r="AH96" s="77"/>
      <c r="AI96" s="45">
        <f t="shared" si="63"/>
        <v>1104787541</v>
      </c>
      <c r="AJ96" s="92"/>
      <c r="AK96" s="95"/>
      <c r="AL96" s="71">
        <f t="shared" si="64"/>
        <v>24.25625549712931</v>
      </c>
      <c r="AM96" s="13"/>
      <c r="AP96" s="28"/>
    </row>
    <row r="97" spans="1:42" ht="135" x14ac:dyDescent="0.2">
      <c r="A97" s="18"/>
      <c r="B97" s="19"/>
      <c r="C97" s="29" t="s">
        <v>134</v>
      </c>
      <c r="D97" s="33" t="s">
        <v>151</v>
      </c>
      <c r="E97" s="57"/>
      <c r="F97" s="77"/>
      <c r="G97" s="55">
        <v>3481634030</v>
      </c>
      <c r="H97" s="57"/>
      <c r="I97" s="77"/>
      <c r="J97" s="25">
        <v>545796500</v>
      </c>
      <c r="K97" s="57"/>
      <c r="L97" s="77"/>
      <c r="M97" s="26">
        <v>505049000</v>
      </c>
      <c r="N97" s="57"/>
      <c r="O97" s="77"/>
      <c r="P97" s="26">
        <v>38242300</v>
      </c>
      <c r="Q97" s="117"/>
      <c r="R97" s="77"/>
      <c r="S97" s="26">
        <v>60379000</v>
      </c>
      <c r="T97" s="122"/>
      <c r="U97" s="77"/>
      <c r="V97" s="26">
        <v>47348500</v>
      </c>
      <c r="W97" s="127"/>
      <c r="X97" s="77"/>
      <c r="Y97" s="26">
        <v>255850500</v>
      </c>
      <c r="Z97" s="89"/>
      <c r="AA97" s="77"/>
      <c r="AB97" s="92"/>
      <c r="AC97" s="95"/>
      <c r="AD97" s="45">
        <f t="shared" si="62"/>
        <v>401820300</v>
      </c>
      <c r="AE97" s="91">
        <f t="shared" si="56"/>
        <v>79.560656490756344</v>
      </c>
      <c r="AF97" s="94" t="s">
        <v>80</v>
      </c>
      <c r="AG97" s="89"/>
      <c r="AH97" s="77"/>
      <c r="AI97" s="45">
        <f t="shared" si="63"/>
        <v>947616800</v>
      </c>
      <c r="AJ97" s="92"/>
      <c r="AK97" s="95"/>
      <c r="AL97" s="71">
        <f t="shared" si="64"/>
        <v>27.217587829011425</v>
      </c>
      <c r="AM97" s="13"/>
      <c r="AP97" s="28"/>
    </row>
    <row r="98" spans="1:42" ht="135" x14ac:dyDescent="0.2">
      <c r="A98" s="18"/>
      <c r="B98" s="19"/>
      <c r="C98" s="29" t="s">
        <v>135</v>
      </c>
      <c r="D98" s="33" t="s">
        <v>151</v>
      </c>
      <c r="E98" s="57"/>
      <c r="F98" s="77"/>
      <c r="G98" s="55">
        <v>3385765500</v>
      </c>
      <c r="H98" s="57"/>
      <c r="I98" s="77"/>
      <c r="J98" s="25">
        <v>482789600</v>
      </c>
      <c r="K98" s="57"/>
      <c r="L98" s="77"/>
      <c r="M98" s="26">
        <v>499439000</v>
      </c>
      <c r="N98" s="57"/>
      <c r="O98" s="77"/>
      <c r="P98" s="26">
        <v>38753350</v>
      </c>
      <c r="Q98" s="117"/>
      <c r="R98" s="77"/>
      <c r="S98" s="26">
        <v>45830547</v>
      </c>
      <c r="T98" s="122"/>
      <c r="U98" s="77"/>
      <c r="V98" s="26">
        <v>150426453</v>
      </c>
      <c r="W98" s="127"/>
      <c r="X98" s="77"/>
      <c r="Y98" s="26">
        <v>153505700</v>
      </c>
      <c r="Z98" s="89"/>
      <c r="AA98" s="77"/>
      <c r="AB98" s="92"/>
      <c r="AC98" s="95"/>
      <c r="AD98" s="45">
        <f t="shared" si="62"/>
        <v>388516050</v>
      </c>
      <c r="AE98" s="91">
        <f t="shared" si="56"/>
        <v>77.79049093082439</v>
      </c>
      <c r="AF98" s="94" t="s">
        <v>80</v>
      </c>
      <c r="AG98" s="89"/>
      <c r="AH98" s="77"/>
      <c r="AI98" s="45">
        <f t="shared" si="63"/>
        <v>871305650</v>
      </c>
      <c r="AJ98" s="92"/>
      <c r="AK98" s="95"/>
      <c r="AL98" s="71">
        <f t="shared" si="64"/>
        <v>25.734376760587818</v>
      </c>
      <c r="AM98" s="13"/>
      <c r="AP98" s="28"/>
    </row>
    <row r="99" spans="1:42" ht="135" x14ac:dyDescent="0.2">
      <c r="A99" s="18"/>
      <c r="B99" s="19"/>
      <c r="C99" s="29" t="s">
        <v>136</v>
      </c>
      <c r="D99" s="33" t="s">
        <v>149</v>
      </c>
      <c r="E99" s="57"/>
      <c r="F99" s="77"/>
      <c r="G99" s="55">
        <v>3918710000</v>
      </c>
      <c r="H99" s="57"/>
      <c r="I99" s="77"/>
      <c r="J99" s="25">
        <v>718452961</v>
      </c>
      <c r="K99" s="57"/>
      <c r="L99" s="77"/>
      <c r="M99" s="26">
        <v>530901000</v>
      </c>
      <c r="N99" s="57"/>
      <c r="O99" s="77"/>
      <c r="P99" s="26">
        <v>67403850</v>
      </c>
      <c r="Q99" s="117"/>
      <c r="R99" s="77"/>
      <c r="S99" s="26">
        <v>71592000</v>
      </c>
      <c r="T99" s="122"/>
      <c r="U99" s="77"/>
      <c r="V99" s="26">
        <v>255395850</v>
      </c>
      <c r="W99" s="127"/>
      <c r="X99" s="77"/>
      <c r="Y99" s="26">
        <v>88681300</v>
      </c>
      <c r="Z99" s="89"/>
      <c r="AA99" s="77"/>
      <c r="AB99" s="92"/>
      <c r="AC99" s="95"/>
      <c r="AD99" s="45">
        <f t="shared" si="62"/>
        <v>483073000</v>
      </c>
      <c r="AE99" s="91">
        <f t="shared" si="56"/>
        <v>90.991164077671726</v>
      </c>
      <c r="AF99" s="94" t="s">
        <v>80</v>
      </c>
      <c r="AG99" s="89"/>
      <c r="AH99" s="77"/>
      <c r="AI99" s="45">
        <f t="shared" si="63"/>
        <v>1201525961</v>
      </c>
      <c r="AJ99" s="92"/>
      <c r="AK99" s="95"/>
      <c r="AL99" s="71">
        <f t="shared" si="64"/>
        <v>30.661262532823301</v>
      </c>
      <c r="AM99" s="13"/>
      <c r="AP99" s="28"/>
    </row>
    <row r="100" spans="1:42" ht="135" x14ac:dyDescent="0.2">
      <c r="A100" s="18"/>
      <c r="B100" s="19"/>
      <c r="C100" s="29" t="s">
        <v>137</v>
      </c>
      <c r="D100" s="33" t="s">
        <v>151</v>
      </c>
      <c r="E100" s="57"/>
      <c r="F100" s="77"/>
      <c r="G100" s="55">
        <v>4127145000</v>
      </c>
      <c r="H100" s="57"/>
      <c r="I100" s="77"/>
      <c r="J100" s="25">
        <v>710918150</v>
      </c>
      <c r="K100" s="57"/>
      <c r="L100" s="77"/>
      <c r="M100" s="26">
        <v>543183000</v>
      </c>
      <c r="N100" s="57"/>
      <c r="O100" s="77"/>
      <c r="P100" s="26">
        <v>71218250</v>
      </c>
      <c r="Q100" s="117"/>
      <c r="R100" s="77"/>
      <c r="S100" s="26">
        <v>77292000</v>
      </c>
      <c r="T100" s="122"/>
      <c r="U100" s="77"/>
      <c r="V100" s="26">
        <v>184039600</v>
      </c>
      <c r="W100" s="127"/>
      <c r="X100" s="77"/>
      <c r="Y100" s="26">
        <v>141954350</v>
      </c>
      <c r="Z100" s="89"/>
      <c r="AA100" s="77"/>
      <c r="AB100" s="92"/>
      <c r="AC100" s="95"/>
      <c r="AD100" s="45">
        <f t="shared" si="62"/>
        <v>474504200</v>
      </c>
      <c r="AE100" s="91">
        <f t="shared" si="56"/>
        <v>87.356231693554477</v>
      </c>
      <c r="AF100" s="94" t="s">
        <v>80</v>
      </c>
      <c r="AG100" s="89"/>
      <c r="AH100" s="77"/>
      <c r="AI100" s="45">
        <f t="shared" si="63"/>
        <v>1185422350</v>
      </c>
      <c r="AJ100" s="92"/>
      <c r="AK100" s="95"/>
      <c r="AL100" s="71">
        <f t="shared" si="64"/>
        <v>28.722575775748126</v>
      </c>
      <c r="AM100" s="13"/>
      <c r="AP100" s="28"/>
    </row>
    <row r="101" spans="1:42" ht="135" x14ac:dyDescent="0.2">
      <c r="A101" s="18"/>
      <c r="B101" s="19"/>
      <c r="C101" s="29" t="s">
        <v>138</v>
      </c>
      <c r="D101" s="33" t="s">
        <v>149</v>
      </c>
      <c r="E101" s="57"/>
      <c r="F101" s="77"/>
      <c r="G101" s="55">
        <v>3471755000</v>
      </c>
      <c r="H101" s="57"/>
      <c r="I101" s="77"/>
      <c r="J101" s="25">
        <v>546074450</v>
      </c>
      <c r="K101" s="57"/>
      <c r="L101" s="77"/>
      <c r="M101" s="26">
        <v>504565000</v>
      </c>
      <c r="N101" s="57"/>
      <c r="O101" s="77"/>
      <c r="P101" s="26">
        <v>53326400</v>
      </c>
      <c r="Q101" s="117"/>
      <c r="R101" s="77"/>
      <c r="S101" s="26">
        <v>85386800</v>
      </c>
      <c r="T101" s="122"/>
      <c r="U101" s="77"/>
      <c r="V101" s="26">
        <v>166374220</v>
      </c>
      <c r="W101" s="127"/>
      <c r="X101" s="77"/>
      <c r="Y101" s="26">
        <v>156690255</v>
      </c>
      <c r="Z101" s="89"/>
      <c r="AA101" s="77"/>
      <c r="AB101" s="92"/>
      <c r="AC101" s="95"/>
      <c r="AD101" s="45">
        <f t="shared" si="62"/>
        <v>461777675</v>
      </c>
      <c r="AE101" s="91">
        <f t="shared" si="56"/>
        <v>91.519957785419123</v>
      </c>
      <c r="AF101" s="94" t="s">
        <v>80</v>
      </c>
      <c r="AG101" s="89"/>
      <c r="AH101" s="77"/>
      <c r="AI101" s="45">
        <f t="shared" si="63"/>
        <v>1007852125</v>
      </c>
      <c r="AJ101" s="92"/>
      <c r="AK101" s="95"/>
      <c r="AL101" s="71">
        <f t="shared" si="64"/>
        <v>29.030047483189335</v>
      </c>
      <c r="AM101" s="13"/>
      <c r="AP101" s="28"/>
    </row>
    <row r="102" spans="1:42" ht="135" x14ac:dyDescent="0.2">
      <c r="A102" s="18"/>
      <c r="B102" s="19"/>
      <c r="C102" s="29" t="s">
        <v>139</v>
      </c>
      <c r="D102" s="33" t="s">
        <v>149</v>
      </c>
      <c r="E102" s="57"/>
      <c r="F102" s="77"/>
      <c r="G102" s="55">
        <v>5579640000</v>
      </c>
      <c r="H102" s="57"/>
      <c r="I102" s="77"/>
      <c r="J102" s="25">
        <v>850305500</v>
      </c>
      <c r="K102" s="57"/>
      <c r="L102" s="77"/>
      <c r="M102" s="26">
        <v>628932000</v>
      </c>
      <c r="N102" s="57"/>
      <c r="O102" s="77"/>
      <c r="P102" s="26">
        <v>56596250</v>
      </c>
      <c r="Q102" s="117"/>
      <c r="R102" s="77"/>
      <c r="S102" s="26">
        <v>126591250</v>
      </c>
      <c r="T102" s="122"/>
      <c r="U102" s="77"/>
      <c r="V102" s="26">
        <v>201307500</v>
      </c>
      <c r="W102" s="127"/>
      <c r="X102" s="77"/>
      <c r="Y102" s="26">
        <v>129576000</v>
      </c>
      <c r="Z102" s="89"/>
      <c r="AA102" s="77"/>
      <c r="AB102" s="92"/>
      <c r="AC102" s="95"/>
      <c r="AD102" s="45">
        <f t="shared" si="62"/>
        <v>514071000</v>
      </c>
      <c r="AE102" s="91">
        <f t="shared" si="56"/>
        <v>81.737135334185567</v>
      </c>
      <c r="AF102" s="94" t="s">
        <v>80</v>
      </c>
      <c r="AG102" s="89"/>
      <c r="AH102" s="77"/>
      <c r="AI102" s="45">
        <f t="shared" si="63"/>
        <v>1364376500</v>
      </c>
      <c r="AJ102" s="92"/>
      <c r="AK102" s="95"/>
      <c r="AL102" s="71">
        <f t="shared" si="64"/>
        <v>24.45276935429526</v>
      </c>
      <c r="AM102" s="13"/>
      <c r="AP102" s="28"/>
    </row>
    <row r="103" spans="1:42" ht="135" x14ac:dyDescent="0.2">
      <c r="A103" s="18"/>
      <c r="B103" s="19"/>
      <c r="C103" s="29" t="s">
        <v>140</v>
      </c>
      <c r="D103" s="33" t="s">
        <v>149</v>
      </c>
      <c r="E103" s="57"/>
      <c r="F103" s="77"/>
      <c r="G103" s="55">
        <v>3011505000</v>
      </c>
      <c r="H103" s="57"/>
      <c r="I103" s="77"/>
      <c r="J103" s="25">
        <v>478133500</v>
      </c>
      <c r="K103" s="57"/>
      <c r="L103" s="77"/>
      <c r="M103" s="26">
        <v>477446000</v>
      </c>
      <c r="N103" s="57"/>
      <c r="O103" s="77"/>
      <c r="P103" s="26">
        <v>30848000</v>
      </c>
      <c r="Q103" s="117"/>
      <c r="R103" s="77"/>
      <c r="S103" s="26">
        <v>79869000</v>
      </c>
      <c r="T103" s="122"/>
      <c r="U103" s="77"/>
      <c r="V103" s="26">
        <v>204906500</v>
      </c>
      <c r="W103" s="127"/>
      <c r="X103" s="77"/>
      <c r="Y103" s="26">
        <v>114989500</v>
      </c>
      <c r="Z103" s="89"/>
      <c r="AA103" s="77"/>
      <c r="AB103" s="92"/>
      <c r="AC103" s="95"/>
      <c r="AD103" s="45">
        <f t="shared" si="62"/>
        <v>430613000</v>
      </c>
      <c r="AE103" s="91">
        <f t="shared" si="56"/>
        <v>90.19093258714075</v>
      </c>
      <c r="AF103" s="94" t="s">
        <v>80</v>
      </c>
      <c r="AG103" s="89"/>
      <c r="AH103" s="77"/>
      <c r="AI103" s="45">
        <f t="shared" si="63"/>
        <v>908746500</v>
      </c>
      <c r="AJ103" s="92"/>
      <c r="AK103" s="95"/>
      <c r="AL103" s="71">
        <f t="shared" si="64"/>
        <v>30.175825708408254</v>
      </c>
      <c r="AM103" s="13"/>
      <c r="AP103" s="28"/>
    </row>
    <row r="104" spans="1:42" ht="135" x14ac:dyDescent="0.2">
      <c r="A104" s="18"/>
      <c r="B104" s="19"/>
      <c r="C104" s="29" t="s">
        <v>141</v>
      </c>
      <c r="D104" s="33" t="s">
        <v>149</v>
      </c>
      <c r="E104" s="57"/>
      <c r="F104" s="77"/>
      <c r="G104" s="55">
        <v>3361995000</v>
      </c>
      <c r="H104" s="57"/>
      <c r="I104" s="77"/>
      <c r="J104" s="25">
        <v>590850700</v>
      </c>
      <c r="K104" s="57"/>
      <c r="L104" s="77"/>
      <c r="M104" s="26">
        <v>498098000</v>
      </c>
      <c r="N104" s="57"/>
      <c r="O104" s="77"/>
      <c r="P104" s="26">
        <v>23891000</v>
      </c>
      <c r="Q104" s="117"/>
      <c r="R104" s="77"/>
      <c r="S104" s="26">
        <v>119578450</v>
      </c>
      <c r="T104" s="122"/>
      <c r="U104" s="77"/>
      <c r="V104" s="26">
        <v>84064400</v>
      </c>
      <c r="W104" s="127"/>
      <c r="X104" s="77"/>
      <c r="Y104" s="26">
        <v>212615500</v>
      </c>
      <c r="Z104" s="89"/>
      <c r="AA104" s="77"/>
      <c r="AB104" s="92"/>
      <c r="AC104" s="95"/>
      <c r="AD104" s="45">
        <f t="shared" si="62"/>
        <v>440149350</v>
      </c>
      <c r="AE104" s="91">
        <f t="shared" si="56"/>
        <v>88.36601431846745</v>
      </c>
      <c r="AF104" s="94" t="s">
        <v>80</v>
      </c>
      <c r="AG104" s="89"/>
      <c r="AH104" s="77"/>
      <c r="AI104" s="45">
        <f t="shared" si="63"/>
        <v>1031000050</v>
      </c>
      <c r="AJ104" s="92"/>
      <c r="AK104" s="95"/>
      <c r="AL104" s="71">
        <f t="shared" si="64"/>
        <v>30.666317171798291</v>
      </c>
      <c r="AM104" s="13"/>
      <c r="AP104" s="28"/>
    </row>
    <row r="105" spans="1:42" ht="135" x14ac:dyDescent="0.2">
      <c r="A105" s="18"/>
      <c r="B105" s="19"/>
      <c r="C105" s="29" t="s">
        <v>142</v>
      </c>
      <c r="D105" s="33" t="s">
        <v>151</v>
      </c>
      <c r="E105" s="57"/>
      <c r="F105" s="77"/>
      <c r="G105" s="55">
        <v>3044035000</v>
      </c>
      <c r="H105" s="57"/>
      <c r="I105" s="77"/>
      <c r="J105" s="25">
        <v>425618050</v>
      </c>
      <c r="K105" s="57"/>
      <c r="L105" s="77"/>
      <c r="M105" s="26">
        <v>479363000</v>
      </c>
      <c r="N105" s="57"/>
      <c r="O105" s="77"/>
      <c r="P105" s="26">
        <v>39505000</v>
      </c>
      <c r="Q105" s="117"/>
      <c r="R105" s="77"/>
      <c r="S105" s="26">
        <v>93065950</v>
      </c>
      <c r="T105" s="122"/>
      <c r="U105" s="77"/>
      <c r="V105" s="26">
        <v>118974900</v>
      </c>
      <c r="W105" s="127"/>
      <c r="X105" s="77"/>
      <c r="Y105" s="26">
        <v>147509000</v>
      </c>
      <c r="Z105" s="89"/>
      <c r="AA105" s="77"/>
      <c r="AB105" s="92"/>
      <c r="AC105" s="95"/>
      <c r="AD105" s="45">
        <f t="shared" si="62"/>
        <v>399054850</v>
      </c>
      <c r="AE105" s="91">
        <f t="shared" si="56"/>
        <v>83.246902660405581</v>
      </c>
      <c r="AF105" s="94" t="s">
        <v>80</v>
      </c>
      <c r="AG105" s="89"/>
      <c r="AH105" s="77"/>
      <c r="AI105" s="45">
        <f t="shared" si="63"/>
        <v>824672900</v>
      </c>
      <c r="AJ105" s="92"/>
      <c r="AK105" s="95"/>
      <c r="AL105" s="71">
        <f t="shared" si="64"/>
        <v>27.091439487390911</v>
      </c>
      <c r="AM105" s="13"/>
      <c r="AP105" s="28"/>
    </row>
    <row r="106" spans="1:42" ht="135" x14ac:dyDescent="0.2">
      <c r="A106" s="18"/>
      <c r="B106" s="19"/>
      <c r="C106" s="29" t="s">
        <v>143</v>
      </c>
      <c r="D106" s="33" t="s">
        <v>151</v>
      </c>
      <c r="E106" s="58"/>
      <c r="F106" s="30"/>
      <c r="G106" s="55">
        <v>3110454250</v>
      </c>
      <c r="H106" s="58"/>
      <c r="I106" s="30"/>
      <c r="J106" s="25">
        <v>495470800</v>
      </c>
      <c r="K106" s="58"/>
      <c r="L106" s="30"/>
      <c r="M106" s="26">
        <v>483276000</v>
      </c>
      <c r="N106" s="58"/>
      <c r="O106" s="30"/>
      <c r="P106" s="26">
        <v>104391750</v>
      </c>
      <c r="Q106" s="118"/>
      <c r="R106" s="30"/>
      <c r="S106" s="26">
        <v>23113000</v>
      </c>
      <c r="T106" s="123"/>
      <c r="U106" s="30"/>
      <c r="V106" s="26">
        <v>82393000</v>
      </c>
      <c r="W106" s="128"/>
      <c r="X106" s="30"/>
      <c r="Y106" s="26">
        <v>170758000</v>
      </c>
      <c r="Z106" s="90"/>
      <c r="AA106" s="30"/>
      <c r="AB106" s="93"/>
      <c r="AC106" s="96"/>
      <c r="AD106" s="45">
        <f t="shared" si="62"/>
        <v>380655750</v>
      </c>
      <c r="AE106" s="91">
        <f t="shared" si="56"/>
        <v>78.765705311250713</v>
      </c>
      <c r="AF106" s="94" t="s">
        <v>80</v>
      </c>
      <c r="AG106" s="90"/>
      <c r="AH106" s="30"/>
      <c r="AI106" s="45">
        <f t="shared" si="63"/>
        <v>876126550</v>
      </c>
      <c r="AJ106" s="93"/>
      <c r="AK106" s="96"/>
      <c r="AL106" s="71">
        <f t="shared" si="64"/>
        <v>28.167157578350494</v>
      </c>
      <c r="AM106" s="13"/>
      <c r="AP106" s="28"/>
    </row>
    <row r="107" spans="1:42" ht="105" x14ac:dyDescent="0.2">
      <c r="A107" s="18"/>
      <c r="B107" s="19"/>
      <c r="C107" s="29" t="s">
        <v>234</v>
      </c>
      <c r="D107" s="33" t="s">
        <v>102</v>
      </c>
      <c r="E107" s="22">
        <v>21</v>
      </c>
      <c r="F107" s="23" t="s">
        <v>155</v>
      </c>
      <c r="G107" s="55">
        <v>7952682500</v>
      </c>
      <c r="H107" s="22">
        <v>21</v>
      </c>
      <c r="I107" s="23" t="s">
        <v>155</v>
      </c>
      <c r="J107" s="25">
        <v>1364518385</v>
      </c>
      <c r="K107" s="22">
        <v>21</v>
      </c>
      <c r="L107" s="23" t="s">
        <v>155</v>
      </c>
      <c r="M107" s="26">
        <v>2032122500</v>
      </c>
      <c r="N107" s="22">
        <v>21</v>
      </c>
      <c r="O107" s="23" t="s">
        <v>155</v>
      </c>
      <c r="P107" s="26">
        <v>5542500</v>
      </c>
      <c r="Q107" s="22">
        <v>0</v>
      </c>
      <c r="R107" s="23" t="s">
        <v>155</v>
      </c>
      <c r="S107" s="26">
        <v>0</v>
      </c>
      <c r="T107" s="22">
        <v>0</v>
      </c>
      <c r="U107" s="23" t="s">
        <v>155</v>
      </c>
      <c r="V107" s="26">
        <v>319847000</v>
      </c>
      <c r="W107" s="22">
        <v>0</v>
      </c>
      <c r="X107" s="23" t="s">
        <v>155</v>
      </c>
      <c r="Y107" s="26">
        <v>1434456990</v>
      </c>
      <c r="Z107" s="72">
        <f t="shared" ref="Z107" si="65">N107+Q107+T107+W107</f>
        <v>21</v>
      </c>
      <c r="AA107" s="23" t="s">
        <v>155</v>
      </c>
      <c r="AB107" s="71">
        <f t="shared" ref="AB107:AB125" si="66">Z107/K107*100</f>
        <v>100</v>
      </c>
      <c r="AC107" s="39" t="s">
        <v>80</v>
      </c>
      <c r="AD107" s="45">
        <f t="shared" ref="AD107" si="67">P107+S107+V107+Y107</f>
        <v>1759846490</v>
      </c>
      <c r="AE107" s="71">
        <f t="shared" ref="AE107:AE125" si="68">AD107/M107*100</f>
        <v>86.601397799591311</v>
      </c>
      <c r="AF107" s="39" t="s">
        <v>80</v>
      </c>
      <c r="AG107" s="72">
        <f t="shared" ref="AG107" si="69">H107+Z107</f>
        <v>42</v>
      </c>
      <c r="AH107" s="23" t="s">
        <v>155</v>
      </c>
      <c r="AI107" s="45">
        <f t="shared" ref="AI107" si="70">J107+AD107</f>
        <v>3124364875</v>
      </c>
      <c r="AJ107" s="71">
        <f t="shared" ref="AJ107" si="71">AG107/E107*100</f>
        <v>200</v>
      </c>
      <c r="AK107" s="39" t="s">
        <v>80</v>
      </c>
      <c r="AL107" s="71">
        <f t="shared" ref="AL107" si="72">AI107/G107*100</f>
        <v>39.286930856349414</v>
      </c>
      <c r="AM107" s="13"/>
      <c r="AP107" s="28"/>
    </row>
    <row r="108" spans="1:42" ht="135" x14ac:dyDescent="0.2">
      <c r="A108" s="18"/>
      <c r="B108" s="19"/>
      <c r="C108" s="29" t="s">
        <v>147</v>
      </c>
      <c r="D108" s="33" t="s">
        <v>149</v>
      </c>
      <c r="E108" s="22">
        <v>21</v>
      </c>
      <c r="F108" s="23" t="s">
        <v>155</v>
      </c>
      <c r="G108" s="55">
        <v>888770000</v>
      </c>
      <c r="H108" s="22">
        <v>21</v>
      </c>
      <c r="I108" s="23" t="s">
        <v>155</v>
      </c>
      <c r="J108" s="25">
        <v>707974097</v>
      </c>
      <c r="K108" s="22">
        <v>21</v>
      </c>
      <c r="L108" s="23" t="s">
        <v>155</v>
      </c>
      <c r="M108" s="26">
        <v>1316375000</v>
      </c>
      <c r="N108" s="22">
        <v>21</v>
      </c>
      <c r="O108" s="23" t="s">
        <v>155</v>
      </c>
      <c r="P108" s="26">
        <v>11540000</v>
      </c>
      <c r="Q108" s="22">
        <v>0</v>
      </c>
      <c r="R108" s="23" t="s">
        <v>155</v>
      </c>
      <c r="S108" s="26">
        <v>17850000</v>
      </c>
      <c r="T108" s="22">
        <v>0</v>
      </c>
      <c r="U108" s="23" t="s">
        <v>155</v>
      </c>
      <c r="V108" s="26">
        <v>0</v>
      </c>
      <c r="W108" s="22">
        <v>0</v>
      </c>
      <c r="X108" s="23" t="s">
        <v>155</v>
      </c>
      <c r="Y108" s="26">
        <v>290253750</v>
      </c>
      <c r="Z108" s="72">
        <f t="shared" ref="Z108:Z113" si="73">N108+Q108+T108+W108</f>
        <v>21</v>
      </c>
      <c r="AA108" s="23" t="s">
        <v>155</v>
      </c>
      <c r="AB108" s="71">
        <f t="shared" si="66"/>
        <v>100</v>
      </c>
      <c r="AC108" s="39" t="s">
        <v>80</v>
      </c>
      <c r="AD108" s="45">
        <f t="shared" ref="AD108:AD114" si="74">P108+S108+V108+Y108</f>
        <v>319643750</v>
      </c>
      <c r="AE108" s="71">
        <f t="shared" si="68"/>
        <v>24.282119456841706</v>
      </c>
      <c r="AF108" s="39" t="s">
        <v>80</v>
      </c>
      <c r="AG108" s="72">
        <f t="shared" ref="AG108:AG113" si="75">H108+Z108</f>
        <v>42</v>
      </c>
      <c r="AH108" s="23" t="s">
        <v>155</v>
      </c>
      <c r="AI108" s="45">
        <f t="shared" ref="AI108:AI114" si="76">J108+AD108</f>
        <v>1027617847</v>
      </c>
      <c r="AJ108" s="71">
        <f t="shared" ref="AJ108:AJ113" si="77">AG108/E108*100</f>
        <v>200</v>
      </c>
      <c r="AK108" s="39" t="s">
        <v>80</v>
      </c>
      <c r="AL108" s="71">
        <f t="shared" ref="AL108:AL114" si="78">AI108/G108*100</f>
        <v>115.62247229316922</v>
      </c>
      <c r="AM108" s="13"/>
      <c r="AP108" s="28"/>
    </row>
    <row r="109" spans="1:42" ht="105" x14ac:dyDescent="0.2">
      <c r="A109" s="18"/>
      <c r="B109" s="19"/>
      <c r="C109" s="29" t="s">
        <v>145</v>
      </c>
      <c r="D109" s="33" t="s">
        <v>152</v>
      </c>
      <c r="E109" s="22">
        <v>21</v>
      </c>
      <c r="F109" s="23" t="s">
        <v>155</v>
      </c>
      <c r="G109" s="55">
        <v>849315000</v>
      </c>
      <c r="H109" s="22">
        <v>21</v>
      </c>
      <c r="I109" s="23" t="s">
        <v>155</v>
      </c>
      <c r="J109" s="25">
        <v>105107900</v>
      </c>
      <c r="K109" s="22">
        <v>21</v>
      </c>
      <c r="L109" s="23" t="s">
        <v>155</v>
      </c>
      <c r="M109" s="26">
        <v>172988000</v>
      </c>
      <c r="N109" s="22">
        <v>21</v>
      </c>
      <c r="O109" s="23" t="s">
        <v>155</v>
      </c>
      <c r="P109" s="26">
        <v>8920000</v>
      </c>
      <c r="Q109" s="22">
        <v>0</v>
      </c>
      <c r="R109" s="23" t="s">
        <v>155</v>
      </c>
      <c r="S109" s="26">
        <v>14936400</v>
      </c>
      <c r="T109" s="22">
        <v>0</v>
      </c>
      <c r="U109" s="23" t="s">
        <v>155</v>
      </c>
      <c r="V109" s="26">
        <v>31103400</v>
      </c>
      <c r="W109" s="22">
        <v>0</v>
      </c>
      <c r="X109" s="23" t="s">
        <v>155</v>
      </c>
      <c r="Y109" s="26">
        <v>31501158</v>
      </c>
      <c r="Z109" s="72">
        <f t="shared" si="73"/>
        <v>21</v>
      </c>
      <c r="AA109" s="23" t="s">
        <v>155</v>
      </c>
      <c r="AB109" s="71">
        <f t="shared" si="66"/>
        <v>100</v>
      </c>
      <c r="AC109" s="39" t="s">
        <v>80</v>
      </c>
      <c r="AD109" s="45">
        <f t="shared" si="74"/>
        <v>86460958</v>
      </c>
      <c r="AE109" s="71">
        <f t="shared" si="68"/>
        <v>49.98089925312739</v>
      </c>
      <c r="AF109" s="39" t="s">
        <v>80</v>
      </c>
      <c r="AG109" s="72">
        <f t="shared" si="75"/>
        <v>42</v>
      </c>
      <c r="AH109" s="23" t="s">
        <v>155</v>
      </c>
      <c r="AI109" s="45">
        <f t="shared" si="76"/>
        <v>191568858</v>
      </c>
      <c r="AJ109" s="71">
        <f t="shared" si="77"/>
        <v>200</v>
      </c>
      <c r="AK109" s="39" t="s">
        <v>80</v>
      </c>
      <c r="AL109" s="71">
        <f t="shared" si="78"/>
        <v>22.555689938362093</v>
      </c>
      <c r="AM109" s="13"/>
      <c r="AP109" s="28"/>
    </row>
    <row r="110" spans="1:42" ht="135" x14ac:dyDescent="0.2">
      <c r="A110" s="18"/>
      <c r="B110" s="19"/>
      <c r="C110" s="29" t="s">
        <v>99</v>
      </c>
      <c r="D110" s="33" t="s">
        <v>149</v>
      </c>
      <c r="E110" s="22">
        <v>21</v>
      </c>
      <c r="F110" s="23" t="s">
        <v>155</v>
      </c>
      <c r="G110" s="55">
        <v>5895000000</v>
      </c>
      <c r="H110" s="22">
        <v>21</v>
      </c>
      <c r="I110" s="23" t="s">
        <v>155</v>
      </c>
      <c r="J110" s="25">
        <v>843313334</v>
      </c>
      <c r="K110" s="22">
        <v>21</v>
      </c>
      <c r="L110" s="23" t="s">
        <v>155</v>
      </c>
      <c r="M110" s="26">
        <v>1182939000</v>
      </c>
      <c r="N110" s="22">
        <v>21</v>
      </c>
      <c r="O110" s="23" t="s">
        <v>155</v>
      </c>
      <c r="P110" s="26">
        <v>136147000</v>
      </c>
      <c r="Q110" s="22">
        <v>0</v>
      </c>
      <c r="R110" s="23" t="s">
        <v>155</v>
      </c>
      <c r="S110" s="26">
        <v>170343000</v>
      </c>
      <c r="T110" s="22">
        <v>0</v>
      </c>
      <c r="U110" s="23" t="s">
        <v>155</v>
      </c>
      <c r="V110" s="26">
        <v>69712500</v>
      </c>
      <c r="W110" s="22">
        <v>0</v>
      </c>
      <c r="X110" s="23" t="s">
        <v>155</v>
      </c>
      <c r="Y110" s="26">
        <v>420754500</v>
      </c>
      <c r="Z110" s="72">
        <f t="shared" si="73"/>
        <v>21</v>
      </c>
      <c r="AA110" s="23" t="s">
        <v>155</v>
      </c>
      <c r="AB110" s="71">
        <f t="shared" si="66"/>
        <v>100</v>
      </c>
      <c r="AC110" s="39" t="s">
        <v>80</v>
      </c>
      <c r="AD110" s="45">
        <f t="shared" si="74"/>
        <v>796957000</v>
      </c>
      <c r="AE110" s="71">
        <f t="shared" si="68"/>
        <v>67.370929523838512</v>
      </c>
      <c r="AF110" s="39" t="s">
        <v>80</v>
      </c>
      <c r="AG110" s="72">
        <f t="shared" si="75"/>
        <v>42</v>
      </c>
      <c r="AH110" s="23" t="s">
        <v>155</v>
      </c>
      <c r="AI110" s="45">
        <f t="shared" si="76"/>
        <v>1640270334</v>
      </c>
      <c r="AJ110" s="71">
        <f t="shared" si="77"/>
        <v>200</v>
      </c>
      <c r="AK110" s="39" t="s">
        <v>80</v>
      </c>
      <c r="AL110" s="71">
        <f t="shared" si="78"/>
        <v>27.8247724173028</v>
      </c>
      <c r="AM110" s="13"/>
      <c r="AP110" s="28"/>
    </row>
    <row r="111" spans="1:42" ht="135" x14ac:dyDescent="0.2">
      <c r="A111" s="18"/>
      <c r="B111" s="19"/>
      <c r="C111" s="29" t="s">
        <v>146</v>
      </c>
      <c r="D111" s="33" t="s">
        <v>149</v>
      </c>
      <c r="E111" s="22">
        <v>21</v>
      </c>
      <c r="F111" s="23" t="s">
        <v>155</v>
      </c>
      <c r="G111" s="55">
        <v>4775000000</v>
      </c>
      <c r="H111" s="22">
        <v>21</v>
      </c>
      <c r="I111" s="23" t="s">
        <v>155</v>
      </c>
      <c r="J111" s="25">
        <v>308980469</v>
      </c>
      <c r="K111" s="22">
        <v>21</v>
      </c>
      <c r="L111" s="23" t="s">
        <v>155</v>
      </c>
      <c r="M111" s="26">
        <v>62253000</v>
      </c>
      <c r="N111" s="22">
        <v>21</v>
      </c>
      <c r="O111" s="23" t="s">
        <v>155</v>
      </c>
      <c r="P111" s="26">
        <v>4427500</v>
      </c>
      <c r="Q111" s="22">
        <v>0</v>
      </c>
      <c r="R111" s="23" t="s">
        <v>155</v>
      </c>
      <c r="S111" s="26">
        <v>3112500</v>
      </c>
      <c r="T111" s="22">
        <v>0</v>
      </c>
      <c r="U111" s="23" t="s">
        <v>155</v>
      </c>
      <c r="V111" s="26">
        <v>0</v>
      </c>
      <c r="W111" s="22">
        <v>0</v>
      </c>
      <c r="X111" s="23" t="s">
        <v>155</v>
      </c>
      <c r="Y111" s="26">
        <v>34670000</v>
      </c>
      <c r="Z111" s="72">
        <f t="shared" si="73"/>
        <v>21</v>
      </c>
      <c r="AA111" s="23" t="s">
        <v>155</v>
      </c>
      <c r="AB111" s="71">
        <f t="shared" si="66"/>
        <v>100</v>
      </c>
      <c r="AC111" s="39" t="s">
        <v>80</v>
      </c>
      <c r="AD111" s="45">
        <f t="shared" si="74"/>
        <v>42210000</v>
      </c>
      <c r="AE111" s="71">
        <f t="shared" si="68"/>
        <v>67.803961254879283</v>
      </c>
      <c r="AF111" s="39" t="s">
        <v>80</v>
      </c>
      <c r="AG111" s="72">
        <f t="shared" si="75"/>
        <v>42</v>
      </c>
      <c r="AH111" s="23" t="s">
        <v>155</v>
      </c>
      <c r="AI111" s="45">
        <f t="shared" si="76"/>
        <v>351190469</v>
      </c>
      <c r="AJ111" s="71">
        <f t="shared" si="77"/>
        <v>200</v>
      </c>
      <c r="AK111" s="39" t="s">
        <v>80</v>
      </c>
      <c r="AL111" s="71">
        <f t="shared" si="78"/>
        <v>7.3547742198952886</v>
      </c>
      <c r="AM111" s="13"/>
      <c r="AP111" s="28"/>
    </row>
    <row r="112" spans="1:42" ht="49.5" customHeight="1" x14ac:dyDescent="0.2">
      <c r="A112" s="18"/>
      <c r="B112" s="19"/>
      <c r="C112" s="29" t="s">
        <v>100</v>
      </c>
      <c r="D112" s="33" t="s">
        <v>153</v>
      </c>
      <c r="E112" s="22">
        <f>12*4</f>
        <v>48</v>
      </c>
      <c r="F112" s="23" t="s">
        <v>77</v>
      </c>
      <c r="G112" s="55">
        <v>2301180000</v>
      </c>
      <c r="H112" s="22"/>
      <c r="I112" s="23"/>
      <c r="J112" s="25"/>
      <c r="K112" s="22">
        <v>12</v>
      </c>
      <c r="L112" s="23" t="s">
        <v>77</v>
      </c>
      <c r="M112" s="26">
        <v>475020000</v>
      </c>
      <c r="N112" s="22">
        <v>3</v>
      </c>
      <c r="O112" s="23" t="s">
        <v>77</v>
      </c>
      <c r="P112" s="26">
        <v>69627000</v>
      </c>
      <c r="Q112" s="22">
        <v>3</v>
      </c>
      <c r="R112" s="23" t="s">
        <v>77</v>
      </c>
      <c r="S112" s="26">
        <v>48957400</v>
      </c>
      <c r="T112" s="22">
        <v>3</v>
      </c>
      <c r="U112" s="23" t="s">
        <v>77</v>
      </c>
      <c r="V112" s="26">
        <v>13853500</v>
      </c>
      <c r="W112" s="22">
        <v>3</v>
      </c>
      <c r="X112" s="23" t="s">
        <v>77</v>
      </c>
      <c r="Y112" s="26">
        <v>68161550</v>
      </c>
      <c r="Z112" s="72">
        <f t="shared" si="73"/>
        <v>12</v>
      </c>
      <c r="AA112" s="23" t="s">
        <v>77</v>
      </c>
      <c r="AB112" s="71">
        <f t="shared" si="66"/>
        <v>100</v>
      </c>
      <c r="AC112" s="39" t="s">
        <v>80</v>
      </c>
      <c r="AD112" s="45">
        <f t="shared" si="74"/>
        <v>200599450</v>
      </c>
      <c r="AE112" s="71">
        <f t="shared" si="68"/>
        <v>42.229685065891964</v>
      </c>
      <c r="AF112" s="39" t="s">
        <v>80</v>
      </c>
      <c r="AG112" s="72">
        <f t="shared" si="75"/>
        <v>12</v>
      </c>
      <c r="AH112" s="23" t="s">
        <v>77</v>
      </c>
      <c r="AI112" s="45">
        <f t="shared" si="76"/>
        <v>200599450</v>
      </c>
      <c r="AJ112" s="71">
        <f t="shared" si="77"/>
        <v>25</v>
      </c>
      <c r="AK112" s="39" t="s">
        <v>80</v>
      </c>
      <c r="AL112" s="71">
        <f t="shared" si="78"/>
        <v>8.7172428927767491</v>
      </c>
      <c r="AM112" s="13"/>
      <c r="AP112" s="28"/>
    </row>
    <row r="113" spans="1:42" ht="60" x14ac:dyDescent="0.2">
      <c r="A113" s="18"/>
      <c r="B113" s="19"/>
      <c r="C113" s="29" t="s">
        <v>101</v>
      </c>
      <c r="D113" s="33" t="s">
        <v>154</v>
      </c>
      <c r="E113" s="22">
        <v>21</v>
      </c>
      <c r="F113" s="23" t="s">
        <v>155</v>
      </c>
      <c r="G113" s="55">
        <v>1557700000</v>
      </c>
      <c r="H113" s="24"/>
      <c r="I113" s="23"/>
      <c r="J113" s="25"/>
      <c r="K113" s="22">
        <v>11</v>
      </c>
      <c r="L113" s="23" t="s">
        <v>155</v>
      </c>
      <c r="M113" s="26">
        <v>349240900</v>
      </c>
      <c r="N113" s="22">
        <v>11</v>
      </c>
      <c r="O113" s="23" t="s">
        <v>155</v>
      </c>
      <c r="P113" s="26">
        <v>72000000</v>
      </c>
      <c r="Q113" s="22">
        <v>0</v>
      </c>
      <c r="R113" s="23" t="s">
        <v>155</v>
      </c>
      <c r="S113" s="26">
        <v>61862000</v>
      </c>
      <c r="T113" s="22">
        <v>0</v>
      </c>
      <c r="U113" s="23" t="s">
        <v>155</v>
      </c>
      <c r="V113" s="26">
        <v>0</v>
      </c>
      <c r="W113" s="22">
        <v>0</v>
      </c>
      <c r="X113" s="23" t="s">
        <v>155</v>
      </c>
      <c r="Y113" s="26">
        <v>148544000</v>
      </c>
      <c r="Z113" s="72">
        <f t="shared" si="73"/>
        <v>11</v>
      </c>
      <c r="AA113" s="23" t="s">
        <v>155</v>
      </c>
      <c r="AB113" s="71">
        <f t="shared" si="66"/>
        <v>100</v>
      </c>
      <c r="AC113" s="39" t="s">
        <v>80</v>
      </c>
      <c r="AD113" s="45">
        <f t="shared" si="74"/>
        <v>282406000</v>
      </c>
      <c r="AE113" s="71">
        <f t="shared" si="68"/>
        <v>80.862808451129283</v>
      </c>
      <c r="AF113" s="39" t="s">
        <v>80</v>
      </c>
      <c r="AG113" s="72">
        <f t="shared" si="75"/>
        <v>11</v>
      </c>
      <c r="AH113" s="23" t="s">
        <v>155</v>
      </c>
      <c r="AI113" s="45">
        <f t="shared" si="76"/>
        <v>282406000</v>
      </c>
      <c r="AJ113" s="71">
        <f t="shared" si="77"/>
        <v>52.380952380952387</v>
      </c>
      <c r="AK113" s="39" t="s">
        <v>80</v>
      </c>
      <c r="AL113" s="71">
        <f t="shared" si="78"/>
        <v>18.129678371958658</v>
      </c>
      <c r="AM113" s="13"/>
      <c r="AP113" s="28"/>
    </row>
    <row r="114" spans="1:42" ht="105" x14ac:dyDescent="0.2">
      <c r="A114" s="18"/>
      <c r="B114" s="19"/>
      <c r="C114" s="29" t="s">
        <v>235</v>
      </c>
      <c r="D114" s="33" t="s">
        <v>102</v>
      </c>
      <c r="E114" s="22">
        <v>21</v>
      </c>
      <c r="F114" s="23" t="s">
        <v>155</v>
      </c>
      <c r="G114" s="55">
        <v>1416310000</v>
      </c>
      <c r="H114" s="24"/>
      <c r="I114" s="23"/>
      <c r="J114" s="25"/>
      <c r="K114" s="22">
        <v>21</v>
      </c>
      <c r="L114" s="23" t="s">
        <v>155</v>
      </c>
      <c r="M114" s="55">
        <v>1416310000</v>
      </c>
      <c r="N114" s="22">
        <v>0</v>
      </c>
      <c r="O114" s="23" t="s">
        <v>155</v>
      </c>
      <c r="P114" s="55">
        <v>0</v>
      </c>
      <c r="Q114" s="22">
        <v>0</v>
      </c>
      <c r="R114" s="23" t="s">
        <v>155</v>
      </c>
      <c r="S114" s="55">
        <v>0</v>
      </c>
      <c r="T114" s="22">
        <v>21</v>
      </c>
      <c r="U114" s="23" t="s">
        <v>155</v>
      </c>
      <c r="V114" s="55">
        <v>477384800</v>
      </c>
      <c r="W114" s="22">
        <v>0</v>
      </c>
      <c r="X114" s="23" t="s">
        <v>155</v>
      </c>
      <c r="Y114" s="55">
        <v>842263337</v>
      </c>
      <c r="Z114" s="72">
        <f t="shared" ref="Z114" si="79">N114+Q114+T114+W114</f>
        <v>21</v>
      </c>
      <c r="AA114" s="23" t="s">
        <v>155</v>
      </c>
      <c r="AB114" s="71">
        <f t="shared" si="66"/>
        <v>100</v>
      </c>
      <c r="AC114" s="39" t="s">
        <v>80</v>
      </c>
      <c r="AD114" s="45">
        <f t="shared" si="74"/>
        <v>1319648137</v>
      </c>
      <c r="AE114" s="71">
        <f t="shared" si="68"/>
        <v>93.175091399481744</v>
      </c>
      <c r="AF114" s="39" t="s">
        <v>80</v>
      </c>
      <c r="AG114" s="72">
        <f t="shared" ref="AG114" si="80">H114+Z114</f>
        <v>21</v>
      </c>
      <c r="AH114" s="23" t="s">
        <v>155</v>
      </c>
      <c r="AI114" s="45">
        <f t="shared" si="76"/>
        <v>1319648137</v>
      </c>
      <c r="AJ114" s="71">
        <f t="shared" ref="AJ114" si="81">AG114/E114*100</f>
        <v>100</v>
      </c>
      <c r="AK114" s="39" t="s">
        <v>80</v>
      </c>
      <c r="AL114" s="71">
        <f t="shared" si="78"/>
        <v>93.175091399481744</v>
      </c>
      <c r="AM114" s="13"/>
      <c r="AP114" s="28"/>
    </row>
    <row r="115" spans="1:42" ht="105" x14ac:dyDescent="0.2">
      <c r="A115" s="18"/>
      <c r="B115" s="19"/>
      <c r="C115" s="97" t="s">
        <v>144</v>
      </c>
      <c r="D115" s="98" t="s">
        <v>102</v>
      </c>
      <c r="E115" s="22">
        <v>21</v>
      </c>
      <c r="F115" s="23" t="s">
        <v>155</v>
      </c>
      <c r="G115" s="55">
        <v>6165730000</v>
      </c>
      <c r="H115" s="22">
        <v>21</v>
      </c>
      <c r="I115" s="23" t="s">
        <v>155</v>
      </c>
      <c r="J115" s="25">
        <v>1011887901</v>
      </c>
      <c r="K115" s="22"/>
      <c r="L115" s="23"/>
      <c r="M115" s="26"/>
      <c r="N115" s="22"/>
      <c r="O115" s="23"/>
      <c r="P115" s="26"/>
      <c r="Q115" s="22"/>
      <c r="R115" s="23"/>
      <c r="S115" s="26"/>
      <c r="T115" s="22"/>
      <c r="U115" s="23"/>
      <c r="V115" s="26"/>
      <c r="W115" s="22"/>
      <c r="X115" s="23"/>
      <c r="Y115" s="26"/>
      <c r="Z115" s="72"/>
      <c r="AA115" s="23"/>
      <c r="AB115" s="71"/>
      <c r="AC115" s="39"/>
      <c r="AD115" s="45"/>
      <c r="AE115" s="71"/>
      <c r="AF115" s="39"/>
      <c r="AG115" s="72">
        <f t="shared" ref="AG115" si="82">H115+Z115</f>
        <v>21</v>
      </c>
      <c r="AH115" s="23" t="s">
        <v>155</v>
      </c>
      <c r="AI115" s="45">
        <f t="shared" ref="AI115" si="83">J115+AD115</f>
        <v>1011887901</v>
      </c>
      <c r="AJ115" s="71">
        <f t="shared" ref="AJ115" si="84">AG115/E115*100</f>
        <v>100</v>
      </c>
      <c r="AK115" s="39" t="s">
        <v>80</v>
      </c>
      <c r="AL115" s="71">
        <f t="shared" ref="AL115" si="85">AI115/G115*100</f>
        <v>16.411485760810155</v>
      </c>
      <c r="AM115" s="13"/>
      <c r="AP115" s="28"/>
    </row>
    <row r="116" spans="1:42" ht="60" x14ac:dyDescent="0.2">
      <c r="A116" s="18"/>
      <c r="B116" s="19"/>
      <c r="C116" s="97" t="s">
        <v>236</v>
      </c>
      <c r="D116" s="98" t="s">
        <v>154</v>
      </c>
      <c r="E116" s="22">
        <v>21</v>
      </c>
      <c r="F116" s="23" t="s">
        <v>155</v>
      </c>
      <c r="G116" s="55">
        <v>351480000</v>
      </c>
      <c r="H116" s="24"/>
      <c r="I116" s="23"/>
      <c r="J116" s="25"/>
      <c r="K116" s="22"/>
      <c r="L116" s="23"/>
      <c r="M116" s="26"/>
      <c r="N116" s="22"/>
      <c r="O116" s="23"/>
      <c r="P116" s="26"/>
      <c r="Q116" s="22"/>
      <c r="R116" s="23"/>
      <c r="S116" s="26"/>
      <c r="T116" s="22"/>
      <c r="U116" s="23"/>
      <c r="V116" s="26"/>
      <c r="W116" s="22"/>
      <c r="X116" s="23"/>
      <c r="Y116" s="26"/>
      <c r="Z116" s="72"/>
      <c r="AA116" s="23"/>
      <c r="AB116" s="71"/>
      <c r="AC116" s="39"/>
      <c r="AD116" s="45"/>
      <c r="AE116" s="71"/>
      <c r="AF116" s="39"/>
      <c r="AG116" s="72">
        <f t="shared" ref="AG116" si="86">H116+Z116</f>
        <v>0</v>
      </c>
      <c r="AH116" s="23" t="s">
        <v>155</v>
      </c>
      <c r="AI116" s="45">
        <f t="shared" ref="AI116" si="87">J116+AD116</f>
        <v>0</v>
      </c>
      <c r="AJ116" s="71">
        <f t="shared" ref="AJ116" si="88">AG116/E116*100</f>
        <v>0</v>
      </c>
      <c r="AK116" s="39" t="s">
        <v>80</v>
      </c>
      <c r="AL116" s="71">
        <f t="shared" ref="AL116" si="89">AI116/G116*100</f>
        <v>0</v>
      </c>
      <c r="AM116" s="13"/>
      <c r="AP116" s="28"/>
    </row>
    <row r="117" spans="1:42" ht="105" x14ac:dyDescent="0.2">
      <c r="A117" s="18"/>
      <c r="B117" s="19"/>
      <c r="C117" s="97" t="s">
        <v>246</v>
      </c>
      <c r="D117" s="98" t="s">
        <v>248</v>
      </c>
      <c r="E117" s="22">
        <v>3</v>
      </c>
      <c r="F117" s="52" t="s">
        <v>247</v>
      </c>
      <c r="G117" s="55">
        <v>92477500</v>
      </c>
      <c r="H117" s="22">
        <v>3</v>
      </c>
      <c r="I117" s="52" t="s">
        <v>247</v>
      </c>
      <c r="J117" s="25">
        <v>71620000</v>
      </c>
      <c r="K117" s="22"/>
      <c r="L117" s="23"/>
      <c r="M117" s="26"/>
      <c r="N117" s="22"/>
      <c r="O117" s="23"/>
      <c r="P117" s="26"/>
      <c r="Q117" s="22"/>
      <c r="R117" s="23"/>
      <c r="S117" s="26"/>
      <c r="T117" s="22"/>
      <c r="U117" s="23"/>
      <c r="V117" s="26"/>
      <c r="W117" s="22"/>
      <c r="X117" s="23"/>
      <c r="Y117" s="26"/>
      <c r="Z117" s="72"/>
      <c r="AA117" s="52"/>
      <c r="AB117" s="71"/>
      <c r="AC117" s="39"/>
      <c r="AD117" s="45"/>
      <c r="AE117" s="71"/>
      <c r="AF117" s="39"/>
      <c r="AG117" s="72">
        <f t="shared" ref="AG117" si="90">H117+Z117</f>
        <v>3</v>
      </c>
      <c r="AH117" s="52" t="s">
        <v>247</v>
      </c>
      <c r="AI117" s="45">
        <f t="shared" ref="AI117" si="91">J117+AD117</f>
        <v>71620000</v>
      </c>
      <c r="AJ117" s="71">
        <f t="shared" ref="AJ117" si="92">AG117/E117*100</f>
        <v>100</v>
      </c>
      <c r="AK117" s="39" t="s">
        <v>80</v>
      </c>
      <c r="AL117" s="71">
        <f t="shared" ref="AL117" si="93">AI117/G117*100</f>
        <v>77.445865210456603</v>
      </c>
      <c r="AM117" s="13"/>
      <c r="AP117" s="28"/>
    </row>
    <row r="118" spans="1:42" ht="181.5" customHeight="1" x14ac:dyDescent="0.2">
      <c r="A118" s="18"/>
      <c r="B118" s="19"/>
      <c r="C118" s="54" t="s">
        <v>156</v>
      </c>
      <c r="D118" s="21" t="s">
        <v>237</v>
      </c>
      <c r="E118" s="50">
        <v>60.67</v>
      </c>
      <c r="F118" s="51" t="s">
        <v>80</v>
      </c>
      <c r="G118" s="83">
        <f>SUM(G120:G127)</f>
        <v>2317689797</v>
      </c>
      <c r="H118" s="64">
        <f>AVERAGE(56.25,53.29,121.05,141.87,61.41,110.72)</f>
        <v>90.765000000000001</v>
      </c>
      <c r="I118" s="51" t="s">
        <v>80</v>
      </c>
      <c r="J118" s="83">
        <f>SUM(J120:J127)</f>
        <v>157403800</v>
      </c>
      <c r="K118" s="50">
        <v>52.38</v>
      </c>
      <c r="L118" s="51" t="s">
        <v>80</v>
      </c>
      <c r="M118" s="83">
        <f>SUM(M120:M127)</f>
        <v>12392193657</v>
      </c>
      <c r="N118" s="50">
        <v>0</v>
      </c>
      <c r="O118" s="51" t="s">
        <v>80</v>
      </c>
      <c r="P118" s="83">
        <f>SUM(P120:P127)</f>
        <v>3100000</v>
      </c>
      <c r="Q118" s="50">
        <v>26.04</v>
      </c>
      <c r="R118" s="51" t="s">
        <v>80</v>
      </c>
      <c r="S118" s="83">
        <f>SUM(S120:S127)</f>
        <v>380010000</v>
      </c>
      <c r="T118" s="50">
        <v>38.46</v>
      </c>
      <c r="U118" s="51" t="s">
        <v>80</v>
      </c>
      <c r="V118" s="83">
        <f>SUM(V120:V127)</f>
        <v>359990000</v>
      </c>
      <c r="W118" s="50">
        <v>10.71</v>
      </c>
      <c r="X118" s="51" t="s">
        <v>80</v>
      </c>
      <c r="Y118" s="83">
        <f>SUM(Y120:Y127)</f>
        <v>9459710360</v>
      </c>
      <c r="Z118" s="66">
        <f>N118+Q118+T118+W118</f>
        <v>75.210000000000008</v>
      </c>
      <c r="AA118" s="51" t="s">
        <v>80</v>
      </c>
      <c r="AB118" s="66">
        <f>Z118/K118*100</f>
        <v>143.58533791523482</v>
      </c>
      <c r="AC118" s="75" t="s">
        <v>80</v>
      </c>
      <c r="AD118" s="84">
        <f t="shared" si="5"/>
        <v>10202810360</v>
      </c>
      <c r="AE118" s="86">
        <f>AD118/M118*100</f>
        <v>82.332560661983536</v>
      </c>
      <c r="AF118" s="53" t="s">
        <v>80</v>
      </c>
      <c r="AG118" s="66">
        <f>Z118</f>
        <v>75.210000000000008</v>
      </c>
      <c r="AH118" s="51" t="s">
        <v>80</v>
      </c>
      <c r="AI118" s="84">
        <f t="shared" si="3"/>
        <v>10360214160</v>
      </c>
      <c r="AJ118" s="66">
        <f t="shared" si="6"/>
        <v>123.96571616944125</v>
      </c>
      <c r="AK118" s="75" t="s">
        <v>80</v>
      </c>
      <c r="AL118" s="86">
        <f t="shared" si="4"/>
        <v>447.0060736087367</v>
      </c>
      <c r="AM118" s="13"/>
      <c r="AP118" s="28"/>
    </row>
    <row r="119" spans="1:42" ht="110.25" x14ac:dyDescent="0.2">
      <c r="A119" s="18"/>
      <c r="B119" s="19"/>
      <c r="C119" s="20"/>
      <c r="D119" s="21" t="s">
        <v>223</v>
      </c>
      <c r="E119" s="50">
        <v>65.97</v>
      </c>
      <c r="F119" s="51" t="s">
        <v>80</v>
      </c>
      <c r="G119" s="61"/>
      <c r="H119" s="64">
        <f>AVERAGE(87.63,74.29,42,131.6,35.86)</f>
        <v>74.275999999999996</v>
      </c>
      <c r="I119" s="51" t="s">
        <v>80</v>
      </c>
      <c r="J119" s="31"/>
      <c r="K119" s="50">
        <v>57.21</v>
      </c>
      <c r="L119" s="51" t="s">
        <v>80</v>
      </c>
      <c r="M119" s="46"/>
      <c r="N119" s="50">
        <v>0</v>
      </c>
      <c r="O119" s="51" t="s">
        <v>80</v>
      </c>
      <c r="P119" s="46"/>
      <c r="Q119" s="50">
        <v>0</v>
      </c>
      <c r="R119" s="51" t="s">
        <v>80</v>
      </c>
      <c r="S119" s="46"/>
      <c r="T119" s="50">
        <v>0</v>
      </c>
      <c r="U119" s="51" t="s">
        <v>80</v>
      </c>
      <c r="V119" s="46"/>
      <c r="W119" s="50">
        <v>26.36</v>
      </c>
      <c r="X119" s="51" t="s">
        <v>80</v>
      </c>
      <c r="Y119" s="46"/>
      <c r="Z119" s="66">
        <f t="shared" ref="Z119" si="94">N119+Q119+T119+W119</f>
        <v>26.36</v>
      </c>
      <c r="AA119" s="51" t="s">
        <v>80</v>
      </c>
      <c r="AB119" s="66">
        <f t="shared" si="66"/>
        <v>46.075860863485403</v>
      </c>
      <c r="AC119" s="75" t="s">
        <v>80</v>
      </c>
      <c r="AD119" s="85"/>
      <c r="AE119" s="87"/>
      <c r="AF119" s="119"/>
      <c r="AG119" s="66">
        <f t="shared" ref="AG119" si="95">H119+Z119</f>
        <v>100.636</v>
      </c>
      <c r="AH119" s="51" t="s">
        <v>80</v>
      </c>
      <c r="AI119" s="85"/>
      <c r="AJ119" s="66">
        <f t="shared" ref="AJ119" si="96">AG119/E119*100</f>
        <v>152.54812793694103</v>
      </c>
      <c r="AK119" s="75" t="s">
        <v>80</v>
      </c>
      <c r="AL119" s="87"/>
      <c r="AM119" s="13"/>
      <c r="AP119" s="28"/>
    </row>
    <row r="120" spans="1:42" ht="90" x14ac:dyDescent="0.2">
      <c r="A120" s="18"/>
      <c r="B120" s="19"/>
      <c r="C120" s="29" t="s">
        <v>157</v>
      </c>
      <c r="D120" s="33" t="s">
        <v>162</v>
      </c>
      <c r="E120" s="22">
        <v>21</v>
      </c>
      <c r="F120" s="23" t="s">
        <v>155</v>
      </c>
      <c r="G120" s="55">
        <f>40170000*4</f>
        <v>160680000</v>
      </c>
      <c r="H120" s="22"/>
      <c r="I120" s="23"/>
      <c r="J120" s="25"/>
      <c r="K120" s="22">
        <v>21</v>
      </c>
      <c r="L120" s="23" t="s">
        <v>155</v>
      </c>
      <c r="M120" s="26">
        <v>20125000</v>
      </c>
      <c r="N120" s="22">
        <v>0</v>
      </c>
      <c r="O120" s="23" t="s">
        <v>155</v>
      </c>
      <c r="P120" s="26">
        <v>0</v>
      </c>
      <c r="Q120" s="22">
        <v>21</v>
      </c>
      <c r="R120" s="23" t="s">
        <v>155</v>
      </c>
      <c r="S120" s="26">
        <v>0</v>
      </c>
      <c r="T120" s="22">
        <v>0</v>
      </c>
      <c r="U120" s="23" t="s">
        <v>155</v>
      </c>
      <c r="V120" s="26">
        <v>0</v>
      </c>
      <c r="W120" s="22">
        <v>0</v>
      </c>
      <c r="X120" s="23" t="s">
        <v>155</v>
      </c>
      <c r="Y120" s="26">
        <v>7200000</v>
      </c>
      <c r="Z120" s="72">
        <f t="shared" si="1"/>
        <v>21</v>
      </c>
      <c r="AA120" s="23" t="s">
        <v>155</v>
      </c>
      <c r="AB120" s="71">
        <f t="shared" si="66"/>
        <v>100</v>
      </c>
      <c r="AC120" s="39" t="s">
        <v>80</v>
      </c>
      <c r="AD120" s="45">
        <f t="shared" si="5"/>
        <v>7200000</v>
      </c>
      <c r="AE120" s="71">
        <f t="shared" si="68"/>
        <v>35.776397515527954</v>
      </c>
      <c r="AF120" s="39" t="s">
        <v>80</v>
      </c>
      <c r="AG120" s="72">
        <f t="shared" si="2"/>
        <v>21</v>
      </c>
      <c r="AH120" s="23" t="s">
        <v>155</v>
      </c>
      <c r="AI120" s="45">
        <f t="shared" si="3"/>
        <v>7200000</v>
      </c>
      <c r="AJ120" s="71">
        <f t="shared" si="6"/>
        <v>100</v>
      </c>
      <c r="AK120" s="39" t="s">
        <v>80</v>
      </c>
      <c r="AL120" s="71">
        <f t="shared" si="4"/>
        <v>4.480955937266617</v>
      </c>
      <c r="AM120" s="13"/>
      <c r="AP120" s="28"/>
    </row>
    <row r="121" spans="1:42" ht="180" x14ac:dyDescent="0.2">
      <c r="A121" s="18"/>
      <c r="B121" s="19"/>
      <c r="C121" s="29" t="s">
        <v>158</v>
      </c>
      <c r="D121" s="33" t="s">
        <v>283</v>
      </c>
      <c r="E121" s="22">
        <v>21</v>
      </c>
      <c r="F121" s="23" t="s">
        <v>155</v>
      </c>
      <c r="G121" s="55">
        <f>52384660*5</f>
        <v>261923300</v>
      </c>
      <c r="H121" s="22">
        <v>21</v>
      </c>
      <c r="I121" s="23" t="s">
        <v>155</v>
      </c>
      <c r="J121" s="25">
        <v>79172700</v>
      </c>
      <c r="K121" s="22">
        <v>21</v>
      </c>
      <c r="L121" s="23" t="s">
        <v>155</v>
      </c>
      <c r="M121" s="26">
        <v>2384660</v>
      </c>
      <c r="N121" s="22">
        <v>0</v>
      </c>
      <c r="O121" s="23" t="s">
        <v>155</v>
      </c>
      <c r="P121" s="26">
        <v>0</v>
      </c>
      <c r="Q121" s="22">
        <v>21</v>
      </c>
      <c r="R121" s="23" t="s">
        <v>155</v>
      </c>
      <c r="S121" s="26">
        <v>0</v>
      </c>
      <c r="T121" s="22">
        <v>0</v>
      </c>
      <c r="U121" s="23" t="s">
        <v>155</v>
      </c>
      <c r="V121" s="26">
        <v>0</v>
      </c>
      <c r="W121" s="22">
        <v>0</v>
      </c>
      <c r="X121" s="23" t="s">
        <v>155</v>
      </c>
      <c r="Y121" s="26">
        <v>0</v>
      </c>
      <c r="Z121" s="72">
        <f t="shared" si="1"/>
        <v>21</v>
      </c>
      <c r="AA121" s="23" t="s">
        <v>155</v>
      </c>
      <c r="AB121" s="71">
        <f t="shared" si="66"/>
        <v>100</v>
      </c>
      <c r="AC121" s="39" t="s">
        <v>80</v>
      </c>
      <c r="AD121" s="45">
        <f t="shared" si="5"/>
        <v>0</v>
      </c>
      <c r="AE121" s="71">
        <f t="shared" si="68"/>
        <v>0</v>
      </c>
      <c r="AF121" s="39" t="s">
        <v>80</v>
      </c>
      <c r="AG121" s="72">
        <f t="shared" si="2"/>
        <v>42</v>
      </c>
      <c r="AH121" s="23" t="s">
        <v>155</v>
      </c>
      <c r="AI121" s="45">
        <f t="shared" si="3"/>
        <v>79172700</v>
      </c>
      <c r="AJ121" s="71">
        <f t="shared" si="6"/>
        <v>200</v>
      </c>
      <c r="AK121" s="39" t="s">
        <v>80</v>
      </c>
      <c r="AL121" s="71">
        <f t="shared" si="4"/>
        <v>30.227436810699928</v>
      </c>
      <c r="AM121" s="13"/>
      <c r="AP121" s="28"/>
    </row>
    <row r="122" spans="1:42" ht="180" x14ac:dyDescent="0.2">
      <c r="A122" s="18"/>
      <c r="B122" s="19"/>
      <c r="C122" s="29" t="s">
        <v>159</v>
      </c>
      <c r="D122" s="33" t="s">
        <v>282</v>
      </c>
      <c r="E122" s="22">
        <v>21</v>
      </c>
      <c r="F122" s="23" t="s">
        <v>155</v>
      </c>
      <c r="G122" s="55">
        <f>14400000*5</f>
        <v>72000000</v>
      </c>
      <c r="H122" s="22">
        <v>21</v>
      </c>
      <c r="I122" s="23" t="s">
        <v>155</v>
      </c>
      <c r="J122" s="25">
        <v>11770000</v>
      </c>
      <c r="K122" s="22">
        <v>21</v>
      </c>
      <c r="L122" s="23" t="s">
        <v>155</v>
      </c>
      <c r="M122" s="26">
        <v>3780000</v>
      </c>
      <c r="N122" s="22">
        <v>21</v>
      </c>
      <c r="O122" s="23" t="s">
        <v>155</v>
      </c>
      <c r="P122" s="26">
        <v>3100000</v>
      </c>
      <c r="Q122" s="22">
        <v>0</v>
      </c>
      <c r="R122" s="23" t="s">
        <v>155</v>
      </c>
      <c r="S122" s="26">
        <v>0</v>
      </c>
      <c r="T122" s="22">
        <v>0</v>
      </c>
      <c r="U122" s="23" t="s">
        <v>155</v>
      </c>
      <c r="V122" s="26">
        <v>0</v>
      </c>
      <c r="W122" s="22">
        <v>0</v>
      </c>
      <c r="X122" s="23" t="s">
        <v>155</v>
      </c>
      <c r="Y122" s="26">
        <v>0</v>
      </c>
      <c r="Z122" s="72">
        <f t="shared" si="1"/>
        <v>21</v>
      </c>
      <c r="AA122" s="23" t="s">
        <v>155</v>
      </c>
      <c r="AB122" s="71">
        <f t="shared" si="66"/>
        <v>100</v>
      </c>
      <c r="AC122" s="39" t="s">
        <v>80</v>
      </c>
      <c r="AD122" s="45">
        <f t="shared" si="5"/>
        <v>3100000</v>
      </c>
      <c r="AE122" s="71">
        <f t="shared" si="68"/>
        <v>82.010582010582013</v>
      </c>
      <c r="AF122" s="39" t="s">
        <v>80</v>
      </c>
      <c r="AG122" s="72">
        <f t="shared" si="2"/>
        <v>42</v>
      </c>
      <c r="AH122" s="23" t="s">
        <v>155</v>
      </c>
      <c r="AI122" s="45">
        <f t="shared" si="3"/>
        <v>14870000</v>
      </c>
      <c r="AJ122" s="71">
        <f t="shared" si="6"/>
        <v>200</v>
      </c>
      <c r="AK122" s="39" t="s">
        <v>80</v>
      </c>
      <c r="AL122" s="71">
        <f t="shared" si="4"/>
        <v>20.652777777777779</v>
      </c>
      <c r="AM122" s="13"/>
      <c r="AP122" s="28"/>
    </row>
    <row r="123" spans="1:42" ht="105" x14ac:dyDescent="0.2">
      <c r="A123" s="18"/>
      <c r="B123" s="19"/>
      <c r="C123" s="125" t="s">
        <v>160</v>
      </c>
      <c r="D123" s="124" t="s">
        <v>163</v>
      </c>
      <c r="E123" s="22">
        <f>4*4</f>
        <v>16</v>
      </c>
      <c r="F123" s="52" t="s">
        <v>164</v>
      </c>
      <c r="G123" s="55">
        <f>37522500*4</f>
        <v>150090000</v>
      </c>
      <c r="H123" s="24"/>
      <c r="I123" s="23"/>
      <c r="J123" s="25"/>
      <c r="K123" s="22">
        <v>4</v>
      </c>
      <c r="L123" s="52" t="s">
        <v>164</v>
      </c>
      <c r="M123" s="26">
        <v>0</v>
      </c>
      <c r="N123" s="22"/>
      <c r="O123" s="52"/>
      <c r="P123" s="26"/>
      <c r="Q123" s="22"/>
      <c r="R123" s="52"/>
      <c r="S123" s="26"/>
      <c r="T123" s="22"/>
      <c r="U123" s="52"/>
      <c r="V123" s="26"/>
      <c r="W123" s="22"/>
      <c r="X123" s="52"/>
      <c r="Y123" s="26"/>
      <c r="Z123" s="72"/>
      <c r="AA123" s="52"/>
      <c r="AB123" s="71"/>
      <c r="AC123" s="39"/>
      <c r="AD123" s="45"/>
      <c r="AE123" s="71"/>
      <c r="AF123" s="39"/>
      <c r="AG123" s="72">
        <f t="shared" si="2"/>
        <v>0</v>
      </c>
      <c r="AH123" s="52" t="s">
        <v>164</v>
      </c>
      <c r="AI123" s="45">
        <f t="shared" si="3"/>
        <v>0</v>
      </c>
      <c r="AJ123" s="71">
        <f t="shared" si="6"/>
        <v>0</v>
      </c>
      <c r="AK123" s="39" t="s">
        <v>80</v>
      </c>
      <c r="AL123" s="71">
        <f t="shared" si="4"/>
        <v>0</v>
      </c>
      <c r="AM123" s="13"/>
      <c r="AP123" s="28"/>
    </row>
    <row r="124" spans="1:42" ht="165" x14ac:dyDescent="0.2">
      <c r="A124" s="18"/>
      <c r="B124" s="19"/>
      <c r="C124" s="29" t="s">
        <v>161</v>
      </c>
      <c r="D124" s="33" t="s">
        <v>284</v>
      </c>
      <c r="E124" s="22">
        <v>21</v>
      </c>
      <c r="F124" s="23" t="s">
        <v>155</v>
      </c>
      <c r="G124" s="55">
        <v>855303997</v>
      </c>
      <c r="H124" s="24"/>
      <c r="I124" s="23"/>
      <c r="J124" s="25"/>
      <c r="K124" s="22">
        <v>21</v>
      </c>
      <c r="L124" s="23" t="s">
        <v>155</v>
      </c>
      <c r="M124" s="26">
        <v>855303997</v>
      </c>
      <c r="N124" s="22">
        <v>0</v>
      </c>
      <c r="O124" s="23" t="s">
        <v>155</v>
      </c>
      <c r="P124" s="26">
        <v>0</v>
      </c>
      <c r="Q124" s="22">
        <v>21</v>
      </c>
      <c r="R124" s="23" t="s">
        <v>155</v>
      </c>
      <c r="S124" s="26">
        <v>0</v>
      </c>
      <c r="T124" s="22">
        <v>0</v>
      </c>
      <c r="U124" s="23" t="s">
        <v>155</v>
      </c>
      <c r="V124" s="26">
        <v>0</v>
      </c>
      <c r="W124" s="22">
        <v>0</v>
      </c>
      <c r="X124" s="23" t="s">
        <v>155</v>
      </c>
      <c r="Y124" s="26">
        <v>748993584</v>
      </c>
      <c r="Z124" s="72">
        <f t="shared" si="1"/>
        <v>21</v>
      </c>
      <c r="AA124" s="23" t="s">
        <v>155</v>
      </c>
      <c r="AB124" s="71">
        <f t="shared" si="66"/>
        <v>100</v>
      </c>
      <c r="AC124" s="39" t="s">
        <v>80</v>
      </c>
      <c r="AD124" s="45">
        <f t="shared" si="5"/>
        <v>748993584</v>
      </c>
      <c r="AE124" s="71">
        <f t="shared" si="68"/>
        <v>87.570452918157002</v>
      </c>
      <c r="AF124" s="39" t="s">
        <v>80</v>
      </c>
      <c r="AG124" s="72">
        <f t="shared" si="2"/>
        <v>21</v>
      </c>
      <c r="AH124" s="23" t="s">
        <v>155</v>
      </c>
      <c r="AI124" s="45">
        <f t="shared" si="3"/>
        <v>748993584</v>
      </c>
      <c r="AJ124" s="71">
        <f t="shared" si="6"/>
        <v>100</v>
      </c>
      <c r="AK124" s="39" t="s">
        <v>80</v>
      </c>
      <c r="AL124" s="71">
        <f t="shared" si="4"/>
        <v>87.570452918157002</v>
      </c>
      <c r="AM124" s="13"/>
      <c r="AP124" s="28"/>
    </row>
    <row r="125" spans="1:42" ht="165" x14ac:dyDescent="0.2">
      <c r="A125" s="18"/>
      <c r="B125" s="19"/>
      <c r="C125" s="29" t="s">
        <v>238</v>
      </c>
      <c r="D125" s="33" t="s">
        <v>284</v>
      </c>
      <c r="E125" s="22">
        <v>21</v>
      </c>
      <c r="F125" s="23" t="s">
        <v>155</v>
      </c>
      <c r="G125" s="55">
        <v>740000000</v>
      </c>
      <c r="H125" s="24"/>
      <c r="I125" s="23"/>
      <c r="J125" s="25"/>
      <c r="K125" s="22">
        <v>21</v>
      </c>
      <c r="L125" s="23" t="s">
        <v>155</v>
      </c>
      <c r="M125" s="26">
        <v>11510600000</v>
      </c>
      <c r="N125" s="22">
        <v>0</v>
      </c>
      <c r="O125" s="23" t="s">
        <v>155</v>
      </c>
      <c r="P125" s="26">
        <v>0</v>
      </c>
      <c r="Q125" s="22">
        <v>21</v>
      </c>
      <c r="R125" s="23" t="s">
        <v>155</v>
      </c>
      <c r="S125" s="26">
        <v>380010000</v>
      </c>
      <c r="T125" s="22">
        <v>0</v>
      </c>
      <c r="U125" s="23" t="s">
        <v>155</v>
      </c>
      <c r="V125" s="26">
        <v>359990000</v>
      </c>
      <c r="W125" s="22">
        <v>0</v>
      </c>
      <c r="X125" s="23" t="s">
        <v>155</v>
      </c>
      <c r="Y125" s="26">
        <v>8703516776</v>
      </c>
      <c r="Z125" s="72">
        <f t="shared" ref="Z125" si="97">N125+Q125+T125+W125</f>
        <v>21</v>
      </c>
      <c r="AA125" s="23" t="s">
        <v>155</v>
      </c>
      <c r="AB125" s="71">
        <f t="shared" si="66"/>
        <v>100</v>
      </c>
      <c r="AC125" s="39" t="s">
        <v>80</v>
      </c>
      <c r="AD125" s="45">
        <f t="shared" ref="AD125" si="98">P125+S125+V125+Y125</f>
        <v>9443516776</v>
      </c>
      <c r="AE125" s="71">
        <f t="shared" si="68"/>
        <v>82.041915938352474</v>
      </c>
      <c r="AF125" s="39" t="s">
        <v>80</v>
      </c>
      <c r="AG125" s="72">
        <f t="shared" ref="AG125:AG126" si="99">H125+Z125</f>
        <v>21</v>
      </c>
      <c r="AH125" s="23" t="s">
        <v>155</v>
      </c>
      <c r="AI125" s="45">
        <f t="shared" ref="AI125:AI126" si="100">J125+AD125</f>
        <v>9443516776</v>
      </c>
      <c r="AJ125" s="71">
        <f t="shared" ref="AJ125:AJ126" si="101">AG125/E125*100</f>
        <v>100</v>
      </c>
      <c r="AK125" s="39" t="s">
        <v>80</v>
      </c>
      <c r="AL125" s="71">
        <f t="shared" ref="AL125:AL126" si="102">AI125/G125*100</f>
        <v>1276.1509156756756</v>
      </c>
      <c r="AM125" s="13"/>
      <c r="AP125" s="28"/>
    </row>
    <row r="126" spans="1:42" ht="75" x14ac:dyDescent="0.2">
      <c r="A126" s="18"/>
      <c r="B126" s="19"/>
      <c r="C126" s="97" t="s">
        <v>249</v>
      </c>
      <c r="D126" s="98" t="s">
        <v>250</v>
      </c>
      <c r="E126" s="62">
        <v>2344</v>
      </c>
      <c r="F126" s="52" t="s">
        <v>251</v>
      </c>
      <c r="G126" s="55">
        <v>37522500</v>
      </c>
      <c r="H126" s="24"/>
      <c r="I126" s="52" t="s">
        <v>251</v>
      </c>
      <c r="J126" s="25">
        <v>29501100</v>
      </c>
      <c r="K126" s="22"/>
      <c r="L126" s="52"/>
      <c r="M126" s="26"/>
      <c r="N126" s="22"/>
      <c r="O126" s="52"/>
      <c r="P126" s="26"/>
      <c r="Q126" s="22"/>
      <c r="R126" s="52"/>
      <c r="S126" s="26"/>
      <c r="T126" s="22"/>
      <c r="U126" s="52"/>
      <c r="V126" s="26"/>
      <c r="W126" s="22"/>
      <c r="X126" s="52"/>
      <c r="Y126" s="26"/>
      <c r="Z126" s="72"/>
      <c r="AA126" s="52"/>
      <c r="AB126" s="71"/>
      <c r="AC126" s="39"/>
      <c r="AD126" s="45"/>
      <c r="AE126" s="71"/>
      <c r="AF126" s="39"/>
      <c r="AG126" s="72">
        <f t="shared" si="99"/>
        <v>0</v>
      </c>
      <c r="AH126" s="52" t="s">
        <v>251</v>
      </c>
      <c r="AI126" s="45">
        <f t="shared" si="100"/>
        <v>29501100</v>
      </c>
      <c r="AJ126" s="71">
        <f t="shared" si="101"/>
        <v>0</v>
      </c>
      <c r="AK126" s="39" t="s">
        <v>80</v>
      </c>
      <c r="AL126" s="71">
        <f t="shared" si="102"/>
        <v>78.622426544073548</v>
      </c>
      <c r="AM126" s="13"/>
      <c r="AP126" s="28"/>
    </row>
    <row r="127" spans="1:42" ht="135" x14ac:dyDescent="0.2">
      <c r="A127" s="18"/>
      <c r="B127" s="19"/>
      <c r="C127" s="97" t="s">
        <v>252</v>
      </c>
      <c r="D127" s="98" t="s">
        <v>253</v>
      </c>
      <c r="E127" s="67">
        <v>2</v>
      </c>
      <c r="F127" s="52" t="s">
        <v>155</v>
      </c>
      <c r="G127" s="55">
        <v>40170000</v>
      </c>
      <c r="H127" s="49">
        <v>2</v>
      </c>
      <c r="I127" s="52" t="s">
        <v>155</v>
      </c>
      <c r="J127" s="25">
        <v>36960000</v>
      </c>
      <c r="K127" s="22"/>
      <c r="L127" s="52"/>
      <c r="M127" s="26"/>
      <c r="N127" s="22"/>
      <c r="O127" s="52"/>
      <c r="P127" s="26"/>
      <c r="Q127" s="22"/>
      <c r="R127" s="52"/>
      <c r="S127" s="26"/>
      <c r="T127" s="22"/>
      <c r="U127" s="52"/>
      <c r="V127" s="26"/>
      <c r="W127" s="22"/>
      <c r="X127" s="52"/>
      <c r="Y127" s="26"/>
      <c r="Z127" s="72"/>
      <c r="AA127" s="52"/>
      <c r="AB127" s="71"/>
      <c r="AC127" s="39"/>
      <c r="AD127" s="45"/>
      <c r="AE127" s="71"/>
      <c r="AF127" s="39"/>
      <c r="AG127" s="72">
        <f t="shared" ref="AG127" si="103">H127+Z127</f>
        <v>2</v>
      </c>
      <c r="AH127" s="52" t="s">
        <v>155</v>
      </c>
      <c r="AI127" s="45">
        <f t="shared" ref="AI127" si="104">J127+AD127</f>
        <v>36960000</v>
      </c>
      <c r="AJ127" s="71">
        <f t="shared" ref="AJ127" si="105">AG127/E127*100</f>
        <v>100</v>
      </c>
      <c r="AK127" s="39" t="s">
        <v>80</v>
      </c>
      <c r="AL127" s="71">
        <f t="shared" ref="AL127" si="106">AI127/G127*100</f>
        <v>92.008961911874536</v>
      </c>
      <c r="AM127" s="13"/>
      <c r="AP127" s="28"/>
    </row>
    <row r="128" spans="1:42" ht="94.5" x14ac:dyDescent="0.2">
      <c r="A128" s="18"/>
      <c r="B128" s="19"/>
      <c r="C128" s="20" t="s">
        <v>165</v>
      </c>
      <c r="D128" s="21" t="s">
        <v>239</v>
      </c>
      <c r="E128" s="50">
        <v>100</v>
      </c>
      <c r="F128" s="51" t="s">
        <v>80</v>
      </c>
      <c r="G128" s="47">
        <f>SUM(G129)</f>
        <v>151633072000</v>
      </c>
      <c r="H128" s="50">
        <f>237702/237702*100</f>
        <v>100</v>
      </c>
      <c r="I128" s="51" t="s">
        <v>80</v>
      </c>
      <c r="J128" s="47">
        <f>SUM(J129)</f>
        <v>31607222699</v>
      </c>
      <c r="K128" s="50">
        <v>100</v>
      </c>
      <c r="L128" s="51" t="s">
        <v>80</v>
      </c>
      <c r="M128" s="47">
        <f>SUM(M129)</f>
        <v>48674000000</v>
      </c>
      <c r="N128" s="112">
        <f>N129/K129*100</f>
        <v>100</v>
      </c>
      <c r="O128" s="51" t="s">
        <v>80</v>
      </c>
      <c r="P128" s="47">
        <f>SUM(P129)</f>
        <v>19233525372</v>
      </c>
      <c r="Q128" s="112">
        <f>Q129/K129*100</f>
        <v>0</v>
      </c>
      <c r="R128" s="51" t="s">
        <v>80</v>
      </c>
      <c r="S128" s="47">
        <f>SUM(S129)</f>
        <v>30087660</v>
      </c>
      <c r="T128" s="112">
        <f>T129/N129*100</f>
        <v>0</v>
      </c>
      <c r="U128" s="51" t="s">
        <v>80</v>
      </c>
      <c r="V128" s="47">
        <f>SUM(V129)</f>
        <v>993171332</v>
      </c>
      <c r="W128" s="112">
        <f>W129/N129*100</f>
        <v>0</v>
      </c>
      <c r="X128" s="51" t="s">
        <v>80</v>
      </c>
      <c r="Y128" s="47">
        <f>SUM(Y129)</f>
        <v>26943150587</v>
      </c>
      <c r="Z128" s="66">
        <f t="shared" si="1"/>
        <v>100</v>
      </c>
      <c r="AA128" s="51" t="s">
        <v>80</v>
      </c>
      <c r="AB128" s="66">
        <f t="shared" ref="AB128:AB134" si="107">Z128/K128*100</f>
        <v>100</v>
      </c>
      <c r="AC128" s="75" t="s">
        <v>80</v>
      </c>
      <c r="AD128" s="74">
        <f t="shared" si="5"/>
        <v>47199934951</v>
      </c>
      <c r="AE128" s="66">
        <f t="shared" ref="AE128:AE134" si="108">AD128/M128*100</f>
        <v>96.971555555327285</v>
      </c>
      <c r="AF128" s="75" t="s">
        <v>80</v>
      </c>
      <c r="AG128" s="66">
        <f t="shared" si="2"/>
        <v>200</v>
      </c>
      <c r="AH128" s="51" t="s">
        <v>80</v>
      </c>
      <c r="AI128" s="74">
        <f t="shared" si="3"/>
        <v>78807157650</v>
      </c>
      <c r="AJ128" s="66">
        <f t="shared" si="6"/>
        <v>200</v>
      </c>
      <c r="AK128" s="75" t="s">
        <v>80</v>
      </c>
      <c r="AL128" s="66">
        <f t="shared" si="4"/>
        <v>51.972275316033958</v>
      </c>
      <c r="AM128" s="13"/>
      <c r="AP128" s="28"/>
    </row>
    <row r="129" spans="1:42" ht="75" x14ac:dyDescent="0.2">
      <c r="A129" s="18"/>
      <c r="B129" s="19"/>
      <c r="C129" s="29" t="s">
        <v>166</v>
      </c>
      <c r="D129" s="33" t="s">
        <v>167</v>
      </c>
      <c r="E129" s="78"/>
      <c r="F129" s="23" t="s">
        <v>240</v>
      </c>
      <c r="G129" s="55">
        <f>30326614400*5</f>
        <v>151633072000</v>
      </c>
      <c r="H129" s="111" t="s">
        <v>280</v>
      </c>
      <c r="I129" s="23" t="s">
        <v>240</v>
      </c>
      <c r="J129" s="25">
        <v>31607222699</v>
      </c>
      <c r="K129" s="78" t="s">
        <v>281</v>
      </c>
      <c r="L129" s="23" t="s">
        <v>240</v>
      </c>
      <c r="M129" s="26">
        <v>48674000000</v>
      </c>
      <c r="N129" s="78" t="s">
        <v>281</v>
      </c>
      <c r="O129" s="23" t="s">
        <v>240</v>
      </c>
      <c r="P129" s="26">
        <v>19233525372</v>
      </c>
      <c r="Q129" s="78">
        <v>0</v>
      </c>
      <c r="R129" s="23" t="s">
        <v>240</v>
      </c>
      <c r="S129" s="26">
        <v>30087660</v>
      </c>
      <c r="T129" s="78">
        <v>0</v>
      </c>
      <c r="U129" s="23" t="s">
        <v>240</v>
      </c>
      <c r="V129" s="26">
        <v>993171332</v>
      </c>
      <c r="W129" s="78">
        <v>0</v>
      </c>
      <c r="X129" s="23" t="s">
        <v>240</v>
      </c>
      <c r="Y129" s="26">
        <v>26943150587</v>
      </c>
      <c r="Z129" s="82">
        <f t="shared" si="1"/>
        <v>248482</v>
      </c>
      <c r="AA129" s="23" t="s">
        <v>240</v>
      </c>
      <c r="AB129" s="71">
        <f t="shared" si="107"/>
        <v>100</v>
      </c>
      <c r="AC129" s="39" t="s">
        <v>80</v>
      </c>
      <c r="AD129" s="45">
        <f t="shared" si="5"/>
        <v>47199934951</v>
      </c>
      <c r="AE129" s="71">
        <f t="shared" si="108"/>
        <v>96.971555555327285</v>
      </c>
      <c r="AF129" s="39" t="s">
        <v>80</v>
      </c>
      <c r="AG129" s="82">
        <f t="shared" si="2"/>
        <v>486184</v>
      </c>
      <c r="AH129" s="23" t="s">
        <v>240</v>
      </c>
      <c r="AI129" s="45">
        <f t="shared" si="3"/>
        <v>78807157650</v>
      </c>
      <c r="AJ129" s="71" t="e">
        <f>AG129/E129*100</f>
        <v>#DIV/0!</v>
      </c>
      <c r="AK129" s="39" t="s">
        <v>80</v>
      </c>
      <c r="AL129" s="71">
        <f t="shared" si="4"/>
        <v>51.972275316033958</v>
      </c>
      <c r="AM129" s="13"/>
      <c r="AP129" s="28"/>
    </row>
    <row r="130" spans="1:42" ht="201" customHeight="1" x14ac:dyDescent="0.2">
      <c r="A130" s="18"/>
      <c r="B130" s="19"/>
      <c r="C130" s="20" t="s">
        <v>168</v>
      </c>
      <c r="D130" s="21" t="s">
        <v>241</v>
      </c>
      <c r="E130" s="64">
        <v>84</v>
      </c>
      <c r="F130" s="66" t="s">
        <v>80</v>
      </c>
      <c r="G130" s="47">
        <f>SUM(G132:G155)</f>
        <v>10016204000</v>
      </c>
      <c r="H130" s="64">
        <f>AVERAGE(77.7,97.6,90.4,65.2,95.9,70.1)</f>
        <v>82.816666666666677</v>
      </c>
      <c r="I130" s="66" t="s">
        <v>80</v>
      </c>
      <c r="J130" s="47">
        <f>SUM(J135:J155)</f>
        <v>41804900</v>
      </c>
      <c r="K130" s="64">
        <v>81</v>
      </c>
      <c r="L130" s="51" t="s">
        <v>80</v>
      </c>
      <c r="M130" s="47">
        <f>SUM(M131:M155)</f>
        <v>828424000</v>
      </c>
      <c r="N130" s="64">
        <v>17.420000000000002</v>
      </c>
      <c r="O130" s="51" t="s">
        <v>80</v>
      </c>
      <c r="P130" s="47">
        <f>SUM(P132:P155)</f>
        <v>15200000</v>
      </c>
      <c r="Q130" s="64">
        <v>32.61</v>
      </c>
      <c r="R130" s="51" t="s">
        <v>80</v>
      </c>
      <c r="S130" s="47">
        <f>SUM(S132:S155)</f>
        <v>12450000</v>
      </c>
      <c r="T130" s="64">
        <v>50.3</v>
      </c>
      <c r="U130" s="51" t="s">
        <v>80</v>
      </c>
      <c r="V130" s="47">
        <f>SUM(V132:V155)</f>
        <v>600000</v>
      </c>
      <c r="W130" s="64">
        <v>76.37</v>
      </c>
      <c r="X130" s="51" t="s">
        <v>80</v>
      </c>
      <c r="Y130" s="47">
        <f>SUM(Y132:Y155)</f>
        <v>265441000</v>
      </c>
      <c r="Z130" s="66">
        <f>W130</f>
        <v>76.37</v>
      </c>
      <c r="AA130" s="66" t="s">
        <v>80</v>
      </c>
      <c r="AB130" s="66">
        <f>Z130/K130*100</f>
        <v>94.283950617283949</v>
      </c>
      <c r="AC130" s="75" t="s">
        <v>80</v>
      </c>
      <c r="AD130" s="74">
        <f>P130+S130+V130+Y130</f>
        <v>293691000</v>
      </c>
      <c r="AE130" s="66">
        <f>AD130/M130*100</f>
        <v>35.451773487972346</v>
      </c>
      <c r="AF130" s="75" t="s">
        <v>80</v>
      </c>
      <c r="AG130" s="66">
        <f>Z130</f>
        <v>76.37</v>
      </c>
      <c r="AH130" s="66" t="s">
        <v>80</v>
      </c>
      <c r="AI130" s="74">
        <f t="shared" si="3"/>
        <v>335495900</v>
      </c>
      <c r="AJ130" s="66">
        <f t="shared" si="6"/>
        <v>90.916666666666671</v>
      </c>
      <c r="AK130" s="75" t="s">
        <v>80</v>
      </c>
      <c r="AL130" s="66">
        <f t="shared" si="4"/>
        <v>3.3495314192881853</v>
      </c>
      <c r="AM130" s="13"/>
      <c r="AP130" s="28"/>
    </row>
    <row r="131" spans="1:42" ht="105" x14ac:dyDescent="0.2">
      <c r="A131" s="18"/>
      <c r="B131" s="19"/>
      <c r="C131" s="29" t="s">
        <v>242</v>
      </c>
      <c r="D131" s="33" t="s">
        <v>243</v>
      </c>
      <c r="E131" s="62">
        <v>4511</v>
      </c>
      <c r="F131" s="23" t="s">
        <v>240</v>
      </c>
      <c r="G131" s="55">
        <v>1175564000</v>
      </c>
      <c r="H131" s="24"/>
      <c r="I131" s="23"/>
      <c r="J131" s="25"/>
      <c r="K131" s="62">
        <v>4398</v>
      </c>
      <c r="L131" s="23" t="s">
        <v>240</v>
      </c>
      <c r="M131" s="26">
        <v>497843000</v>
      </c>
      <c r="N131" s="62">
        <v>0</v>
      </c>
      <c r="O131" s="23" t="s">
        <v>240</v>
      </c>
      <c r="P131" s="26">
        <v>0</v>
      </c>
      <c r="Q131" s="62">
        <v>0</v>
      </c>
      <c r="R131" s="23" t="s">
        <v>240</v>
      </c>
      <c r="S131" s="26">
        <v>0</v>
      </c>
      <c r="T131" s="62">
        <v>0</v>
      </c>
      <c r="U131" s="23" t="s">
        <v>240</v>
      </c>
      <c r="V131" s="26">
        <v>0</v>
      </c>
      <c r="W131" s="62">
        <v>0</v>
      </c>
      <c r="X131" s="23" t="s">
        <v>240</v>
      </c>
      <c r="Y131" s="26">
        <v>0</v>
      </c>
      <c r="Z131" s="72">
        <f t="shared" ref="Z131" si="109">N131+Q131+T131+W131</f>
        <v>0</v>
      </c>
      <c r="AA131" s="23" t="s">
        <v>240</v>
      </c>
      <c r="AB131" s="71">
        <f>Z131/K131*100</f>
        <v>0</v>
      </c>
      <c r="AC131" s="39" t="s">
        <v>80</v>
      </c>
      <c r="AD131" s="45">
        <f t="shared" ref="AD131" si="110">P131+S131+V131+Y131</f>
        <v>0</v>
      </c>
      <c r="AE131" s="71">
        <f>AD131/M131*100</f>
        <v>0</v>
      </c>
      <c r="AF131" s="39" t="s">
        <v>80</v>
      </c>
      <c r="AG131" s="72">
        <f t="shared" ref="AG131" si="111">H131+Z131</f>
        <v>0</v>
      </c>
      <c r="AH131" s="23" t="s">
        <v>240</v>
      </c>
      <c r="AI131" s="45">
        <f t="shared" ref="AI131" si="112">J131+AD131</f>
        <v>0</v>
      </c>
      <c r="AJ131" s="71">
        <f t="shared" ref="AJ131" si="113">AG131/E131*100</f>
        <v>0</v>
      </c>
      <c r="AK131" s="39" t="s">
        <v>80</v>
      </c>
      <c r="AL131" s="71">
        <f t="shared" ref="AL131" si="114">AI131/G131*100</f>
        <v>0</v>
      </c>
      <c r="AM131" s="13"/>
      <c r="AP131" s="28"/>
    </row>
    <row r="132" spans="1:42" ht="150" x14ac:dyDescent="0.2">
      <c r="A132" s="18"/>
      <c r="B132" s="19"/>
      <c r="C132" s="29" t="s">
        <v>191</v>
      </c>
      <c r="D132" s="33" t="s">
        <v>195</v>
      </c>
      <c r="E132" s="22">
        <v>21</v>
      </c>
      <c r="F132" s="23" t="s">
        <v>155</v>
      </c>
      <c r="G132" s="55">
        <v>20000000</v>
      </c>
      <c r="H132" s="22"/>
      <c r="I132" s="23"/>
      <c r="J132" s="25"/>
      <c r="K132" s="22">
        <v>21</v>
      </c>
      <c r="L132" s="23" t="s">
        <v>155</v>
      </c>
      <c r="M132" s="26">
        <v>15750000</v>
      </c>
      <c r="N132" s="22">
        <v>0</v>
      </c>
      <c r="O132" s="23" t="s">
        <v>155</v>
      </c>
      <c r="P132" s="26">
        <v>0</v>
      </c>
      <c r="Q132" s="22">
        <v>21</v>
      </c>
      <c r="R132" s="23" t="s">
        <v>155</v>
      </c>
      <c r="S132" s="26">
        <v>2250000</v>
      </c>
      <c r="T132" s="22">
        <v>0</v>
      </c>
      <c r="U132" s="23" t="s">
        <v>155</v>
      </c>
      <c r="V132" s="26">
        <v>0</v>
      </c>
      <c r="W132" s="22">
        <v>0</v>
      </c>
      <c r="X132" s="23" t="s">
        <v>155</v>
      </c>
      <c r="Y132" s="26">
        <v>0</v>
      </c>
      <c r="Z132" s="72">
        <f t="shared" ref="Z132:Z133" si="115">N132+Q132+T132+W132</f>
        <v>21</v>
      </c>
      <c r="AA132" s="23" t="s">
        <v>155</v>
      </c>
      <c r="AB132" s="71">
        <f t="shared" si="107"/>
        <v>100</v>
      </c>
      <c r="AC132" s="39" t="s">
        <v>80</v>
      </c>
      <c r="AD132" s="45">
        <f>P132+S132+V132+Y132</f>
        <v>2250000</v>
      </c>
      <c r="AE132" s="71">
        <f t="shared" si="108"/>
        <v>14.285714285714285</v>
      </c>
      <c r="AF132" s="39" t="s">
        <v>80</v>
      </c>
      <c r="AG132" s="72">
        <f t="shared" ref="AG132:AG133" si="116">H132+Z132</f>
        <v>21</v>
      </c>
      <c r="AH132" s="23" t="s">
        <v>155</v>
      </c>
      <c r="AI132" s="45">
        <f t="shared" ref="AI132:AI133" si="117">J132+AD132</f>
        <v>2250000</v>
      </c>
      <c r="AJ132" s="71">
        <f t="shared" ref="AJ132:AJ133" si="118">AG132/E132*100</f>
        <v>100</v>
      </c>
      <c r="AK132" s="39" t="s">
        <v>80</v>
      </c>
      <c r="AL132" s="71">
        <f t="shared" ref="AL132:AL133" si="119">AI132/G132*100</f>
        <v>11.25</v>
      </c>
      <c r="AM132" s="13"/>
      <c r="AP132" s="28"/>
    </row>
    <row r="133" spans="1:42" ht="165" x14ac:dyDescent="0.2">
      <c r="A133" s="18"/>
      <c r="B133" s="19"/>
      <c r="C133" s="29" t="s">
        <v>192</v>
      </c>
      <c r="D133" s="33" t="s">
        <v>196</v>
      </c>
      <c r="E133" s="22">
        <v>21</v>
      </c>
      <c r="F133" s="23" t="s">
        <v>155</v>
      </c>
      <c r="G133" s="55">
        <v>40640000</v>
      </c>
      <c r="H133" s="24"/>
      <c r="I133" s="23"/>
      <c r="J133" s="25"/>
      <c r="K133" s="22">
        <v>21</v>
      </c>
      <c r="L133" s="23" t="s">
        <v>155</v>
      </c>
      <c r="M133" s="26">
        <v>26000000</v>
      </c>
      <c r="N133" s="22">
        <v>21</v>
      </c>
      <c r="O133" s="23" t="s">
        <v>155</v>
      </c>
      <c r="P133" s="26">
        <v>15200000</v>
      </c>
      <c r="Q133" s="22">
        <v>0</v>
      </c>
      <c r="R133" s="23" t="s">
        <v>155</v>
      </c>
      <c r="S133" s="26">
        <v>10200000</v>
      </c>
      <c r="T133" s="22">
        <v>0</v>
      </c>
      <c r="U133" s="23" t="s">
        <v>155</v>
      </c>
      <c r="V133" s="26">
        <v>600000</v>
      </c>
      <c r="W133" s="22">
        <v>0</v>
      </c>
      <c r="X133" s="23" t="s">
        <v>155</v>
      </c>
      <c r="Y133" s="26">
        <v>0</v>
      </c>
      <c r="Z133" s="72">
        <f t="shared" si="115"/>
        <v>21</v>
      </c>
      <c r="AA133" s="23" t="s">
        <v>155</v>
      </c>
      <c r="AB133" s="71">
        <f t="shared" si="107"/>
        <v>100</v>
      </c>
      <c r="AC133" s="39" t="s">
        <v>80</v>
      </c>
      <c r="AD133" s="45">
        <f t="shared" ref="AD133" si="120">P133+S133+V133+Y133</f>
        <v>26000000</v>
      </c>
      <c r="AE133" s="71">
        <f t="shared" si="108"/>
        <v>100</v>
      </c>
      <c r="AF133" s="39" t="s">
        <v>80</v>
      </c>
      <c r="AG133" s="72">
        <f t="shared" si="116"/>
        <v>21</v>
      </c>
      <c r="AH133" s="23" t="s">
        <v>155</v>
      </c>
      <c r="AI133" s="45">
        <f t="shared" si="117"/>
        <v>26000000</v>
      </c>
      <c r="AJ133" s="71">
        <f t="shared" si="118"/>
        <v>100</v>
      </c>
      <c r="AK133" s="39" t="s">
        <v>80</v>
      </c>
      <c r="AL133" s="71">
        <f t="shared" si="119"/>
        <v>63.976377952755904</v>
      </c>
      <c r="AM133" s="13"/>
      <c r="AP133" s="28"/>
    </row>
    <row r="134" spans="1:42" ht="150" x14ac:dyDescent="0.2">
      <c r="A134" s="18"/>
      <c r="B134" s="19"/>
      <c r="C134" s="29" t="s">
        <v>197</v>
      </c>
      <c r="D134" s="33" t="s">
        <v>195</v>
      </c>
      <c r="E134" s="22">
        <v>21</v>
      </c>
      <c r="F134" s="23" t="s">
        <v>155</v>
      </c>
      <c r="G134" s="55">
        <v>1175564000</v>
      </c>
      <c r="H134" s="24"/>
      <c r="I134" s="23"/>
      <c r="J134" s="25"/>
      <c r="K134" s="22">
        <v>21</v>
      </c>
      <c r="L134" s="23" t="s">
        <v>155</v>
      </c>
      <c r="M134" s="26">
        <v>288831000</v>
      </c>
      <c r="N134" s="22">
        <v>0</v>
      </c>
      <c r="O134" s="23" t="s">
        <v>155</v>
      </c>
      <c r="P134" s="26">
        <v>0</v>
      </c>
      <c r="Q134" s="22">
        <v>0</v>
      </c>
      <c r="R134" s="23" t="s">
        <v>155</v>
      </c>
      <c r="S134" s="26">
        <v>0</v>
      </c>
      <c r="T134" s="22">
        <v>0</v>
      </c>
      <c r="U134" s="23" t="s">
        <v>155</v>
      </c>
      <c r="V134" s="26">
        <v>0</v>
      </c>
      <c r="W134" s="22">
        <v>21</v>
      </c>
      <c r="X134" s="23" t="s">
        <v>155</v>
      </c>
      <c r="Y134" s="26">
        <v>265441000</v>
      </c>
      <c r="Z134" s="72">
        <f t="shared" ref="Z134" si="121">N134+Q134+T134+W134</f>
        <v>21</v>
      </c>
      <c r="AA134" s="23" t="s">
        <v>155</v>
      </c>
      <c r="AB134" s="71">
        <f t="shared" si="107"/>
        <v>100</v>
      </c>
      <c r="AC134" s="39" t="s">
        <v>80</v>
      </c>
      <c r="AD134" s="45">
        <f t="shared" ref="AD134" si="122">P134+S134+V134+Y134</f>
        <v>265441000</v>
      </c>
      <c r="AE134" s="71">
        <f t="shared" si="108"/>
        <v>91.90183879154246</v>
      </c>
      <c r="AF134" s="39" t="s">
        <v>80</v>
      </c>
      <c r="AG134" s="72">
        <f t="shared" ref="AG134" si="123">H134+Z134</f>
        <v>21</v>
      </c>
      <c r="AH134" s="23" t="s">
        <v>155</v>
      </c>
      <c r="AI134" s="45">
        <f t="shared" ref="AI134" si="124">J134+AD134</f>
        <v>265441000</v>
      </c>
      <c r="AJ134" s="71">
        <f t="shared" ref="AJ134" si="125">AG134/E134*100</f>
        <v>100</v>
      </c>
      <c r="AK134" s="39" t="s">
        <v>80</v>
      </c>
      <c r="AL134" s="71">
        <f t="shared" ref="AL134" si="126">AI134/G134*100</f>
        <v>22.579885059426793</v>
      </c>
      <c r="AM134" s="13"/>
      <c r="AP134" s="28"/>
    </row>
    <row r="135" spans="1:42" ht="120" x14ac:dyDescent="0.2">
      <c r="A135" s="18"/>
      <c r="B135" s="19"/>
      <c r="C135" s="97" t="s">
        <v>170</v>
      </c>
      <c r="D135" s="98" t="s">
        <v>193</v>
      </c>
      <c r="E135" s="116">
        <v>21</v>
      </c>
      <c r="F135" s="76" t="s">
        <v>155</v>
      </c>
      <c r="G135" s="55">
        <v>360000000</v>
      </c>
      <c r="H135" s="116">
        <v>21</v>
      </c>
      <c r="I135" s="76" t="s">
        <v>155</v>
      </c>
      <c r="J135" s="25">
        <v>3004900</v>
      </c>
      <c r="K135" s="22"/>
      <c r="L135" s="23"/>
      <c r="M135" s="26"/>
      <c r="N135" s="22"/>
      <c r="O135" s="23"/>
      <c r="P135" s="26"/>
      <c r="Q135" s="22"/>
      <c r="R135" s="23"/>
      <c r="S135" s="26"/>
      <c r="T135" s="22"/>
      <c r="U135" s="23"/>
      <c r="V135" s="26"/>
      <c r="W135" s="22"/>
      <c r="X135" s="23"/>
      <c r="Y135" s="26"/>
      <c r="Z135" s="72"/>
      <c r="AA135" s="23"/>
      <c r="AB135" s="71"/>
      <c r="AC135" s="39"/>
      <c r="AD135" s="45"/>
      <c r="AE135" s="71"/>
      <c r="AF135" s="39"/>
      <c r="AG135" s="88">
        <f t="shared" ref="AG135" si="127">H135+Z135</f>
        <v>21</v>
      </c>
      <c r="AH135" s="76" t="s">
        <v>155</v>
      </c>
      <c r="AI135" s="45">
        <f t="shared" ref="AI135:AI143" si="128">J135+AD135</f>
        <v>3004900</v>
      </c>
      <c r="AJ135" s="91">
        <f t="shared" ref="AJ135" si="129">AG135/E135*100</f>
        <v>100</v>
      </c>
      <c r="AK135" s="94" t="s">
        <v>80</v>
      </c>
      <c r="AL135" s="71">
        <f t="shared" ref="AL135:AL143" si="130">AI135/G135*100</f>
        <v>0.83469444444444452</v>
      </c>
      <c r="AM135" s="13"/>
      <c r="AP135" s="28"/>
    </row>
    <row r="136" spans="1:42" ht="120" x14ac:dyDescent="0.2">
      <c r="A136" s="18"/>
      <c r="B136" s="19"/>
      <c r="C136" s="97" t="s">
        <v>171</v>
      </c>
      <c r="D136" s="98" t="s">
        <v>194</v>
      </c>
      <c r="E136" s="117"/>
      <c r="F136" s="77"/>
      <c r="G136" s="55">
        <v>360000000</v>
      </c>
      <c r="H136" s="117"/>
      <c r="I136" s="77"/>
      <c r="J136" s="25">
        <v>0</v>
      </c>
      <c r="K136" s="22"/>
      <c r="L136" s="23"/>
      <c r="M136" s="26"/>
      <c r="N136" s="22"/>
      <c r="O136" s="23"/>
      <c r="P136" s="26"/>
      <c r="Q136" s="22"/>
      <c r="R136" s="23"/>
      <c r="S136" s="26"/>
      <c r="T136" s="22"/>
      <c r="U136" s="23"/>
      <c r="V136" s="26"/>
      <c r="W136" s="22"/>
      <c r="X136" s="23"/>
      <c r="Y136" s="26"/>
      <c r="Z136" s="72"/>
      <c r="AA136" s="23"/>
      <c r="AB136" s="71"/>
      <c r="AC136" s="39"/>
      <c r="AD136" s="45"/>
      <c r="AE136" s="71"/>
      <c r="AF136" s="39"/>
      <c r="AG136" s="89"/>
      <c r="AH136" s="77"/>
      <c r="AI136" s="45">
        <f t="shared" si="128"/>
        <v>0</v>
      </c>
      <c r="AJ136" s="92"/>
      <c r="AK136" s="95"/>
      <c r="AL136" s="71">
        <f t="shared" si="130"/>
        <v>0</v>
      </c>
      <c r="AM136" s="13"/>
      <c r="AP136" s="28"/>
    </row>
    <row r="137" spans="1:42" ht="120" x14ac:dyDescent="0.2">
      <c r="A137" s="18"/>
      <c r="B137" s="19"/>
      <c r="C137" s="97" t="s">
        <v>172</v>
      </c>
      <c r="D137" s="98" t="s">
        <v>194</v>
      </c>
      <c r="E137" s="80"/>
      <c r="F137" s="77"/>
      <c r="G137" s="55">
        <v>320000000</v>
      </c>
      <c r="H137" s="80"/>
      <c r="I137" s="77"/>
      <c r="J137" s="25">
        <v>0</v>
      </c>
      <c r="K137" s="22"/>
      <c r="L137" s="23"/>
      <c r="M137" s="26"/>
      <c r="N137" s="22"/>
      <c r="O137" s="23"/>
      <c r="P137" s="26"/>
      <c r="Q137" s="22"/>
      <c r="R137" s="23"/>
      <c r="S137" s="26"/>
      <c r="T137" s="22"/>
      <c r="U137" s="23"/>
      <c r="V137" s="26"/>
      <c r="W137" s="22"/>
      <c r="X137" s="23"/>
      <c r="Y137" s="26"/>
      <c r="Z137" s="72"/>
      <c r="AA137" s="23"/>
      <c r="AB137" s="71"/>
      <c r="AC137" s="39"/>
      <c r="AD137" s="45"/>
      <c r="AE137" s="71"/>
      <c r="AF137" s="39"/>
      <c r="AG137" s="89"/>
      <c r="AH137" s="77"/>
      <c r="AI137" s="45">
        <f t="shared" si="128"/>
        <v>0</v>
      </c>
      <c r="AJ137" s="92"/>
      <c r="AK137" s="95"/>
      <c r="AL137" s="71">
        <f t="shared" si="130"/>
        <v>0</v>
      </c>
      <c r="AM137" s="13"/>
      <c r="AP137" s="28"/>
    </row>
    <row r="138" spans="1:42" ht="120" x14ac:dyDescent="0.2">
      <c r="A138" s="18"/>
      <c r="B138" s="19"/>
      <c r="C138" s="97" t="s">
        <v>173</v>
      </c>
      <c r="D138" s="98" t="s">
        <v>194</v>
      </c>
      <c r="E138" s="80"/>
      <c r="F138" s="77"/>
      <c r="G138" s="55">
        <v>360000000</v>
      </c>
      <c r="H138" s="80"/>
      <c r="I138" s="77"/>
      <c r="J138" s="25">
        <v>0</v>
      </c>
      <c r="K138" s="22"/>
      <c r="L138" s="23"/>
      <c r="M138" s="26"/>
      <c r="N138" s="22"/>
      <c r="O138" s="23"/>
      <c r="P138" s="26"/>
      <c r="Q138" s="22"/>
      <c r="R138" s="23"/>
      <c r="S138" s="26"/>
      <c r="T138" s="22"/>
      <c r="U138" s="23"/>
      <c r="V138" s="26"/>
      <c r="W138" s="22"/>
      <c r="X138" s="23"/>
      <c r="Y138" s="26"/>
      <c r="Z138" s="72"/>
      <c r="AA138" s="23"/>
      <c r="AB138" s="71"/>
      <c r="AC138" s="39"/>
      <c r="AD138" s="45"/>
      <c r="AE138" s="71"/>
      <c r="AF138" s="39"/>
      <c r="AG138" s="89"/>
      <c r="AH138" s="77"/>
      <c r="AI138" s="45">
        <f t="shared" si="128"/>
        <v>0</v>
      </c>
      <c r="AJ138" s="92"/>
      <c r="AK138" s="95"/>
      <c r="AL138" s="71">
        <f t="shared" si="130"/>
        <v>0</v>
      </c>
      <c r="AM138" s="13"/>
      <c r="AP138" s="28"/>
    </row>
    <row r="139" spans="1:42" ht="120" x14ac:dyDescent="0.2">
      <c r="A139" s="18"/>
      <c r="B139" s="19"/>
      <c r="C139" s="97" t="s">
        <v>174</v>
      </c>
      <c r="D139" s="98" t="s">
        <v>193</v>
      </c>
      <c r="E139" s="80"/>
      <c r="F139" s="77"/>
      <c r="G139" s="55">
        <v>260000000</v>
      </c>
      <c r="H139" s="80"/>
      <c r="I139" s="77"/>
      <c r="J139" s="25">
        <v>0</v>
      </c>
      <c r="K139" s="22"/>
      <c r="L139" s="23"/>
      <c r="M139" s="26"/>
      <c r="N139" s="22"/>
      <c r="O139" s="23"/>
      <c r="P139" s="26"/>
      <c r="Q139" s="22"/>
      <c r="R139" s="23"/>
      <c r="S139" s="26"/>
      <c r="T139" s="22"/>
      <c r="U139" s="23"/>
      <c r="V139" s="26"/>
      <c r="W139" s="22"/>
      <c r="X139" s="23"/>
      <c r="Y139" s="26"/>
      <c r="Z139" s="72"/>
      <c r="AA139" s="23"/>
      <c r="AB139" s="71"/>
      <c r="AC139" s="39"/>
      <c r="AD139" s="45"/>
      <c r="AE139" s="71"/>
      <c r="AF139" s="39"/>
      <c r="AG139" s="89"/>
      <c r="AH139" s="77"/>
      <c r="AI139" s="45">
        <f t="shared" si="128"/>
        <v>0</v>
      </c>
      <c r="AJ139" s="92"/>
      <c r="AK139" s="95"/>
      <c r="AL139" s="71">
        <f t="shared" si="130"/>
        <v>0</v>
      </c>
      <c r="AM139" s="13"/>
      <c r="AP139" s="28"/>
    </row>
    <row r="140" spans="1:42" ht="120" x14ac:dyDescent="0.2">
      <c r="A140" s="18"/>
      <c r="B140" s="19"/>
      <c r="C140" s="97" t="s">
        <v>175</v>
      </c>
      <c r="D140" s="98" t="s">
        <v>193</v>
      </c>
      <c r="E140" s="80"/>
      <c r="F140" s="77"/>
      <c r="G140" s="55">
        <v>360000000</v>
      </c>
      <c r="H140" s="80"/>
      <c r="I140" s="77"/>
      <c r="J140" s="25">
        <v>0</v>
      </c>
      <c r="K140" s="22"/>
      <c r="L140" s="23"/>
      <c r="M140" s="26"/>
      <c r="N140" s="22"/>
      <c r="O140" s="23"/>
      <c r="P140" s="26"/>
      <c r="Q140" s="22"/>
      <c r="R140" s="23"/>
      <c r="S140" s="26"/>
      <c r="T140" s="22"/>
      <c r="U140" s="23"/>
      <c r="V140" s="26"/>
      <c r="W140" s="22"/>
      <c r="X140" s="23"/>
      <c r="Y140" s="26"/>
      <c r="Z140" s="72"/>
      <c r="AA140" s="23"/>
      <c r="AB140" s="71"/>
      <c r="AC140" s="39"/>
      <c r="AD140" s="45"/>
      <c r="AE140" s="71"/>
      <c r="AF140" s="39"/>
      <c r="AG140" s="89"/>
      <c r="AH140" s="77"/>
      <c r="AI140" s="45">
        <f t="shared" si="128"/>
        <v>0</v>
      </c>
      <c r="AJ140" s="92"/>
      <c r="AK140" s="95"/>
      <c r="AL140" s="71">
        <f t="shared" si="130"/>
        <v>0</v>
      </c>
      <c r="AM140" s="13"/>
      <c r="AP140" s="28"/>
    </row>
    <row r="141" spans="1:42" ht="120" x14ac:dyDescent="0.2">
      <c r="A141" s="18"/>
      <c r="B141" s="19"/>
      <c r="C141" s="97" t="s">
        <v>176</v>
      </c>
      <c r="D141" s="98" t="s">
        <v>193</v>
      </c>
      <c r="E141" s="80"/>
      <c r="F141" s="77"/>
      <c r="G141" s="55">
        <v>360000000</v>
      </c>
      <c r="H141" s="80"/>
      <c r="I141" s="77"/>
      <c r="J141" s="25">
        <v>0</v>
      </c>
      <c r="K141" s="22"/>
      <c r="L141" s="23"/>
      <c r="M141" s="26"/>
      <c r="N141" s="22"/>
      <c r="O141" s="23"/>
      <c r="P141" s="26"/>
      <c r="Q141" s="22"/>
      <c r="R141" s="23"/>
      <c r="S141" s="26"/>
      <c r="T141" s="22"/>
      <c r="U141" s="23"/>
      <c r="V141" s="26"/>
      <c r="W141" s="22"/>
      <c r="X141" s="23"/>
      <c r="Y141" s="26"/>
      <c r="Z141" s="72"/>
      <c r="AA141" s="23"/>
      <c r="AB141" s="71"/>
      <c r="AC141" s="39"/>
      <c r="AD141" s="45"/>
      <c r="AE141" s="71"/>
      <c r="AF141" s="39"/>
      <c r="AG141" s="89"/>
      <c r="AH141" s="77"/>
      <c r="AI141" s="45">
        <f t="shared" si="128"/>
        <v>0</v>
      </c>
      <c r="AJ141" s="92"/>
      <c r="AK141" s="95"/>
      <c r="AL141" s="71">
        <f t="shared" si="130"/>
        <v>0</v>
      </c>
      <c r="AM141" s="13"/>
      <c r="AP141" s="28"/>
    </row>
    <row r="142" spans="1:42" ht="120" x14ac:dyDescent="0.2">
      <c r="A142" s="18"/>
      <c r="B142" s="19"/>
      <c r="C142" s="97" t="s">
        <v>177</v>
      </c>
      <c r="D142" s="98" t="s">
        <v>193</v>
      </c>
      <c r="E142" s="80"/>
      <c r="F142" s="77"/>
      <c r="G142" s="55">
        <v>320000000</v>
      </c>
      <c r="H142" s="80"/>
      <c r="I142" s="77"/>
      <c r="J142" s="25">
        <v>0</v>
      </c>
      <c r="K142" s="22"/>
      <c r="L142" s="23"/>
      <c r="M142" s="26"/>
      <c r="N142" s="22"/>
      <c r="O142" s="23"/>
      <c r="P142" s="26"/>
      <c r="Q142" s="22"/>
      <c r="R142" s="23"/>
      <c r="S142" s="26"/>
      <c r="T142" s="22"/>
      <c r="U142" s="23"/>
      <c r="V142" s="26"/>
      <c r="W142" s="22"/>
      <c r="X142" s="23"/>
      <c r="Y142" s="26"/>
      <c r="Z142" s="72"/>
      <c r="AA142" s="23"/>
      <c r="AB142" s="71"/>
      <c r="AC142" s="39"/>
      <c r="AD142" s="45"/>
      <c r="AE142" s="71"/>
      <c r="AF142" s="39"/>
      <c r="AG142" s="89"/>
      <c r="AH142" s="77"/>
      <c r="AI142" s="45">
        <f t="shared" si="128"/>
        <v>0</v>
      </c>
      <c r="AJ142" s="92"/>
      <c r="AK142" s="95"/>
      <c r="AL142" s="71">
        <f t="shared" si="130"/>
        <v>0</v>
      </c>
      <c r="AM142" s="13"/>
      <c r="AP142" s="28"/>
    </row>
    <row r="143" spans="1:42" ht="120" x14ac:dyDescent="0.2">
      <c r="A143" s="18"/>
      <c r="B143" s="19"/>
      <c r="C143" s="97" t="s">
        <v>178</v>
      </c>
      <c r="D143" s="98" t="s">
        <v>193</v>
      </c>
      <c r="E143" s="80"/>
      <c r="F143" s="77"/>
      <c r="G143" s="55">
        <v>600000000</v>
      </c>
      <c r="H143" s="80"/>
      <c r="I143" s="77"/>
      <c r="J143" s="25">
        <v>600000</v>
      </c>
      <c r="K143" s="22"/>
      <c r="L143" s="23"/>
      <c r="M143" s="26"/>
      <c r="N143" s="22"/>
      <c r="O143" s="23"/>
      <c r="P143" s="26"/>
      <c r="Q143" s="22"/>
      <c r="R143" s="23"/>
      <c r="S143" s="26"/>
      <c r="T143" s="22"/>
      <c r="U143" s="23"/>
      <c r="V143" s="26"/>
      <c r="W143" s="22"/>
      <c r="X143" s="23"/>
      <c r="Y143" s="26"/>
      <c r="Z143" s="72"/>
      <c r="AA143" s="23"/>
      <c r="AB143" s="71"/>
      <c r="AC143" s="39"/>
      <c r="AD143" s="45"/>
      <c r="AE143" s="71"/>
      <c r="AF143" s="39"/>
      <c r="AG143" s="89"/>
      <c r="AH143" s="77"/>
      <c r="AI143" s="45">
        <f t="shared" si="128"/>
        <v>600000</v>
      </c>
      <c r="AJ143" s="92"/>
      <c r="AK143" s="95"/>
      <c r="AL143" s="71">
        <f t="shared" si="130"/>
        <v>0.1</v>
      </c>
      <c r="AM143" s="13"/>
      <c r="AP143" s="28"/>
    </row>
    <row r="144" spans="1:42" ht="120" x14ac:dyDescent="0.2">
      <c r="A144" s="18"/>
      <c r="B144" s="19"/>
      <c r="C144" s="97" t="s">
        <v>179</v>
      </c>
      <c r="D144" s="98" t="s">
        <v>193</v>
      </c>
      <c r="E144" s="80"/>
      <c r="F144" s="77"/>
      <c r="G144" s="55">
        <v>520000000</v>
      </c>
      <c r="H144" s="80"/>
      <c r="I144" s="77"/>
      <c r="J144" s="25">
        <v>0</v>
      </c>
      <c r="K144" s="22"/>
      <c r="L144" s="23"/>
      <c r="M144" s="26"/>
      <c r="N144" s="22"/>
      <c r="O144" s="23"/>
      <c r="P144" s="26"/>
      <c r="Q144" s="22"/>
      <c r="R144" s="23"/>
      <c r="S144" s="26"/>
      <c r="T144" s="22"/>
      <c r="U144" s="23"/>
      <c r="V144" s="26"/>
      <c r="W144" s="22"/>
      <c r="X144" s="23"/>
      <c r="Y144" s="26"/>
      <c r="Z144" s="72"/>
      <c r="AA144" s="23"/>
      <c r="AB144" s="71"/>
      <c r="AC144" s="39"/>
      <c r="AD144" s="45"/>
      <c r="AE144" s="71"/>
      <c r="AF144" s="39"/>
      <c r="AG144" s="89"/>
      <c r="AH144" s="77"/>
      <c r="AI144" s="45">
        <f t="shared" ref="AI144:AI153" si="131">J144+AD144</f>
        <v>0</v>
      </c>
      <c r="AJ144" s="92"/>
      <c r="AK144" s="95"/>
      <c r="AL144" s="71">
        <f t="shared" ref="AL144:AL153" si="132">AI144/G144*100</f>
        <v>0</v>
      </c>
      <c r="AM144" s="13"/>
      <c r="AP144" s="28"/>
    </row>
    <row r="145" spans="1:42" ht="120" x14ac:dyDescent="0.2">
      <c r="A145" s="18"/>
      <c r="B145" s="19"/>
      <c r="C145" s="97" t="s">
        <v>180</v>
      </c>
      <c r="D145" s="98" t="s">
        <v>193</v>
      </c>
      <c r="E145" s="80"/>
      <c r="F145" s="77"/>
      <c r="G145" s="55">
        <v>520000000</v>
      </c>
      <c r="H145" s="80"/>
      <c r="I145" s="77"/>
      <c r="J145" s="25">
        <v>7200000</v>
      </c>
      <c r="K145" s="22"/>
      <c r="L145" s="23"/>
      <c r="M145" s="26"/>
      <c r="N145" s="22"/>
      <c r="O145" s="23"/>
      <c r="P145" s="26"/>
      <c r="Q145" s="22"/>
      <c r="R145" s="23"/>
      <c r="S145" s="26"/>
      <c r="T145" s="22"/>
      <c r="U145" s="23"/>
      <c r="V145" s="26"/>
      <c r="W145" s="22"/>
      <c r="X145" s="23"/>
      <c r="Y145" s="26"/>
      <c r="Z145" s="72"/>
      <c r="AA145" s="23"/>
      <c r="AB145" s="71"/>
      <c r="AC145" s="39"/>
      <c r="AD145" s="45"/>
      <c r="AE145" s="71"/>
      <c r="AF145" s="39"/>
      <c r="AG145" s="89"/>
      <c r="AH145" s="77"/>
      <c r="AI145" s="45">
        <f t="shared" si="131"/>
        <v>7200000</v>
      </c>
      <c r="AJ145" s="92"/>
      <c r="AK145" s="95"/>
      <c r="AL145" s="71">
        <f t="shared" si="132"/>
        <v>1.3846153846153846</v>
      </c>
      <c r="AM145" s="13"/>
      <c r="AP145" s="28"/>
    </row>
    <row r="146" spans="1:42" ht="120" x14ac:dyDescent="0.2">
      <c r="A146" s="18"/>
      <c r="B146" s="19"/>
      <c r="C146" s="97" t="s">
        <v>181</v>
      </c>
      <c r="D146" s="98" t="s">
        <v>193</v>
      </c>
      <c r="E146" s="80"/>
      <c r="F146" s="77"/>
      <c r="G146" s="55">
        <v>520000000</v>
      </c>
      <c r="H146" s="80"/>
      <c r="I146" s="77"/>
      <c r="J146" s="25">
        <v>0</v>
      </c>
      <c r="K146" s="22"/>
      <c r="L146" s="23"/>
      <c r="M146" s="26"/>
      <c r="N146" s="22"/>
      <c r="O146" s="23"/>
      <c r="P146" s="26"/>
      <c r="Q146" s="22"/>
      <c r="R146" s="23"/>
      <c r="S146" s="26"/>
      <c r="T146" s="22"/>
      <c r="U146" s="23"/>
      <c r="V146" s="26"/>
      <c r="W146" s="22"/>
      <c r="X146" s="23"/>
      <c r="Y146" s="26"/>
      <c r="Z146" s="72"/>
      <c r="AA146" s="23"/>
      <c r="AB146" s="71"/>
      <c r="AC146" s="39"/>
      <c r="AD146" s="45"/>
      <c r="AE146" s="71"/>
      <c r="AF146" s="39"/>
      <c r="AG146" s="89"/>
      <c r="AH146" s="77"/>
      <c r="AI146" s="45">
        <f t="shared" si="131"/>
        <v>0</v>
      </c>
      <c r="AJ146" s="92"/>
      <c r="AK146" s="95"/>
      <c r="AL146" s="71">
        <f t="shared" si="132"/>
        <v>0</v>
      </c>
      <c r="AM146" s="13"/>
      <c r="AP146" s="28"/>
    </row>
    <row r="147" spans="1:42" ht="120" x14ac:dyDescent="0.2">
      <c r="A147" s="18"/>
      <c r="B147" s="19"/>
      <c r="C147" s="97" t="s">
        <v>182</v>
      </c>
      <c r="D147" s="98" t="s">
        <v>193</v>
      </c>
      <c r="E147" s="80"/>
      <c r="F147" s="77"/>
      <c r="G147" s="55">
        <v>520000000</v>
      </c>
      <c r="H147" s="80"/>
      <c r="I147" s="77"/>
      <c r="J147" s="25">
        <v>0</v>
      </c>
      <c r="K147" s="22"/>
      <c r="L147" s="23"/>
      <c r="M147" s="26"/>
      <c r="N147" s="22"/>
      <c r="O147" s="23"/>
      <c r="P147" s="26"/>
      <c r="Q147" s="22"/>
      <c r="R147" s="23"/>
      <c r="S147" s="26"/>
      <c r="T147" s="22"/>
      <c r="U147" s="23"/>
      <c r="V147" s="26"/>
      <c r="W147" s="22"/>
      <c r="X147" s="23"/>
      <c r="Y147" s="26"/>
      <c r="Z147" s="72"/>
      <c r="AA147" s="23"/>
      <c r="AB147" s="71"/>
      <c r="AC147" s="39"/>
      <c r="AD147" s="45"/>
      <c r="AE147" s="71"/>
      <c r="AF147" s="39"/>
      <c r="AG147" s="89"/>
      <c r="AH147" s="77"/>
      <c r="AI147" s="45">
        <f t="shared" si="131"/>
        <v>0</v>
      </c>
      <c r="AJ147" s="92"/>
      <c r="AK147" s="95"/>
      <c r="AL147" s="71">
        <f t="shared" si="132"/>
        <v>0</v>
      </c>
      <c r="AM147" s="13"/>
      <c r="AP147" s="28"/>
    </row>
    <row r="148" spans="1:42" ht="120" x14ac:dyDescent="0.2">
      <c r="A148" s="18"/>
      <c r="B148" s="19"/>
      <c r="C148" s="97" t="s">
        <v>183</v>
      </c>
      <c r="D148" s="98" t="s">
        <v>193</v>
      </c>
      <c r="E148" s="80"/>
      <c r="F148" s="77"/>
      <c r="G148" s="55">
        <v>568000000</v>
      </c>
      <c r="H148" s="80"/>
      <c r="I148" s="77"/>
      <c r="J148" s="25">
        <v>7000000</v>
      </c>
      <c r="K148" s="22"/>
      <c r="L148" s="23"/>
      <c r="M148" s="26"/>
      <c r="N148" s="22"/>
      <c r="O148" s="23"/>
      <c r="P148" s="26"/>
      <c r="Q148" s="22"/>
      <c r="R148" s="23"/>
      <c r="S148" s="26"/>
      <c r="T148" s="22"/>
      <c r="U148" s="23"/>
      <c r="V148" s="26"/>
      <c r="W148" s="22"/>
      <c r="X148" s="23"/>
      <c r="Y148" s="26"/>
      <c r="Z148" s="72"/>
      <c r="AA148" s="23"/>
      <c r="AB148" s="71"/>
      <c r="AC148" s="39"/>
      <c r="AD148" s="45"/>
      <c r="AE148" s="71"/>
      <c r="AF148" s="39"/>
      <c r="AG148" s="89"/>
      <c r="AH148" s="77"/>
      <c r="AI148" s="45">
        <f t="shared" si="131"/>
        <v>7000000</v>
      </c>
      <c r="AJ148" s="92"/>
      <c r="AK148" s="95"/>
      <c r="AL148" s="71">
        <f t="shared" si="132"/>
        <v>1.232394366197183</v>
      </c>
      <c r="AM148" s="13"/>
      <c r="AP148" s="28"/>
    </row>
    <row r="149" spans="1:42" ht="120" x14ac:dyDescent="0.2">
      <c r="A149" s="18"/>
      <c r="B149" s="19"/>
      <c r="C149" s="97" t="s">
        <v>184</v>
      </c>
      <c r="D149" s="98" t="s">
        <v>193</v>
      </c>
      <c r="E149" s="80"/>
      <c r="F149" s="77"/>
      <c r="G149" s="55">
        <v>320000000</v>
      </c>
      <c r="H149" s="80"/>
      <c r="I149" s="77"/>
      <c r="J149" s="25">
        <v>0</v>
      </c>
      <c r="K149" s="22"/>
      <c r="L149" s="23"/>
      <c r="M149" s="26"/>
      <c r="N149" s="22"/>
      <c r="O149" s="23"/>
      <c r="P149" s="26"/>
      <c r="Q149" s="22"/>
      <c r="R149" s="23"/>
      <c r="S149" s="26"/>
      <c r="T149" s="22"/>
      <c r="U149" s="23"/>
      <c r="V149" s="26"/>
      <c r="W149" s="22"/>
      <c r="X149" s="23"/>
      <c r="Y149" s="26"/>
      <c r="Z149" s="72"/>
      <c r="AA149" s="23"/>
      <c r="AB149" s="71"/>
      <c r="AC149" s="39"/>
      <c r="AD149" s="45"/>
      <c r="AE149" s="71"/>
      <c r="AF149" s="39"/>
      <c r="AG149" s="89"/>
      <c r="AH149" s="77"/>
      <c r="AI149" s="45">
        <f t="shared" si="131"/>
        <v>0</v>
      </c>
      <c r="AJ149" s="92"/>
      <c r="AK149" s="95"/>
      <c r="AL149" s="71">
        <f t="shared" si="132"/>
        <v>0</v>
      </c>
      <c r="AM149" s="13"/>
      <c r="AP149" s="28"/>
    </row>
    <row r="150" spans="1:42" ht="120" x14ac:dyDescent="0.2">
      <c r="A150" s="18"/>
      <c r="B150" s="19"/>
      <c r="C150" s="97" t="s">
        <v>185</v>
      </c>
      <c r="D150" s="98" t="s">
        <v>193</v>
      </c>
      <c r="E150" s="80"/>
      <c r="F150" s="77"/>
      <c r="G150" s="55">
        <v>360000000</v>
      </c>
      <c r="H150" s="80"/>
      <c r="I150" s="77"/>
      <c r="J150" s="25">
        <v>0</v>
      </c>
      <c r="K150" s="22"/>
      <c r="L150" s="23"/>
      <c r="M150" s="26"/>
      <c r="N150" s="22"/>
      <c r="O150" s="23"/>
      <c r="P150" s="26"/>
      <c r="Q150" s="22"/>
      <c r="R150" s="23"/>
      <c r="S150" s="26"/>
      <c r="T150" s="22"/>
      <c r="U150" s="23"/>
      <c r="V150" s="26"/>
      <c r="W150" s="22"/>
      <c r="X150" s="23"/>
      <c r="Y150" s="26"/>
      <c r="Z150" s="72"/>
      <c r="AA150" s="23"/>
      <c r="AB150" s="71"/>
      <c r="AC150" s="39"/>
      <c r="AD150" s="45"/>
      <c r="AE150" s="71"/>
      <c r="AF150" s="39"/>
      <c r="AG150" s="89"/>
      <c r="AH150" s="77"/>
      <c r="AI150" s="45">
        <f t="shared" si="131"/>
        <v>0</v>
      </c>
      <c r="AJ150" s="92"/>
      <c r="AK150" s="95"/>
      <c r="AL150" s="71">
        <f t="shared" si="132"/>
        <v>0</v>
      </c>
      <c r="AM150" s="13"/>
      <c r="AP150" s="28"/>
    </row>
    <row r="151" spans="1:42" ht="120" x14ac:dyDescent="0.2">
      <c r="A151" s="18"/>
      <c r="B151" s="19"/>
      <c r="C151" s="97" t="s">
        <v>186</v>
      </c>
      <c r="D151" s="98" t="s">
        <v>193</v>
      </c>
      <c r="E151" s="80"/>
      <c r="F151" s="77"/>
      <c r="G151" s="55">
        <v>397600000</v>
      </c>
      <c r="H151" s="80"/>
      <c r="I151" s="77"/>
      <c r="J151" s="25">
        <v>5000000</v>
      </c>
      <c r="K151" s="22"/>
      <c r="L151" s="23"/>
      <c r="M151" s="26"/>
      <c r="N151" s="22"/>
      <c r="O151" s="23"/>
      <c r="P151" s="26"/>
      <c r="Q151" s="22"/>
      <c r="R151" s="23"/>
      <c r="S151" s="26"/>
      <c r="T151" s="22"/>
      <c r="U151" s="23"/>
      <c r="V151" s="26"/>
      <c r="W151" s="22"/>
      <c r="X151" s="23"/>
      <c r="Y151" s="26"/>
      <c r="Z151" s="72"/>
      <c r="AA151" s="23"/>
      <c r="AB151" s="71"/>
      <c r="AC151" s="39"/>
      <c r="AD151" s="45"/>
      <c r="AE151" s="71"/>
      <c r="AF151" s="39"/>
      <c r="AG151" s="89"/>
      <c r="AH151" s="77"/>
      <c r="AI151" s="45">
        <f t="shared" si="131"/>
        <v>5000000</v>
      </c>
      <c r="AJ151" s="92"/>
      <c r="AK151" s="95"/>
      <c r="AL151" s="71">
        <f t="shared" si="132"/>
        <v>1.2575452716297788</v>
      </c>
      <c r="AM151" s="13"/>
      <c r="AP151" s="28"/>
    </row>
    <row r="152" spans="1:42" ht="120" x14ac:dyDescent="0.2">
      <c r="A152" s="18"/>
      <c r="B152" s="19"/>
      <c r="C152" s="97" t="s">
        <v>187</v>
      </c>
      <c r="D152" s="98" t="s">
        <v>193</v>
      </c>
      <c r="E152" s="80"/>
      <c r="F152" s="77"/>
      <c r="G152" s="55">
        <v>520000000</v>
      </c>
      <c r="H152" s="80"/>
      <c r="I152" s="77"/>
      <c r="J152" s="25">
        <v>10000000</v>
      </c>
      <c r="K152" s="22"/>
      <c r="L152" s="23"/>
      <c r="M152" s="26"/>
      <c r="N152" s="22"/>
      <c r="O152" s="23"/>
      <c r="P152" s="26"/>
      <c r="Q152" s="22"/>
      <c r="R152" s="23"/>
      <c r="S152" s="26"/>
      <c r="T152" s="22"/>
      <c r="U152" s="23"/>
      <c r="V152" s="26"/>
      <c r="W152" s="22"/>
      <c r="X152" s="23"/>
      <c r="Y152" s="26"/>
      <c r="Z152" s="72"/>
      <c r="AA152" s="23"/>
      <c r="AB152" s="71"/>
      <c r="AC152" s="39"/>
      <c r="AD152" s="45"/>
      <c r="AE152" s="71"/>
      <c r="AF152" s="39"/>
      <c r="AG152" s="89"/>
      <c r="AH152" s="77"/>
      <c r="AI152" s="45">
        <f t="shared" si="131"/>
        <v>10000000</v>
      </c>
      <c r="AJ152" s="92"/>
      <c r="AK152" s="95"/>
      <c r="AL152" s="71">
        <f t="shared" si="132"/>
        <v>1.9230769230769231</v>
      </c>
      <c r="AM152" s="13"/>
      <c r="AP152" s="28"/>
    </row>
    <row r="153" spans="1:42" ht="120" x14ac:dyDescent="0.2">
      <c r="A153" s="18"/>
      <c r="B153" s="19"/>
      <c r="C153" s="97" t="s">
        <v>188</v>
      </c>
      <c r="D153" s="98" t="s">
        <v>193</v>
      </c>
      <c r="E153" s="80"/>
      <c r="F153" s="77"/>
      <c r="G153" s="55">
        <v>514400000</v>
      </c>
      <c r="H153" s="80"/>
      <c r="I153" s="77"/>
      <c r="J153" s="25">
        <v>9000000</v>
      </c>
      <c r="K153" s="22"/>
      <c r="L153" s="23"/>
      <c r="M153" s="26"/>
      <c r="N153" s="22"/>
      <c r="O153" s="23"/>
      <c r="P153" s="26"/>
      <c r="Q153" s="22"/>
      <c r="R153" s="23"/>
      <c r="S153" s="26"/>
      <c r="T153" s="22"/>
      <c r="U153" s="23"/>
      <c r="V153" s="26"/>
      <c r="W153" s="22"/>
      <c r="X153" s="23"/>
      <c r="Y153" s="26"/>
      <c r="Z153" s="72"/>
      <c r="AA153" s="23"/>
      <c r="AB153" s="71"/>
      <c r="AC153" s="39"/>
      <c r="AD153" s="45"/>
      <c r="AE153" s="71"/>
      <c r="AF153" s="39"/>
      <c r="AG153" s="89"/>
      <c r="AH153" s="77"/>
      <c r="AI153" s="45">
        <f t="shared" si="131"/>
        <v>9000000</v>
      </c>
      <c r="AJ153" s="92"/>
      <c r="AK153" s="95"/>
      <c r="AL153" s="71">
        <f t="shared" si="132"/>
        <v>1.7496111975116642</v>
      </c>
      <c r="AM153" s="13"/>
      <c r="AP153" s="28"/>
    </row>
    <row r="154" spans="1:42" ht="120" x14ac:dyDescent="0.2">
      <c r="A154" s="18"/>
      <c r="B154" s="19"/>
      <c r="C154" s="97" t="s">
        <v>189</v>
      </c>
      <c r="D154" s="98" t="s">
        <v>193</v>
      </c>
      <c r="E154" s="80"/>
      <c r="F154" s="77"/>
      <c r="G154" s="55">
        <v>360000000</v>
      </c>
      <c r="H154" s="80"/>
      <c r="I154" s="77"/>
      <c r="J154" s="25">
        <v>0</v>
      </c>
      <c r="K154" s="22"/>
      <c r="L154" s="23"/>
      <c r="M154" s="26"/>
      <c r="N154" s="22"/>
      <c r="O154" s="23"/>
      <c r="P154" s="26"/>
      <c r="Q154" s="22"/>
      <c r="R154" s="23"/>
      <c r="S154" s="26"/>
      <c r="T154" s="22"/>
      <c r="U154" s="23"/>
      <c r="V154" s="26"/>
      <c r="W154" s="22"/>
      <c r="X154" s="23"/>
      <c r="Y154" s="26"/>
      <c r="Z154" s="72"/>
      <c r="AA154" s="23"/>
      <c r="AB154" s="71"/>
      <c r="AC154" s="39"/>
      <c r="AD154" s="45"/>
      <c r="AE154" s="71"/>
      <c r="AF154" s="39"/>
      <c r="AG154" s="89"/>
      <c r="AH154" s="77"/>
      <c r="AI154" s="45">
        <f>J154+AD154</f>
        <v>0</v>
      </c>
      <c r="AJ154" s="92"/>
      <c r="AK154" s="95"/>
      <c r="AL154" s="71">
        <f>AI154/G154*100</f>
        <v>0</v>
      </c>
      <c r="AM154" s="13"/>
      <c r="AP154" s="28"/>
    </row>
    <row r="155" spans="1:42" ht="120" x14ac:dyDescent="0.2">
      <c r="A155" s="18"/>
      <c r="B155" s="19"/>
      <c r="C155" s="97" t="s">
        <v>190</v>
      </c>
      <c r="D155" s="98" t="s">
        <v>193</v>
      </c>
      <c r="E155" s="81"/>
      <c r="F155" s="30"/>
      <c r="G155" s="55">
        <v>360000000</v>
      </c>
      <c r="H155" s="81"/>
      <c r="I155" s="30"/>
      <c r="J155" s="25">
        <v>0</v>
      </c>
      <c r="K155" s="22"/>
      <c r="L155" s="23"/>
      <c r="M155" s="26"/>
      <c r="N155" s="22"/>
      <c r="O155" s="23"/>
      <c r="P155" s="26"/>
      <c r="Q155" s="22"/>
      <c r="R155" s="23"/>
      <c r="S155" s="26"/>
      <c r="T155" s="22"/>
      <c r="U155" s="23"/>
      <c r="V155" s="26"/>
      <c r="W155" s="22"/>
      <c r="X155" s="23"/>
      <c r="Y155" s="26"/>
      <c r="Z155" s="72"/>
      <c r="AA155" s="23"/>
      <c r="AB155" s="71"/>
      <c r="AC155" s="39"/>
      <c r="AD155" s="45"/>
      <c r="AE155" s="71"/>
      <c r="AF155" s="39"/>
      <c r="AG155" s="90"/>
      <c r="AH155" s="30"/>
      <c r="AI155" s="45">
        <f>J155+AD155</f>
        <v>0</v>
      </c>
      <c r="AJ155" s="93"/>
      <c r="AK155" s="96"/>
      <c r="AL155" s="71">
        <f>AI155/G155*100</f>
        <v>0</v>
      </c>
      <c r="AM155" s="13"/>
      <c r="AP155" s="28"/>
    </row>
    <row r="156" spans="1:42" ht="87.75" customHeight="1" x14ac:dyDescent="0.2">
      <c r="A156" s="18"/>
      <c r="B156" s="19"/>
      <c r="C156" s="131" t="s">
        <v>268</v>
      </c>
      <c r="D156" s="131" t="s">
        <v>273</v>
      </c>
      <c r="E156" s="50">
        <v>100</v>
      </c>
      <c r="F156" s="51" t="s">
        <v>80</v>
      </c>
      <c r="G156" s="70">
        <f>SUM(G157:G160)</f>
        <v>581162500</v>
      </c>
      <c r="H156" s="50">
        <f>15.31+6.96</f>
        <v>22.27</v>
      </c>
      <c r="I156" s="51" t="s">
        <v>80</v>
      </c>
      <c r="J156" s="70">
        <f>SUM(J157:J160)</f>
        <v>95711000</v>
      </c>
      <c r="K156" s="50"/>
      <c r="L156" s="51"/>
      <c r="M156" s="70"/>
      <c r="N156" s="50"/>
      <c r="O156" s="51"/>
      <c r="P156" s="70"/>
      <c r="Q156" s="50"/>
      <c r="R156" s="51"/>
      <c r="S156" s="70"/>
      <c r="T156" s="50"/>
      <c r="U156" s="51"/>
      <c r="V156" s="70"/>
      <c r="W156" s="50"/>
      <c r="X156" s="51"/>
      <c r="Y156" s="70"/>
      <c r="Z156" s="66"/>
      <c r="AA156" s="51"/>
      <c r="AB156" s="66"/>
      <c r="AC156" s="75"/>
      <c r="AD156" s="74"/>
      <c r="AE156" s="66"/>
      <c r="AF156" s="75"/>
      <c r="AG156" s="66">
        <f t="shared" ref="AG156:AG160" si="133">H156+Z156</f>
        <v>22.27</v>
      </c>
      <c r="AH156" s="51" t="s">
        <v>80</v>
      </c>
      <c r="AI156" s="74">
        <f t="shared" ref="AI156" si="134">J156+AD156</f>
        <v>95711000</v>
      </c>
      <c r="AJ156" s="66">
        <f t="shared" ref="AJ156:AJ160" si="135">AG156/E156*100</f>
        <v>22.27</v>
      </c>
      <c r="AK156" s="75" t="s">
        <v>80</v>
      </c>
      <c r="AL156" s="66">
        <f t="shared" ref="AL156" si="136">AI156/G156*100</f>
        <v>16.468887789559719</v>
      </c>
      <c r="AM156" s="13"/>
      <c r="AP156" s="28"/>
    </row>
    <row r="157" spans="1:42" ht="120" x14ac:dyDescent="0.2">
      <c r="A157" s="18"/>
      <c r="B157" s="19"/>
      <c r="C157" s="130" t="s">
        <v>276</v>
      </c>
      <c r="D157" s="124" t="s">
        <v>274</v>
      </c>
      <c r="E157" s="22">
        <v>21</v>
      </c>
      <c r="F157" s="23" t="s">
        <v>155</v>
      </c>
      <c r="G157" s="68">
        <f>116232500*4</f>
        <v>464930000</v>
      </c>
      <c r="H157" s="79"/>
      <c r="I157" s="76"/>
      <c r="J157" s="69"/>
      <c r="K157" s="22"/>
      <c r="L157" s="23"/>
      <c r="M157" s="100"/>
      <c r="N157" s="22"/>
      <c r="O157" s="23"/>
      <c r="P157" s="100"/>
      <c r="Q157" s="22"/>
      <c r="R157" s="23"/>
      <c r="S157" s="100"/>
      <c r="T157" s="22"/>
      <c r="U157" s="23"/>
      <c r="V157" s="100"/>
      <c r="W157" s="22"/>
      <c r="X157" s="23"/>
      <c r="Y157" s="100"/>
      <c r="Z157" s="72"/>
      <c r="AA157" s="23"/>
      <c r="AB157" s="71"/>
      <c r="AC157" s="39"/>
      <c r="AD157" s="101"/>
      <c r="AE157" s="91"/>
      <c r="AF157" s="94"/>
      <c r="AG157" s="72">
        <f t="shared" ref="AG157" si="137">H157+Z157</f>
        <v>0</v>
      </c>
      <c r="AH157" s="23" t="s">
        <v>155</v>
      </c>
      <c r="AI157" s="101">
        <f t="shared" ref="AI157" si="138">J157+AD157</f>
        <v>0</v>
      </c>
      <c r="AJ157" s="71">
        <f t="shared" ref="AJ157" si="139">AG157/E157*100</f>
        <v>0</v>
      </c>
      <c r="AK157" s="39" t="s">
        <v>80</v>
      </c>
      <c r="AL157" s="91">
        <f t="shared" ref="AL157" si="140">AI157/G157*100</f>
        <v>0</v>
      </c>
      <c r="AM157" s="13"/>
      <c r="AP157" s="28"/>
    </row>
    <row r="158" spans="1:42" ht="60" x14ac:dyDescent="0.2">
      <c r="A158" s="18"/>
      <c r="B158" s="19"/>
      <c r="C158" s="125"/>
      <c r="D158" s="124" t="s">
        <v>275</v>
      </c>
      <c r="E158" s="22">
        <v>8</v>
      </c>
      <c r="F158" s="23" t="s">
        <v>80</v>
      </c>
      <c r="G158" s="61"/>
      <c r="H158" s="22"/>
      <c r="I158" s="23"/>
      <c r="J158" s="31"/>
      <c r="K158" s="22"/>
      <c r="L158" s="23"/>
      <c r="M158" s="32"/>
      <c r="N158" s="22"/>
      <c r="O158" s="23"/>
      <c r="P158" s="32"/>
      <c r="Q158" s="22"/>
      <c r="R158" s="23"/>
      <c r="S158" s="32"/>
      <c r="T158" s="22"/>
      <c r="U158" s="23"/>
      <c r="V158" s="32"/>
      <c r="W158" s="22"/>
      <c r="X158" s="23"/>
      <c r="Y158" s="32"/>
      <c r="Z158" s="72"/>
      <c r="AA158" s="23"/>
      <c r="AB158" s="71"/>
      <c r="AC158" s="39"/>
      <c r="AD158" s="102"/>
      <c r="AE158" s="93"/>
      <c r="AF158" s="96"/>
      <c r="AG158" s="72">
        <f t="shared" ref="AG158" si="141">H158+Z158</f>
        <v>0</v>
      </c>
      <c r="AH158" s="23" t="s">
        <v>80</v>
      </c>
      <c r="AI158" s="102"/>
      <c r="AJ158" s="71">
        <f t="shared" ref="AJ158" si="142">AG158/E158*100</f>
        <v>0</v>
      </c>
      <c r="AK158" s="39" t="s">
        <v>80</v>
      </c>
      <c r="AL158" s="93"/>
      <c r="AM158" s="13"/>
      <c r="AP158" s="28"/>
    </row>
    <row r="159" spans="1:42" ht="120" x14ac:dyDescent="0.2">
      <c r="A159" s="18"/>
      <c r="B159" s="19"/>
      <c r="C159" s="97" t="s">
        <v>269</v>
      </c>
      <c r="D159" s="98" t="s">
        <v>274</v>
      </c>
      <c r="E159" s="22">
        <v>21</v>
      </c>
      <c r="F159" s="23" t="s">
        <v>155</v>
      </c>
      <c r="G159" s="55">
        <f>110182500</f>
        <v>110182500</v>
      </c>
      <c r="H159" s="22">
        <v>21</v>
      </c>
      <c r="I159" s="23" t="s">
        <v>155</v>
      </c>
      <c r="J159" s="25">
        <v>94811000</v>
      </c>
      <c r="K159" s="22"/>
      <c r="L159" s="23"/>
      <c r="M159" s="26"/>
      <c r="N159" s="22"/>
      <c r="O159" s="23"/>
      <c r="P159" s="26"/>
      <c r="Q159" s="22"/>
      <c r="R159" s="23"/>
      <c r="S159" s="26"/>
      <c r="T159" s="22"/>
      <c r="U159" s="23"/>
      <c r="V159" s="26"/>
      <c r="W159" s="22"/>
      <c r="X159" s="23"/>
      <c r="Y159" s="26"/>
      <c r="Z159" s="72"/>
      <c r="AA159" s="23"/>
      <c r="AB159" s="71"/>
      <c r="AC159" s="39"/>
      <c r="AD159" s="45"/>
      <c r="AE159" s="71"/>
      <c r="AF159" s="39"/>
      <c r="AG159" s="72">
        <f t="shared" si="133"/>
        <v>21</v>
      </c>
      <c r="AH159" s="23" t="s">
        <v>155</v>
      </c>
      <c r="AI159" s="45">
        <f t="shared" ref="AI159:AI161" si="143">J159+AD159</f>
        <v>94811000</v>
      </c>
      <c r="AJ159" s="71">
        <f t="shared" si="135"/>
        <v>100</v>
      </c>
      <c r="AK159" s="39" t="s">
        <v>80</v>
      </c>
      <c r="AL159" s="71">
        <f t="shared" ref="AL159:AL161" si="144">AI159/G159*100</f>
        <v>86.049054976970027</v>
      </c>
      <c r="AM159" s="13"/>
      <c r="AP159" s="28"/>
    </row>
    <row r="160" spans="1:42" ht="60" x14ac:dyDescent="0.2">
      <c r="A160" s="18"/>
      <c r="B160" s="19"/>
      <c r="C160" s="97" t="s">
        <v>270</v>
      </c>
      <c r="D160" s="98" t="s">
        <v>275</v>
      </c>
      <c r="E160" s="22">
        <v>2</v>
      </c>
      <c r="F160" s="23" t="s">
        <v>80</v>
      </c>
      <c r="G160" s="55">
        <v>6050000</v>
      </c>
      <c r="H160" s="24">
        <f>3639/23770*100</f>
        <v>15.309213294068153</v>
      </c>
      <c r="I160" s="23" t="s">
        <v>80</v>
      </c>
      <c r="J160" s="25">
        <v>900000</v>
      </c>
      <c r="K160" s="22"/>
      <c r="L160" s="23"/>
      <c r="M160" s="26"/>
      <c r="N160" s="22"/>
      <c r="O160" s="23"/>
      <c r="P160" s="26"/>
      <c r="Q160" s="22"/>
      <c r="R160" s="23"/>
      <c r="S160" s="26"/>
      <c r="T160" s="22"/>
      <c r="U160" s="23"/>
      <c r="V160" s="26"/>
      <c r="W160" s="22"/>
      <c r="X160" s="23"/>
      <c r="Y160" s="26"/>
      <c r="Z160" s="72"/>
      <c r="AA160" s="23"/>
      <c r="AB160" s="71"/>
      <c r="AC160" s="39"/>
      <c r="AD160" s="45"/>
      <c r="AE160" s="71"/>
      <c r="AF160" s="39"/>
      <c r="AG160" s="72">
        <f t="shared" si="133"/>
        <v>15.309213294068153</v>
      </c>
      <c r="AH160" s="23" t="s">
        <v>80</v>
      </c>
      <c r="AI160" s="45">
        <f t="shared" si="143"/>
        <v>900000</v>
      </c>
      <c r="AJ160" s="71">
        <f t="shared" si="135"/>
        <v>765.46066470340759</v>
      </c>
      <c r="AK160" s="39" t="s">
        <v>80</v>
      </c>
      <c r="AL160" s="71">
        <f t="shared" si="144"/>
        <v>14.87603305785124</v>
      </c>
      <c r="AM160" s="13"/>
      <c r="AP160" s="28"/>
    </row>
    <row r="161" spans="1:42" ht="193.5" customHeight="1" x14ac:dyDescent="0.2">
      <c r="A161" s="18"/>
      <c r="B161" s="19"/>
      <c r="C161" s="21" t="s">
        <v>271</v>
      </c>
      <c r="D161" s="21" t="s">
        <v>277</v>
      </c>
      <c r="E161" s="64">
        <v>79</v>
      </c>
      <c r="F161" s="66" t="s">
        <v>80</v>
      </c>
      <c r="G161" s="70">
        <f>SUM(G162:G163)</f>
        <v>314051000</v>
      </c>
      <c r="H161" s="64">
        <f>AVERAGE(77.7,97.6,90.4,65.2,95.9,70.1)</f>
        <v>82.816666666666677</v>
      </c>
      <c r="I161" s="66" t="s">
        <v>80</v>
      </c>
      <c r="J161" s="70">
        <f>SUM(J162:J163)</f>
        <v>303249980</v>
      </c>
      <c r="K161" s="64"/>
      <c r="L161" s="51"/>
      <c r="M161" s="47"/>
      <c r="N161" s="64"/>
      <c r="O161" s="51"/>
      <c r="P161" s="47"/>
      <c r="Q161" s="64"/>
      <c r="R161" s="51"/>
      <c r="S161" s="47"/>
      <c r="T161" s="64"/>
      <c r="U161" s="51"/>
      <c r="V161" s="47"/>
      <c r="W161" s="64"/>
      <c r="X161" s="51"/>
      <c r="Y161" s="47"/>
      <c r="Z161" s="73"/>
      <c r="AA161" s="66"/>
      <c r="AB161" s="66"/>
      <c r="AC161" s="75"/>
      <c r="AD161" s="74"/>
      <c r="AE161" s="66"/>
      <c r="AF161" s="75"/>
      <c r="AG161" s="73">
        <f t="shared" ref="AG161:AG163" si="145">H161+Z161</f>
        <v>82.816666666666677</v>
      </c>
      <c r="AH161" s="66" t="s">
        <v>80</v>
      </c>
      <c r="AI161" s="74">
        <f t="shared" si="143"/>
        <v>303249980</v>
      </c>
      <c r="AJ161" s="66">
        <f t="shared" ref="AJ161:AJ163" si="146">AG161/E161*100</f>
        <v>104.83122362869199</v>
      </c>
      <c r="AK161" s="75" t="s">
        <v>80</v>
      </c>
      <c r="AL161" s="66">
        <f t="shared" si="144"/>
        <v>96.560743318760331</v>
      </c>
      <c r="AM161" s="13"/>
      <c r="AP161" s="28"/>
    </row>
    <row r="162" spans="1:42" ht="105" x14ac:dyDescent="0.2">
      <c r="A162" s="18"/>
      <c r="B162" s="19"/>
      <c r="C162" s="97" t="s">
        <v>272</v>
      </c>
      <c r="D162" s="98" t="s">
        <v>278</v>
      </c>
      <c r="E162" s="22">
        <v>21</v>
      </c>
      <c r="F162" s="23" t="s">
        <v>155</v>
      </c>
      <c r="G162" s="55">
        <v>20160000</v>
      </c>
      <c r="H162" s="22">
        <v>21</v>
      </c>
      <c r="I162" s="23" t="s">
        <v>155</v>
      </c>
      <c r="J162" s="25">
        <v>9360000</v>
      </c>
      <c r="K162" s="22"/>
      <c r="L162" s="23"/>
      <c r="M162" s="26"/>
      <c r="N162" s="22"/>
      <c r="O162" s="23"/>
      <c r="P162" s="26"/>
      <c r="Q162" s="22"/>
      <c r="R162" s="23"/>
      <c r="S162" s="26"/>
      <c r="T162" s="22"/>
      <c r="U162" s="23"/>
      <c r="V162" s="26"/>
      <c r="W162" s="22"/>
      <c r="X162" s="23"/>
      <c r="Y162" s="26"/>
      <c r="Z162" s="72"/>
      <c r="AA162" s="23"/>
      <c r="AB162" s="71"/>
      <c r="AC162" s="39"/>
      <c r="AD162" s="45"/>
      <c r="AE162" s="71"/>
      <c r="AF162" s="39"/>
      <c r="AG162" s="72">
        <f t="shared" si="145"/>
        <v>21</v>
      </c>
      <c r="AH162" s="23" t="s">
        <v>155</v>
      </c>
      <c r="AI162" s="45">
        <f t="shared" ref="AI162:AI163" si="147">J162+AD162</f>
        <v>9360000</v>
      </c>
      <c r="AJ162" s="71">
        <f t="shared" si="146"/>
        <v>100</v>
      </c>
      <c r="AK162" s="39" t="s">
        <v>80</v>
      </c>
      <c r="AL162" s="71">
        <f t="shared" ref="AL162:AL163" si="148">AI162/G162*100</f>
        <v>46.428571428571431</v>
      </c>
      <c r="AM162" s="13"/>
      <c r="AP162" s="28"/>
    </row>
    <row r="163" spans="1:42" ht="105" x14ac:dyDescent="0.2">
      <c r="A163" s="18"/>
      <c r="B163" s="19"/>
      <c r="C163" s="97" t="s">
        <v>169</v>
      </c>
      <c r="D163" s="98" t="s">
        <v>278</v>
      </c>
      <c r="E163" s="22">
        <v>21</v>
      </c>
      <c r="F163" s="23" t="s">
        <v>155</v>
      </c>
      <c r="G163" s="55">
        <v>293891000</v>
      </c>
      <c r="H163" s="22">
        <v>21</v>
      </c>
      <c r="I163" s="23" t="s">
        <v>155</v>
      </c>
      <c r="J163" s="25">
        <v>293889980</v>
      </c>
      <c r="K163" s="22"/>
      <c r="L163" s="23"/>
      <c r="M163" s="26"/>
      <c r="N163" s="22"/>
      <c r="O163" s="23"/>
      <c r="P163" s="26"/>
      <c r="Q163" s="22"/>
      <c r="R163" s="23"/>
      <c r="S163" s="26"/>
      <c r="T163" s="22"/>
      <c r="U163" s="23"/>
      <c r="V163" s="26"/>
      <c r="W163" s="22"/>
      <c r="X163" s="23"/>
      <c r="Y163" s="26"/>
      <c r="Z163" s="72"/>
      <c r="AA163" s="23"/>
      <c r="AB163" s="71"/>
      <c r="AC163" s="39"/>
      <c r="AD163" s="45"/>
      <c r="AE163" s="71"/>
      <c r="AF163" s="39"/>
      <c r="AG163" s="72">
        <f t="shared" si="145"/>
        <v>21</v>
      </c>
      <c r="AH163" s="23" t="s">
        <v>155</v>
      </c>
      <c r="AI163" s="45">
        <f t="shared" si="147"/>
        <v>293889980</v>
      </c>
      <c r="AJ163" s="71">
        <f t="shared" si="146"/>
        <v>100</v>
      </c>
      <c r="AK163" s="39" t="s">
        <v>80</v>
      </c>
      <c r="AL163" s="71">
        <f t="shared" si="148"/>
        <v>99.999652932549822</v>
      </c>
      <c r="AM163" s="13"/>
      <c r="AP163" s="28"/>
    </row>
    <row r="164" spans="1:42" ht="15" x14ac:dyDescent="0.2">
      <c r="A164" s="135" t="s">
        <v>51</v>
      </c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7"/>
      <c r="AB164" s="129">
        <f>AVERAGE(AB16:AB163)</f>
        <v>94.384474905964879</v>
      </c>
      <c r="AC164" s="105"/>
      <c r="AD164" s="103"/>
      <c r="AE164" s="129">
        <f>AVERAGE(AE16,AE20,AE27,AE34,AE40,AE53,AE63,AE118,AE128,AE130)</f>
        <v>79.945410767736661</v>
      </c>
      <c r="AF164" s="105"/>
      <c r="AG164" s="104"/>
      <c r="AH164" s="105"/>
      <c r="AI164" s="104"/>
      <c r="AJ164" s="104"/>
      <c r="AK164" s="105"/>
      <c r="AL164" s="109"/>
      <c r="AM164" s="13"/>
    </row>
    <row r="165" spans="1:42" ht="15" x14ac:dyDescent="0.2">
      <c r="A165" s="135" t="s">
        <v>52</v>
      </c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7"/>
      <c r="AB165" s="35" t="str">
        <f>IF(AB164&gt;=91,"Sangat Tinggi",IF(AB164&gt;=76,"Tinggi",IF(AB164&gt;=66,"Sedang",IF(AB164&gt;=51,"Rendah",IF(AB164&lt;=50,"Sangat Rendah")))))</f>
        <v>Sangat Tinggi</v>
      </c>
      <c r="AC165" s="105"/>
      <c r="AD165" s="106"/>
      <c r="AE165" s="35" t="str">
        <f>IF(AE164&gt;=91,"Sangat Tinggi",IF(AE164&gt;=76,"Tinggi",IF(AE164&gt;=66,"Sedang",IF(AE164&gt;=51,"Rendah",IF(AE164&lt;=50,"Sangat Rendah")))))</f>
        <v>Tinggi</v>
      </c>
      <c r="AF165" s="105"/>
      <c r="AG165" s="107"/>
      <c r="AH165" s="105"/>
      <c r="AI165" s="108"/>
      <c r="AJ165" s="107"/>
      <c r="AK165" s="105"/>
      <c r="AL165" s="110"/>
      <c r="AM165" s="13"/>
    </row>
    <row r="166" spans="1:42" ht="15" x14ac:dyDescent="0.2">
      <c r="A166" s="138" t="s">
        <v>295</v>
      </c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"/>
    </row>
    <row r="167" spans="1:42" ht="15" x14ac:dyDescent="0.2">
      <c r="A167" s="138" t="s">
        <v>53</v>
      </c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"/>
    </row>
    <row r="168" spans="1:42" ht="15" x14ac:dyDescent="0.2">
      <c r="A168" s="138" t="s">
        <v>54</v>
      </c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"/>
    </row>
    <row r="169" spans="1:42" ht="15" x14ac:dyDescent="0.2">
      <c r="A169" s="138" t="s">
        <v>55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36"/>
    </row>
    <row r="170" spans="1:42" ht="15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8"/>
      <c r="AB170" s="37"/>
      <c r="AC170" s="38"/>
      <c r="AD170" s="37"/>
      <c r="AE170" s="37"/>
      <c r="AF170" s="38"/>
      <c r="AG170" s="37"/>
      <c r="AH170" s="38"/>
      <c r="AI170" s="37"/>
      <c r="AJ170" s="37"/>
      <c r="AK170" s="38"/>
      <c r="AL170" s="37"/>
    </row>
    <row r="171" spans="1:42" ht="15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197" t="s">
        <v>288</v>
      </c>
      <c r="AA171" s="197"/>
      <c r="AB171" s="197"/>
      <c r="AC171" s="197"/>
      <c r="AD171" s="197"/>
      <c r="AE171" s="197"/>
      <c r="AF171" s="38"/>
      <c r="AG171" s="37"/>
      <c r="AH171" s="197" t="s">
        <v>289</v>
      </c>
      <c r="AI171" s="197"/>
      <c r="AJ171" s="197"/>
      <c r="AK171" s="197"/>
      <c r="AL171" s="197"/>
      <c r="AM171" s="197"/>
    </row>
    <row r="172" spans="1:42" ht="15.75" x14ac:dyDescent="0.25">
      <c r="A172" s="43"/>
      <c r="B172" s="44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197" t="s">
        <v>299</v>
      </c>
      <c r="AA172" s="197"/>
      <c r="AB172" s="197"/>
      <c r="AC172" s="197"/>
      <c r="AD172" s="197"/>
      <c r="AE172" s="197"/>
      <c r="AF172" s="38"/>
      <c r="AG172" s="37"/>
      <c r="AH172" s="197" t="s">
        <v>299</v>
      </c>
      <c r="AI172" s="197"/>
      <c r="AJ172" s="197"/>
      <c r="AK172" s="197"/>
      <c r="AL172" s="197"/>
      <c r="AM172" s="197"/>
    </row>
    <row r="173" spans="1:42" ht="15" x14ac:dyDescent="0.2">
      <c r="Z173" s="197" t="s">
        <v>294</v>
      </c>
      <c r="AA173" s="197"/>
      <c r="AB173" s="197"/>
      <c r="AC173" s="197"/>
      <c r="AD173" s="197"/>
      <c r="AE173" s="197"/>
      <c r="AH173" s="197" t="s">
        <v>290</v>
      </c>
      <c r="AI173" s="197"/>
      <c r="AJ173" s="197"/>
      <c r="AK173" s="197"/>
      <c r="AL173" s="197"/>
      <c r="AM173" s="197"/>
    </row>
    <row r="174" spans="1:42" ht="15" x14ac:dyDescent="0.2">
      <c r="Z174" s="197" t="s">
        <v>291</v>
      </c>
      <c r="AA174" s="197"/>
      <c r="AB174" s="197"/>
      <c r="AC174" s="197"/>
      <c r="AD174" s="197"/>
      <c r="AE174" s="197"/>
      <c r="AH174" s="197" t="s">
        <v>291</v>
      </c>
      <c r="AI174" s="197"/>
      <c r="AJ174" s="197"/>
      <c r="AK174" s="197"/>
      <c r="AL174" s="197"/>
      <c r="AM174" s="197"/>
    </row>
    <row r="175" spans="1:42" ht="51" x14ac:dyDescent="0.2">
      <c r="A175" s="40" t="s">
        <v>56</v>
      </c>
      <c r="B175" s="40" t="s">
        <v>57</v>
      </c>
      <c r="C175" s="40" t="s">
        <v>58</v>
      </c>
      <c r="Z175" s="37"/>
      <c r="AA175" s="38"/>
      <c r="AB175" s="37"/>
      <c r="AC175" s="38"/>
      <c r="AD175" s="37"/>
      <c r="AH175" s="37"/>
      <c r="AI175" s="38"/>
      <c r="AJ175" s="37"/>
      <c r="AK175" s="38"/>
      <c r="AL175" s="37"/>
    </row>
    <row r="176" spans="1:42" ht="25.5" x14ac:dyDescent="0.25">
      <c r="A176" s="41" t="s">
        <v>59</v>
      </c>
      <c r="B176" s="41" t="s">
        <v>60</v>
      </c>
      <c r="C176" s="41" t="s">
        <v>61</v>
      </c>
      <c r="Z176" s="198" t="s">
        <v>296</v>
      </c>
      <c r="AA176" s="198"/>
      <c r="AB176" s="198"/>
      <c r="AC176" s="198"/>
      <c r="AD176" s="198"/>
      <c r="AE176" s="198"/>
      <c r="AH176" s="198" t="s">
        <v>292</v>
      </c>
      <c r="AI176" s="198"/>
      <c r="AJ176" s="198"/>
      <c r="AK176" s="198"/>
      <c r="AL176" s="198"/>
      <c r="AM176" s="198"/>
    </row>
    <row r="177" spans="1:39" ht="25.5" x14ac:dyDescent="0.2">
      <c r="A177" s="41" t="s">
        <v>62</v>
      </c>
      <c r="B177" s="41" t="s">
        <v>63</v>
      </c>
      <c r="C177" s="41" t="s">
        <v>64</v>
      </c>
      <c r="Z177" s="199" t="s">
        <v>297</v>
      </c>
      <c r="AA177" s="199"/>
      <c r="AB177" s="199"/>
      <c r="AC177" s="199"/>
      <c r="AD177" s="199"/>
      <c r="AE177" s="199"/>
      <c r="AH177" s="199" t="s">
        <v>293</v>
      </c>
      <c r="AI177" s="199"/>
      <c r="AJ177" s="199"/>
      <c r="AK177" s="199"/>
      <c r="AL177" s="199"/>
      <c r="AM177" s="199"/>
    </row>
    <row r="178" spans="1:39" ht="25.5" x14ac:dyDescent="0.2">
      <c r="A178" s="41" t="s">
        <v>65</v>
      </c>
      <c r="B178" s="41" t="s">
        <v>66</v>
      </c>
      <c r="C178" s="41" t="s">
        <v>67</v>
      </c>
    </row>
    <row r="179" spans="1:39" ht="25.5" x14ac:dyDescent="0.2">
      <c r="A179" s="41" t="s">
        <v>68</v>
      </c>
      <c r="B179" s="41" t="s">
        <v>69</v>
      </c>
      <c r="C179" s="41" t="s">
        <v>70</v>
      </c>
    </row>
    <row r="180" spans="1:39" ht="25.5" x14ac:dyDescent="0.2">
      <c r="A180" s="41" t="s">
        <v>71</v>
      </c>
      <c r="B180" s="42" t="s">
        <v>72</v>
      </c>
      <c r="C180" s="41" t="s">
        <v>73</v>
      </c>
    </row>
  </sheetData>
  <mergeCells count="93">
    <mergeCell ref="Z174:AE174"/>
    <mergeCell ref="AH174:AM174"/>
    <mergeCell ref="Z176:AE176"/>
    <mergeCell ref="AH176:AM176"/>
    <mergeCell ref="Z177:AE177"/>
    <mergeCell ref="AH177:AM177"/>
    <mergeCell ref="Z171:AE171"/>
    <mergeCell ref="AH171:AM171"/>
    <mergeCell ref="Z172:AE172"/>
    <mergeCell ref="AH172:AM172"/>
    <mergeCell ref="Z173:AE173"/>
    <mergeCell ref="AH173:AM173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W10:Y10"/>
    <mergeCell ref="AG12:AH12"/>
    <mergeCell ref="AJ12:AK12"/>
    <mergeCell ref="Z11:AA11"/>
    <mergeCell ref="AG11:AH11"/>
    <mergeCell ref="AJ11:AK11"/>
    <mergeCell ref="AB11:AC11"/>
    <mergeCell ref="E11:F12"/>
    <mergeCell ref="G11:G12"/>
    <mergeCell ref="H11:I12"/>
    <mergeCell ref="J11:J12"/>
    <mergeCell ref="K11:L12"/>
    <mergeCell ref="AB12:AC12"/>
    <mergeCell ref="AE11:AF11"/>
    <mergeCell ref="AE12:AF12"/>
    <mergeCell ref="A169:AL169"/>
    <mergeCell ref="J13:J15"/>
    <mergeCell ref="K13:L15"/>
    <mergeCell ref="M13:M15"/>
    <mergeCell ref="N13:O15"/>
    <mergeCell ref="A166:AL166"/>
    <mergeCell ref="A13:A15"/>
    <mergeCell ref="B13:B15"/>
    <mergeCell ref="C13:C15"/>
    <mergeCell ref="D13:D15"/>
    <mergeCell ref="E13:F15"/>
    <mergeCell ref="G13:G15"/>
    <mergeCell ref="H13:I15"/>
    <mergeCell ref="Z10:AF10"/>
    <mergeCell ref="A164:AA164"/>
    <mergeCell ref="A165:AA165"/>
    <mergeCell ref="A167:AL167"/>
    <mergeCell ref="A168:AL168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</mergeCells>
  <printOptions horizontalCentered="1"/>
  <pageMargins left="0.23622047244094491" right="0.23622047244094491" top="3.937007874015748E-2" bottom="3.937007874015748E-2" header="0" footer="0"/>
  <pageSetup paperSize="5" scale="32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Kesehatan</vt:lpstr>
      <vt:lpstr>'Dinas Kesehatan'!Print_Area</vt:lpstr>
      <vt:lpstr>'Dinas Kesehatan'!Print_Titles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2020-04-28T05:20:26Z</cp:lastPrinted>
  <dcterms:created xsi:type="dcterms:W3CDTF">2020-03-18T05:59:44Z</dcterms:created>
  <dcterms:modified xsi:type="dcterms:W3CDTF">2021-02-11T03:55:27Z</dcterms:modified>
</cp:coreProperties>
</file>