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1\Pengendalian dan Evaluasi Renja PD dan RKPD\TRIWULAN IV\"/>
    </mc:Choice>
  </mc:AlternateContent>
  <bookViews>
    <workbookView xWindow="0" yWindow="0" windowWidth="21570" windowHeight="9915"/>
  </bookViews>
  <sheets>
    <sheet name="SET DPRD" sheetId="1" r:id="rId1"/>
  </sheets>
  <definedNames>
    <definedName name="_xlnm.Print_Area" localSheetId="0">'SET DPRD'!$A$1:$AM$113</definedName>
    <definedName name="_xlnm.Print_Titles" localSheetId="0">'SET DPRD'!$7:$12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6" i="1" l="1"/>
  <c r="Y65" i="1"/>
  <c r="Y39" i="1"/>
  <c r="Y31" i="1"/>
  <c r="Y27" i="1"/>
  <c r="Y22" i="1"/>
  <c r="Z18" i="1"/>
  <c r="X78" i="1"/>
  <c r="X77" i="1"/>
  <c r="X76" i="1"/>
  <c r="X75" i="1"/>
  <c r="Y74" i="1"/>
  <c r="X74" i="1"/>
  <c r="X73" i="1"/>
  <c r="X72" i="1"/>
  <c r="Y71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Y57" i="1"/>
  <c r="X57" i="1"/>
  <c r="X56" i="1"/>
  <c r="X55" i="1"/>
  <c r="X54" i="1"/>
  <c r="X53" i="1"/>
  <c r="X52" i="1"/>
  <c r="X51" i="1"/>
  <c r="Y50" i="1"/>
  <c r="X50" i="1"/>
  <c r="X49" i="1"/>
  <c r="X48" i="1"/>
  <c r="X47" i="1"/>
  <c r="X46" i="1"/>
  <c r="Y45" i="1"/>
  <c r="X45" i="1"/>
  <c r="X44" i="1"/>
  <c r="X43" i="1"/>
  <c r="X42" i="1"/>
  <c r="X41" i="1"/>
  <c r="X40" i="1"/>
  <c r="X39" i="1"/>
  <c r="X38" i="1"/>
  <c r="X37" i="1"/>
  <c r="X36" i="1"/>
  <c r="Y35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Y17" i="1"/>
  <c r="X17" i="1"/>
  <c r="X16" i="1"/>
  <c r="X15" i="1"/>
  <c r="Y14" i="1"/>
  <c r="X14" i="1"/>
  <c r="X13" i="1"/>
  <c r="Y44" i="1" l="1"/>
  <c r="Y13" i="1"/>
  <c r="E16" i="1"/>
  <c r="E15" i="1"/>
  <c r="H49" i="1"/>
  <c r="V76" i="1"/>
  <c r="V74" i="1"/>
  <c r="V71" i="1"/>
  <c r="V65" i="1"/>
  <c r="V57" i="1"/>
  <c r="V50" i="1"/>
  <c r="R48" i="1"/>
  <c r="V45" i="1"/>
  <c r="V39" i="1"/>
  <c r="V35" i="1"/>
  <c r="V31" i="1"/>
  <c r="V27" i="1"/>
  <c r="V22" i="1"/>
  <c r="V17" i="1"/>
  <c r="V14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V44" i="1" l="1"/>
  <c r="V13" i="1"/>
  <c r="E20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E33" i="1" l="1"/>
  <c r="E34" i="1"/>
  <c r="E32" i="1"/>
  <c r="E29" i="1"/>
  <c r="E30" i="1"/>
  <c r="E28" i="1"/>
  <c r="E24" i="1"/>
  <c r="E25" i="1"/>
  <c r="E26" i="1"/>
  <c r="E23" i="1"/>
  <c r="E18" i="1"/>
  <c r="E49" i="1"/>
  <c r="G78" i="1"/>
  <c r="G77" i="1"/>
  <c r="G75" i="1"/>
  <c r="G74" i="1" s="1"/>
  <c r="G73" i="1"/>
  <c r="G72" i="1"/>
  <c r="G70" i="1"/>
  <c r="G69" i="1"/>
  <c r="G68" i="1"/>
  <c r="G67" i="1"/>
  <c r="G66" i="1"/>
  <c r="G63" i="1"/>
  <c r="G64" i="1"/>
  <c r="G62" i="1"/>
  <c r="G61" i="1"/>
  <c r="G60" i="1"/>
  <c r="G59" i="1"/>
  <c r="G58" i="1"/>
  <c r="G56" i="1"/>
  <c r="G55" i="1"/>
  <c r="G53" i="1"/>
  <c r="G54" i="1"/>
  <c r="G52" i="1"/>
  <c r="G51" i="1"/>
  <c r="G49" i="1"/>
  <c r="G48" i="1"/>
  <c r="G47" i="1"/>
  <c r="G46" i="1"/>
  <c r="G76" i="1" l="1"/>
  <c r="G71" i="1"/>
  <c r="G65" i="1"/>
  <c r="G57" i="1"/>
  <c r="G50" i="1"/>
  <c r="G45" i="1"/>
  <c r="G44" i="1" l="1"/>
  <c r="G43" i="1"/>
  <c r="G42" i="1"/>
  <c r="G41" i="1"/>
  <c r="G40" i="1"/>
  <c r="G38" i="1"/>
  <c r="G37" i="1"/>
  <c r="G36" i="1"/>
  <c r="G34" i="1"/>
  <c r="G33" i="1"/>
  <c r="G32" i="1"/>
  <c r="G30" i="1"/>
  <c r="G29" i="1"/>
  <c r="G28" i="1"/>
  <c r="G26" i="1"/>
  <c r="G25" i="1"/>
  <c r="G24" i="1"/>
  <c r="G23" i="1"/>
  <c r="G21" i="1"/>
  <c r="G20" i="1"/>
  <c r="G19" i="1"/>
  <c r="G18" i="1"/>
  <c r="G16" i="1"/>
  <c r="G15" i="1"/>
  <c r="G31" i="1" l="1"/>
  <c r="G22" i="1"/>
  <c r="G17" i="1"/>
  <c r="G27" i="1"/>
  <c r="G39" i="1"/>
  <c r="G35" i="1"/>
  <c r="S45" i="1" l="1"/>
  <c r="S43" i="1"/>
  <c r="S39" i="1" s="1"/>
  <c r="S36" i="1"/>
  <c r="S35" i="1" s="1"/>
  <c r="S77" i="1"/>
  <c r="S76" i="1" s="1"/>
  <c r="S74" i="1"/>
  <c r="S73" i="1"/>
  <c r="S71" i="1" s="1"/>
  <c r="S65" i="1"/>
  <c r="S57" i="1"/>
  <c r="S50" i="1"/>
  <c r="S33" i="1"/>
  <c r="S31" i="1" s="1"/>
  <c r="S30" i="1"/>
  <c r="S27" i="1" s="1"/>
  <c r="S25" i="1"/>
  <c r="S24" i="1"/>
  <c r="S23" i="1"/>
  <c r="S20" i="1"/>
  <c r="S18" i="1"/>
  <c r="S14" i="1"/>
  <c r="S17" i="1" l="1"/>
  <c r="S44" i="1"/>
  <c r="S22" i="1"/>
  <c r="Q49" i="1"/>
  <c r="K49" i="1"/>
  <c r="S13" i="1" l="1"/>
  <c r="AD78" i="1"/>
  <c r="AE78" i="1" s="1"/>
  <c r="AA78" i="1"/>
  <c r="Z78" i="1"/>
  <c r="AB78" i="1" s="1"/>
  <c r="AD77" i="1"/>
  <c r="AE77" i="1" s="1"/>
  <c r="AA77" i="1"/>
  <c r="Z77" i="1"/>
  <c r="AB77" i="1" s="1"/>
  <c r="AA76" i="1"/>
  <c r="Z76" i="1"/>
  <c r="AB76" i="1" s="1"/>
  <c r="AD75" i="1"/>
  <c r="AE75" i="1" s="1"/>
  <c r="AA75" i="1"/>
  <c r="Z75" i="1"/>
  <c r="AB75" i="1" s="1"/>
  <c r="AA74" i="1"/>
  <c r="Z74" i="1"/>
  <c r="AB74" i="1" s="1"/>
  <c r="AB79" i="1" s="1"/>
  <c r="AD73" i="1"/>
  <c r="AE73" i="1" s="1"/>
  <c r="AA73" i="1"/>
  <c r="Z73" i="1"/>
  <c r="AB73" i="1" s="1"/>
  <c r="AD72" i="1"/>
  <c r="AE72" i="1" s="1"/>
  <c r="AA72" i="1"/>
  <c r="Z72" i="1"/>
  <c r="AB72" i="1" s="1"/>
  <c r="AA71" i="1"/>
  <c r="Z71" i="1"/>
  <c r="AB71" i="1" s="1"/>
  <c r="AD70" i="1"/>
  <c r="AE70" i="1" s="1"/>
  <c r="AA70" i="1"/>
  <c r="Z70" i="1"/>
  <c r="AB70" i="1" s="1"/>
  <c r="AD69" i="1"/>
  <c r="AE69" i="1" s="1"/>
  <c r="AA69" i="1"/>
  <c r="Z69" i="1"/>
  <c r="AB69" i="1" s="1"/>
  <c r="AD68" i="1"/>
  <c r="AE68" i="1" s="1"/>
  <c r="AA68" i="1"/>
  <c r="Z68" i="1"/>
  <c r="AB68" i="1" s="1"/>
  <c r="AD67" i="1"/>
  <c r="AE67" i="1" s="1"/>
  <c r="AA67" i="1"/>
  <c r="Z67" i="1"/>
  <c r="AB67" i="1" s="1"/>
  <c r="AD66" i="1"/>
  <c r="AE66" i="1" s="1"/>
  <c r="AA66" i="1"/>
  <c r="Z66" i="1"/>
  <c r="AB66" i="1" s="1"/>
  <c r="AA65" i="1"/>
  <c r="Z65" i="1"/>
  <c r="AB65" i="1" s="1"/>
  <c r="AD64" i="1"/>
  <c r="AE64" i="1" s="1"/>
  <c r="AA64" i="1"/>
  <c r="Z64" i="1"/>
  <c r="AB64" i="1" s="1"/>
  <c r="AD63" i="1"/>
  <c r="AE63" i="1" s="1"/>
  <c r="AA63" i="1"/>
  <c r="Z63" i="1"/>
  <c r="AB63" i="1" s="1"/>
  <c r="AD62" i="1"/>
  <c r="AE62" i="1" s="1"/>
  <c r="AA62" i="1"/>
  <c r="Z62" i="1"/>
  <c r="AB62" i="1" s="1"/>
  <c r="AD61" i="1"/>
  <c r="AE61" i="1" s="1"/>
  <c r="AA61" i="1"/>
  <c r="Z61" i="1"/>
  <c r="AB61" i="1" s="1"/>
  <c r="AD60" i="1"/>
  <c r="AE60" i="1" s="1"/>
  <c r="AA60" i="1"/>
  <c r="Z60" i="1"/>
  <c r="AB60" i="1" s="1"/>
  <c r="AD59" i="1"/>
  <c r="AE59" i="1" s="1"/>
  <c r="AA59" i="1"/>
  <c r="Z59" i="1"/>
  <c r="AB59" i="1" s="1"/>
  <c r="AD58" i="1"/>
  <c r="AE58" i="1" s="1"/>
  <c r="AA58" i="1"/>
  <c r="Z58" i="1"/>
  <c r="AB58" i="1" s="1"/>
  <c r="AA57" i="1"/>
  <c r="Z57" i="1"/>
  <c r="AB57" i="1" s="1"/>
  <c r="AD56" i="1"/>
  <c r="AE56" i="1" s="1"/>
  <c r="AA56" i="1"/>
  <c r="Z56" i="1"/>
  <c r="AB56" i="1" s="1"/>
  <c r="AD55" i="1"/>
  <c r="AE55" i="1" s="1"/>
  <c r="AA55" i="1"/>
  <c r="Z55" i="1"/>
  <c r="AB55" i="1" s="1"/>
  <c r="AD54" i="1"/>
  <c r="AE54" i="1" s="1"/>
  <c r="AA54" i="1"/>
  <c r="Z54" i="1"/>
  <c r="AB54" i="1" s="1"/>
  <c r="AD53" i="1"/>
  <c r="AE53" i="1" s="1"/>
  <c r="AA53" i="1"/>
  <c r="Z53" i="1"/>
  <c r="AB53" i="1" s="1"/>
  <c r="AD52" i="1"/>
  <c r="AE52" i="1" s="1"/>
  <c r="AA52" i="1"/>
  <c r="Z52" i="1"/>
  <c r="AB52" i="1" s="1"/>
  <c r="AD51" i="1"/>
  <c r="AE51" i="1" s="1"/>
  <c r="AA51" i="1"/>
  <c r="Z51" i="1"/>
  <c r="AB51" i="1" s="1"/>
  <c r="AA50" i="1"/>
  <c r="Z50" i="1"/>
  <c r="AB50" i="1" s="1"/>
  <c r="AD49" i="1"/>
  <c r="AE49" i="1" s="1"/>
  <c r="AA49" i="1"/>
  <c r="Z49" i="1"/>
  <c r="AB49" i="1" s="1"/>
  <c r="AD48" i="1"/>
  <c r="AE48" i="1" s="1"/>
  <c r="AA48" i="1"/>
  <c r="Z48" i="1"/>
  <c r="AB48" i="1" s="1"/>
  <c r="AD47" i="1"/>
  <c r="AE47" i="1" s="1"/>
  <c r="AA47" i="1"/>
  <c r="Z47" i="1"/>
  <c r="AB47" i="1" s="1"/>
  <c r="AD46" i="1"/>
  <c r="AE46" i="1" s="1"/>
  <c r="AA46" i="1"/>
  <c r="Z46" i="1"/>
  <c r="AB46" i="1" s="1"/>
  <c r="AA45" i="1"/>
  <c r="Z45" i="1"/>
  <c r="AB45" i="1" s="1"/>
  <c r="AA44" i="1"/>
  <c r="Z44" i="1"/>
  <c r="AB44" i="1" s="1"/>
  <c r="AD43" i="1"/>
  <c r="AE43" i="1" s="1"/>
  <c r="AA43" i="1"/>
  <c r="Z43" i="1"/>
  <c r="AB43" i="1" s="1"/>
  <c r="AD42" i="1"/>
  <c r="AE42" i="1" s="1"/>
  <c r="AA42" i="1"/>
  <c r="Z42" i="1"/>
  <c r="AB42" i="1" s="1"/>
  <c r="AD41" i="1"/>
  <c r="AE41" i="1" s="1"/>
  <c r="AA41" i="1"/>
  <c r="Z41" i="1"/>
  <c r="AB41" i="1" s="1"/>
  <c r="AD40" i="1"/>
  <c r="AE40" i="1" s="1"/>
  <c r="AA40" i="1"/>
  <c r="Z40" i="1"/>
  <c r="AB40" i="1" s="1"/>
  <c r="AA39" i="1"/>
  <c r="Z39" i="1"/>
  <c r="AB39" i="1" s="1"/>
  <c r="AD38" i="1"/>
  <c r="AE38" i="1" s="1"/>
  <c r="AA38" i="1"/>
  <c r="Z38" i="1"/>
  <c r="AB38" i="1" s="1"/>
  <c r="AD37" i="1"/>
  <c r="AE37" i="1" s="1"/>
  <c r="AA37" i="1"/>
  <c r="Z37" i="1"/>
  <c r="AB37" i="1" s="1"/>
  <c r="AD36" i="1"/>
  <c r="AE36" i="1" s="1"/>
  <c r="AA36" i="1"/>
  <c r="Z36" i="1"/>
  <c r="AB36" i="1" s="1"/>
  <c r="AA35" i="1"/>
  <c r="Z35" i="1"/>
  <c r="AB35" i="1" s="1"/>
  <c r="AD34" i="1"/>
  <c r="AE34" i="1" s="1"/>
  <c r="AA34" i="1"/>
  <c r="Z34" i="1"/>
  <c r="AB34" i="1" s="1"/>
  <c r="AD33" i="1"/>
  <c r="AE33" i="1" s="1"/>
  <c r="AA33" i="1"/>
  <c r="Z33" i="1"/>
  <c r="AB33" i="1" s="1"/>
  <c r="AD32" i="1"/>
  <c r="AE32" i="1" s="1"/>
  <c r="AA32" i="1"/>
  <c r="Z32" i="1"/>
  <c r="AB32" i="1" s="1"/>
  <c r="AA31" i="1"/>
  <c r="Z31" i="1"/>
  <c r="AB31" i="1" s="1"/>
  <c r="AD30" i="1"/>
  <c r="AE30" i="1" s="1"/>
  <c r="AA30" i="1"/>
  <c r="Z30" i="1"/>
  <c r="AB30" i="1" s="1"/>
  <c r="AD29" i="1"/>
  <c r="AE29" i="1" s="1"/>
  <c r="AA29" i="1"/>
  <c r="Z29" i="1"/>
  <c r="AB29" i="1" s="1"/>
  <c r="AD28" i="1"/>
  <c r="AE28" i="1" s="1"/>
  <c r="AA28" i="1"/>
  <c r="Z28" i="1"/>
  <c r="AB28" i="1" s="1"/>
  <c r="AA27" i="1"/>
  <c r="Z27" i="1"/>
  <c r="AB27" i="1" s="1"/>
  <c r="AD26" i="1"/>
  <c r="AE26" i="1" s="1"/>
  <c r="AA26" i="1"/>
  <c r="Z26" i="1"/>
  <c r="AB26" i="1" s="1"/>
  <c r="AD25" i="1"/>
  <c r="AE25" i="1" s="1"/>
  <c r="AA25" i="1"/>
  <c r="Z25" i="1"/>
  <c r="AB25" i="1" s="1"/>
  <c r="AD24" i="1"/>
  <c r="AE24" i="1" s="1"/>
  <c r="AA24" i="1"/>
  <c r="Z24" i="1"/>
  <c r="AB24" i="1" s="1"/>
  <c r="AD23" i="1"/>
  <c r="AE23" i="1" s="1"/>
  <c r="AA23" i="1"/>
  <c r="Z23" i="1"/>
  <c r="AB23" i="1" s="1"/>
  <c r="AA22" i="1"/>
  <c r="Z22" i="1"/>
  <c r="AB22" i="1" s="1"/>
  <c r="AD21" i="1"/>
  <c r="AE21" i="1" s="1"/>
  <c r="AA21" i="1"/>
  <c r="Z21" i="1"/>
  <c r="AB21" i="1" s="1"/>
  <c r="AD20" i="1"/>
  <c r="AE20" i="1" s="1"/>
  <c r="AA20" i="1"/>
  <c r="Z20" i="1"/>
  <c r="AB20" i="1" s="1"/>
  <c r="AD19" i="1"/>
  <c r="AE19" i="1" s="1"/>
  <c r="AA19" i="1"/>
  <c r="Z19" i="1"/>
  <c r="AB19" i="1" s="1"/>
  <c r="AD18" i="1"/>
  <c r="AE18" i="1" s="1"/>
  <c r="AA18" i="1"/>
  <c r="AB18" i="1"/>
  <c r="AA17" i="1"/>
  <c r="AD16" i="1"/>
  <c r="AE16" i="1" s="1"/>
  <c r="AA16" i="1"/>
  <c r="Z16" i="1"/>
  <c r="AB16" i="1" s="1"/>
  <c r="AD15" i="1"/>
  <c r="AE15" i="1" s="1"/>
  <c r="AA15" i="1"/>
  <c r="Z15" i="1"/>
  <c r="AB15" i="1" s="1"/>
  <c r="AA14" i="1"/>
  <c r="AA13" i="1"/>
  <c r="Z13" i="1"/>
  <c r="AB13" i="1" s="1"/>
  <c r="P39" i="1" l="1"/>
  <c r="AD39" i="1" s="1"/>
  <c r="P22" i="1"/>
  <c r="AD22" i="1" s="1"/>
  <c r="P76" i="1" l="1"/>
  <c r="AD76" i="1" s="1"/>
  <c r="P74" i="1"/>
  <c r="AD74" i="1" s="1"/>
  <c r="P71" i="1"/>
  <c r="AD71" i="1" s="1"/>
  <c r="P65" i="1"/>
  <c r="AD65" i="1" s="1"/>
  <c r="P57" i="1"/>
  <c r="AD57" i="1" s="1"/>
  <c r="P50" i="1"/>
  <c r="AD50" i="1" s="1"/>
  <c r="P45" i="1"/>
  <c r="P35" i="1"/>
  <c r="AD35" i="1" s="1"/>
  <c r="P31" i="1"/>
  <c r="AD31" i="1" s="1"/>
  <c r="P27" i="1"/>
  <c r="AD27" i="1" s="1"/>
  <c r="P17" i="1"/>
  <c r="AD17" i="1" s="1"/>
  <c r="Z17" i="1"/>
  <c r="P14" i="1"/>
  <c r="Z14" i="1"/>
  <c r="M76" i="1"/>
  <c r="M74" i="1"/>
  <c r="M71" i="1"/>
  <c r="M65" i="1"/>
  <c r="M57" i="1"/>
  <c r="M50" i="1"/>
  <c r="M45" i="1"/>
  <c r="M39" i="1"/>
  <c r="AE39" i="1" s="1"/>
  <c r="M35" i="1"/>
  <c r="M31" i="1"/>
  <c r="M27" i="1"/>
  <c r="M22" i="1"/>
  <c r="AE22" i="1" s="1"/>
  <c r="M17" i="1"/>
  <c r="M14" i="1"/>
  <c r="G14" i="1" s="1"/>
  <c r="G13" i="1" s="1"/>
  <c r="AB17" i="1" l="1"/>
  <c r="AE27" i="1"/>
  <c r="AB14" i="1"/>
  <c r="AE50" i="1"/>
  <c r="AE74" i="1"/>
  <c r="AD14" i="1"/>
  <c r="AE14" i="1" s="1"/>
  <c r="P13" i="1"/>
  <c r="AD13" i="1" s="1"/>
  <c r="AE31" i="1"/>
  <c r="AE57" i="1"/>
  <c r="AE76" i="1"/>
  <c r="AE35" i="1"/>
  <c r="AE65" i="1"/>
  <c r="AE17" i="1"/>
  <c r="AD45" i="1"/>
  <c r="AE45" i="1" s="1"/>
  <c r="P44" i="1"/>
  <c r="AD44" i="1" s="1"/>
  <c r="AE71" i="1"/>
  <c r="M44" i="1"/>
  <c r="M13" i="1"/>
  <c r="AE44" i="1" l="1"/>
  <c r="AE13" i="1"/>
  <c r="AE79" i="1" l="1"/>
  <c r="AP21" i="1"/>
  <c r="AP20" i="1"/>
  <c r="AP19" i="1"/>
  <c r="AP18" i="1"/>
  <c r="AP13" i="1"/>
  <c r="AE80" i="1" l="1"/>
  <c r="AB80" i="1" l="1"/>
</calcChain>
</file>

<file path=xl/comments1.xml><?xml version="1.0" encoding="utf-8"?>
<comments xmlns="http://schemas.openxmlformats.org/spreadsheetml/2006/main">
  <authors>
    <author>Ultimate</author>
  </authors>
  <commentList>
    <comment ref="E44" authorId="0" shapeId="0">
      <text>
        <r>
          <rPr>
            <sz val="12"/>
            <color indexed="81"/>
            <rFont val="Tahoma"/>
            <family val="2"/>
          </rPr>
          <t>Nilai rata-rata unsur tertimbang x nilai penimbang</t>
        </r>
      </text>
    </comment>
    <comment ref="H44" authorId="0" shapeId="0">
      <text>
        <r>
          <rPr>
            <sz val="12"/>
            <color indexed="81"/>
            <rFont val="Tahoma"/>
            <family val="2"/>
          </rPr>
          <t>Nilai rata-rata unsur tertimbang x nilai penimbang</t>
        </r>
      </text>
    </comment>
    <comment ref="K44" authorId="0" shapeId="0">
      <text>
        <r>
          <rPr>
            <sz val="12"/>
            <color indexed="81"/>
            <rFont val="Tahoma"/>
            <family val="2"/>
          </rPr>
          <t>Nilai rata-rata unsur tertimbang x nilai penimbang</t>
        </r>
      </text>
    </comment>
  </commentList>
</comments>
</file>

<file path=xl/sharedStrings.xml><?xml version="1.0" encoding="utf-8"?>
<sst xmlns="http://schemas.openxmlformats.org/spreadsheetml/2006/main" count="561" uniqueCount="208">
  <si>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</si>
  <si>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</si>
  <si>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</si>
  <si>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</si>
  <si>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</si>
  <si>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</si>
  <si>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</si>
  <si>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</si>
  <si>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</si>
  <si>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</si>
  <si>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</si>
  <si>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</si>
  <si>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</si>
  <si>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</si>
  <si>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</si>
  <si>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</si>
  <si>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</si>
  <si>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</si>
  <si>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</si>
  <si>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</si>
  <si>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</si>
  <si>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</si>
  <si>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</si>
  <si>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Meningkatnya Kinerja Keuangan dan Kinerja Birokrasi</t>
  </si>
  <si>
    <t>Rata-rata Capaian Kinerja (%)</t>
  </si>
  <si>
    <t>Predikat Kinerja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</si>
  <si>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</si>
  <si>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</si>
  <si>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</si>
  <si>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</si>
  <si>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</si>
  <si>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</si>
  <si>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</si>
  <si>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</si>
  <si>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</si>
  <si>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</si>
  <si>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</si>
  <si>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</si>
  <si>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</si>
  <si>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</si>
  <si>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</si>
  <si>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</si>
  <si>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</si>
  <si>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</si>
  <si>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</si>
  <si>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</si>
  <si>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</si>
  <si>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SEKRETARIAT DEWAN PERWAKILAN RAKYAT DAERAH</t>
  </si>
  <si>
    <t>Sekretariat Dewan Perwakilan Rakyat Daerah</t>
  </si>
  <si>
    <t>[kolom (12)(K) : kolom (7)(K)] x 100%</t>
  </si>
  <si>
    <t>[kolom (12)(Rp) : kolom (7)(Rp)] x 100%</t>
  </si>
  <si>
    <t>Realisasi dan Tingkat Capaian Kinerja dan Anggaran Renja Perangkat Daerah yang Dievaluasi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</si>
  <si>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</si>
  <si>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</si>
  <si>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</si>
  <si>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</si>
  <si>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</si>
  <si>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</si>
  <si>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Sekretaris DPRD</t>
  </si>
  <si>
    <t>Realisasi Capaian Kinerja Renstra Perangkat Daerah sampai dengan Renja Perangkat Daerah Tahun Lalu (2020)</t>
  </si>
  <si>
    <t>Target Kinerja dan Anggaran Renja Perangkat Daerah Tahun Berjalan (Tahun 2021) yang Dievaluasi</t>
  </si>
  <si>
    <t>Realisasi Kinerja dan Anggaran Renstra Perangkat Daerah s/d Tahun 2021</t>
  </si>
  <si>
    <t>Tingkat Capaian Kinerja dan Realisasi Anggaran Renstra Perangkat Daerah s/d Tahun 2021 (%)</t>
  </si>
  <si>
    <t>Program Penunjang Urusan Pemerintahan Daerah Kabupaten/Kota</t>
  </si>
  <si>
    <t>Perencanaan, Penganggaran, dan Evaluasi Kinerja Perangkat Daerah</t>
  </si>
  <si>
    <t>Penyusunan Dokumen Perencanaan Perangkat Daerah</t>
  </si>
  <si>
    <t>Evaluasi Kinerja Perangkat Daerah</t>
  </si>
  <si>
    <t>Administrasi Keuangan Perangkat Daerah</t>
  </si>
  <si>
    <t>Penyedian Gaji dan Tunjangan ASN</t>
  </si>
  <si>
    <t>Koordinasi dan Penyusunan Laporan Keuangan Akhir Tahun SKPD</t>
  </si>
  <si>
    <t>Koordinasi dan Penyusunan laporan Keuangan Bulanan/Triwulanan/Semesteran SKPD</t>
  </si>
  <si>
    <t>Penyusunan Pelaporan dan Analisis Prognosis Realisasi Anggaran</t>
  </si>
  <si>
    <t>Administrasi Umum Perangkat Daerah</t>
  </si>
  <si>
    <t>Penyediaan Peralatan dan Perlengkapan Kantor</t>
  </si>
  <si>
    <t>Penyediaan Bahan Logistik Kantor</t>
  </si>
  <si>
    <t>Penyediaan Barang Cetakan dan Penggandaan</t>
  </si>
  <si>
    <t>Penyelenggaraan Rapat Koordinasi dan Konsultasi SKPD</t>
  </si>
  <si>
    <t>Penyediaan Jasa Penunjang Urusan Pemerintahan Daerah</t>
  </si>
  <si>
    <t>Penyediaan Jasa Surat Menyurat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</si>
  <si>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</si>
  <si>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</si>
  <si>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</si>
  <si>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</si>
  <si>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Gedung Kantor dan Bangunan Lainnya</t>
  </si>
  <si>
    <t>Pemeliharaan/Rehabilitasi Sarana dan Prasarana Gedung Kantor atau Bangunan Lainnya</t>
  </si>
  <si>
    <t>Layanan Keuangan dan Kesejahteraan DPRD</t>
  </si>
  <si>
    <t>Penyelenggaraan Administrasi Keuangan DPRD</t>
  </si>
  <si>
    <t>Penyediaan Pakaian Dinas dan Atribut DPRD</t>
  </si>
  <si>
    <t>Pelaksanaan Medical Check Up DPRD</t>
  </si>
  <si>
    <t>Layanan Administrasi DPRD</t>
  </si>
  <si>
    <t>Penyelenggaraan Administrasi Keanggotaan DPRD</t>
  </si>
  <si>
    <t>Fasilitasi Fraksi DPRD</t>
  </si>
  <si>
    <t>Fasilitasi Rapat Koordinasi dan Konsultasi DPRD</t>
  </si>
  <si>
    <t>Penyediaan Kebutuhan Rumah Tangga DPRD</t>
  </si>
  <si>
    <t>Pembentukan Peraturan Daerah dan Peraturan DPRD</t>
  </si>
  <si>
    <t>Penyusunan dan Pembahasan Program Pembentukan Peraturan Daerah</t>
  </si>
  <si>
    <t>Pembahasan Rancangan Peraturan Daerah</t>
  </si>
  <si>
    <t>Penyelenggaraan Kajian Perundang-Undangan</t>
  </si>
  <si>
    <t>Fasilitasi Penyusunan Penjelasan/Keterangan dan/atau Naskah Akademik</t>
  </si>
  <si>
    <t>Pembahasan Kebijakan Anggaran</t>
  </si>
  <si>
    <t>Pembahasan KUA dan PPAS</t>
  </si>
  <si>
    <t>Pembahasan Perubahan KUA dan Perubahan PPAS</t>
  </si>
  <si>
    <t>Pembahasan APBD</t>
  </si>
  <si>
    <t>Pembahasan APBD Perubahan</t>
  </si>
  <si>
    <t>Pembahasan Laporan Semester</t>
  </si>
  <si>
    <t>Pembahasan Pertanggungjawaban APBD</t>
  </si>
  <si>
    <t>Pengawasan Penyelenggaraan Pemerintahan</t>
  </si>
  <si>
    <t>Pengawasan Urusan Pemerintahan bidang Pemerintahan dan Hukum</t>
  </si>
  <si>
    <t>Pengawasan Urusan Pemerintahan Bidang Infrastruktur</t>
  </si>
  <si>
    <t>Pengawasan Urusan Pemerintahan Bidang Kesejahteraan Rakyat</t>
  </si>
  <si>
    <t>Pengawasan Urusan Pemerintahan Bidang Perekonomian</t>
  </si>
  <si>
    <t>Pengawasan Urusan Pemerintahan Bidang Sumber Daya Alam</t>
  </si>
  <si>
    <t>Pengawasan Tindak Lanjut Hasil Pemeriksaan Laporan Keuangan oleh Badan Pemeriksa Keuangan</t>
  </si>
  <si>
    <t>Pengawasan Penggunaan Anggaran</t>
  </si>
  <si>
    <t>Peningkatan Kapasitas DPRD</t>
  </si>
  <si>
    <t>Publikasi dan Dokumentasi Dewan</t>
  </si>
  <si>
    <t>Penyediaan Kelompok Pakar dan Tim Ahli</t>
  </si>
  <si>
    <t>Penyelenggaraan Hubungan Masyarakat</t>
  </si>
  <si>
    <t>Penyusunan Program Kerja DPRD</t>
  </si>
  <si>
    <t>Penyerapan dan Penghimpunan Aspirasi Masyarakat</t>
  </si>
  <si>
    <t>Kunjungan Kerja dalam Daerah</t>
  </si>
  <si>
    <t>Pelaksanaan Reses</t>
  </si>
  <si>
    <t>Pembahasan Kerja Sama Daerah</t>
  </si>
  <si>
    <t>Fasilitasi, Verifikasi, dan Koordinasi Persetujuan Kerjasama Daerah</t>
  </si>
  <si>
    <t>Fasilitasi Tugas DPRD</t>
  </si>
  <si>
    <t>Koordinasi dan Konsultasi Pelaksanaan Tugas DPRD</t>
  </si>
  <si>
    <t>Fasilitasi Tugas Pimpinan DPRD</t>
  </si>
  <si>
    <t>Dokumen Perencanaan yang Memenuhi Aspek Kualitas</t>
  </si>
  <si>
    <t>Dokumen Evaluasi yang Memenuhi Aspek Kualitas</t>
  </si>
  <si>
    <t>Program Dukungan Pelaksanaan Tugas Dan Fungsi DPRD</t>
  </si>
  <si>
    <t>Dok</t>
  </si>
  <si>
    <t>Bln</t>
  </si>
  <si>
    <t>Lap</t>
  </si>
  <si>
    <t>%</t>
  </si>
  <si>
    <t>Tingkat kepuasan pelayanan</t>
  </si>
  <si>
    <t>Pendalaman Tugas DPRD</t>
  </si>
  <si>
    <t>Tersedianya  Dokumen Perencanaan Penganggaran dan Evaluasi Kinerja Perangkat Daerah</t>
  </si>
  <si>
    <t>Persentase cakupan pelayanan  Administrasi  DPRD</t>
  </si>
  <si>
    <t>persentase Pelayanan Fasilitasi Fraksi DPRD</t>
  </si>
  <si>
    <t>pelayanan Fasilitasi Rapat Koordinasi dan Konsultasi DPRD</t>
  </si>
  <si>
    <t xml:space="preserve">persentase pelayanan kebutuhan Rumah Tangga  DPRD </t>
  </si>
  <si>
    <t>Persentase pelayanan fasilitasi tugas, fungsi, dan wewenang DPRD sesuai standar</t>
  </si>
  <si>
    <t>Persentase cakupan pelayanan pembentukan Peraturan Daerah dan peraturan DPRD sesuai standar</t>
  </si>
  <si>
    <t>Pelayanan penyusunan dan pembahasan program pembentukan peraturan daerah sesuai standar</t>
  </si>
  <si>
    <t>Pelayanan Pembahasan  Rancangan Peraturan Daerahsesuai standar</t>
  </si>
  <si>
    <t>Pelayanan Penyelenggaraan Kajian Perundang-Undangan</t>
  </si>
  <si>
    <t>Persentase Cakupan Pelayanan Pengawasan Penyelenggaraan Pemerintahan</t>
  </si>
  <si>
    <t>Pelayanan Pengawasan Urusan Pemerintahan bidang Pemerintahan dan Hukum</t>
  </si>
  <si>
    <t>Pelayanan  Pengawasan Urusan Pemerintahan Bidang Infrastruktur</t>
  </si>
  <si>
    <t>Pelayanan  Pengawasan Urusan Pemerintahan Bidang Kesejahteraan Rakyat</t>
  </si>
  <si>
    <t>Pelayanan Pengawasan Tindak  Lanjut  Hasil  Pemeriksaan Laporan Keuangan Oleh Badan Pemeriksa Keuangan</t>
  </si>
  <si>
    <t>Pelayanan  Pengawasan Penggunaan Anggaran</t>
  </si>
  <si>
    <t>Persentase cakupan pelayanan Peningkatan Kapasitas DPRD</t>
  </si>
  <si>
    <t xml:space="preserve">Pelayanan Bimbingan Teknis DPRD </t>
  </si>
  <si>
    <t>Persentase Pelayanan Penyusunan Program Kerja DPRD sesuai standar</t>
  </si>
  <si>
    <t>Pelayanan Penyelenggaraan Hubungan Masyarakat sesuai standar</t>
  </si>
  <si>
    <t>Pelayanan Penyediaan Kelompok Pakar dan Tim Ahli sesuai standar</t>
  </si>
  <si>
    <t>Pelayanan Pengawasan Urusan Pemerintahan Bidang Sumber Daya Alam sesuai standar</t>
  </si>
  <si>
    <t xml:space="preserve">Pelayanan Failitasi , verifikasi dan kordinasi Persetujuan Kerjasama Daerah    </t>
  </si>
  <si>
    <t>Pelayanan administrasi Umum sesuai standar</t>
  </si>
  <si>
    <t>Jumlah Penyediaan Jasa Surat Menyurat</t>
  </si>
  <si>
    <t>Jumlah Penyediaan   Jasa   Komunikasi,   Sumber   Daya   Air dan Listrik</t>
  </si>
  <si>
    <t>Jumlah Penyediaan  Jasa Pemeliharaan, Biaya Pemeliharaan,  Pajak  dan   Perizinan  Kendaraan Dinas Operasional atau Lapangan</t>
  </si>
  <si>
    <t>Jumlah Pemeliharaan/Rehabilitasi    Gedung    Kantor    dan Bangunan Lainnya</t>
  </si>
  <si>
    <t>Jumlah Pemeliharaan/Rehabilitasi  Sarana  dan  Prasarana Gedung Kantor atau Bangunan Lainnya</t>
  </si>
  <si>
    <t>persentase pelayanan Penyelenggaraan administrasi keuangan DPRD</t>
  </si>
  <si>
    <t>persentase Pelayanan Penyediaan Pakaian Dinas dan Atribut DPRD</t>
  </si>
  <si>
    <t>persentase Pelayanan Pelaksanaan Medical Check Up DPRD</t>
  </si>
  <si>
    <t>Pelayanan administrasi keuangan sesuai standar</t>
  </si>
  <si>
    <t>Jumlah Laporan   Keuangan Bulanan/Triwulanan/Semesteran SKPD</t>
  </si>
  <si>
    <t>Jumlah Laporan Prognosis Realisasi Anggaran</t>
  </si>
  <si>
    <t>Jumlah Penyediaan Bahan Logistik Kantor</t>
  </si>
  <si>
    <t>Jumlah Penyediaan Barang Cetakan dan Penggandaan</t>
  </si>
  <si>
    <t>Jumlah Penyelenggaraan  Rapat  Koordinasi  dan  Konsultasi SKPD</t>
  </si>
  <si>
    <t xml:space="preserve">Faktor pendorong keberhasilan pencapaian:  </t>
  </si>
  <si>
    <t>Dalam pencapaian target kinerja pada Sekretariat DPRD Pada Triwulan II tahun 2021 di dukung karena adanya ketersediaan dana dan program kerja Pimpinan dan Anggota DPRD selama 1 tahun.</t>
  </si>
  <si>
    <t xml:space="preserve">1. Kurangnya SDM </t>
  </si>
  <si>
    <t>2. Kondisi Sarana prasarana yang tersedia banyak mengalami kerusakan sehingga tidak berfungsi sebagaimana fungsinya.</t>
  </si>
  <si>
    <t>3. Adanya kebijakan yang disebabkan adanya Pandemi Covid-19 menyebabkan pelaksanaan kegiatan tidak dapat terlaksana secara maximal.</t>
  </si>
  <si>
    <t>Melaksanakan pemeliharaan terhadap sarana dan Prasarana yang rusak serta menganggarkan pada Perubahan Belanja Peralatan dan Mesin yang sudah tidak layak</t>
  </si>
  <si>
    <t>Tetap melaksanakan kegiatan sesuai jadwal berdasarkan Ketentuan yang berlaku</t>
  </si>
  <si>
    <t>Mengoptimalkan pemanfaatan  Sumber Daya Manuasia yang ada, dan menganggarkan  jasa  tenaga teknis untuk membantu pelaksanaan tugas</t>
  </si>
  <si>
    <t>Merencanakan penyediaan anggaran untuk  jasa  tenaga teknis untuk membantu pelaksanaan tugas</t>
  </si>
  <si>
    <t xml:space="preserve">Merencanakan Penyediaan anggaran untuk  belanja Peralatan Kantor </t>
  </si>
  <si>
    <t>Pelayanan publikasi dan dokumentasi Dewan sesuai standar</t>
  </si>
  <si>
    <t>Pelayanan Pengawasan Urusan Pemerintahan Bidang Perekonomian sesuai standar</t>
  </si>
  <si>
    <t xml:space="preserve"> Pelayanan Pembahasan Pertanggungjawaban APBD  sesuai standar</t>
  </si>
  <si>
    <t>Pelayanan Pembahasan Laporan Semester sesuai standar</t>
  </si>
  <si>
    <t xml:space="preserve"> Pelayanan Pembahasan KUA dan PPAS sesuai standar</t>
  </si>
  <si>
    <t>Pelayanan Fasilitasi Penyusunan Naskah Akademik sesuai standar</t>
  </si>
  <si>
    <t>Persentase pelayanan Pelaksanaan Penyelenggaraan administrasi  DPRD sesuai standar</t>
  </si>
  <si>
    <t xml:space="preserve"> Pelayanan Pembahasan APBD  sesuai standar</t>
  </si>
  <si>
    <t>Pelayanan Pembahasan APBD Perubahan sesuai standar</t>
  </si>
  <si>
    <t>Pelayanan Pelaksanaan Reses sesuai standar</t>
  </si>
  <si>
    <t>Pelayanan Kunjungan Kerja dalam Daerah sesuai standar</t>
  </si>
  <si>
    <t>Pelayanan Fasilitasi Koordinasi dan Konsultasi Pelaksanaan Tugas DPRD sesuai standar</t>
  </si>
  <si>
    <t>Pelayanan Fasilitasi Tugas Pimpinan DPRD sesuai standar</t>
  </si>
  <si>
    <t>Persentase Cakupan Pelayanan Penyerapan dan Penghimpunan Aspirasi Masyarakat sesuai standar</t>
  </si>
  <si>
    <t>Persentase cakupan pelayanan Pembahasan Kerjasama Daerah sesuai standar</t>
  </si>
  <si>
    <t>Persentase Cakupan Pelayanan Fasilitasi Tugas Pimpinan DPRD sesuai standar</t>
  </si>
  <si>
    <t>Persentase cakupan pelayanan Pembahasan Kebijakan Anggaran sesuai standar</t>
  </si>
  <si>
    <t>Persentase cakupan pelayanan keuangan dan kesejahteraan DPRD sesuai standar</t>
  </si>
  <si>
    <t xml:space="preserve">Jumlah Penyediaan Peralatan dan Perlengkapan Kantor </t>
  </si>
  <si>
    <t>Org</t>
  </si>
  <si>
    <t xml:space="preserve">Jumlah Dokumen Laporan Keuangan akhir Tahun  </t>
  </si>
  <si>
    <t xml:space="preserve">Pelayanan Pembahasan KUA dan PPAS Perubahan </t>
  </si>
  <si>
    <t>PERIODE PELAKSANAAN TRIWULAN IV TAHUN 2021</t>
  </si>
  <si>
    <t>Kandangan,         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</si>
</sst>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2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6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6" fontId="8" fillId="0" borderId="0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2" fillId="0" borderId="16" xfId="2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4" fontId="8" fillId="0" borderId="2" xfId="0" applyNumberFormat="1" applyFont="1" applyFill="1" applyBorder="1" applyAlignment="1">
      <alignment vertical="top"/>
    </xf>
    <xf numFmtId="166" fontId="6" fillId="0" borderId="2" xfId="1" quotePrefix="1" applyNumberFormat="1" applyFont="1" applyFill="1" applyBorder="1" applyAlignment="1">
      <alignment vertical="top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164" fontId="6" fillId="0" borderId="2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center" vertical="top" wrapText="1"/>
    </xf>
    <xf numFmtId="9" fontId="8" fillId="0" borderId="6" xfId="0" applyNumberFormat="1" applyFont="1" applyFill="1" applyBorder="1" applyAlignment="1">
      <alignment horizontal="center" vertical="top"/>
    </xf>
    <xf numFmtId="166" fontId="8" fillId="0" borderId="6" xfId="1" quotePrefix="1" applyNumberFormat="1" applyFont="1" applyFill="1" applyBorder="1" applyAlignment="1">
      <alignment vertical="top"/>
    </xf>
    <xf numFmtId="1" fontId="8" fillId="0" borderId="6" xfId="0" applyNumberFormat="1" applyFont="1" applyFill="1" applyBorder="1" applyAlignment="1">
      <alignment horizontal="center" vertical="top"/>
    </xf>
    <xf numFmtId="2" fontId="8" fillId="0" borderId="6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/>
    </xf>
    <xf numFmtId="164" fontId="8" fillId="0" borderId="6" xfId="0" applyNumberFormat="1" applyFont="1" applyFill="1" applyBorder="1" applyAlignment="1">
      <alignment vertical="top"/>
    </xf>
    <xf numFmtId="0" fontId="6" fillId="0" borderId="2" xfId="2" applyNumberFormat="1" applyFont="1" applyBorder="1" applyAlignment="1">
      <alignment horizontal="left" vertical="top" wrapText="1"/>
    </xf>
    <xf numFmtId="0" fontId="8" fillId="0" borderId="2" xfId="2" applyNumberFormat="1" applyFont="1" applyBorder="1" applyAlignment="1">
      <alignment horizontal="left" vertical="top" wrapText="1"/>
    </xf>
    <xf numFmtId="0" fontId="14" fillId="0" borderId="16" xfId="0" applyNumberFormat="1" applyFont="1" applyFill="1" applyBorder="1" applyAlignment="1">
      <alignment horizontal="left" vertical="top" wrapText="1"/>
    </xf>
    <xf numFmtId="0" fontId="15" fillId="0" borderId="17" xfId="0" applyNumberFormat="1" applyFont="1" applyFill="1" applyBorder="1" applyAlignment="1">
      <alignment horizontal="left" vertical="top" wrapText="1"/>
    </xf>
    <xf numFmtId="0" fontId="14" fillId="0" borderId="18" xfId="0" applyNumberFormat="1" applyFont="1" applyFill="1" applyBorder="1" applyAlignment="1">
      <alignment horizontal="left" vertical="top" wrapText="1"/>
    </xf>
    <xf numFmtId="0" fontId="6" fillId="0" borderId="7" xfId="2" applyNumberFormat="1" applyFont="1" applyBorder="1" applyAlignment="1">
      <alignment vertical="top" wrapText="1"/>
    </xf>
    <xf numFmtId="0" fontId="15" fillId="0" borderId="2" xfId="0" applyNumberFormat="1" applyFont="1" applyFill="1" applyBorder="1" applyAlignment="1">
      <alignment horizontal="left" vertical="top" wrapText="1"/>
    </xf>
    <xf numFmtId="0" fontId="14" fillId="0" borderId="2" xfId="0" applyNumberFormat="1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top" wrapText="1"/>
    </xf>
    <xf numFmtId="0" fontId="14" fillId="0" borderId="19" xfId="0" applyNumberFormat="1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center" vertical="top" wrapText="1"/>
    </xf>
    <xf numFmtId="9" fontId="6" fillId="0" borderId="15" xfId="0" applyNumberFormat="1" applyFont="1" applyFill="1" applyBorder="1" applyAlignment="1">
      <alignment horizontal="center" vertical="top"/>
    </xf>
    <xf numFmtId="1" fontId="6" fillId="0" borderId="15" xfId="0" applyNumberFormat="1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/>
    </xf>
    <xf numFmtId="9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9" fontId="8" fillId="0" borderId="2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 wrapText="1"/>
    </xf>
    <xf numFmtId="0" fontId="16" fillId="0" borderId="11" xfId="0" applyFont="1" applyFill="1" applyBorder="1"/>
    <xf numFmtId="0" fontId="16" fillId="0" borderId="0" xfId="0" applyFont="1" applyFill="1"/>
    <xf numFmtId="166" fontId="6" fillId="0" borderId="0" xfId="1" quotePrefix="1" applyNumberFormat="1" applyFont="1" applyFill="1" applyBorder="1" applyAlignment="1">
      <alignment vertical="top"/>
    </xf>
    <xf numFmtId="0" fontId="8" fillId="0" borderId="11" xfId="0" applyFont="1" applyFill="1" applyBorder="1" applyAlignment="1">
      <alignment horizontal="center" vertical="top"/>
    </xf>
    <xf numFmtId="0" fontId="8" fillId="0" borderId="11" xfId="0" applyFont="1" applyFill="1" applyBorder="1" applyAlignment="1">
      <alignment horizontal="left" vertical="top" wrapText="1"/>
    </xf>
    <xf numFmtId="0" fontId="8" fillId="0" borderId="2" xfId="0" quotePrefix="1" applyFont="1" applyFill="1" applyBorder="1"/>
    <xf numFmtId="0" fontId="4" fillId="0" borderId="11" xfId="0" applyFont="1" applyBorder="1"/>
    <xf numFmtId="0" fontId="4" fillId="0" borderId="0" xfId="0" applyFont="1"/>
    <xf numFmtId="0" fontId="8" fillId="4" borderId="12" xfId="0" applyFont="1" applyFill="1" applyBorder="1" applyAlignment="1">
      <alignment vertical="top"/>
    </xf>
    <xf numFmtId="0" fontId="8" fillId="4" borderId="13" xfId="0" applyFont="1" applyFill="1" applyBorder="1" applyAlignment="1">
      <alignment vertical="top"/>
    </xf>
    <xf numFmtId="0" fontId="8" fillId="4" borderId="13" xfId="0" applyFont="1" applyFill="1" applyBorder="1" applyAlignment="1">
      <alignment horizontal="center" vertical="top"/>
    </xf>
    <xf numFmtId="0" fontId="8" fillId="4" borderId="12" xfId="0" applyFont="1" applyFill="1" applyBorder="1" applyAlignment="1">
      <alignment horizontal="left" vertical="top"/>
    </xf>
    <xf numFmtId="0" fontId="8" fillId="4" borderId="13" xfId="0" applyFont="1" applyFill="1" applyBorder="1" applyAlignment="1">
      <alignment horizontal="left" vertical="top"/>
    </xf>
    <xf numFmtId="0" fontId="8" fillId="4" borderId="14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horizontal="left" vertical="top"/>
    </xf>
    <xf numFmtId="0" fontId="8" fillId="4" borderId="13" xfId="0" applyFont="1" applyFill="1" applyBorder="1" applyAlignment="1">
      <alignment horizontal="left" vertical="top"/>
    </xf>
    <xf numFmtId="0" fontId="8" fillId="4" borderId="14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horizontal="left" vertical="top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109"/>
  <sheetViews>
    <sheetView tabSelected="1" showRuler="0" view="pageBreakPreview" topLeftCell="A28" zoomScale="70" zoomScaleNormal="40" zoomScaleSheetLayoutView="70" zoomScalePageLayoutView="55" workbookViewId="0">
      <selection activeCell="Z105" sqref="Z105:AE105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9.42578125" style="2" customWidth="1"/>
    <col min="4" max="4" width="27.7109375" style="2" customWidth="1"/>
    <col min="5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24.5703125" style="2" customWidth="1"/>
    <col min="14" max="14" width="7.7109375" style="2" customWidth="1"/>
    <col min="15" max="15" width="8" style="2" customWidth="1"/>
    <col min="16" max="16" width="19.42578125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8" style="2" customWidth="1"/>
    <col min="27" max="27" width="5.5703125" style="4" customWidth="1"/>
    <col min="28" max="28" width="8" style="2" customWidth="1"/>
    <col min="29" max="29" width="5.5703125" style="4" customWidth="1"/>
    <col min="30" max="30" width="18.28515625" style="2" customWidth="1"/>
    <col min="31" max="31" width="8" style="2" customWidth="1"/>
    <col min="32" max="32" width="5.5703125" style="4" customWidth="1"/>
    <col min="33" max="33" width="8" style="2" customWidth="1"/>
    <col min="34" max="34" width="5.5703125" style="4" customWidth="1"/>
    <col min="35" max="35" width="18.85546875" style="2" customWidth="1"/>
    <col min="36" max="36" width="8" style="2" customWidth="1"/>
    <col min="37" max="37" width="5.5703125" style="4" customWidth="1"/>
    <col min="38" max="38" width="10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"/>
    </row>
    <row r="2" spans="1:45" ht="23.25" x14ac:dyDescent="0.35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3"/>
    </row>
    <row r="3" spans="1:45" ht="23.25" x14ac:dyDescent="0.35">
      <c r="A3" s="106" t="s">
        <v>47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3"/>
    </row>
    <row r="4" spans="1:45" ht="23.25" x14ac:dyDescent="0.35">
      <c r="A4" s="107" t="s">
        <v>206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"/>
    </row>
    <row r="5" spans="1:45" ht="18" x14ac:dyDescent="0.2">
      <c r="A5" s="108" t="s">
        <v>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</row>
    <row r="6" spans="1:45" ht="18" x14ac:dyDescent="0.25">
      <c r="A6" s="109" t="s">
        <v>47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</row>
    <row r="7" spans="1:45" ht="81" customHeight="1" x14ac:dyDescent="0.2">
      <c r="A7" s="113" t="s">
        <v>3</v>
      </c>
      <c r="B7" s="113" t="s">
        <v>4</v>
      </c>
      <c r="C7" s="114" t="s">
        <v>5</v>
      </c>
      <c r="D7" s="114" t="s">
        <v>6</v>
      </c>
      <c r="E7" s="97" t="s">
        <v>7</v>
      </c>
      <c r="F7" s="98"/>
      <c r="G7" s="99"/>
      <c r="H7" s="97" t="s">
        <v>59</v>
      </c>
      <c r="I7" s="98"/>
      <c r="J7" s="99"/>
      <c r="K7" s="97" t="s">
        <v>60</v>
      </c>
      <c r="L7" s="98"/>
      <c r="M7" s="98"/>
      <c r="N7" s="97" t="s">
        <v>8</v>
      </c>
      <c r="O7" s="98"/>
      <c r="P7" s="98"/>
      <c r="Q7" s="98"/>
      <c r="R7" s="98"/>
      <c r="S7" s="98"/>
      <c r="T7" s="98"/>
      <c r="U7" s="98"/>
      <c r="V7" s="98"/>
      <c r="W7" s="98"/>
      <c r="X7" s="98"/>
      <c r="Y7" s="99"/>
      <c r="Z7" s="97" t="s">
        <v>51</v>
      </c>
      <c r="AA7" s="98"/>
      <c r="AB7" s="98"/>
      <c r="AC7" s="98"/>
      <c r="AD7" s="98"/>
      <c r="AE7" s="98"/>
      <c r="AF7" s="99"/>
      <c r="AG7" s="97" t="s">
        <v>61</v>
      </c>
      <c r="AH7" s="98"/>
      <c r="AI7" s="99"/>
      <c r="AJ7" s="97" t="s">
        <v>62</v>
      </c>
      <c r="AK7" s="98"/>
      <c r="AL7" s="98"/>
      <c r="AM7" s="115" t="s">
        <v>9</v>
      </c>
      <c r="AO7" s="4"/>
      <c r="AP7" s="4"/>
      <c r="AQ7" s="4"/>
      <c r="AR7" s="4"/>
      <c r="AS7" s="4"/>
    </row>
    <row r="8" spans="1:45" ht="18" customHeight="1" x14ac:dyDescent="0.2">
      <c r="A8" s="113"/>
      <c r="B8" s="113"/>
      <c r="C8" s="114"/>
      <c r="D8" s="114"/>
      <c r="E8" s="100"/>
      <c r="F8" s="101"/>
      <c r="G8" s="102"/>
      <c r="H8" s="100"/>
      <c r="I8" s="101"/>
      <c r="J8" s="102"/>
      <c r="K8" s="103"/>
      <c r="L8" s="104"/>
      <c r="M8" s="104"/>
      <c r="N8" s="103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5"/>
      <c r="Z8" s="103"/>
      <c r="AA8" s="104"/>
      <c r="AB8" s="104"/>
      <c r="AC8" s="104"/>
      <c r="AD8" s="104"/>
      <c r="AE8" s="104"/>
      <c r="AF8" s="105"/>
      <c r="AG8" s="103"/>
      <c r="AH8" s="104"/>
      <c r="AI8" s="105"/>
      <c r="AJ8" s="103"/>
      <c r="AK8" s="104"/>
      <c r="AL8" s="104"/>
      <c r="AM8" s="116"/>
    </row>
    <row r="9" spans="1:45" ht="15.75" customHeight="1" x14ac:dyDescent="0.2">
      <c r="A9" s="113"/>
      <c r="B9" s="113"/>
      <c r="C9" s="114"/>
      <c r="D9" s="114"/>
      <c r="E9" s="103"/>
      <c r="F9" s="104"/>
      <c r="G9" s="105"/>
      <c r="H9" s="103"/>
      <c r="I9" s="104"/>
      <c r="J9" s="105"/>
      <c r="K9" s="117">
        <v>2021</v>
      </c>
      <c r="L9" s="118"/>
      <c r="M9" s="119"/>
      <c r="N9" s="110" t="s">
        <v>10</v>
      </c>
      <c r="O9" s="111"/>
      <c r="P9" s="112"/>
      <c r="Q9" s="110" t="s">
        <v>11</v>
      </c>
      <c r="R9" s="111"/>
      <c r="S9" s="112"/>
      <c r="T9" s="110" t="s">
        <v>12</v>
      </c>
      <c r="U9" s="111"/>
      <c r="V9" s="112"/>
      <c r="W9" s="110" t="s">
        <v>13</v>
      </c>
      <c r="X9" s="111"/>
      <c r="Y9" s="112"/>
      <c r="Z9" s="110">
        <v>2021</v>
      </c>
      <c r="AA9" s="111"/>
      <c r="AB9" s="111"/>
      <c r="AC9" s="111"/>
      <c r="AD9" s="111"/>
      <c r="AE9" s="111"/>
      <c r="AF9" s="112"/>
      <c r="AG9" s="110">
        <v>2021</v>
      </c>
      <c r="AH9" s="111"/>
      <c r="AI9" s="112"/>
      <c r="AJ9" s="110">
        <v>2021</v>
      </c>
      <c r="AK9" s="111"/>
      <c r="AL9" s="112"/>
      <c r="AM9" s="5"/>
    </row>
    <row r="10" spans="1:45" s="7" customFormat="1" ht="15.75" x14ac:dyDescent="0.25">
      <c r="A10" s="130">
        <v>1</v>
      </c>
      <c r="B10" s="130">
        <v>2</v>
      </c>
      <c r="C10" s="130">
        <v>3</v>
      </c>
      <c r="D10" s="130">
        <v>4</v>
      </c>
      <c r="E10" s="122">
        <v>5</v>
      </c>
      <c r="F10" s="136"/>
      <c r="G10" s="123"/>
      <c r="H10" s="122">
        <v>6</v>
      </c>
      <c r="I10" s="136"/>
      <c r="J10" s="123"/>
      <c r="K10" s="127">
        <v>7</v>
      </c>
      <c r="L10" s="128"/>
      <c r="M10" s="129"/>
      <c r="N10" s="127">
        <v>8</v>
      </c>
      <c r="O10" s="128"/>
      <c r="P10" s="129"/>
      <c r="Q10" s="127">
        <v>9</v>
      </c>
      <c r="R10" s="128"/>
      <c r="S10" s="129"/>
      <c r="T10" s="127">
        <v>10</v>
      </c>
      <c r="U10" s="128"/>
      <c r="V10" s="129"/>
      <c r="W10" s="127">
        <v>11</v>
      </c>
      <c r="X10" s="128"/>
      <c r="Y10" s="129"/>
      <c r="Z10" s="124">
        <v>12</v>
      </c>
      <c r="AA10" s="125"/>
      <c r="AB10" s="125"/>
      <c r="AC10" s="125"/>
      <c r="AD10" s="125"/>
      <c r="AE10" s="125"/>
      <c r="AF10" s="126"/>
      <c r="AG10" s="124">
        <v>13</v>
      </c>
      <c r="AH10" s="125"/>
      <c r="AI10" s="126"/>
      <c r="AJ10" s="124">
        <v>14</v>
      </c>
      <c r="AK10" s="125"/>
      <c r="AL10" s="126"/>
      <c r="AM10" s="6">
        <v>15</v>
      </c>
    </row>
    <row r="11" spans="1:45" s="7" customFormat="1" ht="87" customHeight="1" x14ac:dyDescent="0.2">
      <c r="A11" s="134"/>
      <c r="B11" s="134"/>
      <c r="C11" s="134"/>
      <c r="D11" s="134"/>
      <c r="E11" s="132" t="s">
        <v>14</v>
      </c>
      <c r="F11" s="133"/>
      <c r="G11" s="131" t="s">
        <v>15</v>
      </c>
      <c r="H11" s="132" t="s">
        <v>14</v>
      </c>
      <c r="I11" s="133"/>
      <c r="J11" s="131" t="s">
        <v>15</v>
      </c>
      <c r="K11" s="132" t="s">
        <v>14</v>
      </c>
      <c r="L11" s="133"/>
      <c r="M11" s="130" t="s">
        <v>15</v>
      </c>
      <c r="N11" s="132" t="s">
        <v>14</v>
      </c>
      <c r="O11" s="133"/>
      <c r="P11" s="130" t="s">
        <v>15</v>
      </c>
      <c r="Q11" s="132" t="s">
        <v>14</v>
      </c>
      <c r="R11" s="133"/>
      <c r="S11" s="130" t="s">
        <v>15</v>
      </c>
      <c r="T11" s="132" t="s">
        <v>14</v>
      </c>
      <c r="U11" s="133"/>
      <c r="V11" s="130" t="s">
        <v>15</v>
      </c>
      <c r="W11" s="132" t="s">
        <v>14</v>
      </c>
      <c r="X11" s="133"/>
      <c r="Y11" s="130" t="s">
        <v>15</v>
      </c>
      <c r="Z11" s="122" t="s">
        <v>16</v>
      </c>
      <c r="AA11" s="123"/>
      <c r="AB11" s="122" t="s">
        <v>49</v>
      </c>
      <c r="AC11" s="123"/>
      <c r="AD11" s="8" t="s">
        <v>17</v>
      </c>
      <c r="AE11" s="122" t="s">
        <v>50</v>
      </c>
      <c r="AF11" s="123"/>
      <c r="AG11" s="122" t="s">
        <v>18</v>
      </c>
      <c r="AH11" s="123"/>
      <c r="AI11" s="8" t="s">
        <v>19</v>
      </c>
      <c r="AJ11" s="122" t="s">
        <v>20</v>
      </c>
      <c r="AK11" s="123"/>
      <c r="AL11" s="8" t="s">
        <v>21</v>
      </c>
      <c r="AM11" s="9"/>
    </row>
    <row r="12" spans="1:45" s="7" customFormat="1" ht="15.75" x14ac:dyDescent="0.2">
      <c r="A12" s="131"/>
      <c r="B12" s="131"/>
      <c r="C12" s="131"/>
      <c r="D12" s="131"/>
      <c r="E12" s="120"/>
      <c r="F12" s="121"/>
      <c r="G12" s="135"/>
      <c r="H12" s="120"/>
      <c r="I12" s="121"/>
      <c r="J12" s="135"/>
      <c r="K12" s="120"/>
      <c r="L12" s="121"/>
      <c r="M12" s="131"/>
      <c r="N12" s="120"/>
      <c r="O12" s="121"/>
      <c r="P12" s="131"/>
      <c r="Q12" s="120"/>
      <c r="R12" s="121"/>
      <c r="S12" s="131"/>
      <c r="T12" s="120"/>
      <c r="U12" s="121"/>
      <c r="V12" s="131"/>
      <c r="W12" s="120"/>
      <c r="X12" s="121"/>
      <c r="Y12" s="131"/>
      <c r="Z12" s="120" t="s">
        <v>14</v>
      </c>
      <c r="AA12" s="121"/>
      <c r="AB12" s="120" t="s">
        <v>14</v>
      </c>
      <c r="AC12" s="121"/>
      <c r="AD12" s="10" t="s">
        <v>15</v>
      </c>
      <c r="AE12" s="120" t="s">
        <v>15</v>
      </c>
      <c r="AF12" s="121"/>
      <c r="AG12" s="120" t="s">
        <v>14</v>
      </c>
      <c r="AH12" s="121"/>
      <c r="AI12" s="10" t="s">
        <v>15</v>
      </c>
      <c r="AJ12" s="120" t="s">
        <v>14</v>
      </c>
      <c r="AK12" s="121"/>
      <c r="AL12" s="10" t="s">
        <v>15</v>
      </c>
      <c r="AM12" s="54"/>
    </row>
    <row r="13" spans="1:45" ht="118.5" customHeight="1" x14ac:dyDescent="0.2">
      <c r="A13" s="37">
        <v>1</v>
      </c>
      <c r="B13" s="13" t="s">
        <v>22</v>
      </c>
      <c r="C13" s="14" t="s">
        <v>63</v>
      </c>
      <c r="D13" s="80" t="s">
        <v>134</v>
      </c>
      <c r="E13" s="35">
        <v>100</v>
      </c>
      <c r="F13" s="36" t="s">
        <v>133</v>
      </c>
      <c r="G13" s="33">
        <f>G14+G17+G22+G27+G31+G35+G39</f>
        <v>75028616734</v>
      </c>
      <c r="H13" s="35">
        <v>100</v>
      </c>
      <c r="I13" s="36" t="s">
        <v>133</v>
      </c>
      <c r="J13" s="88"/>
      <c r="K13" s="35">
        <v>100</v>
      </c>
      <c r="L13" s="36" t="s">
        <v>133</v>
      </c>
      <c r="M13" s="33">
        <f>M14+M17+M22+M27+M31+M35+M39</f>
        <v>26319586034</v>
      </c>
      <c r="N13" s="35">
        <v>25</v>
      </c>
      <c r="O13" s="36" t="str">
        <f>L13</f>
        <v>%</v>
      </c>
      <c r="P13" s="33">
        <f>P14+P17+P22+P27+P31+P35+P39</f>
        <v>5996050301</v>
      </c>
      <c r="Q13" s="39">
        <v>25</v>
      </c>
      <c r="R13" s="36" t="str">
        <f>L13</f>
        <v>%</v>
      </c>
      <c r="S13" s="33">
        <f>S14+S17+S22+S27+S31+S35+S39</f>
        <v>6749804675</v>
      </c>
      <c r="T13" s="39">
        <v>25</v>
      </c>
      <c r="U13" s="36" t="str">
        <f>L13</f>
        <v>%</v>
      </c>
      <c r="V13" s="33">
        <f>V14+V17+V22+V27+V31+V35+V39</f>
        <v>5109167932</v>
      </c>
      <c r="W13" s="39">
        <v>25</v>
      </c>
      <c r="X13" s="36" t="str">
        <f>O13</f>
        <v>%</v>
      </c>
      <c r="Y13" s="33">
        <f>Y14+Y17+Y22+Y27+Y31+Y35+Y39</f>
        <v>4898463098</v>
      </c>
      <c r="Z13" s="42">
        <f>SUM(N13,Q13,T13,W13)</f>
        <v>100</v>
      </c>
      <c r="AA13" s="78" t="str">
        <f>L13</f>
        <v>%</v>
      </c>
      <c r="AB13" s="42">
        <f>Z13/K13*100</f>
        <v>100</v>
      </c>
      <c r="AC13" s="44" t="s">
        <v>133</v>
      </c>
      <c r="AD13" s="43">
        <f>SUM(P13,S13,V13,Y13)</f>
        <v>22753486006</v>
      </c>
      <c r="AE13" s="42">
        <f>AD13/M13*100</f>
        <v>86.45077463075117</v>
      </c>
      <c r="AF13" s="44" t="s">
        <v>133</v>
      </c>
      <c r="AG13" s="42"/>
      <c r="AH13" s="36"/>
      <c r="AI13" s="43"/>
      <c r="AJ13" s="42"/>
      <c r="AK13" s="44"/>
      <c r="AL13" s="42"/>
      <c r="AM13" s="18" t="s">
        <v>48</v>
      </c>
      <c r="AP13" s="19">
        <f t="shared" ref="AP13:AP21" si="0">P13+S13+V13+Y13</f>
        <v>22753486006</v>
      </c>
    </row>
    <row r="14" spans="1:45" ht="135.75" customHeight="1" x14ac:dyDescent="0.2">
      <c r="A14" s="37">
        <v>2</v>
      </c>
      <c r="B14" s="38" t="s">
        <v>23</v>
      </c>
      <c r="C14" s="14" t="s">
        <v>64</v>
      </c>
      <c r="D14" s="14" t="s">
        <v>136</v>
      </c>
      <c r="E14" s="74">
        <v>100</v>
      </c>
      <c r="F14" s="75" t="s">
        <v>133</v>
      </c>
      <c r="G14" s="33">
        <f>(26798000*2)+M14</f>
        <v>59021000</v>
      </c>
      <c r="H14" s="74">
        <v>100</v>
      </c>
      <c r="I14" s="75" t="s">
        <v>133</v>
      </c>
      <c r="J14" s="88"/>
      <c r="K14" s="74">
        <v>100</v>
      </c>
      <c r="L14" s="75" t="s">
        <v>133</v>
      </c>
      <c r="M14" s="33">
        <f>SUM(M15:M16)</f>
        <v>5425000</v>
      </c>
      <c r="N14" s="74">
        <v>25</v>
      </c>
      <c r="O14" s="75" t="str">
        <f t="shared" ref="O14:O77" si="1">L14</f>
        <v>%</v>
      </c>
      <c r="P14" s="33">
        <f>SUM(P15:P16)</f>
        <v>888000</v>
      </c>
      <c r="Q14" s="74">
        <v>25</v>
      </c>
      <c r="R14" s="36" t="str">
        <f t="shared" ref="R14:R77" si="2">L14</f>
        <v>%</v>
      </c>
      <c r="S14" s="33">
        <f>SUM(S15:S16)</f>
        <v>0</v>
      </c>
      <c r="T14" s="74">
        <v>25</v>
      </c>
      <c r="U14" s="36" t="str">
        <f t="shared" ref="U14:U77" si="3">L14</f>
        <v>%</v>
      </c>
      <c r="V14" s="33">
        <f>SUM(V15:V16)</f>
        <v>500000</v>
      </c>
      <c r="W14" s="74">
        <v>25</v>
      </c>
      <c r="X14" s="36" t="str">
        <f t="shared" ref="X14:X77" si="4">O14</f>
        <v>%</v>
      </c>
      <c r="Y14" s="33">
        <f>SUM(Y15:Y16)</f>
        <v>1089500</v>
      </c>
      <c r="Z14" s="45">
        <f t="shared" ref="Z14:Z77" si="5">SUM(N14,Q14,T14,W14)</f>
        <v>100</v>
      </c>
      <c r="AA14" s="36" t="str">
        <f t="shared" ref="AA14:AA77" si="6">L14</f>
        <v>%</v>
      </c>
      <c r="AB14" s="42">
        <f t="shared" ref="AB14:AB77" si="7">Z14/K14*100</f>
        <v>100</v>
      </c>
      <c r="AC14" s="44" t="s">
        <v>133</v>
      </c>
      <c r="AD14" s="43">
        <f t="shared" ref="AD14:AD77" si="8">SUM(P14,S14,V14,Y14)</f>
        <v>2477500</v>
      </c>
      <c r="AE14" s="42">
        <f t="shared" ref="AE14:AE77" si="9">AD14/M14*100</f>
        <v>45.668202764976954</v>
      </c>
      <c r="AF14" s="44" t="s">
        <v>133</v>
      </c>
      <c r="AG14" s="42"/>
      <c r="AH14" s="36"/>
      <c r="AI14" s="43"/>
      <c r="AJ14" s="42"/>
      <c r="AK14" s="44"/>
      <c r="AL14" s="42"/>
      <c r="AM14" s="18"/>
      <c r="AP14" s="19"/>
    </row>
    <row r="15" spans="1:45" ht="91.5" customHeight="1" x14ac:dyDescent="0.2">
      <c r="A15" s="12"/>
      <c r="B15" s="13"/>
      <c r="C15" s="20" t="s">
        <v>65</v>
      </c>
      <c r="D15" s="20" t="s">
        <v>127</v>
      </c>
      <c r="E15" s="15">
        <f>5*3</f>
        <v>15</v>
      </c>
      <c r="F15" s="16" t="s">
        <v>130</v>
      </c>
      <c r="G15" s="17">
        <f>(5654000*2)+M15</f>
        <v>15233000</v>
      </c>
      <c r="H15" s="15">
        <v>5</v>
      </c>
      <c r="I15" s="16" t="s">
        <v>130</v>
      </c>
      <c r="J15" s="88"/>
      <c r="K15" s="15">
        <v>5</v>
      </c>
      <c r="L15" s="16" t="s">
        <v>130</v>
      </c>
      <c r="M15" s="17">
        <v>3925000</v>
      </c>
      <c r="N15" s="15">
        <v>0</v>
      </c>
      <c r="O15" s="16" t="str">
        <f t="shared" si="1"/>
        <v>Dok</v>
      </c>
      <c r="P15" s="17">
        <v>258000</v>
      </c>
      <c r="Q15" s="15">
        <v>1</v>
      </c>
      <c r="R15" s="16" t="str">
        <f t="shared" si="2"/>
        <v>Dok</v>
      </c>
      <c r="S15" s="17">
        <v>0</v>
      </c>
      <c r="T15" s="15">
        <v>1</v>
      </c>
      <c r="U15" s="16" t="str">
        <f t="shared" si="3"/>
        <v>Dok</v>
      </c>
      <c r="V15" s="17">
        <v>500000</v>
      </c>
      <c r="W15" s="15">
        <v>3</v>
      </c>
      <c r="X15" s="16" t="str">
        <f t="shared" si="4"/>
        <v>Dok</v>
      </c>
      <c r="Y15" s="17">
        <v>1089500</v>
      </c>
      <c r="Z15" s="41">
        <f t="shared" si="5"/>
        <v>5</v>
      </c>
      <c r="AA15" s="16" t="str">
        <f t="shared" si="6"/>
        <v>Dok</v>
      </c>
      <c r="AB15" s="40">
        <f t="shared" si="7"/>
        <v>100</v>
      </c>
      <c r="AC15" s="26" t="s">
        <v>133</v>
      </c>
      <c r="AD15" s="32">
        <f t="shared" si="8"/>
        <v>1847500</v>
      </c>
      <c r="AE15" s="40">
        <f t="shared" si="9"/>
        <v>47.070063694267517</v>
      </c>
      <c r="AF15" s="26" t="s">
        <v>133</v>
      </c>
      <c r="AG15" s="41"/>
      <c r="AH15" s="16"/>
      <c r="AI15" s="32"/>
      <c r="AJ15" s="40"/>
      <c r="AK15" s="26"/>
      <c r="AL15" s="40"/>
      <c r="AM15" s="11"/>
      <c r="AP15" s="19"/>
    </row>
    <row r="16" spans="1:45" ht="94.5" customHeight="1" x14ac:dyDescent="0.2">
      <c r="A16" s="12"/>
      <c r="B16" s="13"/>
      <c r="C16" s="20" t="s">
        <v>66</v>
      </c>
      <c r="D16" s="20" t="s">
        <v>128</v>
      </c>
      <c r="E16" s="15">
        <f>10*3</f>
        <v>30</v>
      </c>
      <c r="F16" s="16" t="s">
        <v>130</v>
      </c>
      <c r="G16" s="17">
        <f>(21144000*2)+M16</f>
        <v>43788000</v>
      </c>
      <c r="H16" s="15">
        <v>10</v>
      </c>
      <c r="I16" s="16" t="s">
        <v>130</v>
      </c>
      <c r="J16" s="88"/>
      <c r="K16" s="15">
        <v>10</v>
      </c>
      <c r="L16" s="16" t="s">
        <v>130</v>
      </c>
      <c r="M16" s="17">
        <v>1500000</v>
      </c>
      <c r="N16" s="15">
        <v>1</v>
      </c>
      <c r="O16" s="16" t="str">
        <f t="shared" si="1"/>
        <v>Dok</v>
      </c>
      <c r="P16" s="17">
        <v>630000</v>
      </c>
      <c r="Q16" s="15">
        <v>2</v>
      </c>
      <c r="R16" s="16" t="str">
        <f t="shared" si="2"/>
        <v>Dok</v>
      </c>
      <c r="S16" s="17">
        <v>0</v>
      </c>
      <c r="T16" s="15">
        <v>2</v>
      </c>
      <c r="U16" s="16" t="str">
        <f t="shared" si="3"/>
        <v>Dok</v>
      </c>
      <c r="V16" s="17">
        <v>0</v>
      </c>
      <c r="W16" s="15">
        <v>5</v>
      </c>
      <c r="X16" s="16" t="str">
        <f t="shared" si="4"/>
        <v>Dok</v>
      </c>
      <c r="Y16" s="17">
        <v>0</v>
      </c>
      <c r="Z16" s="41">
        <f t="shared" si="5"/>
        <v>10</v>
      </c>
      <c r="AA16" s="16" t="str">
        <f t="shared" si="6"/>
        <v>Dok</v>
      </c>
      <c r="AB16" s="40">
        <f t="shared" si="7"/>
        <v>100</v>
      </c>
      <c r="AC16" s="26" t="s">
        <v>133</v>
      </c>
      <c r="AD16" s="32">
        <f t="shared" si="8"/>
        <v>630000</v>
      </c>
      <c r="AE16" s="40">
        <f t="shared" si="9"/>
        <v>42</v>
      </c>
      <c r="AF16" s="26" t="s">
        <v>133</v>
      </c>
      <c r="AG16" s="41"/>
      <c r="AH16" s="16"/>
      <c r="AI16" s="32"/>
      <c r="AJ16" s="40"/>
      <c r="AK16" s="26"/>
      <c r="AL16" s="40"/>
      <c r="AM16" s="11"/>
      <c r="AP16" s="19"/>
    </row>
    <row r="17" spans="1:42" ht="63" x14ac:dyDescent="0.2">
      <c r="A17" s="12"/>
      <c r="B17" s="13"/>
      <c r="C17" s="64" t="s">
        <v>67</v>
      </c>
      <c r="D17" s="14" t="s">
        <v>168</v>
      </c>
      <c r="E17" s="76">
        <v>100</v>
      </c>
      <c r="F17" s="75" t="s">
        <v>133</v>
      </c>
      <c r="G17" s="33">
        <f>SUM(G18:G21)</f>
        <v>8777594000</v>
      </c>
      <c r="H17" s="76">
        <v>100</v>
      </c>
      <c r="I17" s="75" t="s">
        <v>133</v>
      </c>
      <c r="J17" s="88"/>
      <c r="K17" s="76">
        <v>100</v>
      </c>
      <c r="L17" s="75" t="s">
        <v>133</v>
      </c>
      <c r="M17" s="33">
        <f>SUM(M18:M21)</f>
        <v>3253860000</v>
      </c>
      <c r="N17" s="76">
        <v>25</v>
      </c>
      <c r="O17" s="75" t="str">
        <f t="shared" si="1"/>
        <v>%</v>
      </c>
      <c r="P17" s="33">
        <f>SUM(P18:P21)</f>
        <v>698934411</v>
      </c>
      <c r="Q17" s="76">
        <v>25</v>
      </c>
      <c r="R17" s="36" t="str">
        <f t="shared" si="2"/>
        <v>%</v>
      </c>
      <c r="S17" s="33">
        <f>SUM(S18:S21)</f>
        <v>985066437</v>
      </c>
      <c r="T17" s="76">
        <v>25</v>
      </c>
      <c r="U17" s="36" t="str">
        <f t="shared" si="3"/>
        <v>%</v>
      </c>
      <c r="V17" s="33">
        <f>SUM(V18:V21)</f>
        <v>611689720</v>
      </c>
      <c r="W17" s="76">
        <v>25</v>
      </c>
      <c r="X17" s="36" t="str">
        <f t="shared" si="4"/>
        <v>%</v>
      </c>
      <c r="Y17" s="33">
        <f>SUM(Y18:Y21)</f>
        <v>504442075</v>
      </c>
      <c r="Z17" s="45">
        <f t="shared" si="5"/>
        <v>100</v>
      </c>
      <c r="AA17" s="36" t="str">
        <f t="shared" si="6"/>
        <v>%</v>
      </c>
      <c r="AB17" s="42">
        <f t="shared" si="7"/>
        <v>100</v>
      </c>
      <c r="AC17" s="44" t="s">
        <v>133</v>
      </c>
      <c r="AD17" s="43">
        <f t="shared" si="8"/>
        <v>2800132643</v>
      </c>
      <c r="AE17" s="42">
        <f t="shared" si="9"/>
        <v>86.055719760530565</v>
      </c>
      <c r="AF17" s="44" t="s">
        <v>133</v>
      </c>
      <c r="AG17" s="45"/>
      <c r="AH17" s="36"/>
      <c r="AI17" s="43"/>
      <c r="AJ17" s="42"/>
      <c r="AK17" s="44"/>
      <c r="AL17" s="42"/>
      <c r="AM17" s="11"/>
      <c r="AP17" s="19"/>
    </row>
    <row r="18" spans="1:42" ht="82.5" customHeight="1" x14ac:dyDescent="0.2">
      <c r="A18" s="12"/>
      <c r="B18" s="13"/>
      <c r="C18" s="65" t="s">
        <v>68</v>
      </c>
      <c r="D18" s="72" t="s">
        <v>168</v>
      </c>
      <c r="E18" s="34">
        <f>26*3</f>
        <v>78</v>
      </c>
      <c r="F18" s="16" t="s">
        <v>203</v>
      </c>
      <c r="G18" s="17">
        <f>(2738643000*2)+M18</f>
        <v>8707932000</v>
      </c>
      <c r="H18" s="34">
        <v>26</v>
      </c>
      <c r="I18" s="16" t="s">
        <v>203</v>
      </c>
      <c r="J18" s="88"/>
      <c r="K18" s="34">
        <v>26</v>
      </c>
      <c r="L18" s="16" t="s">
        <v>203</v>
      </c>
      <c r="M18" s="17">
        <v>3230646000</v>
      </c>
      <c r="N18" s="34">
        <v>26</v>
      </c>
      <c r="O18" s="16" t="str">
        <f t="shared" si="1"/>
        <v>Org</v>
      </c>
      <c r="P18" s="17">
        <v>694081017</v>
      </c>
      <c r="Q18" s="34">
        <v>26</v>
      </c>
      <c r="R18" s="16" t="str">
        <f t="shared" si="2"/>
        <v>Org</v>
      </c>
      <c r="S18" s="17">
        <f>1672654662-P18</f>
        <v>978573645</v>
      </c>
      <c r="T18" s="34">
        <v>26</v>
      </c>
      <c r="U18" s="16" t="str">
        <f t="shared" si="3"/>
        <v>Org</v>
      </c>
      <c r="V18" s="17">
        <v>607183324</v>
      </c>
      <c r="W18" s="34">
        <v>26</v>
      </c>
      <c r="X18" s="16" t="str">
        <f t="shared" si="4"/>
        <v>Org</v>
      </c>
      <c r="Y18" s="17">
        <v>499572481</v>
      </c>
      <c r="Z18" s="41">
        <f>AVERAGE(N18,Q18,T18,W18)</f>
        <v>26</v>
      </c>
      <c r="AA18" s="16" t="str">
        <f t="shared" si="6"/>
        <v>Org</v>
      </c>
      <c r="AB18" s="40">
        <f t="shared" si="7"/>
        <v>100</v>
      </c>
      <c r="AC18" s="26" t="s">
        <v>133</v>
      </c>
      <c r="AD18" s="32">
        <f t="shared" si="8"/>
        <v>2779410467</v>
      </c>
      <c r="AE18" s="40">
        <f t="shared" si="9"/>
        <v>86.03265312881696</v>
      </c>
      <c r="AF18" s="26" t="s">
        <v>133</v>
      </c>
      <c r="AG18" s="41"/>
      <c r="AH18" s="16"/>
      <c r="AI18" s="32"/>
      <c r="AJ18" s="40"/>
      <c r="AK18" s="26"/>
      <c r="AL18" s="40"/>
      <c r="AM18" s="21"/>
      <c r="AP18" s="19">
        <f t="shared" si="0"/>
        <v>2779410467</v>
      </c>
    </row>
    <row r="19" spans="1:42" ht="90.6" customHeight="1" x14ac:dyDescent="0.2">
      <c r="A19" s="12"/>
      <c r="B19" s="13"/>
      <c r="C19" s="65" t="s">
        <v>69</v>
      </c>
      <c r="D19" s="72" t="s">
        <v>204</v>
      </c>
      <c r="E19" s="34">
        <v>3</v>
      </c>
      <c r="F19" s="16" t="s">
        <v>130</v>
      </c>
      <c r="G19" s="17">
        <f>(1500000*2)+M19</f>
        <v>4490000</v>
      </c>
      <c r="H19" s="34">
        <v>1</v>
      </c>
      <c r="I19" s="16" t="s">
        <v>130</v>
      </c>
      <c r="J19" s="88"/>
      <c r="K19" s="34">
        <v>1</v>
      </c>
      <c r="L19" s="16" t="s">
        <v>130</v>
      </c>
      <c r="M19" s="17">
        <v>1490000</v>
      </c>
      <c r="N19" s="34">
        <v>0</v>
      </c>
      <c r="O19" s="16" t="str">
        <f t="shared" si="1"/>
        <v>Dok</v>
      </c>
      <c r="P19" s="17">
        <v>0</v>
      </c>
      <c r="Q19" s="34">
        <v>0</v>
      </c>
      <c r="R19" s="16" t="str">
        <f t="shared" si="2"/>
        <v>Dok</v>
      </c>
      <c r="S19" s="17">
        <v>0</v>
      </c>
      <c r="T19" s="34">
        <v>0</v>
      </c>
      <c r="U19" s="16" t="str">
        <f t="shared" si="3"/>
        <v>Dok</v>
      </c>
      <c r="V19" s="17">
        <v>1260000</v>
      </c>
      <c r="W19" s="34">
        <v>1</v>
      </c>
      <c r="X19" s="16" t="str">
        <f t="shared" si="4"/>
        <v>Dok</v>
      </c>
      <c r="Y19" s="17">
        <v>0</v>
      </c>
      <c r="Z19" s="41">
        <f t="shared" si="5"/>
        <v>1</v>
      </c>
      <c r="AA19" s="16" t="str">
        <f t="shared" si="6"/>
        <v>Dok</v>
      </c>
      <c r="AB19" s="40">
        <f t="shared" si="7"/>
        <v>100</v>
      </c>
      <c r="AC19" s="26" t="s">
        <v>133</v>
      </c>
      <c r="AD19" s="32">
        <f t="shared" si="8"/>
        <v>1260000</v>
      </c>
      <c r="AE19" s="40">
        <f t="shared" si="9"/>
        <v>84.56375838926175</v>
      </c>
      <c r="AF19" s="26" t="s">
        <v>133</v>
      </c>
      <c r="AG19" s="41"/>
      <c r="AH19" s="16"/>
      <c r="AI19" s="32"/>
      <c r="AJ19" s="40"/>
      <c r="AK19" s="26"/>
      <c r="AL19" s="40"/>
      <c r="AM19" s="11"/>
      <c r="AP19" s="19">
        <f t="shared" si="0"/>
        <v>1260000</v>
      </c>
    </row>
    <row r="20" spans="1:42" ht="102" customHeight="1" x14ac:dyDescent="0.2">
      <c r="A20" s="12"/>
      <c r="B20" s="13"/>
      <c r="C20" s="65" t="s">
        <v>70</v>
      </c>
      <c r="D20" s="72" t="s">
        <v>169</v>
      </c>
      <c r="E20" s="34">
        <f>K20*3</f>
        <v>36</v>
      </c>
      <c r="F20" s="16" t="s">
        <v>132</v>
      </c>
      <c r="G20" s="17">
        <f>(20544000*2)+M20</f>
        <v>61632000</v>
      </c>
      <c r="H20" s="34">
        <v>12</v>
      </c>
      <c r="I20" s="16" t="s">
        <v>132</v>
      </c>
      <c r="J20" s="88"/>
      <c r="K20" s="34">
        <v>12</v>
      </c>
      <c r="L20" s="16" t="s">
        <v>132</v>
      </c>
      <c r="M20" s="17">
        <v>20544000</v>
      </c>
      <c r="N20" s="34">
        <v>3</v>
      </c>
      <c r="O20" s="16" t="str">
        <f t="shared" si="1"/>
        <v>Lap</v>
      </c>
      <c r="P20" s="17">
        <v>4853394</v>
      </c>
      <c r="Q20" s="34">
        <v>3</v>
      </c>
      <c r="R20" s="16" t="str">
        <f t="shared" si="2"/>
        <v>Lap</v>
      </c>
      <c r="S20" s="17">
        <f>11346186-P20</f>
        <v>6492792</v>
      </c>
      <c r="T20" s="34">
        <v>3</v>
      </c>
      <c r="U20" s="16" t="str">
        <f t="shared" si="3"/>
        <v>Lap</v>
      </c>
      <c r="V20" s="17">
        <v>3246396</v>
      </c>
      <c r="W20" s="34">
        <v>3</v>
      </c>
      <c r="X20" s="16" t="str">
        <f t="shared" si="4"/>
        <v>Lap</v>
      </c>
      <c r="Y20" s="17">
        <v>4869594</v>
      </c>
      <c r="Z20" s="41">
        <f t="shared" si="5"/>
        <v>12</v>
      </c>
      <c r="AA20" s="16" t="str">
        <f t="shared" si="6"/>
        <v>Lap</v>
      </c>
      <c r="AB20" s="40">
        <f t="shared" si="7"/>
        <v>100</v>
      </c>
      <c r="AC20" s="26" t="s">
        <v>133</v>
      </c>
      <c r="AD20" s="32">
        <f t="shared" si="8"/>
        <v>19462176</v>
      </c>
      <c r="AE20" s="40">
        <f t="shared" si="9"/>
        <v>94.734112149532706</v>
      </c>
      <c r="AF20" s="26" t="s">
        <v>133</v>
      </c>
      <c r="AG20" s="41"/>
      <c r="AH20" s="16"/>
      <c r="AI20" s="32"/>
      <c r="AJ20" s="40"/>
      <c r="AK20" s="26"/>
      <c r="AL20" s="40"/>
      <c r="AM20" s="11"/>
      <c r="AP20" s="19">
        <f t="shared" si="0"/>
        <v>19462176</v>
      </c>
    </row>
    <row r="21" spans="1:42" ht="90" x14ac:dyDescent="0.2">
      <c r="A21" s="12"/>
      <c r="B21" s="13"/>
      <c r="C21" s="65" t="s">
        <v>71</v>
      </c>
      <c r="D21" s="72" t="s">
        <v>170</v>
      </c>
      <c r="E21" s="34">
        <v>3</v>
      </c>
      <c r="F21" s="16" t="s">
        <v>132</v>
      </c>
      <c r="G21" s="17">
        <f>(1180000*2)+M21</f>
        <v>3540000</v>
      </c>
      <c r="H21" s="34">
        <v>1</v>
      </c>
      <c r="I21" s="16" t="s">
        <v>132</v>
      </c>
      <c r="J21" s="88"/>
      <c r="K21" s="34">
        <v>1</v>
      </c>
      <c r="L21" s="16" t="s">
        <v>132</v>
      </c>
      <c r="M21" s="17">
        <v>1180000</v>
      </c>
      <c r="N21" s="34">
        <v>0</v>
      </c>
      <c r="O21" s="16" t="str">
        <f t="shared" si="1"/>
        <v>Lap</v>
      </c>
      <c r="P21" s="17">
        <v>0</v>
      </c>
      <c r="Q21" s="34">
        <v>1</v>
      </c>
      <c r="R21" s="16" t="str">
        <f t="shared" si="2"/>
        <v>Lap</v>
      </c>
      <c r="S21" s="17">
        <v>0</v>
      </c>
      <c r="T21" s="34">
        <v>0</v>
      </c>
      <c r="U21" s="16" t="str">
        <f t="shared" si="3"/>
        <v>Lap</v>
      </c>
      <c r="V21" s="17">
        <v>0</v>
      </c>
      <c r="W21" s="34">
        <v>0</v>
      </c>
      <c r="X21" s="16" t="str">
        <f t="shared" si="4"/>
        <v>Lap</v>
      </c>
      <c r="Y21" s="17">
        <v>0</v>
      </c>
      <c r="Z21" s="41">
        <f t="shared" si="5"/>
        <v>1</v>
      </c>
      <c r="AA21" s="16" t="str">
        <f t="shared" si="6"/>
        <v>Lap</v>
      </c>
      <c r="AB21" s="40">
        <f t="shared" si="7"/>
        <v>100</v>
      </c>
      <c r="AC21" s="26" t="s">
        <v>133</v>
      </c>
      <c r="AD21" s="32">
        <f t="shared" si="8"/>
        <v>0</v>
      </c>
      <c r="AE21" s="40">
        <f t="shared" si="9"/>
        <v>0</v>
      </c>
      <c r="AF21" s="26" t="s">
        <v>133</v>
      </c>
      <c r="AG21" s="41"/>
      <c r="AH21" s="16"/>
      <c r="AI21" s="32"/>
      <c r="AJ21" s="40"/>
      <c r="AK21" s="26"/>
      <c r="AL21" s="40"/>
      <c r="AM21" s="11"/>
      <c r="AP21" s="19">
        <f t="shared" si="0"/>
        <v>0</v>
      </c>
    </row>
    <row r="22" spans="1:42" ht="63" x14ac:dyDescent="0.2">
      <c r="A22" s="12"/>
      <c r="B22" s="13"/>
      <c r="C22" s="64" t="s">
        <v>72</v>
      </c>
      <c r="D22" s="14" t="s">
        <v>159</v>
      </c>
      <c r="E22" s="76">
        <v>100</v>
      </c>
      <c r="F22" s="75" t="s">
        <v>133</v>
      </c>
      <c r="G22" s="17">
        <f>SUM(G23:G26)</f>
        <v>2789707334</v>
      </c>
      <c r="H22" s="76">
        <v>100</v>
      </c>
      <c r="I22" s="75" t="s">
        <v>133</v>
      </c>
      <c r="J22" s="88"/>
      <c r="K22" s="76">
        <v>100</v>
      </c>
      <c r="L22" s="75" t="s">
        <v>133</v>
      </c>
      <c r="M22" s="33">
        <f>SUM(M23:M26)</f>
        <v>1188992334</v>
      </c>
      <c r="N22" s="76">
        <v>25</v>
      </c>
      <c r="O22" s="75" t="str">
        <f t="shared" si="1"/>
        <v>%</v>
      </c>
      <c r="P22" s="33">
        <f>SUM(P23:P26)</f>
        <v>45563450</v>
      </c>
      <c r="Q22" s="39">
        <v>25</v>
      </c>
      <c r="R22" s="36" t="str">
        <f t="shared" si="2"/>
        <v>%</v>
      </c>
      <c r="S22" s="33">
        <f>SUM(S23:S26)</f>
        <v>72021000</v>
      </c>
      <c r="T22" s="39">
        <v>25</v>
      </c>
      <c r="U22" s="36" t="str">
        <f t="shared" si="3"/>
        <v>%</v>
      </c>
      <c r="V22" s="33">
        <f>SUM(V23:V26)</f>
        <v>154048606</v>
      </c>
      <c r="W22" s="39">
        <v>25</v>
      </c>
      <c r="X22" s="36" t="str">
        <f t="shared" si="4"/>
        <v>%</v>
      </c>
      <c r="Y22" s="33">
        <f>SUM(Y23:Y26)</f>
        <v>600160374</v>
      </c>
      <c r="Z22" s="45">
        <f t="shared" si="5"/>
        <v>100</v>
      </c>
      <c r="AA22" s="36" t="str">
        <f t="shared" si="6"/>
        <v>%</v>
      </c>
      <c r="AB22" s="42">
        <f t="shared" si="7"/>
        <v>100</v>
      </c>
      <c r="AC22" s="44" t="s">
        <v>133</v>
      </c>
      <c r="AD22" s="43">
        <f t="shared" si="8"/>
        <v>871793430</v>
      </c>
      <c r="AE22" s="42">
        <f t="shared" si="9"/>
        <v>73.322039601981146</v>
      </c>
      <c r="AF22" s="44" t="s">
        <v>133</v>
      </c>
      <c r="AG22" s="45"/>
      <c r="AH22" s="36"/>
      <c r="AI22" s="43"/>
      <c r="AJ22" s="42"/>
      <c r="AK22" s="44"/>
      <c r="AL22" s="42"/>
      <c r="AM22" s="11"/>
      <c r="AP22" s="19"/>
    </row>
    <row r="23" spans="1:42" ht="60" x14ac:dyDescent="0.2">
      <c r="A23" s="12"/>
      <c r="B23" s="13"/>
      <c r="C23" s="66" t="s">
        <v>73</v>
      </c>
      <c r="D23" s="72" t="s">
        <v>202</v>
      </c>
      <c r="E23" s="34">
        <f>12*3</f>
        <v>36</v>
      </c>
      <c r="F23" s="16" t="s">
        <v>131</v>
      </c>
      <c r="G23" s="17">
        <f>(265645000*2)+M23</f>
        <v>1237282334</v>
      </c>
      <c r="H23" s="34">
        <v>12</v>
      </c>
      <c r="I23" s="16" t="s">
        <v>131</v>
      </c>
      <c r="J23" s="88"/>
      <c r="K23" s="34">
        <v>12</v>
      </c>
      <c r="L23" s="16" t="s">
        <v>131</v>
      </c>
      <c r="M23" s="17">
        <v>705992334</v>
      </c>
      <c r="N23" s="34">
        <v>3</v>
      </c>
      <c r="O23" s="16" t="str">
        <f t="shared" si="1"/>
        <v>Bln</v>
      </c>
      <c r="P23" s="17">
        <v>31184450</v>
      </c>
      <c r="Q23" s="15">
        <v>3</v>
      </c>
      <c r="R23" s="16" t="str">
        <f t="shared" si="2"/>
        <v>Bln</v>
      </c>
      <c r="S23" s="17">
        <f>85084450-P23</f>
        <v>53900000</v>
      </c>
      <c r="T23" s="15">
        <v>3</v>
      </c>
      <c r="U23" s="16" t="str">
        <f t="shared" si="3"/>
        <v>Bln</v>
      </c>
      <c r="V23" s="17">
        <v>60238000</v>
      </c>
      <c r="W23" s="15">
        <v>3</v>
      </c>
      <c r="X23" s="16" t="str">
        <f t="shared" si="4"/>
        <v>Bln</v>
      </c>
      <c r="Y23" s="17">
        <v>383863500</v>
      </c>
      <c r="Z23" s="41">
        <f t="shared" si="5"/>
        <v>12</v>
      </c>
      <c r="AA23" s="16" t="str">
        <f t="shared" si="6"/>
        <v>Bln</v>
      </c>
      <c r="AB23" s="41">
        <f t="shared" si="7"/>
        <v>100</v>
      </c>
      <c r="AC23" s="26" t="s">
        <v>133</v>
      </c>
      <c r="AD23" s="32">
        <f t="shared" si="8"/>
        <v>529185950</v>
      </c>
      <c r="AE23" s="40">
        <f t="shared" si="9"/>
        <v>74.956330899763003</v>
      </c>
      <c r="AF23" s="26" t="s">
        <v>133</v>
      </c>
      <c r="AG23" s="41"/>
      <c r="AH23" s="16"/>
      <c r="AI23" s="32"/>
      <c r="AJ23" s="40"/>
      <c r="AK23" s="26"/>
      <c r="AL23" s="40"/>
      <c r="AM23" s="11"/>
      <c r="AP23" s="19"/>
    </row>
    <row r="24" spans="1:42" ht="45" x14ac:dyDescent="0.2">
      <c r="A24" s="12"/>
      <c r="B24" s="13"/>
      <c r="C24" s="66" t="s">
        <v>74</v>
      </c>
      <c r="D24" s="72" t="s">
        <v>171</v>
      </c>
      <c r="E24" s="34">
        <f t="shared" ref="E24:E34" si="10">12*3</f>
        <v>36</v>
      </c>
      <c r="F24" s="16" t="s">
        <v>131</v>
      </c>
      <c r="G24" s="17">
        <f>(259362500*2)+M24</f>
        <v>772325000</v>
      </c>
      <c r="H24" s="34">
        <v>12</v>
      </c>
      <c r="I24" s="16" t="s">
        <v>131</v>
      </c>
      <c r="J24" s="88"/>
      <c r="K24" s="34">
        <v>12</v>
      </c>
      <c r="L24" s="16" t="s">
        <v>131</v>
      </c>
      <c r="M24" s="17">
        <v>253600000</v>
      </c>
      <c r="N24" s="34">
        <v>3</v>
      </c>
      <c r="O24" s="16" t="str">
        <f t="shared" si="1"/>
        <v>Bln</v>
      </c>
      <c r="P24" s="17">
        <v>13381500</v>
      </c>
      <c r="Q24" s="15">
        <v>3</v>
      </c>
      <c r="R24" s="16" t="str">
        <f t="shared" si="2"/>
        <v>Bln</v>
      </c>
      <c r="S24" s="17">
        <f>17500000-P24</f>
        <v>4118500</v>
      </c>
      <c r="T24" s="15">
        <v>3</v>
      </c>
      <c r="U24" s="16" t="str">
        <f t="shared" si="3"/>
        <v>Bln</v>
      </c>
      <c r="V24" s="17">
        <v>35287000</v>
      </c>
      <c r="W24" s="15">
        <v>3</v>
      </c>
      <c r="X24" s="16" t="str">
        <f t="shared" si="4"/>
        <v>Bln</v>
      </c>
      <c r="Y24" s="17">
        <v>109734700</v>
      </c>
      <c r="Z24" s="41">
        <f t="shared" si="5"/>
        <v>12</v>
      </c>
      <c r="AA24" s="16" t="str">
        <f t="shared" si="6"/>
        <v>Bln</v>
      </c>
      <c r="AB24" s="41">
        <f t="shared" si="7"/>
        <v>100</v>
      </c>
      <c r="AC24" s="26" t="s">
        <v>133</v>
      </c>
      <c r="AD24" s="32">
        <f t="shared" si="8"/>
        <v>162521700</v>
      </c>
      <c r="AE24" s="40">
        <f t="shared" si="9"/>
        <v>64.085843848580438</v>
      </c>
      <c r="AF24" s="26" t="s">
        <v>133</v>
      </c>
      <c r="AG24" s="41"/>
      <c r="AH24" s="16"/>
      <c r="AI24" s="32"/>
      <c r="AJ24" s="40"/>
      <c r="AK24" s="26"/>
      <c r="AL24" s="40"/>
      <c r="AM24" s="11"/>
      <c r="AP24" s="19"/>
    </row>
    <row r="25" spans="1:42" ht="60" x14ac:dyDescent="0.2">
      <c r="A25" s="12"/>
      <c r="B25" s="13"/>
      <c r="C25" s="66" t="s">
        <v>75</v>
      </c>
      <c r="D25" s="20" t="s">
        <v>172</v>
      </c>
      <c r="E25" s="34">
        <f t="shared" si="10"/>
        <v>36</v>
      </c>
      <c r="F25" s="16" t="s">
        <v>131</v>
      </c>
      <c r="G25" s="17">
        <f>(124350000*2)+M25</f>
        <v>318100000</v>
      </c>
      <c r="H25" s="34">
        <v>12</v>
      </c>
      <c r="I25" s="16" t="s">
        <v>131</v>
      </c>
      <c r="J25" s="88"/>
      <c r="K25" s="34">
        <v>12</v>
      </c>
      <c r="L25" s="16" t="s">
        <v>131</v>
      </c>
      <c r="M25" s="17">
        <v>69400000</v>
      </c>
      <c r="N25" s="34">
        <v>3</v>
      </c>
      <c r="O25" s="16" t="str">
        <f t="shared" si="1"/>
        <v>Bln</v>
      </c>
      <c r="P25" s="17">
        <v>997500</v>
      </c>
      <c r="Q25" s="34">
        <v>3</v>
      </c>
      <c r="R25" s="16" t="str">
        <f t="shared" si="2"/>
        <v>Bln</v>
      </c>
      <c r="S25" s="17">
        <f>15000000-P25</f>
        <v>14002500</v>
      </c>
      <c r="T25" s="34">
        <v>3</v>
      </c>
      <c r="U25" s="16" t="str">
        <f t="shared" si="3"/>
        <v>Bln</v>
      </c>
      <c r="V25" s="17">
        <v>10330800</v>
      </c>
      <c r="W25" s="34">
        <v>3</v>
      </c>
      <c r="X25" s="16" t="str">
        <f t="shared" si="4"/>
        <v>Bln</v>
      </c>
      <c r="Y25" s="17">
        <v>35332300</v>
      </c>
      <c r="Z25" s="41">
        <f t="shared" si="5"/>
        <v>12</v>
      </c>
      <c r="AA25" s="16" t="str">
        <f t="shared" si="6"/>
        <v>Bln</v>
      </c>
      <c r="AB25" s="41">
        <f t="shared" si="7"/>
        <v>100</v>
      </c>
      <c r="AC25" s="26" t="s">
        <v>133</v>
      </c>
      <c r="AD25" s="32">
        <f t="shared" si="8"/>
        <v>60663100</v>
      </c>
      <c r="AE25" s="40">
        <f t="shared" si="9"/>
        <v>87.410806916426509</v>
      </c>
      <c r="AF25" s="26" t="s">
        <v>133</v>
      </c>
      <c r="AG25" s="41"/>
      <c r="AH25" s="16"/>
      <c r="AI25" s="32"/>
      <c r="AJ25" s="40"/>
      <c r="AK25" s="26"/>
      <c r="AL25" s="40"/>
      <c r="AM25" s="11"/>
      <c r="AP25" s="19"/>
    </row>
    <row r="26" spans="1:42" ht="89.45" customHeight="1" x14ac:dyDescent="0.2">
      <c r="A26" s="12"/>
      <c r="B26" s="13"/>
      <c r="C26" s="66" t="s">
        <v>76</v>
      </c>
      <c r="D26" s="20" t="s">
        <v>173</v>
      </c>
      <c r="E26" s="34">
        <f t="shared" si="10"/>
        <v>36</v>
      </c>
      <c r="F26" s="16" t="s">
        <v>131</v>
      </c>
      <c r="G26" s="17">
        <f>(151000000*2)+M26</f>
        <v>462000000</v>
      </c>
      <c r="H26" s="34">
        <v>12</v>
      </c>
      <c r="I26" s="16" t="s">
        <v>131</v>
      </c>
      <c r="J26" s="88"/>
      <c r="K26" s="34">
        <v>12</v>
      </c>
      <c r="L26" s="16" t="s">
        <v>131</v>
      </c>
      <c r="M26" s="17">
        <v>160000000</v>
      </c>
      <c r="N26" s="34">
        <v>3</v>
      </c>
      <c r="O26" s="16" t="str">
        <f t="shared" si="1"/>
        <v>Bln</v>
      </c>
      <c r="P26" s="17">
        <v>0</v>
      </c>
      <c r="Q26" s="34">
        <v>3</v>
      </c>
      <c r="R26" s="16" t="str">
        <f t="shared" si="2"/>
        <v>Bln</v>
      </c>
      <c r="S26" s="17">
        <v>0</v>
      </c>
      <c r="T26" s="34">
        <v>3</v>
      </c>
      <c r="U26" s="16" t="str">
        <f t="shared" si="3"/>
        <v>Bln</v>
      </c>
      <c r="V26" s="17">
        <v>48192806</v>
      </c>
      <c r="W26" s="34">
        <v>3</v>
      </c>
      <c r="X26" s="16" t="str">
        <f t="shared" si="4"/>
        <v>Bln</v>
      </c>
      <c r="Y26" s="17">
        <v>71229874</v>
      </c>
      <c r="Z26" s="41">
        <f t="shared" si="5"/>
        <v>12</v>
      </c>
      <c r="AA26" s="16" t="str">
        <f t="shared" si="6"/>
        <v>Bln</v>
      </c>
      <c r="AB26" s="41">
        <f t="shared" si="7"/>
        <v>100</v>
      </c>
      <c r="AC26" s="26" t="s">
        <v>133</v>
      </c>
      <c r="AD26" s="32">
        <f t="shared" si="8"/>
        <v>119422680</v>
      </c>
      <c r="AE26" s="40">
        <f t="shared" si="9"/>
        <v>74.639175000000009</v>
      </c>
      <c r="AF26" s="26" t="s">
        <v>133</v>
      </c>
      <c r="AG26" s="41"/>
      <c r="AH26" s="16"/>
      <c r="AI26" s="32"/>
      <c r="AJ26" s="40"/>
      <c r="AK26" s="26"/>
      <c r="AL26" s="40"/>
      <c r="AM26" s="11"/>
      <c r="AP26" s="19"/>
    </row>
    <row r="27" spans="1:42" ht="100.5" customHeight="1" x14ac:dyDescent="0.2">
      <c r="A27" s="12"/>
      <c r="B27" s="13"/>
      <c r="C27" s="64" t="s">
        <v>77</v>
      </c>
      <c r="D27" s="14" t="s">
        <v>159</v>
      </c>
      <c r="E27" s="76">
        <v>100</v>
      </c>
      <c r="F27" s="75" t="s">
        <v>133</v>
      </c>
      <c r="G27" s="17">
        <f>SUM(G28:G30)</f>
        <v>1033734400</v>
      </c>
      <c r="H27" s="76">
        <v>100</v>
      </c>
      <c r="I27" s="75" t="s">
        <v>133</v>
      </c>
      <c r="J27" s="88"/>
      <c r="K27" s="76">
        <v>100</v>
      </c>
      <c r="L27" s="75" t="s">
        <v>133</v>
      </c>
      <c r="M27" s="33">
        <f>SUM(M28:M30)</f>
        <v>250088000</v>
      </c>
      <c r="N27" s="76">
        <v>25</v>
      </c>
      <c r="O27" s="75" t="str">
        <f t="shared" si="1"/>
        <v>%</v>
      </c>
      <c r="P27" s="33">
        <f>SUM(P28:P30)</f>
        <v>9016200</v>
      </c>
      <c r="Q27" s="39">
        <v>25</v>
      </c>
      <c r="R27" s="36" t="str">
        <f t="shared" si="2"/>
        <v>%</v>
      </c>
      <c r="S27" s="33">
        <f>SUM(S28:S30)</f>
        <v>12064800</v>
      </c>
      <c r="T27" s="39">
        <v>25</v>
      </c>
      <c r="U27" s="36" t="str">
        <f t="shared" si="3"/>
        <v>%</v>
      </c>
      <c r="V27" s="33">
        <f>SUM(V28:V30)</f>
        <v>88661137</v>
      </c>
      <c r="W27" s="39">
        <v>25</v>
      </c>
      <c r="X27" s="36" t="str">
        <f t="shared" si="4"/>
        <v>%</v>
      </c>
      <c r="Y27" s="33">
        <f>SUM(Y28:Y30)</f>
        <v>95905767</v>
      </c>
      <c r="Z27" s="45">
        <f t="shared" si="5"/>
        <v>100</v>
      </c>
      <c r="AA27" s="36" t="str">
        <f t="shared" si="6"/>
        <v>%</v>
      </c>
      <c r="AB27" s="45">
        <f t="shared" si="7"/>
        <v>100</v>
      </c>
      <c r="AC27" s="44" t="s">
        <v>133</v>
      </c>
      <c r="AD27" s="43">
        <f t="shared" si="8"/>
        <v>205647904</v>
      </c>
      <c r="AE27" s="42">
        <f t="shared" si="9"/>
        <v>82.230216563769559</v>
      </c>
      <c r="AF27" s="44" t="s">
        <v>133</v>
      </c>
      <c r="AG27" s="45"/>
      <c r="AH27" s="36"/>
      <c r="AI27" s="43"/>
      <c r="AJ27" s="42"/>
      <c r="AK27" s="44"/>
      <c r="AL27" s="42"/>
      <c r="AM27" s="11"/>
      <c r="AP27" s="19"/>
    </row>
    <row r="28" spans="1:42" ht="68.099999999999994" customHeight="1" x14ac:dyDescent="0.2">
      <c r="A28" s="12"/>
      <c r="B28" s="13"/>
      <c r="C28" s="66" t="s">
        <v>78</v>
      </c>
      <c r="D28" s="20" t="s">
        <v>160</v>
      </c>
      <c r="E28" s="34">
        <f t="shared" si="10"/>
        <v>36</v>
      </c>
      <c r="F28" s="16" t="s">
        <v>131</v>
      </c>
      <c r="G28" s="17">
        <f>(5800000*2)+M28</f>
        <v>14900000</v>
      </c>
      <c r="H28" s="34">
        <v>12</v>
      </c>
      <c r="I28" s="16" t="s">
        <v>131</v>
      </c>
      <c r="J28" s="88"/>
      <c r="K28" s="34">
        <v>12</v>
      </c>
      <c r="L28" s="16" t="s">
        <v>131</v>
      </c>
      <c r="M28" s="17">
        <v>3300000</v>
      </c>
      <c r="N28" s="34">
        <v>3</v>
      </c>
      <c r="O28" s="16" t="str">
        <f t="shared" si="1"/>
        <v>Bln</v>
      </c>
      <c r="P28" s="17">
        <v>0</v>
      </c>
      <c r="Q28" s="34">
        <v>3</v>
      </c>
      <c r="R28" s="16" t="str">
        <f t="shared" si="2"/>
        <v>Bln</v>
      </c>
      <c r="S28" s="17">
        <v>0</v>
      </c>
      <c r="T28" s="34">
        <v>3</v>
      </c>
      <c r="U28" s="16" t="str">
        <f t="shared" si="3"/>
        <v>Bln</v>
      </c>
      <c r="V28" s="17">
        <v>300000</v>
      </c>
      <c r="W28" s="34">
        <v>3</v>
      </c>
      <c r="X28" s="16" t="str">
        <f t="shared" si="4"/>
        <v>Bln</v>
      </c>
      <c r="Y28" s="17">
        <v>2000000</v>
      </c>
      <c r="Z28" s="41">
        <f t="shared" si="5"/>
        <v>12</v>
      </c>
      <c r="AA28" s="16" t="str">
        <f t="shared" si="6"/>
        <v>Bln</v>
      </c>
      <c r="AB28" s="41">
        <f t="shared" si="7"/>
        <v>100</v>
      </c>
      <c r="AC28" s="26" t="s">
        <v>133</v>
      </c>
      <c r="AD28" s="32">
        <f t="shared" si="8"/>
        <v>2300000</v>
      </c>
      <c r="AE28" s="40">
        <f t="shared" si="9"/>
        <v>69.696969696969703</v>
      </c>
      <c r="AF28" s="26" t="s">
        <v>133</v>
      </c>
      <c r="AG28" s="41"/>
      <c r="AH28" s="16"/>
      <c r="AI28" s="32"/>
      <c r="AJ28" s="40"/>
      <c r="AK28" s="26"/>
      <c r="AL28" s="40"/>
      <c r="AM28" s="11"/>
      <c r="AP28" s="19"/>
    </row>
    <row r="29" spans="1:42" ht="60" x14ac:dyDescent="0.2">
      <c r="A29" s="12"/>
      <c r="B29" s="13"/>
      <c r="C29" s="66" t="s">
        <v>79</v>
      </c>
      <c r="D29" s="20" t="s">
        <v>161</v>
      </c>
      <c r="E29" s="34">
        <f t="shared" si="10"/>
        <v>36</v>
      </c>
      <c r="F29" s="16" t="s">
        <v>131</v>
      </c>
      <c r="G29" s="17">
        <f>(163332000*2)+M29</f>
        <v>529664000</v>
      </c>
      <c r="H29" s="34">
        <v>12</v>
      </c>
      <c r="I29" s="16" t="s">
        <v>131</v>
      </c>
      <c r="J29" s="88"/>
      <c r="K29" s="34">
        <v>12</v>
      </c>
      <c r="L29" s="16" t="s">
        <v>131</v>
      </c>
      <c r="M29" s="17">
        <v>203000000</v>
      </c>
      <c r="N29" s="34">
        <v>3</v>
      </c>
      <c r="O29" s="16" t="str">
        <f t="shared" si="1"/>
        <v>Bln</v>
      </c>
      <c r="P29" s="17">
        <v>0</v>
      </c>
      <c r="Q29" s="34">
        <v>3</v>
      </c>
      <c r="R29" s="16" t="str">
        <f t="shared" si="2"/>
        <v>Bln</v>
      </c>
      <c r="S29" s="17">
        <v>0</v>
      </c>
      <c r="T29" s="34">
        <v>3</v>
      </c>
      <c r="U29" s="16" t="str">
        <f t="shared" si="3"/>
        <v>Bln</v>
      </c>
      <c r="V29" s="17">
        <v>82328737</v>
      </c>
      <c r="W29" s="34">
        <v>3</v>
      </c>
      <c r="X29" s="16" t="str">
        <f t="shared" si="4"/>
        <v>Bln</v>
      </c>
      <c r="Y29" s="17">
        <v>84357167</v>
      </c>
      <c r="Z29" s="41">
        <f t="shared" si="5"/>
        <v>12</v>
      </c>
      <c r="AA29" s="16" t="str">
        <f t="shared" si="6"/>
        <v>Bln</v>
      </c>
      <c r="AB29" s="41">
        <f t="shared" si="7"/>
        <v>100</v>
      </c>
      <c r="AC29" s="26" t="s">
        <v>133</v>
      </c>
      <c r="AD29" s="32">
        <f t="shared" si="8"/>
        <v>166685904</v>
      </c>
      <c r="AE29" s="40">
        <f t="shared" si="9"/>
        <v>82.111282758620689</v>
      </c>
      <c r="AF29" s="26" t="s">
        <v>133</v>
      </c>
      <c r="AG29" s="41"/>
      <c r="AH29" s="16"/>
      <c r="AI29" s="32"/>
      <c r="AJ29" s="40"/>
      <c r="AK29" s="26"/>
      <c r="AL29" s="40"/>
      <c r="AM29" s="11"/>
      <c r="AP29" s="19"/>
    </row>
    <row r="30" spans="1:42" ht="45" x14ac:dyDescent="0.2">
      <c r="A30" s="12"/>
      <c r="B30" s="13"/>
      <c r="C30" s="66" t="s">
        <v>80</v>
      </c>
      <c r="D30" s="20" t="s">
        <v>80</v>
      </c>
      <c r="E30" s="34">
        <f t="shared" si="10"/>
        <v>36</v>
      </c>
      <c r="F30" s="16" t="s">
        <v>131</v>
      </c>
      <c r="G30" s="17">
        <f>(222691200*2)+M30</f>
        <v>489170400</v>
      </c>
      <c r="H30" s="34">
        <v>12</v>
      </c>
      <c r="I30" s="16" t="s">
        <v>131</v>
      </c>
      <c r="J30" s="88"/>
      <c r="K30" s="34">
        <v>12</v>
      </c>
      <c r="L30" s="16" t="s">
        <v>131</v>
      </c>
      <c r="M30" s="17">
        <v>43788000</v>
      </c>
      <c r="N30" s="34">
        <v>3</v>
      </c>
      <c r="O30" s="16" t="str">
        <f t="shared" si="1"/>
        <v>Bln</v>
      </c>
      <c r="P30" s="17">
        <v>9016200</v>
      </c>
      <c r="Q30" s="34">
        <v>3</v>
      </c>
      <c r="R30" s="16" t="str">
        <f t="shared" si="2"/>
        <v>Bln</v>
      </c>
      <c r="S30" s="17">
        <f>21081000-P30</f>
        <v>12064800</v>
      </c>
      <c r="T30" s="34">
        <v>3</v>
      </c>
      <c r="U30" s="16" t="str">
        <f t="shared" si="3"/>
        <v>Bln</v>
      </c>
      <c r="V30" s="17">
        <v>6032400</v>
      </c>
      <c r="W30" s="34">
        <v>3</v>
      </c>
      <c r="X30" s="16" t="str">
        <f t="shared" si="4"/>
        <v>Bln</v>
      </c>
      <c r="Y30" s="17">
        <v>9548600</v>
      </c>
      <c r="Z30" s="41">
        <f t="shared" si="5"/>
        <v>12</v>
      </c>
      <c r="AA30" s="16" t="str">
        <f t="shared" si="6"/>
        <v>Bln</v>
      </c>
      <c r="AB30" s="41">
        <f t="shared" si="7"/>
        <v>100</v>
      </c>
      <c r="AC30" s="26" t="s">
        <v>133</v>
      </c>
      <c r="AD30" s="32">
        <f t="shared" si="8"/>
        <v>36662000</v>
      </c>
      <c r="AE30" s="40">
        <f t="shared" si="9"/>
        <v>83.726135014159127</v>
      </c>
      <c r="AF30" s="26" t="s">
        <v>133</v>
      </c>
      <c r="AG30" s="41"/>
      <c r="AH30" s="16"/>
      <c r="AI30" s="32"/>
      <c r="AJ30" s="40"/>
      <c r="AK30" s="26"/>
      <c r="AL30" s="40"/>
      <c r="AM30" s="11"/>
      <c r="AP30" s="19"/>
    </row>
    <row r="31" spans="1:42" ht="114" customHeight="1" x14ac:dyDescent="0.2">
      <c r="A31" s="12"/>
      <c r="B31" s="13"/>
      <c r="C31" s="64" t="s">
        <v>81</v>
      </c>
      <c r="D31" s="14" t="s">
        <v>159</v>
      </c>
      <c r="E31" s="76">
        <v>100</v>
      </c>
      <c r="F31" s="75" t="s">
        <v>133</v>
      </c>
      <c r="G31" s="33">
        <f>SUM(G32:G34)</f>
        <v>6043023600</v>
      </c>
      <c r="H31" s="76">
        <v>100</v>
      </c>
      <c r="I31" s="75" t="s">
        <v>133</v>
      </c>
      <c r="J31" s="88"/>
      <c r="K31" s="76">
        <v>100</v>
      </c>
      <c r="L31" s="75" t="s">
        <v>133</v>
      </c>
      <c r="M31" s="33">
        <f>SUM(M32:M34)</f>
        <v>1122210000</v>
      </c>
      <c r="N31" s="76">
        <v>25</v>
      </c>
      <c r="O31" s="75" t="str">
        <f t="shared" si="1"/>
        <v>%</v>
      </c>
      <c r="P31" s="33">
        <f>SUM(P32:P34)</f>
        <v>60871668</v>
      </c>
      <c r="Q31" s="39">
        <v>25</v>
      </c>
      <c r="R31" s="36" t="str">
        <f t="shared" si="2"/>
        <v>%</v>
      </c>
      <c r="S31" s="33">
        <f>SUM(S32:S34)</f>
        <v>242659476</v>
      </c>
      <c r="T31" s="39">
        <v>25</v>
      </c>
      <c r="U31" s="16" t="str">
        <f t="shared" si="3"/>
        <v>%</v>
      </c>
      <c r="V31" s="33">
        <f>SUM(V32:V34)</f>
        <v>101685051</v>
      </c>
      <c r="W31" s="39">
        <v>25</v>
      </c>
      <c r="X31" s="16" t="str">
        <f t="shared" si="4"/>
        <v>%</v>
      </c>
      <c r="Y31" s="33">
        <f>SUM(Y32:Y34)</f>
        <v>470982322</v>
      </c>
      <c r="Z31" s="45">
        <f t="shared" si="5"/>
        <v>100</v>
      </c>
      <c r="AA31" s="36" t="str">
        <f t="shared" si="6"/>
        <v>%</v>
      </c>
      <c r="AB31" s="45">
        <f t="shared" si="7"/>
        <v>100</v>
      </c>
      <c r="AC31" s="44" t="s">
        <v>133</v>
      </c>
      <c r="AD31" s="43">
        <f t="shared" si="8"/>
        <v>876198517</v>
      </c>
      <c r="AE31" s="42">
        <f t="shared" si="9"/>
        <v>78.077945928123967</v>
      </c>
      <c r="AF31" s="44" t="s">
        <v>133</v>
      </c>
      <c r="AG31" s="45"/>
      <c r="AH31" s="36"/>
      <c r="AI31" s="43"/>
      <c r="AJ31" s="42"/>
      <c r="AK31" s="44"/>
      <c r="AL31" s="42"/>
      <c r="AM31" s="11"/>
      <c r="AP31" s="19"/>
    </row>
    <row r="32" spans="1:42" ht="163.5" customHeight="1" x14ac:dyDescent="0.2">
      <c r="A32" s="12"/>
      <c r="B32" s="13"/>
      <c r="C32" s="65" t="s">
        <v>82</v>
      </c>
      <c r="D32" s="20" t="s">
        <v>162</v>
      </c>
      <c r="E32" s="77">
        <f t="shared" si="10"/>
        <v>36</v>
      </c>
      <c r="F32" s="16" t="s">
        <v>131</v>
      </c>
      <c r="G32" s="17">
        <f>(251950000*2)+M32</f>
        <v>829532000</v>
      </c>
      <c r="H32" s="77">
        <v>12</v>
      </c>
      <c r="I32" s="16" t="s">
        <v>131</v>
      </c>
      <c r="J32" s="88"/>
      <c r="K32" s="77">
        <v>12</v>
      </c>
      <c r="L32" s="16" t="s">
        <v>131</v>
      </c>
      <c r="M32" s="17">
        <v>325632000</v>
      </c>
      <c r="N32" s="77">
        <v>3</v>
      </c>
      <c r="O32" s="16" t="str">
        <f t="shared" si="1"/>
        <v>Bln</v>
      </c>
      <c r="P32" s="17">
        <v>32427186</v>
      </c>
      <c r="Q32" s="15">
        <v>3</v>
      </c>
      <c r="R32" s="16" t="str">
        <f t="shared" si="2"/>
        <v>Bln</v>
      </c>
      <c r="S32" s="17">
        <v>0</v>
      </c>
      <c r="T32" s="15">
        <v>3</v>
      </c>
      <c r="U32" s="16" t="str">
        <f t="shared" si="3"/>
        <v>Bln</v>
      </c>
      <c r="V32" s="17">
        <v>71567853</v>
      </c>
      <c r="W32" s="15">
        <v>3</v>
      </c>
      <c r="X32" s="16" t="str">
        <f t="shared" si="4"/>
        <v>Bln</v>
      </c>
      <c r="Y32" s="17">
        <v>56485990</v>
      </c>
      <c r="Z32" s="41">
        <f t="shared" si="5"/>
        <v>12</v>
      </c>
      <c r="AA32" s="16" t="str">
        <f t="shared" si="6"/>
        <v>Bln</v>
      </c>
      <c r="AB32" s="41">
        <f t="shared" si="7"/>
        <v>100</v>
      </c>
      <c r="AC32" s="26" t="s">
        <v>133</v>
      </c>
      <c r="AD32" s="32">
        <f t="shared" si="8"/>
        <v>160481029</v>
      </c>
      <c r="AE32" s="40">
        <f t="shared" si="9"/>
        <v>49.28294178704796</v>
      </c>
      <c r="AF32" s="26" t="s">
        <v>133</v>
      </c>
      <c r="AG32" s="41"/>
      <c r="AH32" s="16"/>
      <c r="AI32" s="32"/>
      <c r="AJ32" s="40"/>
      <c r="AK32" s="26"/>
      <c r="AL32" s="40"/>
      <c r="AM32" s="11"/>
      <c r="AP32" s="19"/>
    </row>
    <row r="33" spans="1:42" ht="75" x14ac:dyDescent="0.2">
      <c r="A33" s="12"/>
      <c r="B33" s="13"/>
      <c r="C33" s="65" t="s">
        <v>83</v>
      </c>
      <c r="D33" s="20" t="s">
        <v>163</v>
      </c>
      <c r="E33" s="77">
        <f t="shared" si="10"/>
        <v>36</v>
      </c>
      <c r="F33" s="16" t="s">
        <v>131</v>
      </c>
      <c r="G33" s="17">
        <f>(2173969300*2)+M33</f>
        <v>5064377600</v>
      </c>
      <c r="H33" s="77">
        <v>12</v>
      </c>
      <c r="I33" s="16" t="s">
        <v>131</v>
      </c>
      <c r="J33" s="88"/>
      <c r="K33" s="77">
        <v>12</v>
      </c>
      <c r="L33" s="16" t="s">
        <v>131</v>
      </c>
      <c r="M33" s="17">
        <v>716439000</v>
      </c>
      <c r="N33" s="77">
        <v>3</v>
      </c>
      <c r="O33" s="16" t="str">
        <f t="shared" si="1"/>
        <v>Bln</v>
      </c>
      <c r="P33" s="17">
        <v>28444482</v>
      </c>
      <c r="Q33" s="15">
        <v>3</v>
      </c>
      <c r="R33" s="16" t="str">
        <f t="shared" si="2"/>
        <v>Bln</v>
      </c>
      <c r="S33" s="17">
        <f>271103958-P33</f>
        <v>242659476</v>
      </c>
      <c r="T33" s="15">
        <v>3</v>
      </c>
      <c r="U33" s="16" t="str">
        <f t="shared" si="3"/>
        <v>Bln</v>
      </c>
      <c r="V33" s="17">
        <v>26346198</v>
      </c>
      <c r="W33" s="15">
        <v>3</v>
      </c>
      <c r="X33" s="16" t="str">
        <f t="shared" si="4"/>
        <v>Bln</v>
      </c>
      <c r="Y33" s="17">
        <v>407216332</v>
      </c>
      <c r="Z33" s="41">
        <f t="shared" si="5"/>
        <v>12</v>
      </c>
      <c r="AA33" s="16" t="str">
        <f t="shared" si="6"/>
        <v>Bln</v>
      </c>
      <c r="AB33" s="41">
        <f t="shared" si="7"/>
        <v>100</v>
      </c>
      <c r="AC33" s="26" t="s">
        <v>133</v>
      </c>
      <c r="AD33" s="32">
        <f t="shared" si="8"/>
        <v>704666488</v>
      </c>
      <c r="AE33" s="40">
        <f t="shared" si="9"/>
        <v>98.35680190497726</v>
      </c>
      <c r="AF33" s="26" t="s">
        <v>133</v>
      </c>
      <c r="AG33" s="41"/>
      <c r="AH33" s="16"/>
      <c r="AI33" s="32"/>
      <c r="AJ33" s="40"/>
      <c r="AK33" s="26"/>
      <c r="AL33" s="40"/>
      <c r="AM33" s="11"/>
      <c r="AP33" s="19"/>
    </row>
    <row r="34" spans="1:42" ht="131.44999999999999" customHeight="1" x14ac:dyDescent="0.2">
      <c r="A34" s="12"/>
      <c r="B34" s="13"/>
      <c r="C34" s="65" t="s">
        <v>84</v>
      </c>
      <c r="D34" s="20" t="s">
        <v>164</v>
      </c>
      <c r="E34" s="77">
        <f t="shared" si="10"/>
        <v>36</v>
      </c>
      <c r="F34" s="16" t="s">
        <v>131</v>
      </c>
      <c r="G34" s="17">
        <f>(34487500*2)+M34</f>
        <v>149114000</v>
      </c>
      <c r="H34" s="77">
        <v>12</v>
      </c>
      <c r="I34" s="16" t="s">
        <v>131</v>
      </c>
      <c r="J34" s="88"/>
      <c r="K34" s="77">
        <v>12</v>
      </c>
      <c r="L34" s="16" t="s">
        <v>131</v>
      </c>
      <c r="M34" s="17">
        <v>80139000</v>
      </c>
      <c r="N34" s="77">
        <v>3</v>
      </c>
      <c r="O34" s="16" t="str">
        <f t="shared" si="1"/>
        <v>Bln</v>
      </c>
      <c r="P34" s="17">
        <v>0</v>
      </c>
      <c r="Q34" s="15">
        <v>3</v>
      </c>
      <c r="R34" s="16" t="str">
        <f t="shared" si="2"/>
        <v>Bln</v>
      </c>
      <c r="S34" s="17">
        <v>0</v>
      </c>
      <c r="T34" s="15">
        <v>3</v>
      </c>
      <c r="U34" s="16" t="str">
        <f t="shared" si="3"/>
        <v>Bln</v>
      </c>
      <c r="V34" s="17">
        <v>3771000</v>
      </c>
      <c r="W34" s="15">
        <v>3</v>
      </c>
      <c r="X34" s="16" t="str">
        <f t="shared" si="4"/>
        <v>Bln</v>
      </c>
      <c r="Y34" s="17">
        <v>7280000</v>
      </c>
      <c r="Z34" s="41">
        <f t="shared" si="5"/>
        <v>12</v>
      </c>
      <c r="AA34" s="16" t="str">
        <f t="shared" si="6"/>
        <v>Bln</v>
      </c>
      <c r="AB34" s="41">
        <f t="shared" si="7"/>
        <v>100</v>
      </c>
      <c r="AC34" s="26" t="s">
        <v>133</v>
      </c>
      <c r="AD34" s="32">
        <f t="shared" si="8"/>
        <v>11051000</v>
      </c>
      <c r="AE34" s="40">
        <f t="shared" si="9"/>
        <v>13.78979023945894</v>
      </c>
      <c r="AF34" s="26" t="s">
        <v>133</v>
      </c>
      <c r="AG34" s="41"/>
      <c r="AH34" s="16"/>
      <c r="AI34" s="32"/>
      <c r="AJ34" s="40"/>
      <c r="AK34" s="26"/>
      <c r="AL34" s="40"/>
      <c r="AM34" s="11"/>
      <c r="AP34" s="19"/>
    </row>
    <row r="35" spans="1:42" s="84" customFormat="1" ht="108" customHeight="1" x14ac:dyDescent="0.25">
      <c r="A35" s="37">
        <v>19</v>
      </c>
      <c r="B35" s="38" t="s">
        <v>23</v>
      </c>
      <c r="C35" s="67" t="s">
        <v>85</v>
      </c>
      <c r="D35" s="14" t="s">
        <v>201</v>
      </c>
      <c r="E35" s="82">
        <v>100</v>
      </c>
      <c r="F35" s="79" t="s">
        <v>133</v>
      </c>
      <c r="G35" s="33">
        <f>SUM(G36:G38)</f>
        <v>52850827400</v>
      </c>
      <c r="H35" s="82">
        <v>100</v>
      </c>
      <c r="I35" s="79" t="s">
        <v>133</v>
      </c>
      <c r="J35" s="88"/>
      <c r="K35" s="82">
        <v>100</v>
      </c>
      <c r="L35" s="79" t="s">
        <v>133</v>
      </c>
      <c r="M35" s="33">
        <f>SUM(M36:M38)</f>
        <v>19461095900</v>
      </c>
      <c r="N35" s="82">
        <v>25</v>
      </c>
      <c r="O35" s="79" t="str">
        <f t="shared" si="1"/>
        <v>%</v>
      </c>
      <c r="P35" s="33">
        <f>SUM(P36:P38)</f>
        <v>4950750808</v>
      </c>
      <c r="Q35" s="39">
        <v>25</v>
      </c>
      <c r="R35" s="79" t="str">
        <f t="shared" si="2"/>
        <v>%</v>
      </c>
      <c r="S35" s="33">
        <f>SUM(S36:S38)</f>
        <v>5268552744</v>
      </c>
      <c r="T35" s="39">
        <v>25</v>
      </c>
      <c r="U35" s="36" t="str">
        <f t="shared" si="3"/>
        <v>%</v>
      </c>
      <c r="V35" s="33">
        <f>SUM(V36:V38)</f>
        <v>4059770418</v>
      </c>
      <c r="W35" s="39">
        <v>25</v>
      </c>
      <c r="X35" s="36" t="str">
        <f t="shared" si="4"/>
        <v>%</v>
      </c>
      <c r="Y35" s="33">
        <f>SUM(Y36:Y38)</f>
        <v>2841872102</v>
      </c>
      <c r="Z35" s="45">
        <f t="shared" si="5"/>
        <v>100</v>
      </c>
      <c r="AA35" s="36" t="str">
        <f t="shared" si="6"/>
        <v>%</v>
      </c>
      <c r="AB35" s="42">
        <f t="shared" si="7"/>
        <v>100</v>
      </c>
      <c r="AC35" s="44" t="s">
        <v>133</v>
      </c>
      <c r="AD35" s="43">
        <f t="shared" si="8"/>
        <v>17120946072</v>
      </c>
      <c r="AE35" s="42">
        <f t="shared" si="9"/>
        <v>87.97524127097077</v>
      </c>
      <c r="AF35" s="44" t="s">
        <v>133</v>
      </c>
      <c r="AG35" s="45"/>
      <c r="AH35" s="36"/>
      <c r="AI35" s="43"/>
      <c r="AJ35" s="42"/>
      <c r="AK35" s="44"/>
      <c r="AL35" s="42"/>
      <c r="AM35" s="83"/>
      <c r="AP35" s="85"/>
    </row>
    <row r="36" spans="1:42" ht="171.75" customHeight="1" x14ac:dyDescent="0.2">
      <c r="A36" s="12"/>
      <c r="B36" s="13"/>
      <c r="C36" s="66" t="s">
        <v>86</v>
      </c>
      <c r="D36" s="20" t="s">
        <v>165</v>
      </c>
      <c r="E36" s="34">
        <v>100</v>
      </c>
      <c r="F36" s="81" t="s">
        <v>133</v>
      </c>
      <c r="G36" s="17">
        <f>(16345165750*2)+M36</f>
        <v>51718927400</v>
      </c>
      <c r="H36" s="34">
        <v>100</v>
      </c>
      <c r="I36" s="81" t="s">
        <v>133</v>
      </c>
      <c r="J36" s="88"/>
      <c r="K36" s="34">
        <v>100</v>
      </c>
      <c r="L36" s="81" t="s">
        <v>133</v>
      </c>
      <c r="M36" s="17">
        <v>19028595900</v>
      </c>
      <c r="N36" s="34">
        <v>25</v>
      </c>
      <c r="O36" s="81" t="str">
        <f t="shared" si="1"/>
        <v>%</v>
      </c>
      <c r="P36" s="17">
        <v>4931783308</v>
      </c>
      <c r="Q36" s="34">
        <v>25</v>
      </c>
      <c r="R36" s="79" t="str">
        <f t="shared" si="2"/>
        <v>%</v>
      </c>
      <c r="S36" s="17">
        <f>10095535552-P36</f>
        <v>5163752244</v>
      </c>
      <c r="T36" s="34">
        <v>25</v>
      </c>
      <c r="U36" s="16" t="str">
        <f t="shared" si="3"/>
        <v>%</v>
      </c>
      <c r="V36" s="17">
        <v>3897185418</v>
      </c>
      <c r="W36" s="34">
        <v>25</v>
      </c>
      <c r="X36" s="16" t="str">
        <f t="shared" si="4"/>
        <v>%</v>
      </c>
      <c r="Y36" s="17">
        <v>2735562102</v>
      </c>
      <c r="Z36" s="41">
        <f t="shared" si="5"/>
        <v>100</v>
      </c>
      <c r="AA36" s="16" t="str">
        <f t="shared" si="6"/>
        <v>%</v>
      </c>
      <c r="AB36" s="40">
        <f t="shared" si="7"/>
        <v>100</v>
      </c>
      <c r="AC36" s="26" t="s">
        <v>133</v>
      </c>
      <c r="AD36" s="32">
        <f t="shared" si="8"/>
        <v>16728283072</v>
      </c>
      <c r="AE36" s="40">
        <f t="shared" si="9"/>
        <v>87.911284468445729</v>
      </c>
      <c r="AF36" s="26" t="s">
        <v>133</v>
      </c>
      <c r="AG36" s="41"/>
      <c r="AH36" s="16"/>
      <c r="AI36" s="32"/>
      <c r="AJ36" s="40"/>
      <c r="AK36" s="26"/>
      <c r="AL36" s="40"/>
      <c r="AM36" s="11"/>
      <c r="AP36" s="19"/>
    </row>
    <row r="37" spans="1:42" ht="96.75" customHeight="1" x14ac:dyDescent="0.2">
      <c r="A37" s="12"/>
      <c r="B37" s="13"/>
      <c r="C37" s="66" t="s">
        <v>87</v>
      </c>
      <c r="D37" s="20" t="s">
        <v>166</v>
      </c>
      <c r="E37" s="34">
        <v>100</v>
      </c>
      <c r="F37" s="81" t="s">
        <v>133</v>
      </c>
      <c r="G37" s="17">
        <f>(291200000*2)+M37</f>
        <v>956400000</v>
      </c>
      <c r="H37" s="34">
        <v>100</v>
      </c>
      <c r="I37" s="81" t="s">
        <v>133</v>
      </c>
      <c r="J37" s="88"/>
      <c r="K37" s="34">
        <v>100</v>
      </c>
      <c r="L37" s="81" t="s">
        <v>133</v>
      </c>
      <c r="M37" s="17">
        <v>374000000</v>
      </c>
      <c r="N37" s="34">
        <v>25</v>
      </c>
      <c r="O37" s="81" t="str">
        <f t="shared" si="1"/>
        <v>%</v>
      </c>
      <c r="P37" s="17">
        <v>0</v>
      </c>
      <c r="Q37" s="34">
        <v>25</v>
      </c>
      <c r="R37" s="81" t="str">
        <f t="shared" si="2"/>
        <v>%</v>
      </c>
      <c r="S37" s="17">
        <v>104800500</v>
      </c>
      <c r="T37" s="34">
        <v>25</v>
      </c>
      <c r="U37" s="16" t="str">
        <f t="shared" si="3"/>
        <v>%</v>
      </c>
      <c r="V37" s="17">
        <v>162315000</v>
      </c>
      <c r="W37" s="34">
        <v>25</v>
      </c>
      <c r="X37" s="16" t="str">
        <f t="shared" si="4"/>
        <v>%</v>
      </c>
      <c r="Y37" s="17">
        <v>106310000</v>
      </c>
      <c r="Z37" s="41">
        <f t="shared" si="5"/>
        <v>100</v>
      </c>
      <c r="AA37" s="16" t="str">
        <f t="shared" si="6"/>
        <v>%</v>
      </c>
      <c r="AB37" s="40">
        <f t="shared" si="7"/>
        <v>100</v>
      </c>
      <c r="AC37" s="26" t="s">
        <v>133</v>
      </c>
      <c r="AD37" s="32">
        <f t="shared" si="8"/>
        <v>373425500</v>
      </c>
      <c r="AE37" s="40">
        <f t="shared" si="9"/>
        <v>99.846390374331548</v>
      </c>
      <c r="AF37" s="26" t="s">
        <v>133</v>
      </c>
      <c r="AG37" s="41"/>
      <c r="AH37" s="16"/>
      <c r="AI37" s="32"/>
      <c r="AJ37" s="40"/>
      <c r="AK37" s="26"/>
      <c r="AL37" s="40"/>
      <c r="AM37" s="11"/>
      <c r="AP37" s="19"/>
    </row>
    <row r="38" spans="1:42" ht="81.75" customHeight="1" x14ac:dyDescent="0.2">
      <c r="A38" s="12"/>
      <c r="B38" s="13"/>
      <c r="C38" s="66" t="s">
        <v>88</v>
      </c>
      <c r="D38" s="20" t="s">
        <v>167</v>
      </c>
      <c r="E38" s="34">
        <v>100</v>
      </c>
      <c r="F38" s="81" t="s">
        <v>133</v>
      </c>
      <c r="G38" s="17">
        <f>(58500000*2)+M38</f>
        <v>175500000</v>
      </c>
      <c r="H38" s="34">
        <v>100</v>
      </c>
      <c r="I38" s="81" t="s">
        <v>133</v>
      </c>
      <c r="J38" s="88"/>
      <c r="K38" s="34">
        <v>100</v>
      </c>
      <c r="L38" s="81" t="s">
        <v>133</v>
      </c>
      <c r="M38" s="17">
        <v>58500000</v>
      </c>
      <c r="N38" s="34">
        <v>75</v>
      </c>
      <c r="O38" s="81" t="str">
        <f t="shared" si="1"/>
        <v>%</v>
      </c>
      <c r="P38" s="17">
        <v>18967500</v>
      </c>
      <c r="Q38" s="34">
        <v>0</v>
      </c>
      <c r="R38" s="81" t="str">
        <f t="shared" si="2"/>
        <v>%</v>
      </c>
      <c r="S38" s="17">
        <v>0</v>
      </c>
      <c r="T38" s="34">
        <v>25</v>
      </c>
      <c r="U38" s="16" t="str">
        <f t="shared" si="3"/>
        <v>%</v>
      </c>
      <c r="V38" s="17">
        <v>270000</v>
      </c>
      <c r="W38" s="34">
        <v>0</v>
      </c>
      <c r="X38" s="16" t="str">
        <f t="shared" si="4"/>
        <v>%</v>
      </c>
      <c r="Y38" s="17">
        <v>0</v>
      </c>
      <c r="Z38" s="41">
        <f t="shared" si="5"/>
        <v>100</v>
      </c>
      <c r="AA38" s="16" t="str">
        <f t="shared" si="6"/>
        <v>%</v>
      </c>
      <c r="AB38" s="40">
        <f t="shared" si="7"/>
        <v>100</v>
      </c>
      <c r="AC38" s="26" t="s">
        <v>133</v>
      </c>
      <c r="AD38" s="32">
        <f t="shared" si="8"/>
        <v>19237500</v>
      </c>
      <c r="AE38" s="40">
        <f t="shared" si="9"/>
        <v>32.884615384615387</v>
      </c>
      <c r="AF38" s="26" t="s">
        <v>133</v>
      </c>
      <c r="AG38" s="41"/>
      <c r="AH38" s="16"/>
      <c r="AI38" s="32"/>
      <c r="AJ38" s="40"/>
      <c r="AK38" s="26"/>
      <c r="AL38" s="40"/>
      <c r="AM38" s="11"/>
      <c r="AP38" s="19"/>
    </row>
    <row r="39" spans="1:42" ht="93.95" customHeight="1" x14ac:dyDescent="0.2">
      <c r="A39" s="12"/>
      <c r="B39" s="13"/>
      <c r="C39" s="67" t="s">
        <v>89</v>
      </c>
      <c r="D39" s="14" t="s">
        <v>137</v>
      </c>
      <c r="E39" s="39">
        <v>100</v>
      </c>
      <c r="F39" s="79" t="s">
        <v>133</v>
      </c>
      <c r="G39" s="33">
        <f>SUM(G40:G43)</f>
        <v>3474709000</v>
      </c>
      <c r="H39" s="39">
        <v>100</v>
      </c>
      <c r="I39" s="79" t="s">
        <v>133</v>
      </c>
      <c r="J39" s="88"/>
      <c r="K39" s="39">
        <v>100</v>
      </c>
      <c r="L39" s="79" t="s">
        <v>133</v>
      </c>
      <c r="M39" s="33">
        <f>SUM(M40:M43)</f>
        <v>1037914800</v>
      </c>
      <c r="N39" s="39">
        <v>25</v>
      </c>
      <c r="O39" s="79" t="str">
        <f t="shared" si="1"/>
        <v>%</v>
      </c>
      <c r="P39" s="33">
        <f>SUM(P40:P43)</f>
        <v>230025764</v>
      </c>
      <c r="Q39" s="39">
        <v>25</v>
      </c>
      <c r="R39" s="79" t="str">
        <f t="shared" si="2"/>
        <v>%</v>
      </c>
      <c r="S39" s="33">
        <f>SUM(S40:S43)</f>
        <v>169440218</v>
      </c>
      <c r="T39" s="39">
        <v>25</v>
      </c>
      <c r="U39" s="36" t="str">
        <f t="shared" si="3"/>
        <v>%</v>
      </c>
      <c r="V39" s="33">
        <f>SUM(V40:V43)</f>
        <v>92813000</v>
      </c>
      <c r="W39" s="39">
        <v>25</v>
      </c>
      <c r="X39" s="36" t="str">
        <f t="shared" si="4"/>
        <v>%</v>
      </c>
      <c r="Y39" s="33">
        <f>SUM(Y40:Y43)</f>
        <v>384010958</v>
      </c>
      <c r="Z39" s="45">
        <f t="shared" si="5"/>
        <v>100</v>
      </c>
      <c r="AA39" s="79" t="str">
        <f t="shared" si="6"/>
        <v>%</v>
      </c>
      <c r="AB39" s="42">
        <f t="shared" si="7"/>
        <v>100</v>
      </c>
      <c r="AC39" s="44" t="s">
        <v>133</v>
      </c>
      <c r="AD39" s="43">
        <f t="shared" si="8"/>
        <v>876289940</v>
      </c>
      <c r="AE39" s="42">
        <f t="shared" si="9"/>
        <v>84.427926068690809</v>
      </c>
      <c r="AF39" s="44" t="s">
        <v>133</v>
      </c>
      <c r="AG39" s="45"/>
      <c r="AH39" s="79"/>
      <c r="AI39" s="43"/>
      <c r="AJ39" s="42"/>
      <c r="AK39" s="44"/>
      <c r="AL39" s="42"/>
      <c r="AM39" s="11"/>
      <c r="AP39" s="19"/>
    </row>
    <row r="40" spans="1:42" ht="114" customHeight="1" x14ac:dyDescent="0.2">
      <c r="A40" s="86"/>
      <c r="B40" s="87"/>
      <c r="C40" s="66" t="s">
        <v>90</v>
      </c>
      <c r="D40" s="20" t="s">
        <v>190</v>
      </c>
      <c r="E40" s="15">
        <v>12</v>
      </c>
      <c r="F40" s="81" t="s">
        <v>131</v>
      </c>
      <c r="G40" s="17">
        <f>(171977200*2)+M40</f>
        <v>463506200</v>
      </c>
      <c r="H40" s="15">
        <v>12</v>
      </c>
      <c r="I40" s="81" t="s">
        <v>131</v>
      </c>
      <c r="J40" s="88"/>
      <c r="K40" s="15">
        <v>12</v>
      </c>
      <c r="L40" s="81" t="s">
        <v>131</v>
      </c>
      <c r="M40" s="17">
        <v>119551800</v>
      </c>
      <c r="N40" s="15">
        <v>3</v>
      </c>
      <c r="O40" s="81" t="str">
        <f t="shared" si="1"/>
        <v>Bln</v>
      </c>
      <c r="P40" s="17">
        <v>14194500</v>
      </c>
      <c r="Q40" s="15">
        <v>3</v>
      </c>
      <c r="R40" s="81" t="str">
        <f t="shared" si="2"/>
        <v>Bln</v>
      </c>
      <c r="S40" s="17">
        <v>0</v>
      </c>
      <c r="T40" s="15">
        <v>3</v>
      </c>
      <c r="U40" s="16" t="str">
        <f t="shared" si="3"/>
        <v>Bln</v>
      </c>
      <c r="V40" s="17">
        <v>27949000</v>
      </c>
      <c r="W40" s="15">
        <v>3</v>
      </c>
      <c r="X40" s="16" t="str">
        <f t="shared" si="4"/>
        <v>Bln</v>
      </c>
      <c r="Y40" s="17">
        <v>51967000</v>
      </c>
      <c r="Z40" s="41">
        <f t="shared" si="5"/>
        <v>12</v>
      </c>
      <c r="AA40" s="16" t="str">
        <f t="shared" si="6"/>
        <v>Bln</v>
      </c>
      <c r="AB40" s="40">
        <f t="shared" si="7"/>
        <v>100</v>
      </c>
      <c r="AC40" s="26" t="s">
        <v>133</v>
      </c>
      <c r="AD40" s="32">
        <f t="shared" si="8"/>
        <v>94110500</v>
      </c>
      <c r="AE40" s="40">
        <f t="shared" si="9"/>
        <v>78.719433751729369</v>
      </c>
      <c r="AF40" s="26" t="s">
        <v>133</v>
      </c>
      <c r="AG40" s="41"/>
      <c r="AH40" s="16"/>
      <c r="AI40" s="32"/>
      <c r="AJ40" s="40"/>
      <c r="AK40" s="26"/>
      <c r="AL40" s="40"/>
      <c r="AM40" s="11"/>
      <c r="AP40" s="19"/>
    </row>
    <row r="41" spans="1:42" ht="61.5" customHeight="1" x14ac:dyDescent="0.2">
      <c r="A41" s="12"/>
      <c r="B41" s="13"/>
      <c r="C41" s="66" t="s">
        <v>91</v>
      </c>
      <c r="D41" s="20" t="s">
        <v>138</v>
      </c>
      <c r="E41" s="15">
        <v>12</v>
      </c>
      <c r="F41" s="81" t="s">
        <v>131</v>
      </c>
      <c r="G41" s="17">
        <f>(397728000*2)+M41</f>
        <v>1134252000</v>
      </c>
      <c r="H41" s="15">
        <v>12</v>
      </c>
      <c r="I41" s="81" t="s">
        <v>131</v>
      </c>
      <c r="J41" s="88"/>
      <c r="K41" s="15">
        <v>12</v>
      </c>
      <c r="L41" s="81" t="s">
        <v>131</v>
      </c>
      <c r="M41" s="17">
        <v>338796000</v>
      </c>
      <c r="N41" s="15">
        <v>3</v>
      </c>
      <c r="O41" s="81" t="str">
        <f t="shared" si="1"/>
        <v>Bln</v>
      </c>
      <c r="P41" s="17">
        <v>83144664</v>
      </c>
      <c r="Q41" s="15">
        <v>3</v>
      </c>
      <c r="R41" s="81" t="str">
        <f t="shared" si="2"/>
        <v>Bln</v>
      </c>
      <c r="S41" s="17">
        <v>164140218</v>
      </c>
      <c r="T41" s="15">
        <v>3</v>
      </c>
      <c r="U41" s="16" t="str">
        <f t="shared" si="3"/>
        <v>Bln</v>
      </c>
      <c r="V41" s="17">
        <v>0</v>
      </c>
      <c r="W41" s="15">
        <v>3</v>
      </c>
      <c r="X41" s="16" t="str">
        <f t="shared" si="4"/>
        <v>Bln</v>
      </c>
      <c r="Y41" s="17">
        <v>74611458</v>
      </c>
      <c r="Z41" s="41">
        <f t="shared" si="5"/>
        <v>12</v>
      </c>
      <c r="AA41" s="16" t="str">
        <f t="shared" si="6"/>
        <v>Bln</v>
      </c>
      <c r="AB41" s="40">
        <f t="shared" si="7"/>
        <v>100</v>
      </c>
      <c r="AC41" s="26" t="s">
        <v>133</v>
      </c>
      <c r="AD41" s="32">
        <f t="shared" si="8"/>
        <v>321896340</v>
      </c>
      <c r="AE41" s="40">
        <f t="shared" si="9"/>
        <v>95.011847837636807</v>
      </c>
      <c r="AF41" s="26" t="s">
        <v>133</v>
      </c>
      <c r="AG41" s="41"/>
      <c r="AH41" s="16"/>
      <c r="AI41" s="32"/>
      <c r="AJ41" s="40"/>
      <c r="AK41" s="26"/>
      <c r="AL41" s="40"/>
      <c r="AM41" s="11"/>
      <c r="AP41" s="19"/>
    </row>
    <row r="42" spans="1:42" ht="92.1" customHeight="1" x14ac:dyDescent="0.2">
      <c r="A42" s="12"/>
      <c r="B42" s="13"/>
      <c r="C42" s="66" t="s">
        <v>92</v>
      </c>
      <c r="D42" s="20" t="s">
        <v>139</v>
      </c>
      <c r="E42" s="15">
        <v>100</v>
      </c>
      <c r="F42" s="81" t="s">
        <v>133</v>
      </c>
      <c r="G42" s="17">
        <f>(86700000*2)+M42</f>
        <v>268175000</v>
      </c>
      <c r="H42" s="15">
        <v>100</v>
      </c>
      <c r="I42" s="81" t="s">
        <v>133</v>
      </c>
      <c r="J42" s="88"/>
      <c r="K42" s="15">
        <v>100</v>
      </c>
      <c r="L42" s="81" t="s">
        <v>133</v>
      </c>
      <c r="M42" s="17">
        <v>94775000</v>
      </c>
      <c r="N42" s="15">
        <v>25</v>
      </c>
      <c r="O42" s="81" t="str">
        <f t="shared" si="1"/>
        <v>%</v>
      </c>
      <c r="P42" s="17">
        <v>0</v>
      </c>
      <c r="Q42" s="15">
        <v>25</v>
      </c>
      <c r="R42" s="79" t="str">
        <f t="shared" si="2"/>
        <v>%</v>
      </c>
      <c r="S42" s="17">
        <v>0</v>
      </c>
      <c r="T42" s="15">
        <v>25</v>
      </c>
      <c r="U42" s="16" t="str">
        <f t="shared" si="3"/>
        <v>%</v>
      </c>
      <c r="V42" s="17">
        <v>3600000</v>
      </c>
      <c r="W42" s="15">
        <v>25</v>
      </c>
      <c r="X42" s="16" t="str">
        <f t="shared" si="4"/>
        <v>%</v>
      </c>
      <c r="Y42" s="17">
        <v>18384000</v>
      </c>
      <c r="Z42" s="41">
        <f t="shared" si="5"/>
        <v>100</v>
      </c>
      <c r="AA42" s="16" t="str">
        <f t="shared" si="6"/>
        <v>%</v>
      </c>
      <c r="AB42" s="40">
        <f t="shared" si="7"/>
        <v>100</v>
      </c>
      <c r="AC42" s="26" t="s">
        <v>133</v>
      </c>
      <c r="AD42" s="32">
        <f t="shared" si="8"/>
        <v>21984000</v>
      </c>
      <c r="AE42" s="40">
        <f t="shared" si="9"/>
        <v>23.195990503824849</v>
      </c>
      <c r="AF42" s="26" t="s">
        <v>133</v>
      </c>
      <c r="AG42" s="41"/>
      <c r="AH42" s="16"/>
      <c r="AI42" s="32"/>
      <c r="AJ42" s="40"/>
      <c r="AK42" s="26"/>
      <c r="AL42" s="40"/>
      <c r="AM42" s="11"/>
      <c r="AP42" s="19"/>
    </row>
    <row r="43" spans="1:42" ht="102.95" customHeight="1" x14ac:dyDescent="0.2">
      <c r="A43" s="12"/>
      <c r="B43" s="13"/>
      <c r="C43" s="73" t="s">
        <v>93</v>
      </c>
      <c r="D43" s="56" t="s">
        <v>140</v>
      </c>
      <c r="E43" s="15">
        <v>100</v>
      </c>
      <c r="F43" s="81" t="s">
        <v>133</v>
      </c>
      <c r="G43" s="59">
        <f>(561991900*2)+M43</f>
        <v>1608775800</v>
      </c>
      <c r="H43" s="15">
        <v>100</v>
      </c>
      <c r="I43" s="81" t="s">
        <v>133</v>
      </c>
      <c r="J43" s="88"/>
      <c r="K43" s="15">
        <v>100</v>
      </c>
      <c r="L43" s="81" t="s">
        <v>133</v>
      </c>
      <c r="M43" s="59">
        <v>484792000</v>
      </c>
      <c r="N43" s="57">
        <v>25</v>
      </c>
      <c r="O43" s="81" t="str">
        <f t="shared" si="1"/>
        <v>%</v>
      </c>
      <c r="P43" s="59">
        <v>132686600</v>
      </c>
      <c r="Q43" s="57">
        <v>25</v>
      </c>
      <c r="R43" s="81" t="str">
        <f t="shared" si="2"/>
        <v>%</v>
      </c>
      <c r="S43" s="59">
        <f>137986600-P43</f>
        <v>5300000</v>
      </c>
      <c r="T43" s="57">
        <v>25</v>
      </c>
      <c r="U43" s="58" t="str">
        <f t="shared" si="3"/>
        <v>%</v>
      </c>
      <c r="V43" s="59">
        <v>61264000</v>
      </c>
      <c r="W43" s="57">
        <v>25</v>
      </c>
      <c r="X43" s="58" t="str">
        <f t="shared" si="4"/>
        <v>%</v>
      </c>
      <c r="Y43" s="59">
        <v>239048500</v>
      </c>
      <c r="Z43" s="60">
        <f t="shared" si="5"/>
        <v>100</v>
      </c>
      <c r="AA43" s="58" t="str">
        <f t="shared" si="6"/>
        <v>%</v>
      </c>
      <c r="AB43" s="61">
        <f t="shared" si="7"/>
        <v>100</v>
      </c>
      <c r="AC43" s="62" t="s">
        <v>133</v>
      </c>
      <c r="AD43" s="63">
        <f t="shared" si="8"/>
        <v>438299100</v>
      </c>
      <c r="AE43" s="61">
        <f t="shared" si="9"/>
        <v>90.409722107625541</v>
      </c>
      <c r="AF43" s="62" t="s">
        <v>133</v>
      </c>
      <c r="AG43" s="60"/>
      <c r="AH43" s="58"/>
      <c r="AI43" s="63"/>
      <c r="AJ43" s="61"/>
      <c r="AK43" s="62"/>
      <c r="AL43" s="61"/>
      <c r="AM43" s="11"/>
      <c r="AP43" s="19"/>
    </row>
    <row r="44" spans="1:42" ht="117" customHeight="1" x14ac:dyDescent="0.2">
      <c r="A44" s="44"/>
      <c r="B44" s="14"/>
      <c r="C44" s="69" t="s">
        <v>129</v>
      </c>
      <c r="D44" s="80" t="s">
        <v>141</v>
      </c>
      <c r="E44" s="35">
        <v>100</v>
      </c>
      <c r="F44" s="79" t="s">
        <v>133</v>
      </c>
      <c r="G44" s="33">
        <f>G45+G50+G57+G65+G71+G74+G76</f>
        <v>53017065950</v>
      </c>
      <c r="H44" s="35">
        <v>100</v>
      </c>
      <c r="I44" s="79" t="s">
        <v>133</v>
      </c>
      <c r="J44" s="88"/>
      <c r="K44" s="35">
        <v>100</v>
      </c>
      <c r="L44" s="79" t="s">
        <v>133</v>
      </c>
      <c r="M44" s="33">
        <f>M45+M50+M65+M71+M74+M76</f>
        <v>18170394150</v>
      </c>
      <c r="N44" s="35">
        <v>25</v>
      </c>
      <c r="O44" s="79" t="str">
        <f t="shared" si="1"/>
        <v>%</v>
      </c>
      <c r="P44" s="33">
        <f>P45+P50+P57+P65+P71+P74+P76</f>
        <v>2683283370</v>
      </c>
      <c r="Q44" s="35">
        <v>25</v>
      </c>
      <c r="R44" s="79" t="str">
        <f t="shared" si="2"/>
        <v>%</v>
      </c>
      <c r="S44" s="33">
        <f>S45+S50+S57+S65+S71+S74+S76</f>
        <v>3874624488</v>
      </c>
      <c r="T44" s="35">
        <v>25</v>
      </c>
      <c r="U44" s="36" t="str">
        <f t="shared" si="3"/>
        <v>%</v>
      </c>
      <c r="V44" s="33">
        <f>V45+V50+V57+V65+V71+V74+V76</f>
        <v>4144837358</v>
      </c>
      <c r="W44" s="35">
        <v>25</v>
      </c>
      <c r="X44" s="36" t="str">
        <f t="shared" si="4"/>
        <v>%</v>
      </c>
      <c r="Y44" s="33">
        <f>Y45+Y50+Y57+Y65+Y71+Y74+Y76</f>
        <v>5600583558</v>
      </c>
      <c r="Z44" s="45">
        <f t="shared" si="5"/>
        <v>100</v>
      </c>
      <c r="AA44" s="36" t="str">
        <f t="shared" si="6"/>
        <v>%</v>
      </c>
      <c r="AB44" s="42">
        <f t="shared" si="7"/>
        <v>100</v>
      </c>
      <c r="AC44" s="44" t="s">
        <v>133</v>
      </c>
      <c r="AD44" s="43">
        <f t="shared" si="8"/>
        <v>16303328774</v>
      </c>
      <c r="AE44" s="42">
        <f t="shared" si="9"/>
        <v>89.724684227612101</v>
      </c>
      <c r="AF44" s="44" t="s">
        <v>133</v>
      </c>
      <c r="AG44" s="45"/>
      <c r="AH44" s="36"/>
      <c r="AI44" s="43"/>
      <c r="AJ44" s="42"/>
      <c r="AK44" s="44"/>
      <c r="AL44" s="42"/>
      <c r="AM44" s="11"/>
      <c r="AP44" s="19"/>
    </row>
    <row r="45" spans="1:42" s="84" customFormat="1" ht="124.5" customHeight="1" x14ac:dyDescent="0.25">
      <c r="A45" s="44"/>
      <c r="B45" s="14"/>
      <c r="C45" s="67" t="s">
        <v>94</v>
      </c>
      <c r="D45" s="14" t="s">
        <v>142</v>
      </c>
      <c r="E45" s="35">
        <v>100</v>
      </c>
      <c r="F45" s="79" t="s">
        <v>133</v>
      </c>
      <c r="G45" s="33">
        <f>SUM(G46:G49)</f>
        <v>835911800</v>
      </c>
      <c r="H45" s="35">
        <v>100</v>
      </c>
      <c r="I45" s="79" t="s">
        <v>133</v>
      </c>
      <c r="J45" s="88"/>
      <c r="K45" s="35">
        <v>100</v>
      </c>
      <c r="L45" s="79" t="s">
        <v>133</v>
      </c>
      <c r="M45" s="33">
        <f>SUM(M46:M49)</f>
        <v>275780000</v>
      </c>
      <c r="N45" s="35">
        <v>25</v>
      </c>
      <c r="O45" s="79" t="str">
        <f t="shared" si="1"/>
        <v>%</v>
      </c>
      <c r="P45" s="33">
        <f>SUM(P46:P49)</f>
        <v>8510000</v>
      </c>
      <c r="Q45" s="35">
        <v>25</v>
      </c>
      <c r="R45" s="79" t="str">
        <f t="shared" si="2"/>
        <v>%</v>
      </c>
      <c r="S45" s="33">
        <f>SUM(S46:S49)</f>
        <v>35000000</v>
      </c>
      <c r="T45" s="35">
        <v>25</v>
      </c>
      <c r="U45" s="36" t="str">
        <f t="shared" si="3"/>
        <v>%</v>
      </c>
      <c r="V45" s="33">
        <f>SUM(V46:V49)</f>
        <v>16125000</v>
      </c>
      <c r="W45" s="35">
        <v>25</v>
      </c>
      <c r="X45" s="36" t="str">
        <f t="shared" si="4"/>
        <v>%</v>
      </c>
      <c r="Y45" s="33">
        <f>SUM(Y46:Y49)</f>
        <v>91907400</v>
      </c>
      <c r="Z45" s="45">
        <f t="shared" si="5"/>
        <v>100</v>
      </c>
      <c r="AA45" s="36" t="str">
        <f t="shared" si="6"/>
        <v>%</v>
      </c>
      <c r="AB45" s="42">
        <f t="shared" si="7"/>
        <v>100</v>
      </c>
      <c r="AC45" s="44" t="s">
        <v>133</v>
      </c>
      <c r="AD45" s="43">
        <f t="shared" si="8"/>
        <v>151542400</v>
      </c>
      <c r="AE45" s="42">
        <f t="shared" si="9"/>
        <v>54.950467764159839</v>
      </c>
      <c r="AF45" s="44" t="s">
        <v>133</v>
      </c>
      <c r="AG45" s="45"/>
      <c r="AH45" s="36"/>
      <c r="AI45" s="43"/>
      <c r="AJ45" s="42"/>
      <c r="AK45" s="44"/>
      <c r="AL45" s="42"/>
      <c r="AM45" s="83"/>
      <c r="AP45" s="85"/>
    </row>
    <row r="46" spans="1:42" ht="139.5" customHeight="1" x14ac:dyDescent="0.2">
      <c r="A46" s="44"/>
      <c r="B46" s="14"/>
      <c r="C46" s="66" t="s">
        <v>95</v>
      </c>
      <c r="D46" s="20" t="s">
        <v>143</v>
      </c>
      <c r="E46" s="15">
        <v>100</v>
      </c>
      <c r="F46" s="81" t="s">
        <v>133</v>
      </c>
      <c r="G46" s="17">
        <f>(35000000*2)+M46</f>
        <v>108500000</v>
      </c>
      <c r="H46" s="15">
        <v>100</v>
      </c>
      <c r="I46" s="81" t="s">
        <v>133</v>
      </c>
      <c r="J46" s="88"/>
      <c r="K46" s="15">
        <v>100</v>
      </c>
      <c r="L46" s="81" t="s">
        <v>133</v>
      </c>
      <c r="M46" s="17">
        <v>38500000</v>
      </c>
      <c r="N46" s="15">
        <v>25</v>
      </c>
      <c r="O46" s="81" t="str">
        <f t="shared" si="1"/>
        <v>%</v>
      </c>
      <c r="P46" s="17">
        <v>0</v>
      </c>
      <c r="Q46" s="15">
        <v>25</v>
      </c>
      <c r="R46" s="81" t="str">
        <f t="shared" si="2"/>
        <v>%</v>
      </c>
      <c r="S46" s="17">
        <v>0</v>
      </c>
      <c r="T46" s="15">
        <v>25</v>
      </c>
      <c r="U46" s="16" t="str">
        <f t="shared" si="3"/>
        <v>%</v>
      </c>
      <c r="V46" s="17">
        <v>812500</v>
      </c>
      <c r="W46" s="15">
        <v>25</v>
      </c>
      <c r="X46" s="16" t="str">
        <f t="shared" si="4"/>
        <v>%</v>
      </c>
      <c r="Y46" s="17">
        <v>1812500</v>
      </c>
      <c r="Z46" s="41">
        <f t="shared" si="5"/>
        <v>100</v>
      </c>
      <c r="AA46" s="16" t="str">
        <f t="shared" si="6"/>
        <v>%</v>
      </c>
      <c r="AB46" s="40">
        <f t="shared" si="7"/>
        <v>100</v>
      </c>
      <c r="AC46" s="26" t="s">
        <v>133</v>
      </c>
      <c r="AD46" s="32">
        <f t="shared" si="8"/>
        <v>2625000</v>
      </c>
      <c r="AE46" s="40">
        <f t="shared" si="9"/>
        <v>6.8181818181818175</v>
      </c>
      <c r="AF46" s="26" t="s">
        <v>133</v>
      </c>
      <c r="AG46" s="41"/>
      <c r="AH46" s="16"/>
      <c r="AI46" s="32"/>
      <c r="AJ46" s="40"/>
      <c r="AK46" s="26"/>
      <c r="AL46" s="40"/>
      <c r="AM46" s="11"/>
      <c r="AP46" s="19"/>
    </row>
    <row r="47" spans="1:42" ht="122.25" customHeight="1" x14ac:dyDescent="0.2">
      <c r="A47" s="26"/>
      <c r="B47" s="20"/>
      <c r="C47" s="66" t="s">
        <v>96</v>
      </c>
      <c r="D47" s="20" t="s">
        <v>144</v>
      </c>
      <c r="E47" s="15">
        <v>100</v>
      </c>
      <c r="F47" s="81" t="s">
        <v>133</v>
      </c>
      <c r="G47" s="17">
        <f>(97241200*2)+M47</f>
        <v>287832400</v>
      </c>
      <c r="H47" s="15">
        <v>100</v>
      </c>
      <c r="I47" s="81" t="s">
        <v>133</v>
      </c>
      <c r="J47" s="88"/>
      <c r="K47" s="15">
        <v>100</v>
      </c>
      <c r="L47" s="81" t="s">
        <v>133</v>
      </c>
      <c r="M47" s="17">
        <v>93350000</v>
      </c>
      <c r="N47" s="15">
        <v>25</v>
      </c>
      <c r="O47" s="81" t="str">
        <f t="shared" si="1"/>
        <v>%</v>
      </c>
      <c r="P47" s="17">
        <v>8510000</v>
      </c>
      <c r="Q47" s="15">
        <v>25</v>
      </c>
      <c r="R47" s="81" t="str">
        <f t="shared" si="2"/>
        <v>%</v>
      </c>
      <c r="S47" s="17">
        <v>0</v>
      </c>
      <c r="T47" s="15">
        <v>25</v>
      </c>
      <c r="U47" s="16" t="str">
        <f t="shared" si="3"/>
        <v>%</v>
      </c>
      <c r="V47" s="17">
        <v>15312500</v>
      </c>
      <c r="W47" s="15">
        <v>25</v>
      </c>
      <c r="X47" s="16" t="str">
        <f t="shared" si="4"/>
        <v>%</v>
      </c>
      <c r="Y47" s="17">
        <v>14183900</v>
      </c>
      <c r="Z47" s="41">
        <f t="shared" si="5"/>
        <v>100</v>
      </c>
      <c r="AA47" s="16" t="str">
        <f t="shared" si="6"/>
        <v>%</v>
      </c>
      <c r="AB47" s="40">
        <f t="shared" si="7"/>
        <v>100</v>
      </c>
      <c r="AC47" s="26" t="s">
        <v>133</v>
      </c>
      <c r="AD47" s="32">
        <f t="shared" si="8"/>
        <v>38006400</v>
      </c>
      <c r="AE47" s="40">
        <f t="shared" si="9"/>
        <v>40.713872522763793</v>
      </c>
      <c r="AF47" s="26" t="s">
        <v>133</v>
      </c>
      <c r="AG47" s="41"/>
      <c r="AH47" s="16"/>
      <c r="AI47" s="32"/>
      <c r="AJ47" s="40"/>
      <c r="AK47" s="26"/>
      <c r="AL47" s="40"/>
      <c r="AM47" s="11"/>
      <c r="AP47" s="19"/>
    </row>
    <row r="48" spans="1:42" ht="78.75" customHeight="1" x14ac:dyDescent="0.2">
      <c r="A48" s="44"/>
      <c r="B48" s="14"/>
      <c r="C48" s="66" t="s">
        <v>97</v>
      </c>
      <c r="D48" s="20" t="s">
        <v>145</v>
      </c>
      <c r="E48" s="15">
        <v>100</v>
      </c>
      <c r="F48" s="81" t="s">
        <v>133</v>
      </c>
      <c r="G48" s="17">
        <f>(41774700*2)+M48</f>
        <v>122479400</v>
      </c>
      <c r="H48" s="15">
        <v>100</v>
      </c>
      <c r="I48" s="81" t="s">
        <v>133</v>
      </c>
      <c r="J48" s="88"/>
      <c r="K48" s="15">
        <v>100</v>
      </c>
      <c r="L48" s="81" t="s">
        <v>133</v>
      </c>
      <c r="M48" s="17">
        <v>38930000</v>
      </c>
      <c r="N48" s="15">
        <v>25</v>
      </c>
      <c r="O48" s="81" t="str">
        <f t="shared" si="1"/>
        <v>%</v>
      </c>
      <c r="P48" s="17">
        <v>0</v>
      </c>
      <c r="Q48" s="15">
        <v>25</v>
      </c>
      <c r="R48" s="81" t="str">
        <f t="shared" si="2"/>
        <v>%</v>
      </c>
      <c r="S48" s="17">
        <v>0</v>
      </c>
      <c r="T48" s="15">
        <v>25</v>
      </c>
      <c r="U48" s="16" t="str">
        <f t="shared" si="3"/>
        <v>%</v>
      </c>
      <c r="V48" s="17">
        <v>0</v>
      </c>
      <c r="W48" s="15">
        <v>25</v>
      </c>
      <c r="X48" s="16" t="str">
        <f t="shared" si="4"/>
        <v>%</v>
      </c>
      <c r="Y48" s="17">
        <v>5911000</v>
      </c>
      <c r="Z48" s="41">
        <f t="shared" si="5"/>
        <v>100</v>
      </c>
      <c r="AA48" s="16" t="str">
        <f t="shared" si="6"/>
        <v>%</v>
      </c>
      <c r="AB48" s="40">
        <f t="shared" si="7"/>
        <v>100</v>
      </c>
      <c r="AC48" s="26" t="s">
        <v>133</v>
      </c>
      <c r="AD48" s="32">
        <f t="shared" si="8"/>
        <v>5911000</v>
      </c>
      <c r="AE48" s="40">
        <f t="shared" si="9"/>
        <v>15.183662984844592</v>
      </c>
      <c r="AF48" s="26" t="s">
        <v>133</v>
      </c>
      <c r="AG48" s="41"/>
      <c r="AH48" s="16"/>
      <c r="AI48" s="32"/>
      <c r="AJ48" s="40"/>
      <c r="AK48" s="26"/>
      <c r="AL48" s="40"/>
      <c r="AM48" s="11"/>
      <c r="AP48" s="19"/>
    </row>
    <row r="49" spans="1:42" ht="111.75" customHeight="1" x14ac:dyDescent="0.2">
      <c r="A49" s="37"/>
      <c r="B49" s="38"/>
      <c r="C49" s="68" t="s">
        <v>98</v>
      </c>
      <c r="D49" s="20" t="s">
        <v>189</v>
      </c>
      <c r="E49" s="15">
        <f>2/2*100</f>
        <v>100</v>
      </c>
      <c r="F49" s="81" t="s">
        <v>133</v>
      </c>
      <c r="G49" s="17">
        <f>(106050000*2)+M49</f>
        <v>317100000</v>
      </c>
      <c r="H49" s="15">
        <f>2/2*100</f>
        <v>100</v>
      </c>
      <c r="I49" s="81" t="s">
        <v>133</v>
      </c>
      <c r="J49" s="88"/>
      <c r="K49" s="15">
        <f>2/2*100</f>
        <v>100</v>
      </c>
      <c r="L49" s="81" t="s">
        <v>133</v>
      </c>
      <c r="M49" s="17">
        <v>105000000</v>
      </c>
      <c r="N49" s="15">
        <v>0</v>
      </c>
      <c r="O49" s="81" t="str">
        <f t="shared" si="1"/>
        <v>%</v>
      </c>
      <c r="P49" s="17">
        <v>0</v>
      </c>
      <c r="Q49" s="15">
        <f>1/2*100</f>
        <v>50</v>
      </c>
      <c r="R49" s="81" t="str">
        <f t="shared" si="2"/>
        <v>%</v>
      </c>
      <c r="S49" s="17">
        <v>35000000</v>
      </c>
      <c r="T49" s="15">
        <v>50</v>
      </c>
      <c r="U49" s="16" t="str">
        <f t="shared" si="3"/>
        <v>%</v>
      </c>
      <c r="V49" s="17">
        <v>0</v>
      </c>
      <c r="W49" s="15">
        <v>0</v>
      </c>
      <c r="X49" s="16" t="str">
        <f t="shared" si="4"/>
        <v>%</v>
      </c>
      <c r="Y49" s="17">
        <v>70000000</v>
      </c>
      <c r="Z49" s="41">
        <f t="shared" si="5"/>
        <v>100</v>
      </c>
      <c r="AA49" s="16" t="str">
        <f t="shared" si="6"/>
        <v>%</v>
      </c>
      <c r="AB49" s="40">
        <f t="shared" si="7"/>
        <v>100</v>
      </c>
      <c r="AC49" s="26" t="s">
        <v>133</v>
      </c>
      <c r="AD49" s="32">
        <f t="shared" si="8"/>
        <v>105000000</v>
      </c>
      <c r="AE49" s="40">
        <f t="shared" si="9"/>
        <v>100</v>
      </c>
      <c r="AF49" s="26" t="s">
        <v>133</v>
      </c>
      <c r="AG49" s="41"/>
      <c r="AH49" s="16"/>
      <c r="AI49" s="32"/>
      <c r="AJ49" s="40"/>
      <c r="AK49" s="26"/>
      <c r="AL49" s="40"/>
      <c r="AM49" s="11"/>
      <c r="AP49" s="19"/>
    </row>
    <row r="50" spans="1:42" s="84" customFormat="1" ht="120" customHeight="1" x14ac:dyDescent="0.25">
      <c r="A50" s="44"/>
      <c r="B50" s="14"/>
      <c r="C50" s="67" t="s">
        <v>99</v>
      </c>
      <c r="D50" s="14" t="s">
        <v>200</v>
      </c>
      <c r="E50" s="35">
        <v>100</v>
      </c>
      <c r="F50" s="79" t="s">
        <v>133</v>
      </c>
      <c r="G50" s="33">
        <f>SUM(G51:G56)</f>
        <v>478300000</v>
      </c>
      <c r="H50" s="35">
        <v>100</v>
      </c>
      <c r="I50" s="79" t="s">
        <v>133</v>
      </c>
      <c r="J50" s="88"/>
      <c r="K50" s="35">
        <v>100</v>
      </c>
      <c r="L50" s="79" t="s">
        <v>133</v>
      </c>
      <c r="M50" s="33">
        <f>SUM(M51:M56)</f>
        <v>141200000</v>
      </c>
      <c r="N50" s="35">
        <v>25</v>
      </c>
      <c r="O50" s="79" t="str">
        <f t="shared" si="1"/>
        <v>%</v>
      </c>
      <c r="P50" s="33">
        <f>SUM(P51:P56)</f>
        <v>0</v>
      </c>
      <c r="Q50" s="35">
        <v>25</v>
      </c>
      <c r="R50" s="79" t="str">
        <f t="shared" si="2"/>
        <v>%</v>
      </c>
      <c r="S50" s="33">
        <f>SUM(S51:S56)</f>
        <v>0</v>
      </c>
      <c r="T50" s="35">
        <v>25</v>
      </c>
      <c r="U50" s="36" t="str">
        <f t="shared" si="3"/>
        <v>%</v>
      </c>
      <c r="V50" s="33">
        <f>SUM(V51:V56)</f>
        <v>1500000</v>
      </c>
      <c r="W50" s="35">
        <v>25</v>
      </c>
      <c r="X50" s="36" t="str">
        <f t="shared" si="4"/>
        <v>%</v>
      </c>
      <c r="Y50" s="33">
        <f>SUM(Y51:Y56)</f>
        <v>55695675</v>
      </c>
      <c r="Z50" s="45">
        <f t="shared" si="5"/>
        <v>100</v>
      </c>
      <c r="AA50" s="36" t="str">
        <f t="shared" si="6"/>
        <v>%</v>
      </c>
      <c r="AB50" s="42">
        <f t="shared" si="7"/>
        <v>100</v>
      </c>
      <c r="AC50" s="44" t="s">
        <v>133</v>
      </c>
      <c r="AD50" s="43">
        <f t="shared" si="8"/>
        <v>57195675</v>
      </c>
      <c r="AE50" s="42">
        <f t="shared" si="9"/>
        <v>40.506851983002832</v>
      </c>
      <c r="AF50" s="44" t="s">
        <v>133</v>
      </c>
      <c r="AG50" s="45"/>
      <c r="AH50" s="36"/>
      <c r="AI50" s="43"/>
      <c r="AJ50" s="42"/>
      <c r="AK50" s="44"/>
      <c r="AL50" s="42"/>
      <c r="AM50" s="83"/>
      <c r="AP50" s="85"/>
    </row>
    <row r="51" spans="1:42" ht="74.45" customHeight="1" x14ac:dyDescent="0.2">
      <c r="A51" s="44"/>
      <c r="B51" s="14"/>
      <c r="C51" s="66" t="s">
        <v>100</v>
      </c>
      <c r="D51" s="20" t="s">
        <v>188</v>
      </c>
      <c r="E51" s="15">
        <v>100</v>
      </c>
      <c r="F51" s="81" t="s">
        <v>133</v>
      </c>
      <c r="G51" s="17">
        <f>(29375000*2)+M51</f>
        <v>86250000</v>
      </c>
      <c r="H51" s="15">
        <v>100</v>
      </c>
      <c r="I51" s="81" t="s">
        <v>133</v>
      </c>
      <c r="J51" s="88"/>
      <c r="K51" s="15">
        <v>100</v>
      </c>
      <c r="L51" s="81" t="s">
        <v>133</v>
      </c>
      <c r="M51" s="17">
        <v>27500000</v>
      </c>
      <c r="N51" s="15">
        <v>25</v>
      </c>
      <c r="O51" s="81" t="str">
        <f t="shared" si="1"/>
        <v>%</v>
      </c>
      <c r="P51" s="17">
        <v>0</v>
      </c>
      <c r="Q51" s="15">
        <v>25</v>
      </c>
      <c r="R51" s="81" t="str">
        <f t="shared" si="2"/>
        <v>%</v>
      </c>
      <c r="S51" s="17">
        <v>0</v>
      </c>
      <c r="T51" s="15">
        <v>25</v>
      </c>
      <c r="U51" s="16" t="str">
        <f t="shared" si="3"/>
        <v>%</v>
      </c>
      <c r="V51" s="17">
        <v>0</v>
      </c>
      <c r="W51" s="15">
        <v>25</v>
      </c>
      <c r="X51" s="16" t="str">
        <f t="shared" si="4"/>
        <v>%</v>
      </c>
      <c r="Y51" s="17">
        <v>6410000</v>
      </c>
      <c r="Z51" s="41">
        <f t="shared" si="5"/>
        <v>100</v>
      </c>
      <c r="AA51" s="16" t="str">
        <f t="shared" si="6"/>
        <v>%</v>
      </c>
      <c r="AB51" s="40">
        <f t="shared" si="7"/>
        <v>100</v>
      </c>
      <c r="AC51" s="26" t="s">
        <v>133</v>
      </c>
      <c r="AD51" s="32">
        <f t="shared" si="8"/>
        <v>6410000</v>
      </c>
      <c r="AE51" s="40">
        <f t="shared" si="9"/>
        <v>23.309090909090909</v>
      </c>
      <c r="AF51" s="26" t="s">
        <v>133</v>
      </c>
      <c r="AG51" s="41"/>
      <c r="AH51" s="16"/>
      <c r="AI51" s="32"/>
      <c r="AJ51" s="40"/>
      <c r="AK51" s="26"/>
      <c r="AL51" s="40"/>
      <c r="AM51" s="11"/>
      <c r="AP51" s="19"/>
    </row>
    <row r="52" spans="1:42" ht="90.6" customHeight="1" x14ac:dyDescent="0.2">
      <c r="A52" s="44"/>
      <c r="B52" s="14"/>
      <c r="C52" s="66" t="s">
        <v>101</v>
      </c>
      <c r="D52" s="20" t="s">
        <v>205</v>
      </c>
      <c r="E52" s="15">
        <v>100</v>
      </c>
      <c r="F52" s="81" t="s">
        <v>133</v>
      </c>
      <c r="G52" s="17">
        <f t="shared" ref="G52:G54" si="11">(29375000*2)+M52</f>
        <v>86250000</v>
      </c>
      <c r="H52" s="15">
        <v>100</v>
      </c>
      <c r="I52" s="81" t="s">
        <v>133</v>
      </c>
      <c r="J52" s="88"/>
      <c r="K52" s="15">
        <v>100</v>
      </c>
      <c r="L52" s="81" t="s">
        <v>133</v>
      </c>
      <c r="M52" s="17">
        <v>27500000</v>
      </c>
      <c r="N52" s="15">
        <v>25</v>
      </c>
      <c r="O52" s="81" t="str">
        <f t="shared" si="1"/>
        <v>%</v>
      </c>
      <c r="P52" s="17">
        <v>0</v>
      </c>
      <c r="Q52" s="15">
        <v>25</v>
      </c>
      <c r="R52" s="79" t="str">
        <f t="shared" si="2"/>
        <v>%</v>
      </c>
      <c r="S52" s="17">
        <v>0</v>
      </c>
      <c r="T52" s="15">
        <v>25</v>
      </c>
      <c r="U52" s="16" t="str">
        <f t="shared" si="3"/>
        <v>%</v>
      </c>
      <c r="V52" s="17">
        <v>0</v>
      </c>
      <c r="W52" s="15">
        <v>25</v>
      </c>
      <c r="X52" s="16" t="str">
        <f t="shared" si="4"/>
        <v>%</v>
      </c>
      <c r="Y52" s="17">
        <v>4115000</v>
      </c>
      <c r="Z52" s="41">
        <f t="shared" si="5"/>
        <v>100</v>
      </c>
      <c r="AA52" s="16" t="str">
        <f t="shared" si="6"/>
        <v>%</v>
      </c>
      <c r="AB52" s="40">
        <f t="shared" si="7"/>
        <v>100</v>
      </c>
      <c r="AC52" s="26" t="s">
        <v>133</v>
      </c>
      <c r="AD52" s="32">
        <f t="shared" si="8"/>
        <v>4115000</v>
      </c>
      <c r="AE52" s="40">
        <f t="shared" si="9"/>
        <v>14.963636363636363</v>
      </c>
      <c r="AF52" s="26" t="s">
        <v>133</v>
      </c>
      <c r="AG52" s="41"/>
      <c r="AH52" s="16"/>
      <c r="AI52" s="32"/>
      <c r="AJ52" s="40"/>
      <c r="AK52" s="26"/>
      <c r="AL52" s="40"/>
      <c r="AM52" s="11"/>
      <c r="AP52" s="19"/>
    </row>
    <row r="53" spans="1:42" ht="72" customHeight="1" x14ac:dyDescent="0.2">
      <c r="A53" s="44"/>
      <c r="B53" s="14"/>
      <c r="C53" s="66" t="s">
        <v>102</v>
      </c>
      <c r="D53" s="20" t="s">
        <v>191</v>
      </c>
      <c r="E53" s="15">
        <v>100</v>
      </c>
      <c r="F53" s="81" t="s">
        <v>133</v>
      </c>
      <c r="G53" s="17">
        <f>(46650000*2)+M53</f>
        <v>126050000</v>
      </c>
      <c r="H53" s="15">
        <v>100</v>
      </c>
      <c r="I53" s="81" t="s">
        <v>133</v>
      </c>
      <c r="J53" s="88"/>
      <c r="K53" s="15">
        <v>100</v>
      </c>
      <c r="L53" s="81" t="s">
        <v>133</v>
      </c>
      <c r="M53" s="17">
        <v>32750000</v>
      </c>
      <c r="N53" s="15">
        <v>25</v>
      </c>
      <c r="O53" s="81" t="str">
        <f t="shared" si="1"/>
        <v>%</v>
      </c>
      <c r="P53" s="17">
        <v>0</v>
      </c>
      <c r="Q53" s="15">
        <v>25</v>
      </c>
      <c r="R53" s="79" t="str">
        <f t="shared" si="2"/>
        <v>%</v>
      </c>
      <c r="S53" s="17">
        <v>0</v>
      </c>
      <c r="T53" s="15">
        <v>25</v>
      </c>
      <c r="U53" s="16" t="str">
        <f t="shared" si="3"/>
        <v>%</v>
      </c>
      <c r="V53" s="17">
        <v>0</v>
      </c>
      <c r="W53" s="15">
        <v>25</v>
      </c>
      <c r="X53" s="16" t="str">
        <f t="shared" si="4"/>
        <v>%</v>
      </c>
      <c r="Y53" s="17">
        <v>25761675</v>
      </c>
      <c r="Z53" s="41">
        <f t="shared" si="5"/>
        <v>100</v>
      </c>
      <c r="AA53" s="16" t="str">
        <f t="shared" si="6"/>
        <v>%</v>
      </c>
      <c r="AB53" s="40">
        <f t="shared" si="7"/>
        <v>100</v>
      </c>
      <c r="AC53" s="26" t="s">
        <v>133</v>
      </c>
      <c r="AD53" s="32">
        <f t="shared" si="8"/>
        <v>25761675</v>
      </c>
      <c r="AE53" s="40">
        <f t="shared" si="9"/>
        <v>78.661603053435115</v>
      </c>
      <c r="AF53" s="26" t="s">
        <v>133</v>
      </c>
      <c r="AG53" s="41"/>
      <c r="AH53" s="16"/>
      <c r="AI53" s="32"/>
      <c r="AJ53" s="40"/>
      <c r="AK53" s="26"/>
      <c r="AL53" s="40"/>
      <c r="AM53" s="11"/>
      <c r="AP53" s="19"/>
    </row>
    <row r="54" spans="1:42" ht="63" customHeight="1" x14ac:dyDescent="0.2">
      <c r="A54" s="44"/>
      <c r="B54" s="14"/>
      <c r="C54" s="66" t="s">
        <v>103</v>
      </c>
      <c r="D54" s="20" t="s">
        <v>192</v>
      </c>
      <c r="E54" s="15">
        <v>100</v>
      </c>
      <c r="F54" s="81" t="s">
        <v>133</v>
      </c>
      <c r="G54" s="17">
        <f t="shared" si="11"/>
        <v>86250000</v>
      </c>
      <c r="H54" s="15">
        <v>100</v>
      </c>
      <c r="I54" s="81" t="s">
        <v>133</v>
      </c>
      <c r="J54" s="88"/>
      <c r="K54" s="15">
        <v>100</v>
      </c>
      <c r="L54" s="81" t="s">
        <v>133</v>
      </c>
      <c r="M54" s="17">
        <v>27500000</v>
      </c>
      <c r="N54" s="15">
        <v>25</v>
      </c>
      <c r="O54" s="81" t="str">
        <f t="shared" si="1"/>
        <v>%</v>
      </c>
      <c r="P54" s="17">
        <v>0</v>
      </c>
      <c r="Q54" s="15">
        <v>25</v>
      </c>
      <c r="R54" s="79" t="str">
        <f t="shared" si="2"/>
        <v>%</v>
      </c>
      <c r="S54" s="17">
        <v>0</v>
      </c>
      <c r="T54" s="15">
        <v>25</v>
      </c>
      <c r="U54" s="16" t="str">
        <f t="shared" si="3"/>
        <v>%</v>
      </c>
      <c r="V54" s="17">
        <v>0</v>
      </c>
      <c r="W54" s="15">
        <v>25</v>
      </c>
      <c r="X54" s="16" t="str">
        <f t="shared" si="4"/>
        <v>%</v>
      </c>
      <c r="Y54" s="17">
        <v>12396500</v>
      </c>
      <c r="Z54" s="41">
        <f t="shared" si="5"/>
        <v>100</v>
      </c>
      <c r="AA54" s="16" t="str">
        <f t="shared" si="6"/>
        <v>%</v>
      </c>
      <c r="AB54" s="40">
        <f t="shared" si="7"/>
        <v>100</v>
      </c>
      <c r="AC54" s="26" t="s">
        <v>133</v>
      </c>
      <c r="AD54" s="32">
        <f t="shared" si="8"/>
        <v>12396500</v>
      </c>
      <c r="AE54" s="40">
        <f t="shared" si="9"/>
        <v>45.078181818181818</v>
      </c>
      <c r="AF54" s="26" t="s">
        <v>133</v>
      </c>
      <c r="AG54" s="41"/>
      <c r="AH54" s="16"/>
      <c r="AI54" s="32"/>
      <c r="AJ54" s="40"/>
      <c r="AK54" s="26"/>
      <c r="AL54" s="40"/>
      <c r="AM54" s="11"/>
      <c r="AP54" s="19"/>
    </row>
    <row r="55" spans="1:42" ht="90" customHeight="1" x14ac:dyDescent="0.2">
      <c r="A55" s="44"/>
      <c r="B55" s="14"/>
      <c r="C55" s="66" t="s">
        <v>104</v>
      </c>
      <c r="D55" s="20" t="s">
        <v>187</v>
      </c>
      <c r="E55" s="15">
        <v>100</v>
      </c>
      <c r="F55" s="81" t="s">
        <v>133</v>
      </c>
      <c r="G55" s="17">
        <f>(15937500*2)+M55</f>
        <v>46850000</v>
      </c>
      <c r="H55" s="15">
        <v>100</v>
      </c>
      <c r="I55" s="81" t="s">
        <v>133</v>
      </c>
      <c r="J55" s="88"/>
      <c r="K55" s="15">
        <v>100</v>
      </c>
      <c r="L55" s="81" t="s">
        <v>133</v>
      </c>
      <c r="M55" s="17">
        <v>14975000</v>
      </c>
      <c r="N55" s="15">
        <v>25</v>
      </c>
      <c r="O55" s="81" t="str">
        <f t="shared" si="1"/>
        <v>%</v>
      </c>
      <c r="P55" s="17">
        <v>0</v>
      </c>
      <c r="Q55" s="15">
        <v>25</v>
      </c>
      <c r="R55" s="79" t="str">
        <f t="shared" si="2"/>
        <v>%</v>
      </c>
      <c r="S55" s="17">
        <v>0</v>
      </c>
      <c r="T55" s="15">
        <v>25</v>
      </c>
      <c r="U55" s="16" t="str">
        <f t="shared" si="3"/>
        <v>%</v>
      </c>
      <c r="V55" s="17">
        <v>0</v>
      </c>
      <c r="W55" s="15">
        <v>25</v>
      </c>
      <c r="X55" s="16" t="str">
        <f t="shared" si="4"/>
        <v>%</v>
      </c>
      <c r="Y55" s="17">
        <v>0</v>
      </c>
      <c r="Z55" s="41">
        <f t="shared" si="5"/>
        <v>100</v>
      </c>
      <c r="AA55" s="16" t="str">
        <f t="shared" si="6"/>
        <v>%</v>
      </c>
      <c r="AB55" s="40">
        <f t="shared" si="7"/>
        <v>100</v>
      </c>
      <c r="AC55" s="26" t="s">
        <v>133</v>
      </c>
      <c r="AD55" s="32">
        <f t="shared" si="8"/>
        <v>0</v>
      </c>
      <c r="AE55" s="40">
        <f t="shared" si="9"/>
        <v>0</v>
      </c>
      <c r="AF55" s="26" t="s">
        <v>133</v>
      </c>
      <c r="AG55" s="41"/>
      <c r="AH55" s="16"/>
      <c r="AI55" s="32"/>
      <c r="AJ55" s="40"/>
      <c r="AK55" s="26"/>
      <c r="AL55" s="40"/>
      <c r="AM55" s="11"/>
      <c r="AP55" s="19"/>
    </row>
    <row r="56" spans="1:42" ht="99.95" customHeight="1" x14ac:dyDescent="0.2">
      <c r="A56" s="44"/>
      <c r="B56" s="14"/>
      <c r="C56" s="66" t="s">
        <v>105</v>
      </c>
      <c r="D56" s="20" t="s">
        <v>186</v>
      </c>
      <c r="E56" s="15">
        <v>100</v>
      </c>
      <c r="F56" s="81" t="s">
        <v>133</v>
      </c>
      <c r="G56" s="17">
        <f>(17837500*2)+M56</f>
        <v>46650000</v>
      </c>
      <c r="H56" s="15">
        <v>100</v>
      </c>
      <c r="I56" s="81" t="s">
        <v>133</v>
      </c>
      <c r="J56" s="88"/>
      <c r="K56" s="15">
        <v>100</v>
      </c>
      <c r="L56" s="81" t="s">
        <v>133</v>
      </c>
      <c r="M56" s="17">
        <v>10975000</v>
      </c>
      <c r="N56" s="15">
        <v>25</v>
      </c>
      <c r="O56" s="81" t="str">
        <f t="shared" si="1"/>
        <v>%</v>
      </c>
      <c r="P56" s="17">
        <v>0</v>
      </c>
      <c r="Q56" s="15">
        <v>25</v>
      </c>
      <c r="R56" s="79" t="str">
        <f t="shared" si="2"/>
        <v>%</v>
      </c>
      <c r="S56" s="17">
        <v>0</v>
      </c>
      <c r="T56" s="15">
        <v>25</v>
      </c>
      <c r="U56" s="16" t="str">
        <f t="shared" si="3"/>
        <v>%</v>
      </c>
      <c r="V56" s="17">
        <v>1500000</v>
      </c>
      <c r="W56" s="15">
        <v>25</v>
      </c>
      <c r="X56" s="16" t="str">
        <f t="shared" si="4"/>
        <v>%</v>
      </c>
      <c r="Y56" s="17">
        <v>7012500</v>
      </c>
      <c r="Z56" s="41">
        <f t="shared" si="5"/>
        <v>100</v>
      </c>
      <c r="AA56" s="16" t="str">
        <f t="shared" si="6"/>
        <v>%</v>
      </c>
      <c r="AB56" s="40">
        <f t="shared" si="7"/>
        <v>100</v>
      </c>
      <c r="AC56" s="26" t="s">
        <v>133</v>
      </c>
      <c r="AD56" s="32">
        <f t="shared" si="8"/>
        <v>8512500</v>
      </c>
      <c r="AE56" s="40">
        <f t="shared" si="9"/>
        <v>77.562642369020494</v>
      </c>
      <c r="AF56" s="26" t="s">
        <v>133</v>
      </c>
      <c r="AG56" s="41"/>
      <c r="AH56" s="16"/>
      <c r="AI56" s="32"/>
      <c r="AJ56" s="40"/>
      <c r="AK56" s="26"/>
      <c r="AL56" s="40"/>
      <c r="AM56" s="11"/>
      <c r="AP56" s="19"/>
    </row>
    <row r="57" spans="1:42" ht="111.95" customHeight="1" x14ac:dyDescent="0.2">
      <c r="A57" s="44"/>
      <c r="B57" s="14"/>
      <c r="C57" s="70" t="s">
        <v>106</v>
      </c>
      <c r="D57" s="14" t="s">
        <v>146</v>
      </c>
      <c r="E57" s="35">
        <v>100</v>
      </c>
      <c r="F57" s="79" t="s">
        <v>133</v>
      </c>
      <c r="G57" s="33">
        <f>SUM(G59:G64)</f>
        <v>125000000</v>
      </c>
      <c r="H57" s="35">
        <v>100</v>
      </c>
      <c r="I57" s="79" t="s">
        <v>133</v>
      </c>
      <c r="J57" s="88"/>
      <c r="K57" s="35">
        <v>100</v>
      </c>
      <c r="L57" s="79" t="s">
        <v>133</v>
      </c>
      <c r="M57" s="33">
        <f>SUM(M58:M64)</f>
        <v>73350000</v>
      </c>
      <c r="N57" s="35">
        <v>25</v>
      </c>
      <c r="O57" s="79" t="str">
        <f t="shared" si="1"/>
        <v>%</v>
      </c>
      <c r="P57" s="33">
        <f>SUM(P58:P64)</f>
        <v>1137000</v>
      </c>
      <c r="Q57" s="35">
        <v>25</v>
      </c>
      <c r="R57" s="79" t="str">
        <f t="shared" si="2"/>
        <v>%</v>
      </c>
      <c r="S57" s="33">
        <f>SUM(S58:S64)</f>
        <v>0</v>
      </c>
      <c r="T57" s="35">
        <v>25</v>
      </c>
      <c r="U57" s="36" t="str">
        <f t="shared" si="3"/>
        <v>%</v>
      </c>
      <c r="V57" s="33">
        <f>SUM(V58:V64)</f>
        <v>7225000</v>
      </c>
      <c r="W57" s="35">
        <v>25</v>
      </c>
      <c r="X57" s="36" t="str">
        <f t="shared" si="4"/>
        <v>%</v>
      </c>
      <c r="Y57" s="33">
        <f>SUM(Y58:Y64)</f>
        <v>8129000</v>
      </c>
      <c r="Z57" s="45">
        <f t="shared" si="5"/>
        <v>100</v>
      </c>
      <c r="AA57" s="36" t="str">
        <f t="shared" si="6"/>
        <v>%</v>
      </c>
      <c r="AB57" s="42">
        <f t="shared" si="7"/>
        <v>100</v>
      </c>
      <c r="AC57" s="44" t="s">
        <v>133</v>
      </c>
      <c r="AD57" s="43">
        <f t="shared" si="8"/>
        <v>16491000</v>
      </c>
      <c r="AE57" s="42">
        <f t="shared" si="9"/>
        <v>22.482617586912067</v>
      </c>
      <c r="AF57" s="44" t="s">
        <v>133</v>
      </c>
      <c r="AG57" s="45"/>
      <c r="AH57" s="36"/>
      <c r="AI57" s="43"/>
      <c r="AJ57" s="42"/>
      <c r="AK57" s="44"/>
      <c r="AL57" s="42"/>
      <c r="AM57" s="11"/>
      <c r="AP57" s="19"/>
    </row>
    <row r="58" spans="1:42" ht="146.1" customHeight="1" x14ac:dyDescent="0.2">
      <c r="A58" s="44"/>
      <c r="B58" s="14"/>
      <c r="C58" s="66" t="s">
        <v>107</v>
      </c>
      <c r="D58" s="20" t="s">
        <v>147</v>
      </c>
      <c r="E58" s="15">
        <v>100</v>
      </c>
      <c r="F58" s="81" t="s">
        <v>133</v>
      </c>
      <c r="G58" s="17">
        <f>(7900000*2)+M58</f>
        <v>26150000</v>
      </c>
      <c r="H58" s="15">
        <v>100</v>
      </c>
      <c r="I58" s="81" t="s">
        <v>133</v>
      </c>
      <c r="J58" s="88"/>
      <c r="K58" s="15">
        <v>100</v>
      </c>
      <c r="L58" s="81" t="s">
        <v>133</v>
      </c>
      <c r="M58" s="17">
        <v>10350000</v>
      </c>
      <c r="N58" s="15">
        <v>25</v>
      </c>
      <c r="O58" s="81" t="str">
        <f t="shared" si="1"/>
        <v>%</v>
      </c>
      <c r="P58" s="17">
        <v>0</v>
      </c>
      <c r="Q58" s="15">
        <v>25</v>
      </c>
      <c r="R58" s="81" t="str">
        <f t="shared" si="2"/>
        <v>%</v>
      </c>
      <c r="S58" s="17">
        <v>0</v>
      </c>
      <c r="T58" s="15">
        <v>25</v>
      </c>
      <c r="U58" s="16" t="str">
        <f t="shared" si="3"/>
        <v>%</v>
      </c>
      <c r="V58" s="17">
        <v>4100000</v>
      </c>
      <c r="W58" s="15">
        <v>25</v>
      </c>
      <c r="X58" s="16" t="str">
        <f t="shared" si="4"/>
        <v>%</v>
      </c>
      <c r="Y58" s="17">
        <v>312500</v>
      </c>
      <c r="Z58" s="41">
        <f t="shared" si="5"/>
        <v>100</v>
      </c>
      <c r="AA58" s="16" t="str">
        <f t="shared" si="6"/>
        <v>%</v>
      </c>
      <c r="AB58" s="40">
        <f t="shared" si="7"/>
        <v>100</v>
      </c>
      <c r="AC58" s="26" t="s">
        <v>133</v>
      </c>
      <c r="AD58" s="32">
        <f t="shared" si="8"/>
        <v>4412500</v>
      </c>
      <c r="AE58" s="40">
        <f t="shared" si="9"/>
        <v>42.632850241545896</v>
      </c>
      <c r="AF58" s="26" t="s">
        <v>133</v>
      </c>
      <c r="AG58" s="41"/>
      <c r="AH58" s="16"/>
      <c r="AI58" s="32"/>
      <c r="AJ58" s="40"/>
      <c r="AK58" s="26"/>
      <c r="AL58" s="40"/>
      <c r="AM58" s="11"/>
      <c r="AP58" s="19"/>
    </row>
    <row r="59" spans="1:42" ht="135.6" customHeight="1" x14ac:dyDescent="0.2">
      <c r="A59" s="44"/>
      <c r="B59" s="14"/>
      <c r="C59" s="66" t="s">
        <v>108</v>
      </c>
      <c r="D59" s="20" t="s">
        <v>148</v>
      </c>
      <c r="E59" s="15">
        <v>100</v>
      </c>
      <c r="F59" s="81" t="s">
        <v>133</v>
      </c>
      <c r="G59" s="17">
        <f>(4200000*2)+M59</f>
        <v>25150000</v>
      </c>
      <c r="H59" s="15">
        <v>100</v>
      </c>
      <c r="I59" s="81" t="s">
        <v>133</v>
      </c>
      <c r="J59" s="88"/>
      <c r="K59" s="15">
        <v>100</v>
      </c>
      <c r="L59" s="81" t="s">
        <v>133</v>
      </c>
      <c r="M59" s="17">
        <v>16750000</v>
      </c>
      <c r="N59" s="15">
        <v>25</v>
      </c>
      <c r="O59" s="81" t="str">
        <f t="shared" si="1"/>
        <v>%</v>
      </c>
      <c r="P59" s="17">
        <v>0</v>
      </c>
      <c r="Q59" s="15">
        <v>25</v>
      </c>
      <c r="R59" s="81" t="str">
        <f t="shared" si="2"/>
        <v>%</v>
      </c>
      <c r="S59" s="17">
        <v>0</v>
      </c>
      <c r="T59" s="15">
        <v>25</v>
      </c>
      <c r="U59" s="16" t="str">
        <f t="shared" si="3"/>
        <v>%</v>
      </c>
      <c r="V59" s="17">
        <v>0</v>
      </c>
      <c r="W59" s="15">
        <v>25</v>
      </c>
      <c r="X59" s="16" t="str">
        <f t="shared" si="4"/>
        <v>%</v>
      </c>
      <c r="Y59" s="17">
        <v>3337500</v>
      </c>
      <c r="Z59" s="41">
        <f t="shared" si="5"/>
        <v>100</v>
      </c>
      <c r="AA59" s="16" t="str">
        <f t="shared" si="6"/>
        <v>%</v>
      </c>
      <c r="AB59" s="40">
        <f t="shared" si="7"/>
        <v>100</v>
      </c>
      <c r="AC59" s="26" t="s">
        <v>133</v>
      </c>
      <c r="AD59" s="32">
        <f t="shared" si="8"/>
        <v>3337500</v>
      </c>
      <c r="AE59" s="40">
        <f t="shared" si="9"/>
        <v>19.925373134328357</v>
      </c>
      <c r="AF59" s="26" t="s">
        <v>133</v>
      </c>
      <c r="AG59" s="41"/>
      <c r="AH59" s="16"/>
      <c r="AI59" s="32"/>
      <c r="AJ59" s="40"/>
      <c r="AK59" s="26"/>
      <c r="AL59" s="40"/>
      <c r="AM59" s="11"/>
      <c r="AP59" s="19"/>
    </row>
    <row r="60" spans="1:42" ht="169.5" customHeight="1" x14ac:dyDescent="0.2">
      <c r="A60" s="44"/>
      <c r="B60" s="14"/>
      <c r="C60" s="66" t="s">
        <v>109</v>
      </c>
      <c r="D60" s="20" t="s">
        <v>149</v>
      </c>
      <c r="E60" s="15">
        <v>100</v>
      </c>
      <c r="F60" s="81" t="s">
        <v>133</v>
      </c>
      <c r="G60" s="17">
        <f>(5600000*2)+M60</f>
        <v>19875000</v>
      </c>
      <c r="H60" s="15">
        <v>100</v>
      </c>
      <c r="I60" s="81" t="s">
        <v>133</v>
      </c>
      <c r="J60" s="88"/>
      <c r="K60" s="15">
        <v>100</v>
      </c>
      <c r="L60" s="81" t="s">
        <v>133</v>
      </c>
      <c r="M60" s="17">
        <v>8675000</v>
      </c>
      <c r="N60" s="15">
        <v>25</v>
      </c>
      <c r="O60" s="81" t="str">
        <f t="shared" si="1"/>
        <v>%</v>
      </c>
      <c r="P60" s="17">
        <v>0</v>
      </c>
      <c r="Q60" s="15">
        <v>25</v>
      </c>
      <c r="R60" s="81" t="str">
        <f t="shared" si="2"/>
        <v>%</v>
      </c>
      <c r="S60" s="17">
        <v>0</v>
      </c>
      <c r="T60" s="15">
        <v>25</v>
      </c>
      <c r="U60" s="16" t="str">
        <f t="shared" si="3"/>
        <v>%</v>
      </c>
      <c r="V60" s="17">
        <v>125000</v>
      </c>
      <c r="W60" s="15">
        <v>25</v>
      </c>
      <c r="X60" s="16" t="str">
        <f t="shared" si="4"/>
        <v>%</v>
      </c>
      <c r="Y60" s="17">
        <v>0</v>
      </c>
      <c r="Z60" s="41">
        <f t="shared" si="5"/>
        <v>100</v>
      </c>
      <c r="AA60" s="16" t="str">
        <f t="shared" si="6"/>
        <v>%</v>
      </c>
      <c r="AB60" s="40">
        <f t="shared" si="7"/>
        <v>100</v>
      </c>
      <c r="AC60" s="26" t="s">
        <v>133</v>
      </c>
      <c r="AD60" s="32">
        <f t="shared" si="8"/>
        <v>125000</v>
      </c>
      <c r="AE60" s="40">
        <f t="shared" si="9"/>
        <v>1.4409221902017291</v>
      </c>
      <c r="AF60" s="26" t="s">
        <v>133</v>
      </c>
      <c r="AG60" s="41"/>
      <c r="AH60" s="16"/>
      <c r="AI60" s="32"/>
      <c r="AJ60" s="40"/>
      <c r="AK60" s="26"/>
      <c r="AL60" s="40"/>
      <c r="AM60" s="11"/>
      <c r="AP60" s="19"/>
    </row>
    <row r="61" spans="1:42" ht="172.5" customHeight="1" x14ac:dyDescent="0.2">
      <c r="A61" s="44"/>
      <c r="B61" s="14"/>
      <c r="C61" s="66" t="s">
        <v>110</v>
      </c>
      <c r="D61" s="20" t="s">
        <v>185</v>
      </c>
      <c r="E61" s="15">
        <v>100</v>
      </c>
      <c r="F61" s="81" t="s">
        <v>133</v>
      </c>
      <c r="G61" s="17">
        <f t="shared" ref="G61:G62" si="12">(5600000*2)+M61</f>
        <v>19875000</v>
      </c>
      <c r="H61" s="15">
        <v>100</v>
      </c>
      <c r="I61" s="81" t="s">
        <v>133</v>
      </c>
      <c r="J61" s="88"/>
      <c r="K61" s="15">
        <v>100</v>
      </c>
      <c r="L61" s="81" t="s">
        <v>133</v>
      </c>
      <c r="M61" s="17">
        <v>8675000</v>
      </c>
      <c r="N61" s="15">
        <v>25</v>
      </c>
      <c r="O61" s="81" t="str">
        <f t="shared" si="1"/>
        <v>%</v>
      </c>
      <c r="P61" s="17">
        <v>0</v>
      </c>
      <c r="Q61" s="15">
        <v>25</v>
      </c>
      <c r="R61" s="81" t="str">
        <f t="shared" si="2"/>
        <v>%</v>
      </c>
      <c r="S61" s="17">
        <v>0</v>
      </c>
      <c r="T61" s="15">
        <v>25</v>
      </c>
      <c r="U61" s="16" t="str">
        <f t="shared" si="3"/>
        <v>%</v>
      </c>
      <c r="V61" s="17">
        <v>0</v>
      </c>
      <c r="W61" s="15">
        <v>25</v>
      </c>
      <c r="X61" s="16" t="str">
        <f t="shared" si="4"/>
        <v>%</v>
      </c>
      <c r="Y61" s="17">
        <v>0</v>
      </c>
      <c r="Z61" s="41">
        <f t="shared" si="5"/>
        <v>100</v>
      </c>
      <c r="AA61" s="16" t="str">
        <f t="shared" si="6"/>
        <v>%</v>
      </c>
      <c r="AB61" s="40">
        <f t="shared" si="7"/>
        <v>100</v>
      </c>
      <c r="AC61" s="26" t="s">
        <v>133</v>
      </c>
      <c r="AD61" s="32">
        <f t="shared" si="8"/>
        <v>0</v>
      </c>
      <c r="AE61" s="40">
        <f t="shared" si="9"/>
        <v>0</v>
      </c>
      <c r="AF61" s="26" t="s">
        <v>133</v>
      </c>
      <c r="AG61" s="41"/>
      <c r="AH61" s="16"/>
      <c r="AI61" s="32"/>
      <c r="AJ61" s="40"/>
      <c r="AK61" s="26"/>
      <c r="AL61" s="40"/>
      <c r="AM61" s="11"/>
      <c r="AP61" s="19"/>
    </row>
    <row r="62" spans="1:42" ht="191.25" customHeight="1" x14ac:dyDescent="0.2">
      <c r="A62" s="44"/>
      <c r="B62" s="14"/>
      <c r="C62" s="66" t="s">
        <v>111</v>
      </c>
      <c r="D62" s="20" t="s">
        <v>157</v>
      </c>
      <c r="E62" s="15">
        <v>100</v>
      </c>
      <c r="F62" s="81" t="s">
        <v>133</v>
      </c>
      <c r="G62" s="17">
        <f t="shared" si="12"/>
        <v>19500000</v>
      </c>
      <c r="H62" s="15">
        <v>100</v>
      </c>
      <c r="I62" s="81" t="s">
        <v>133</v>
      </c>
      <c r="J62" s="88"/>
      <c r="K62" s="15">
        <v>100</v>
      </c>
      <c r="L62" s="81" t="s">
        <v>133</v>
      </c>
      <c r="M62" s="17">
        <v>8300000</v>
      </c>
      <c r="N62" s="15">
        <v>25</v>
      </c>
      <c r="O62" s="81" t="str">
        <f t="shared" si="1"/>
        <v>%</v>
      </c>
      <c r="P62" s="17">
        <v>0</v>
      </c>
      <c r="Q62" s="15">
        <v>25</v>
      </c>
      <c r="R62" s="81" t="str">
        <f t="shared" si="2"/>
        <v>%</v>
      </c>
      <c r="S62" s="17">
        <v>0</v>
      </c>
      <c r="T62" s="15">
        <v>25</v>
      </c>
      <c r="U62" s="16" t="str">
        <f t="shared" si="3"/>
        <v>%</v>
      </c>
      <c r="V62" s="17">
        <v>0</v>
      </c>
      <c r="W62" s="15">
        <v>25</v>
      </c>
      <c r="X62" s="16" t="str">
        <f t="shared" si="4"/>
        <v>%</v>
      </c>
      <c r="Y62" s="17">
        <v>0</v>
      </c>
      <c r="Z62" s="41">
        <f t="shared" si="5"/>
        <v>100</v>
      </c>
      <c r="AA62" s="16" t="str">
        <f t="shared" si="6"/>
        <v>%</v>
      </c>
      <c r="AB62" s="40">
        <f t="shared" si="7"/>
        <v>100</v>
      </c>
      <c r="AC62" s="26" t="s">
        <v>133</v>
      </c>
      <c r="AD62" s="32">
        <f t="shared" si="8"/>
        <v>0</v>
      </c>
      <c r="AE62" s="40">
        <f t="shared" si="9"/>
        <v>0</v>
      </c>
      <c r="AF62" s="26" t="s">
        <v>133</v>
      </c>
      <c r="AG62" s="41"/>
      <c r="AH62" s="16"/>
      <c r="AI62" s="32"/>
      <c r="AJ62" s="40"/>
      <c r="AK62" s="26"/>
      <c r="AL62" s="40"/>
      <c r="AM62" s="11"/>
      <c r="AP62" s="19"/>
    </row>
    <row r="63" spans="1:42" ht="172.5" customHeight="1" x14ac:dyDescent="0.2">
      <c r="A63" s="44"/>
      <c r="B63" s="14"/>
      <c r="C63" s="66" t="s">
        <v>112</v>
      </c>
      <c r="D63" s="20" t="s">
        <v>150</v>
      </c>
      <c r="E63" s="15">
        <v>100</v>
      </c>
      <c r="F63" s="81" t="s">
        <v>133</v>
      </c>
      <c r="G63" s="17">
        <f>(2100000*2)+M63</f>
        <v>11600000</v>
      </c>
      <c r="H63" s="15">
        <v>100</v>
      </c>
      <c r="I63" s="81" t="s">
        <v>133</v>
      </c>
      <c r="J63" s="88"/>
      <c r="K63" s="15">
        <v>100</v>
      </c>
      <c r="L63" s="81" t="s">
        <v>133</v>
      </c>
      <c r="M63" s="17">
        <v>7400000</v>
      </c>
      <c r="N63" s="15">
        <v>25</v>
      </c>
      <c r="O63" s="81" t="str">
        <f t="shared" si="1"/>
        <v>%</v>
      </c>
      <c r="P63" s="17">
        <v>0</v>
      </c>
      <c r="Q63" s="15">
        <v>25</v>
      </c>
      <c r="R63" s="81" t="str">
        <f t="shared" si="2"/>
        <v>%</v>
      </c>
      <c r="S63" s="17">
        <v>0</v>
      </c>
      <c r="T63" s="15">
        <v>25</v>
      </c>
      <c r="U63" s="16" t="str">
        <f t="shared" si="3"/>
        <v>%</v>
      </c>
      <c r="V63" s="17">
        <v>0</v>
      </c>
      <c r="W63" s="15">
        <v>25</v>
      </c>
      <c r="X63" s="16" t="str">
        <f t="shared" si="4"/>
        <v>%</v>
      </c>
      <c r="Y63" s="17">
        <v>0</v>
      </c>
      <c r="Z63" s="41">
        <f t="shared" si="5"/>
        <v>100</v>
      </c>
      <c r="AA63" s="16" t="str">
        <f t="shared" si="6"/>
        <v>%</v>
      </c>
      <c r="AB63" s="40">
        <f t="shared" si="7"/>
        <v>100</v>
      </c>
      <c r="AC63" s="26" t="s">
        <v>133</v>
      </c>
      <c r="AD63" s="32">
        <f t="shared" si="8"/>
        <v>0</v>
      </c>
      <c r="AE63" s="40">
        <f t="shared" si="9"/>
        <v>0</v>
      </c>
      <c r="AF63" s="26" t="s">
        <v>133</v>
      </c>
      <c r="AG63" s="41"/>
      <c r="AH63" s="16"/>
      <c r="AI63" s="32"/>
      <c r="AJ63" s="40"/>
      <c r="AK63" s="26"/>
      <c r="AL63" s="40"/>
      <c r="AM63" s="11"/>
      <c r="AP63" s="19"/>
    </row>
    <row r="64" spans="1:42" ht="93.6" customHeight="1" x14ac:dyDescent="0.2">
      <c r="A64" s="37"/>
      <c r="B64" s="38"/>
      <c r="C64" s="68" t="s">
        <v>113</v>
      </c>
      <c r="D64" s="20" t="s">
        <v>151</v>
      </c>
      <c r="E64" s="15">
        <v>100</v>
      </c>
      <c r="F64" s="81" t="s">
        <v>133</v>
      </c>
      <c r="G64" s="17">
        <f>(7900000*2)+M64</f>
        <v>29000000</v>
      </c>
      <c r="H64" s="15">
        <v>100</v>
      </c>
      <c r="I64" s="81" t="s">
        <v>133</v>
      </c>
      <c r="J64" s="88"/>
      <c r="K64" s="15">
        <v>100</v>
      </c>
      <c r="L64" s="81" t="s">
        <v>133</v>
      </c>
      <c r="M64" s="17">
        <v>13200000</v>
      </c>
      <c r="N64" s="15">
        <v>25</v>
      </c>
      <c r="O64" s="81" t="str">
        <f t="shared" si="1"/>
        <v>%</v>
      </c>
      <c r="P64" s="17">
        <v>1137000</v>
      </c>
      <c r="Q64" s="15">
        <v>25</v>
      </c>
      <c r="R64" s="81" t="str">
        <f t="shared" si="2"/>
        <v>%</v>
      </c>
      <c r="S64" s="17">
        <v>0</v>
      </c>
      <c r="T64" s="15">
        <v>25</v>
      </c>
      <c r="U64" s="16" t="str">
        <f t="shared" si="3"/>
        <v>%</v>
      </c>
      <c r="V64" s="17">
        <v>3000000</v>
      </c>
      <c r="W64" s="15">
        <v>25</v>
      </c>
      <c r="X64" s="16" t="str">
        <f t="shared" si="4"/>
        <v>%</v>
      </c>
      <c r="Y64" s="17">
        <v>4479000</v>
      </c>
      <c r="Z64" s="41">
        <f t="shared" si="5"/>
        <v>100</v>
      </c>
      <c r="AA64" s="16" t="str">
        <f t="shared" si="6"/>
        <v>%</v>
      </c>
      <c r="AB64" s="40">
        <f t="shared" si="7"/>
        <v>100</v>
      </c>
      <c r="AC64" s="26" t="s">
        <v>133</v>
      </c>
      <c r="AD64" s="32">
        <f t="shared" si="8"/>
        <v>8616000</v>
      </c>
      <c r="AE64" s="40">
        <f t="shared" si="9"/>
        <v>65.272727272727266</v>
      </c>
      <c r="AF64" s="26" t="s">
        <v>133</v>
      </c>
      <c r="AG64" s="41"/>
      <c r="AH64" s="16"/>
      <c r="AI64" s="32"/>
      <c r="AJ64" s="40"/>
      <c r="AK64" s="26"/>
      <c r="AL64" s="40"/>
      <c r="AM64" s="11"/>
      <c r="AP64" s="19"/>
    </row>
    <row r="65" spans="1:42" ht="98.45" customHeight="1" x14ac:dyDescent="0.2">
      <c r="A65" s="44"/>
      <c r="B65" s="14"/>
      <c r="C65" s="67" t="s">
        <v>114</v>
      </c>
      <c r="D65" s="14" t="s">
        <v>152</v>
      </c>
      <c r="E65" s="35">
        <v>100</v>
      </c>
      <c r="F65" s="79" t="s">
        <v>133</v>
      </c>
      <c r="G65" s="33">
        <f>SUM(G66:G70)</f>
        <v>6749400000</v>
      </c>
      <c r="H65" s="35">
        <v>100</v>
      </c>
      <c r="I65" s="79" t="s">
        <v>133</v>
      </c>
      <c r="J65" s="88"/>
      <c r="K65" s="35">
        <v>100</v>
      </c>
      <c r="L65" s="79" t="s">
        <v>133</v>
      </c>
      <c r="M65" s="33">
        <f>SUM(M66:M70)</f>
        <v>1674210000</v>
      </c>
      <c r="N65" s="35">
        <v>25</v>
      </c>
      <c r="O65" s="79" t="str">
        <f t="shared" si="1"/>
        <v>%</v>
      </c>
      <c r="P65" s="33">
        <f>SUM(P66:P70)</f>
        <v>267947318</v>
      </c>
      <c r="Q65" s="35">
        <v>25</v>
      </c>
      <c r="R65" s="79" t="str">
        <f t="shared" si="2"/>
        <v>%</v>
      </c>
      <c r="S65" s="33">
        <f>SUM(S66:S70)</f>
        <v>7658900</v>
      </c>
      <c r="T65" s="35">
        <v>25</v>
      </c>
      <c r="U65" s="36" t="str">
        <f t="shared" si="3"/>
        <v>%</v>
      </c>
      <c r="V65" s="33">
        <f>SUM(V66:V70)</f>
        <v>36901500</v>
      </c>
      <c r="W65" s="35">
        <v>25</v>
      </c>
      <c r="X65" s="36" t="str">
        <f t="shared" si="4"/>
        <v>%</v>
      </c>
      <c r="Y65" s="33">
        <f>SUM(Y66:Y70)</f>
        <v>523813044</v>
      </c>
      <c r="Z65" s="45">
        <f t="shared" si="5"/>
        <v>100</v>
      </c>
      <c r="AA65" s="36" t="str">
        <f t="shared" si="6"/>
        <v>%</v>
      </c>
      <c r="AB65" s="42">
        <f t="shared" si="7"/>
        <v>100</v>
      </c>
      <c r="AC65" s="44" t="s">
        <v>133</v>
      </c>
      <c r="AD65" s="43">
        <f t="shared" si="8"/>
        <v>836320762</v>
      </c>
      <c r="AE65" s="42">
        <f t="shared" si="9"/>
        <v>49.953157728122513</v>
      </c>
      <c r="AF65" s="44" t="s">
        <v>133</v>
      </c>
      <c r="AG65" s="45"/>
      <c r="AH65" s="36"/>
      <c r="AI65" s="43"/>
      <c r="AJ65" s="42"/>
      <c r="AK65" s="44"/>
      <c r="AL65" s="42"/>
      <c r="AM65" s="11"/>
      <c r="AP65" s="19"/>
    </row>
    <row r="66" spans="1:42" ht="63.6" customHeight="1" x14ac:dyDescent="0.2">
      <c r="A66" s="44"/>
      <c r="B66" s="14"/>
      <c r="C66" s="66" t="s">
        <v>135</v>
      </c>
      <c r="D66" s="20" t="s">
        <v>153</v>
      </c>
      <c r="E66" s="15">
        <v>100</v>
      </c>
      <c r="F66" s="81" t="s">
        <v>133</v>
      </c>
      <c r="G66" s="17">
        <f>(1620000000*2)+M66</f>
        <v>4440000000</v>
      </c>
      <c r="H66" s="15">
        <v>100</v>
      </c>
      <c r="I66" s="81" t="s">
        <v>133</v>
      </c>
      <c r="J66" s="88"/>
      <c r="K66" s="15">
        <v>100</v>
      </c>
      <c r="L66" s="81" t="s">
        <v>133</v>
      </c>
      <c r="M66" s="17">
        <v>1200000000</v>
      </c>
      <c r="N66" s="15">
        <v>25</v>
      </c>
      <c r="O66" s="81" t="str">
        <f t="shared" si="1"/>
        <v>%</v>
      </c>
      <c r="P66" s="17">
        <v>193242892</v>
      </c>
      <c r="Q66" s="15">
        <v>25</v>
      </c>
      <c r="R66" s="81" t="str">
        <f t="shared" si="2"/>
        <v>%</v>
      </c>
      <c r="S66" s="17">
        <v>0</v>
      </c>
      <c r="T66" s="15">
        <v>25</v>
      </c>
      <c r="U66" s="16" t="str">
        <f t="shared" si="3"/>
        <v>%</v>
      </c>
      <c r="V66" s="17">
        <v>0</v>
      </c>
      <c r="W66" s="15">
        <v>25</v>
      </c>
      <c r="X66" s="16" t="str">
        <f t="shared" si="4"/>
        <v>%</v>
      </c>
      <c r="Y66" s="17">
        <v>320660444</v>
      </c>
      <c r="Z66" s="41">
        <f t="shared" si="5"/>
        <v>100</v>
      </c>
      <c r="AA66" s="16" t="str">
        <f t="shared" si="6"/>
        <v>%</v>
      </c>
      <c r="AB66" s="40">
        <f t="shared" si="7"/>
        <v>100</v>
      </c>
      <c r="AC66" s="26" t="s">
        <v>133</v>
      </c>
      <c r="AD66" s="32">
        <f t="shared" si="8"/>
        <v>513903336</v>
      </c>
      <c r="AE66" s="40">
        <f t="shared" si="9"/>
        <v>42.825277999999997</v>
      </c>
      <c r="AF66" s="26" t="s">
        <v>133</v>
      </c>
      <c r="AG66" s="41"/>
      <c r="AH66" s="16"/>
      <c r="AI66" s="32"/>
      <c r="AJ66" s="40"/>
      <c r="AK66" s="26"/>
      <c r="AL66" s="40"/>
      <c r="AM66" s="11"/>
      <c r="AP66" s="19"/>
    </row>
    <row r="67" spans="1:42" ht="90" customHeight="1" x14ac:dyDescent="0.2">
      <c r="A67" s="44"/>
      <c r="B67" s="14"/>
      <c r="C67" s="66" t="s">
        <v>115</v>
      </c>
      <c r="D67" s="20" t="s">
        <v>184</v>
      </c>
      <c r="E67" s="15">
        <v>100</v>
      </c>
      <c r="F67" s="81" t="s">
        <v>133</v>
      </c>
      <c r="G67" s="17">
        <f>(70270000*2)+M67</f>
        <v>268340000</v>
      </c>
      <c r="H67" s="15">
        <v>100</v>
      </c>
      <c r="I67" s="81" t="s">
        <v>133</v>
      </c>
      <c r="J67" s="88"/>
      <c r="K67" s="15">
        <v>100</v>
      </c>
      <c r="L67" s="81" t="s">
        <v>133</v>
      </c>
      <c r="M67" s="17">
        <v>127800000</v>
      </c>
      <c r="N67" s="15">
        <v>25</v>
      </c>
      <c r="O67" s="81" t="str">
        <f t="shared" si="1"/>
        <v>%</v>
      </c>
      <c r="P67" s="17">
        <v>1924000</v>
      </c>
      <c r="Q67" s="15">
        <v>25</v>
      </c>
      <c r="R67" s="81" t="str">
        <f t="shared" si="2"/>
        <v>%</v>
      </c>
      <c r="S67" s="17">
        <v>0</v>
      </c>
      <c r="T67" s="15">
        <v>25</v>
      </c>
      <c r="U67" s="16" t="str">
        <f t="shared" si="3"/>
        <v>%</v>
      </c>
      <c r="V67" s="17">
        <v>24589000</v>
      </c>
      <c r="W67" s="15">
        <v>25</v>
      </c>
      <c r="X67" s="16" t="str">
        <f t="shared" si="4"/>
        <v>%</v>
      </c>
      <c r="Y67" s="17">
        <v>88062600</v>
      </c>
      <c r="Z67" s="41">
        <f t="shared" si="5"/>
        <v>100</v>
      </c>
      <c r="AA67" s="16" t="str">
        <f t="shared" si="6"/>
        <v>%</v>
      </c>
      <c r="AB67" s="40">
        <f t="shared" si="7"/>
        <v>100</v>
      </c>
      <c r="AC67" s="26" t="s">
        <v>133</v>
      </c>
      <c r="AD67" s="32">
        <f t="shared" si="8"/>
        <v>114575600</v>
      </c>
      <c r="AE67" s="40">
        <f t="shared" si="9"/>
        <v>89.652269170579018</v>
      </c>
      <c r="AF67" s="26" t="s">
        <v>133</v>
      </c>
      <c r="AG67" s="41"/>
      <c r="AH67" s="16"/>
      <c r="AI67" s="32"/>
      <c r="AJ67" s="40"/>
      <c r="AK67" s="26"/>
      <c r="AL67" s="40"/>
      <c r="AM67" s="11"/>
      <c r="AP67" s="19"/>
    </row>
    <row r="68" spans="1:42" ht="105.95" customHeight="1" x14ac:dyDescent="0.2">
      <c r="A68" s="44"/>
      <c r="B68" s="14"/>
      <c r="C68" s="66" t="s">
        <v>116</v>
      </c>
      <c r="D68" s="20" t="s">
        <v>156</v>
      </c>
      <c r="E68" s="15">
        <v>100</v>
      </c>
      <c r="F68" s="81" t="s">
        <v>133</v>
      </c>
      <c r="G68" s="17">
        <f>(575150000*2)+M68</f>
        <v>1288900000</v>
      </c>
      <c r="H68" s="15">
        <v>100</v>
      </c>
      <c r="I68" s="81" t="s">
        <v>133</v>
      </c>
      <c r="J68" s="88"/>
      <c r="K68" s="15">
        <v>100</v>
      </c>
      <c r="L68" s="81" t="s">
        <v>133</v>
      </c>
      <c r="M68" s="17">
        <v>138600000</v>
      </c>
      <c r="N68" s="15">
        <v>25</v>
      </c>
      <c r="O68" s="81" t="str">
        <f t="shared" si="1"/>
        <v>%</v>
      </c>
      <c r="P68" s="17">
        <v>70055426</v>
      </c>
      <c r="Q68" s="15">
        <v>25</v>
      </c>
      <c r="R68" s="81" t="str">
        <f t="shared" si="2"/>
        <v>%</v>
      </c>
      <c r="S68" s="17">
        <v>7658900</v>
      </c>
      <c r="T68" s="15">
        <v>25</v>
      </c>
      <c r="U68" s="16" t="str">
        <f t="shared" si="3"/>
        <v>%</v>
      </c>
      <c r="V68" s="17">
        <v>10750000</v>
      </c>
      <c r="W68" s="15">
        <v>25</v>
      </c>
      <c r="X68" s="16" t="str">
        <f t="shared" si="4"/>
        <v>%</v>
      </c>
      <c r="Y68" s="17">
        <v>10750000</v>
      </c>
      <c r="Z68" s="41">
        <f t="shared" si="5"/>
        <v>100</v>
      </c>
      <c r="AA68" s="16" t="str">
        <f t="shared" si="6"/>
        <v>%</v>
      </c>
      <c r="AB68" s="40">
        <f t="shared" si="7"/>
        <v>100</v>
      </c>
      <c r="AC68" s="26" t="s">
        <v>133</v>
      </c>
      <c r="AD68" s="32">
        <f t="shared" si="8"/>
        <v>99214326</v>
      </c>
      <c r="AE68" s="40">
        <f t="shared" si="9"/>
        <v>71.583207792207787</v>
      </c>
      <c r="AF68" s="26" t="s">
        <v>133</v>
      </c>
      <c r="AG68" s="41"/>
      <c r="AH68" s="16"/>
      <c r="AI68" s="32"/>
      <c r="AJ68" s="40"/>
      <c r="AK68" s="26"/>
      <c r="AL68" s="40"/>
      <c r="AM68" s="11"/>
      <c r="AP68" s="19"/>
    </row>
    <row r="69" spans="1:42" ht="93" customHeight="1" x14ac:dyDescent="0.2">
      <c r="A69" s="44"/>
      <c r="B69" s="14"/>
      <c r="C69" s="66" t="s">
        <v>117</v>
      </c>
      <c r="D69" s="20" t="s">
        <v>155</v>
      </c>
      <c r="E69" s="15">
        <v>100</v>
      </c>
      <c r="F69" s="81" t="s">
        <v>133</v>
      </c>
      <c r="G69" s="17">
        <f>(257800000*2)+M69</f>
        <v>711110000</v>
      </c>
      <c r="H69" s="15">
        <v>100</v>
      </c>
      <c r="I69" s="81" t="s">
        <v>133</v>
      </c>
      <c r="J69" s="88"/>
      <c r="K69" s="15">
        <v>100</v>
      </c>
      <c r="L69" s="81" t="s">
        <v>133</v>
      </c>
      <c r="M69" s="17">
        <v>195510000</v>
      </c>
      <c r="N69" s="15">
        <v>25</v>
      </c>
      <c r="O69" s="81" t="str">
        <f t="shared" si="1"/>
        <v>%</v>
      </c>
      <c r="P69" s="17">
        <v>0</v>
      </c>
      <c r="Q69" s="15">
        <v>25</v>
      </c>
      <c r="R69" s="81" t="str">
        <f t="shared" si="2"/>
        <v>%</v>
      </c>
      <c r="S69" s="17">
        <v>0</v>
      </c>
      <c r="T69" s="15">
        <v>25</v>
      </c>
      <c r="U69" s="16" t="str">
        <f t="shared" si="3"/>
        <v>%</v>
      </c>
      <c r="V69" s="17">
        <v>0</v>
      </c>
      <c r="W69" s="15">
        <v>25</v>
      </c>
      <c r="X69" s="16" t="str">
        <f t="shared" si="4"/>
        <v>%</v>
      </c>
      <c r="Y69" s="17">
        <v>101160000</v>
      </c>
      <c r="Z69" s="41">
        <f t="shared" si="5"/>
        <v>100</v>
      </c>
      <c r="AA69" s="16" t="str">
        <f t="shared" si="6"/>
        <v>%</v>
      </c>
      <c r="AB69" s="40">
        <f t="shared" si="7"/>
        <v>100</v>
      </c>
      <c r="AC69" s="26" t="s">
        <v>133</v>
      </c>
      <c r="AD69" s="32">
        <f t="shared" si="8"/>
        <v>101160000</v>
      </c>
      <c r="AE69" s="40">
        <f t="shared" si="9"/>
        <v>51.741598895197171</v>
      </c>
      <c r="AF69" s="26" t="s">
        <v>133</v>
      </c>
      <c r="AG69" s="41"/>
      <c r="AH69" s="16"/>
      <c r="AI69" s="32"/>
      <c r="AJ69" s="40"/>
      <c r="AK69" s="26"/>
      <c r="AL69" s="40"/>
      <c r="AM69" s="11"/>
      <c r="AP69" s="19"/>
    </row>
    <row r="70" spans="1:42" ht="128.25" customHeight="1" x14ac:dyDescent="0.2">
      <c r="A70" s="44"/>
      <c r="B70" s="14"/>
      <c r="C70" s="66" t="s">
        <v>118</v>
      </c>
      <c r="D70" s="20" t="s">
        <v>154</v>
      </c>
      <c r="E70" s="15">
        <v>100</v>
      </c>
      <c r="F70" s="81" t="s">
        <v>133</v>
      </c>
      <c r="G70" s="17">
        <f>(14375000*2)+M70</f>
        <v>41050000</v>
      </c>
      <c r="H70" s="15">
        <v>100</v>
      </c>
      <c r="I70" s="81" t="s">
        <v>133</v>
      </c>
      <c r="J70" s="88"/>
      <c r="K70" s="15">
        <v>100</v>
      </c>
      <c r="L70" s="81" t="s">
        <v>133</v>
      </c>
      <c r="M70" s="17">
        <v>12300000</v>
      </c>
      <c r="N70" s="15">
        <v>25</v>
      </c>
      <c r="O70" s="81" t="str">
        <f t="shared" si="1"/>
        <v>%</v>
      </c>
      <c r="P70" s="17">
        <v>2725000</v>
      </c>
      <c r="Q70" s="15">
        <v>25</v>
      </c>
      <c r="R70" s="81" t="str">
        <f t="shared" si="2"/>
        <v>%</v>
      </c>
      <c r="S70" s="17">
        <v>0</v>
      </c>
      <c r="T70" s="15">
        <v>25</v>
      </c>
      <c r="U70" s="16" t="str">
        <f t="shared" si="3"/>
        <v>%</v>
      </c>
      <c r="V70" s="17">
        <v>1562500</v>
      </c>
      <c r="W70" s="15">
        <v>25</v>
      </c>
      <c r="X70" s="16" t="str">
        <f t="shared" si="4"/>
        <v>%</v>
      </c>
      <c r="Y70" s="17">
        <v>3180000</v>
      </c>
      <c r="Z70" s="41">
        <f t="shared" si="5"/>
        <v>100</v>
      </c>
      <c r="AA70" s="16" t="str">
        <f t="shared" si="6"/>
        <v>%</v>
      </c>
      <c r="AB70" s="40">
        <f t="shared" si="7"/>
        <v>100</v>
      </c>
      <c r="AC70" s="26" t="s">
        <v>133</v>
      </c>
      <c r="AD70" s="32">
        <f t="shared" si="8"/>
        <v>7467500</v>
      </c>
      <c r="AE70" s="40">
        <f t="shared" si="9"/>
        <v>60.711382113821131</v>
      </c>
      <c r="AF70" s="26" t="s">
        <v>133</v>
      </c>
      <c r="AG70" s="41"/>
      <c r="AH70" s="16"/>
      <c r="AI70" s="32"/>
      <c r="AJ70" s="40"/>
      <c r="AK70" s="26"/>
      <c r="AL70" s="40"/>
      <c r="AM70" s="11"/>
      <c r="AP70" s="19"/>
    </row>
    <row r="71" spans="1:42" s="84" customFormat="1" ht="122.1" customHeight="1" x14ac:dyDescent="0.25">
      <c r="A71" s="44"/>
      <c r="B71" s="14"/>
      <c r="C71" s="70" t="s">
        <v>119</v>
      </c>
      <c r="D71" s="14" t="s">
        <v>197</v>
      </c>
      <c r="E71" s="35">
        <v>100</v>
      </c>
      <c r="F71" s="79" t="s">
        <v>133</v>
      </c>
      <c r="G71" s="33">
        <f>SUM(G72:G73)</f>
        <v>3588364150</v>
      </c>
      <c r="H71" s="35">
        <v>100</v>
      </c>
      <c r="I71" s="79" t="s">
        <v>133</v>
      </c>
      <c r="J71" s="88"/>
      <c r="K71" s="35">
        <v>100</v>
      </c>
      <c r="L71" s="79" t="s">
        <v>133</v>
      </c>
      <c r="M71" s="33">
        <f>SUM(M72:M73)</f>
        <v>1021864150</v>
      </c>
      <c r="N71" s="35">
        <v>25</v>
      </c>
      <c r="O71" s="79" t="str">
        <f t="shared" si="1"/>
        <v>%</v>
      </c>
      <c r="P71" s="33">
        <f>SUM(P72:P73)</f>
        <v>151860000</v>
      </c>
      <c r="Q71" s="35">
        <v>25</v>
      </c>
      <c r="R71" s="79" t="str">
        <f t="shared" si="2"/>
        <v>%</v>
      </c>
      <c r="S71" s="33">
        <f>SUM(S72:S73)</f>
        <v>151860000</v>
      </c>
      <c r="T71" s="35">
        <v>25</v>
      </c>
      <c r="U71" s="36" t="str">
        <f t="shared" si="3"/>
        <v>%</v>
      </c>
      <c r="V71" s="33">
        <f>SUM(V72:V73)</f>
        <v>305100000</v>
      </c>
      <c r="W71" s="35">
        <v>25</v>
      </c>
      <c r="X71" s="36" t="str">
        <f t="shared" si="4"/>
        <v>%</v>
      </c>
      <c r="Y71" s="33">
        <f>SUM(Y72:Y73)</f>
        <v>303720000</v>
      </c>
      <c r="Z71" s="45">
        <f t="shared" si="5"/>
        <v>100</v>
      </c>
      <c r="AA71" s="36" t="str">
        <f t="shared" si="6"/>
        <v>%</v>
      </c>
      <c r="AB71" s="42">
        <f t="shared" si="7"/>
        <v>100</v>
      </c>
      <c r="AC71" s="44" t="s">
        <v>133</v>
      </c>
      <c r="AD71" s="43">
        <f t="shared" si="8"/>
        <v>912540000</v>
      </c>
      <c r="AE71" s="42">
        <f t="shared" si="9"/>
        <v>89.301498638542114</v>
      </c>
      <c r="AF71" s="44" t="s">
        <v>133</v>
      </c>
      <c r="AG71" s="45"/>
      <c r="AH71" s="36"/>
      <c r="AI71" s="43"/>
      <c r="AJ71" s="42"/>
      <c r="AK71" s="44"/>
      <c r="AL71" s="42"/>
      <c r="AM71" s="83"/>
      <c r="AP71" s="85"/>
    </row>
    <row r="72" spans="1:42" ht="62.25" customHeight="1" x14ac:dyDescent="0.2">
      <c r="A72" s="26"/>
      <c r="B72" s="20"/>
      <c r="C72" s="66" t="s">
        <v>120</v>
      </c>
      <c r="D72" s="20" t="s">
        <v>194</v>
      </c>
      <c r="E72" s="15">
        <v>100</v>
      </c>
      <c r="F72" s="81" t="s">
        <v>133</v>
      </c>
      <c r="G72" s="17">
        <f>(122250000*2)+M72</f>
        <v>304500000</v>
      </c>
      <c r="H72" s="15">
        <v>100</v>
      </c>
      <c r="I72" s="81" t="s">
        <v>133</v>
      </c>
      <c r="J72" s="88"/>
      <c r="K72" s="15">
        <v>100</v>
      </c>
      <c r="L72" s="81" t="s">
        <v>133</v>
      </c>
      <c r="M72" s="17">
        <v>60000000</v>
      </c>
      <c r="N72" s="15">
        <v>25</v>
      </c>
      <c r="O72" s="81" t="str">
        <f t="shared" si="1"/>
        <v>%</v>
      </c>
      <c r="P72" s="17">
        <v>0</v>
      </c>
      <c r="Q72" s="15">
        <v>25</v>
      </c>
      <c r="R72" s="81" t="str">
        <f t="shared" si="2"/>
        <v>%</v>
      </c>
      <c r="S72" s="17">
        <v>0</v>
      </c>
      <c r="T72" s="15">
        <v>25</v>
      </c>
      <c r="U72" s="16" t="str">
        <f t="shared" si="3"/>
        <v>%</v>
      </c>
      <c r="V72" s="17">
        <v>1380000</v>
      </c>
      <c r="W72" s="15">
        <v>25</v>
      </c>
      <c r="X72" s="16" t="str">
        <f t="shared" si="4"/>
        <v>%</v>
      </c>
      <c r="Y72" s="17">
        <v>0</v>
      </c>
      <c r="Z72" s="41">
        <f t="shared" si="5"/>
        <v>100</v>
      </c>
      <c r="AA72" s="16" t="str">
        <f t="shared" si="6"/>
        <v>%</v>
      </c>
      <c r="AB72" s="40">
        <f t="shared" si="7"/>
        <v>100</v>
      </c>
      <c r="AC72" s="26" t="s">
        <v>133</v>
      </c>
      <c r="AD72" s="32">
        <f t="shared" si="8"/>
        <v>1380000</v>
      </c>
      <c r="AE72" s="40">
        <f t="shared" si="9"/>
        <v>2.2999999999999998</v>
      </c>
      <c r="AF72" s="26" t="s">
        <v>133</v>
      </c>
      <c r="AG72" s="41"/>
      <c r="AH72" s="16"/>
      <c r="AI72" s="32"/>
      <c r="AJ72" s="40"/>
      <c r="AK72" s="26"/>
      <c r="AL72" s="40"/>
      <c r="AM72" s="11"/>
      <c r="AP72" s="19"/>
    </row>
    <row r="73" spans="1:42" ht="78" customHeight="1" x14ac:dyDescent="0.2">
      <c r="A73" s="26"/>
      <c r="B73" s="20"/>
      <c r="C73" s="66" t="s">
        <v>121</v>
      </c>
      <c r="D73" s="20" t="s">
        <v>193</v>
      </c>
      <c r="E73" s="15">
        <v>100</v>
      </c>
      <c r="F73" s="81" t="s">
        <v>133</v>
      </c>
      <c r="G73" s="17">
        <f>(1161000000*2)+M73</f>
        <v>3283864150</v>
      </c>
      <c r="H73" s="15">
        <v>100</v>
      </c>
      <c r="I73" s="81" t="s">
        <v>133</v>
      </c>
      <c r="J73" s="88"/>
      <c r="K73" s="15">
        <v>100</v>
      </c>
      <c r="L73" s="81" t="s">
        <v>133</v>
      </c>
      <c r="M73" s="17">
        <v>961864150</v>
      </c>
      <c r="N73" s="15">
        <v>25</v>
      </c>
      <c r="O73" s="81" t="str">
        <f t="shared" si="1"/>
        <v>%</v>
      </c>
      <c r="P73" s="17">
        <v>151860000</v>
      </c>
      <c r="Q73" s="15">
        <v>25</v>
      </c>
      <c r="R73" s="81" t="str">
        <f t="shared" si="2"/>
        <v>%</v>
      </c>
      <c r="S73" s="17">
        <f>303720000-P73</f>
        <v>151860000</v>
      </c>
      <c r="T73" s="15">
        <v>25</v>
      </c>
      <c r="U73" s="16" t="str">
        <f t="shared" si="3"/>
        <v>%</v>
      </c>
      <c r="V73" s="17">
        <v>303720000</v>
      </c>
      <c r="W73" s="15">
        <v>25</v>
      </c>
      <c r="X73" s="16" t="str">
        <f t="shared" si="4"/>
        <v>%</v>
      </c>
      <c r="Y73" s="17">
        <v>303720000</v>
      </c>
      <c r="Z73" s="41">
        <f t="shared" si="5"/>
        <v>100</v>
      </c>
      <c r="AA73" s="16" t="str">
        <f t="shared" si="6"/>
        <v>%</v>
      </c>
      <c r="AB73" s="40">
        <f t="shared" si="7"/>
        <v>100</v>
      </c>
      <c r="AC73" s="26" t="s">
        <v>133</v>
      </c>
      <c r="AD73" s="32">
        <f t="shared" si="8"/>
        <v>911160000</v>
      </c>
      <c r="AE73" s="40">
        <f t="shared" si="9"/>
        <v>94.728553923129382</v>
      </c>
      <c r="AF73" s="26" t="s">
        <v>133</v>
      </c>
      <c r="AG73" s="41"/>
      <c r="AH73" s="16"/>
      <c r="AI73" s="32"/>
      <c r="AJ73" s="40"/>
      <c r="AK73" s="26"/>
      <c r="AL73" s="40"/>
      <c r="AM73" s="11"/>
      <c r="AP73" s="19"/>
    </row>
    <row r="74" spans="1:42" ht="93.75" customHeight="1" x14ac:dyDescent="0.2">
      <c r="A74" s="44"/>
      <c r="B74" s="14"/>
      <c r="C74" s="67" t="s">
        <v>122</v>
      </c>
      <c r="D74" s="14" t="s">
        <v>198</v>
      </c>
      <c r="E74" s="35">
        <v>100</v>
      </c>
      <c r="F74" s="79" t="s">
        <v>133</v>
      </c>
      <c r="G74" s="33">
        <f>SUM(G75)</f>
        <v>41250000</v>
      </c>
      <c r="H74" s="35">
        <v>100</v>
      </c>
      <c r="I74" s="79" t="s">
        <v>133</v>
      </c>
      <c r="J74" s="88"/>
      <c r="K74" s="35">
        <v>100</v>
      </c>
      <c r="L74" s="79" t="s">
        <v>133</v>
      </c>
      <c r="M74" s="33">
        <f>SUM(M75)</f>
        <v>12500000</v>
      </c>
      <c r="N74" s="35">
        <v>0</v>
      </c>
      <c r="O74" s="79" t="str">
        <f t="shared" si="1"/>
        <v>%</v>
      </c>
      <c r="P74" s="33">
        <f>SUM(P75)</f>
        <v>0</v>
      </c>
      <c r="Q74" s="35">
        <v>0</v>
      </c>
      <c r="R74" s="79" t="str">
        <f t="shared" si="2"/>
        <v>%</v>
      </c>
      <c r="S74" s="33">
        <f>SUM(S75)</f>
        <v>0</v>
      </c>
      <c r="T74" s="35">
        <v>0</v>
      </c>
      <c r="U74" s="36" t="str">
        <f t="shared" si="3"/>
        <v>%</v>
      </c>
      <c r="V74" s="33">
        <f>SUM(V75)</f>
        <v>0</v>
      </c>
      <c r="W74" s="35">
        <v>100</v>
      </c>
      <c r="X74" s="36" t="str">
        <f t="shared" si="4"/>
        <v>%</v>
      </c>
      <c r="Y74" s="33">
        <f>SUM(Y75)</f>
        <v>0</v>
      </c>
      <c r="Z74" s="45">
        <f t="shared" si="5"/>
        <v>100</v>
      </c>
      <c r="AA74" s="36" t="str">
        <f t="shared" si="6"/>
        <v>%</v>
      </c>
      <c r="AB74" s="42">
        <f t="shared" si="7"/>
        <v>100</v>
      </c>
      <c r="AC74" s="44" t="s">
        <v>133</v>
      </c>
      <c r="AD74" s="43">
        <f t="shared" si="8"/>
        <v>0</v>
      </c>
      <c r="AE74" s="42">
        <f t="shared" si="9"/>
        <v>0</v>
      </c>
      <c r="AF74" s="44" t="s">
        <v>133</v>
      </c>
      <c r="AG74" s="45"/>
      <c r="AH74" s="36"/>
      <c r="AI74" s="43"/>
      <c r="AJ74" s="42"/>
      <c r="AK74" s="44"/>
      <c r="AL74" s="42"/>
      <c r="AM74" s="11"/>
      <c r="AP74" s="19"/>
    </row>
    <row r="75" spans="1:42" ht="105" customHeight="1" x14ac:dyDescent="0.2">
      <c r="A75" s="44"/>
      <c r="B75" s="14"/>
      <c r="C75" s="71" t="s">
        <v>123</v>
      </c>
      <c r="D75" s="20" t="s">
        <v>158</v>
      </c>
      <c r="E75" s="15">
        <v>100</v>
      </c>
      <c r="F75" s="81" t="s">
        <v>133</v>
      </c>
      <c r="G75" s="17">
        <f>(14375000*2)+M75</f>
        <v>41250000</v>
      </c>
      <c r="H75" s="15">
        <v>100</v>
      </c>
      <c r="I75" s="81" t="s">
        <v>133</v>
      </c>
      <c r="J75" s="88"/>
      <c r="K75" s="15">
        <v>100</v>
      </c>
      <c r="L75" s="81" t="s">
        <v>133</v>
      </c>
      <c r="M75" s="17">
        <v>12500000</v>
      </c>
      <c r="N75" s="15">
        <v>0</v>
      </c>
      <c r="O75" s="81" t="str">
        <f t="shared" si="1"/>
        <v>%</v>
      </c>
      <c r="P75" s="17">
        <v>0</v>
      </c>
      <c r="Q75" s="15">
        <v>0</v>
      </c>
      <c r="R75" s="79" t="str">
        <f t="shared" si="2"/>
        <v>%</v>
      </c>
      <c r="S75" s="17">
        <v>0</v>
      </c>
      <c r="T75" s="15">
        <v>0</v>
      </c>
      <c r="U75" s="16" t="str">
        <f t="shared" si="3"/>
        <v>%</v>
      </c>
      <c r="V75" s="17">
        <v>0</v>
      </c>
      <c r="W75" s="15">
        <v>100</v>
      </c>
      <c r="X75" s="16" t="str">
        <f t="shared" si="4"/>
        <v>%</v>
      </c>
      <c r="Y75" s="17">
        <v>0</v>
      </c>
      <c r="Z75" s="41">
        <f t="shared" si="5"/>
        <v>100</v>
      </c>
      <c r="AA75" s="16" t="str">
        <f t="shared" si="6"/>
        <v>%</v>
      </c>
      <c r="AB75" s="40">
        <f t="shared" si="7"/>
        <v>100</v>
      </c>
      <c r="AC75" s="26" t="s">
        <v>133</v>
      </c>
      <c r="AD75" s="32">
        <f t="shared" si="8"/>
        <v>0</v>
      </c>
      <c r="AE75" s="40">
        <f t="shared" si="9"/>
        <v>0</v>
      </c>
      <c r="AF75" s="26" t="s">
        <v>133</v>
      </c>
      <c r="AG75" s="41"/>
      <c r="AH75" s="16"/>
      <c r="AI75" s="32"/>
      <c r="AJ75" s="40"/>
      <c r="AK75" s="26"/>
      <c r="AL75" s="40"/>
      <c r="AM75" s="11"/>
      <c r="AP75" s="19"/>
    </row>
    <row r="76" spans="1:42" ht="90.6" customHeight="1" x14ac:dyDescent="0.2">
      <c r="A76" s="44"/>
      <c r="B76" s="14"/>
      <c r="C76" s="67" t="s">
        <v>124</v>
      </c>
      <c r="D76" s="14" t="s">
        <v>199</v>
      </c>
      <c r="E76" s="35">
        <v>100</v>
      </c>
      <c r="F76" s="79" t="s">
        <v>133</v>
      </c>
      <c r="G76" s="33">
        <f>SUM(G77:G78)</f>
        <v>41198840000</v>
      </c>
      <c r="H76" s="35">
        <v>100</v>
      </c>
      <c r="I76" s="79" t="s">
        <v>133</v>
      </c>
      <c r="J76" s="88"/>
      <c r="K76" s="35">
        <v>100</v>
      </c>
      <c r="L76" s="79" t="s">
        <v>133</v>
      </c>
      <c r="M76" s="33">
        <f>SUM(M77:M78)</f>
        <v>15044840000</v>
      </c>
      <c r="N76" s="35">
        <v>25</v>
      </c>
      <c r="O76" s="79" t="str">
        <f t="shared" si="1"/>
        <v>%</v>
      </c>
      <c r="P76" s="33">
        <f>SUM(P77:P78)</f>
        <v>2253829052</v>
      </c>
      <c r="Q76" s="35">
        <v>25</v>
      </c>
      <c r="R76" s="79" t="str">
        <f t="shared" si="2"/>
        <v>%</v>
      </c>
      <c r="S76" s="33">
        <f>SUM(S77:S78)</f>
        <v>3680105588</v>
      </c>
      <c r="T76" s="35">
        <v>25</v>
      </c>
      <c r="U76" s="36" t="str">
        <f t="shared" si="3"/>
        <v>%</v>
      </c>
      <c r="V76" s="33">
        <f>SUM(V77:V78)</f>
        <v>3777985858</v>
      </c>
      <c r="W76" s="35">
        <v>25</v>
      </c>
      <c r="X76" s="36" t="str">
        <f t="shared" si="4"/>
        <v>%</v>
      </c>
      <c r="Y76" s="33">
        <f>SUM(Y77:Y78)</f>
        <v>4617318439</v>
      </c>
      <c r="Z76" s="45">
        <f t="shared" si="5"/>
        <v>100</v>
      </c>
      <c r="AA76" s="36" t="str">
        <f t="shared" si="6"/>
        <v>%</v>
      </c>
      <c r="AB76" s="42">
        <f t="shared" si="7"/>
        <v>100</v>
      </c>
      <c r="AC76" s="44" t="s">
        <v>133</v>
      </c>
      <c r="AD76" s="43">
        <f t="shared" si="8"/>
        <v>14329238937</v>
      </c>
      <c r="AE76" s="42">
        <f t="shared" si="9"/>
        <v>95.243544876515813</v>
      </c>
      <c r="AF76" s="44" t="s">
        <v>133</v>
      </c>
      <c r="AG76" s="45"/>
      <c r="AH76" s="36"/>
      <c r="AI76" s="43"/>
      <c r="AJ76" s="42"/>
      <c r="AK76" s="44"/>
      <c r="AL76" s="42"/>
      <c r="AM76" s="11"/>
      <c r="AP76" s="19"/>
    </row>
    <row r="77" spans="1:42" ht="109.5" customHeight="1" x14ac:dyDescent="0.2">
      <c r="A77" s="44"/>
      <c r="B77" s="14"/>
      <c r="C77" s="66" t="s">
        <v>125</v>
      </c>
      <c r="D77" s="20" t="s">
        <v>195</v>
      </c>
      <c r="E77" s="15">
        <v>100</v>
      </c>
      <c r="F77" s="81" t="s">
        <v>133</v>
      </c>
      <c r="G77" s="17">
        <f>(13050000000*2)+M77</f>
        <v>41076840000</v>
      </c>
      <c r="H77" s="15">
        <v>100</v>
      </c>
      <c r="I77" s="81" t="s">
        <v>133</v>
      </c>
      <c r="J77" s="88"/>
      <c r="K77" s="15">
        <v>100</v>
      </c>
      <c r="L77" s="81" t="s">
        <v>133</v>
      </c>
      <c r="M77" s="17">
        <v>14976840000</v>
      </c>
      <c r="N77" s="15">
        <v>25</v>
      </c>
      <c r="O77" s="81" t="str">
        <f t="shared" si="1"/>
        <v>%</v>
      </c>
      <c r="P77" s="17">
        <v>2253829052</v>
      </c>
      <c r="Q77" s="15">
        <v>25</v>
      </c>
      <c r="R77" s="79" t="str">
        <f t="shared" si="2"/>
        <v>%</v>
      </c>
      <c r="S77" s="17">
        <f>5913583340-P77</f>
        <v>3659754288</v>
      </c>
      <c r="T77" s="15">
        <v>25</v>
      </c>
      <c r="U77" s="16" t="str">
        <f t="shared" si="3"/>
        <v>%</v>
      </c>
      <c r="V77" s="17">
        <v>3768728158</v>
      </c>
      <c r="W77" s="15">
        <v>25</v>
      </c>
      <c r="X77" s="16" t="str">
        <f t="shared" si="4"/>
        <v>%</v>
      </c>
      <c r="Y77" s="17">
        <v>4617318439</v>
      </c>
      <c r="Z77" s="41">
        <f t="shared" si="5"/>
        <v>100</v>
      </c>
      <c r="AA77" s="16" t="str">
        <f t="shared" si="6"/>
        <v>%</v>
      </c>
      <c r="AB77" s="40">
        <f t="shared" si="7"/>
        <v>100</v>
      </c>
      <c r="AC77" s="26" t="s">
        <v>133</v>
      </c>
      <c r="AD77" s="32">
        <f t="shared" si="8"/>
        <v>14299629937</v>
      </c>
      <c r="AE77" s="40">
        <f t="shared" si="9"/>
        <v>95.478284718271681</v>
      </c>
      <c r="AF77" s="26" t="s">
        <v>133</v>
      </c>
      <c r="AG77" s="41"/>
      <c r="AH77" s="16"/>
      <c r="AI77" s="32"/>
      <c r="AJ77" s="40"/>
      <c r="AK77" s="26"/>
      <c r="AL77" s="40"/>
      <c r="AM77" s="11"/>
      <c r="AP77" s="19"/>
    </row>
    <row r="78" spans="1:42" ht="81.75" customHeight="1" x14ac:dyDescent="0.2">
      <c r="A78" s="44"/>
      <c r="B78" s="14"/>
      <c r="C78" s="66" t="s">
        <v>126</v>
      </c>
      <c r="D78" s="20" t="s">
        <v>196</v>
      </c>
      <c r="E78" s="15">
        <v>100</v>
      </c>
      <c r="F78" s="81" t="s">
        <v>133</v>
      </c>
      <c r="G78" s="17">
        <f>(27000000*2)+M78</f>
        <v>122000000</v>
      </c>
      <c r="H78" s="15">
        <v>100</v>
      </c>
      <c r="I78" s="81" t="s">
        <v>133</v>
      </c>
      <c r="J78" s="88"/>
      <c r="K78" s="15">
        <v>100</v>
      </c>
      <c r="L78" s="81" t="s">
        <v>133</v>
      </c>
      <c r="M78" s="17">
        <v>68000000</v>
      </c>
      <c r="N78" s="15">
        <v>25</v>
      </c>
      <c r="O78" s="81" t="str">
        <f t="shared" ref="O78" si="13">L78</f>
        <v>%</v>
      </c>
      <c r="P78" s="17">
        <v>0</v>
      </c>
      <c r="Q78" s="15">
        <v>25</v>
      </c>
      <c r="R78" s="81" t="str">
        <f t="shared" ref="R78" si="14">L78</f>
        <v>%</v>
      </c>
      <c r="S78" s="17">
        <v>20351300</v>
      </c>
      <c r="T78" s="15">
        <v>25</v>
      </c>
      <c r="U78" s="16" t="str">
        <f t="shared" ref="U78" si="15">L78</f>
        <v>%</v>
      </c>
      <c r="V78" s="17">
        <v>9257700</v>
      </c>
      <c r="W78" s="15">
        <v>25</v>
      </c>
      <c r="X78" s="16" t="str">
        <f t="shared" ref="X78" si="16">O78</f>
        <v>%</v>
      </c>
      <c r="Y78" s="17">
        <v>0</v>
      </c>
      <c r="Z78" s="41">
        <f t="shared" ref="Z78" si="17">SUM(N78,Q78,T78,W78)</f>
        <v>100</v>
      </c>
      <c r="AA78" s="16" t="str">
        <f t="shared" ref="AA78" si="18">L78</f>
        <v>%</v>
      </c>
      <c r="AB78" s="40">
        <f t="shared" ref="AB78" si="19">Z78/K78*100</f>
        <v>100</v>
      </c>
      <c r="AC78" s="26" t="s">
        <v>133</v>
      </c>
      <c r="AD78" s="32">
        <f t="shared" ref="AD78" si="20">SUM(P78,S78,V78,Y78)</f>
        <v>29609000</v>
      </c>
      <c r="AE78" s="40">
        <f t="shared" ref="AE78" si="21">AD78/M78*100</f>
        <v>43.542647058823533</v>
      </c>
      <c r="AF78" s="26" t="s">
        <v>133</v>
      </c>
      <c r="AG78" s="41"/>
      <c r="AH78" s="16"/>
      <c r="AI78" s="32"/>
      <c r="AJ78" s="40"/>
      <c r="AK78" s="26"/>
      <c r="AL78" s="40"/>
      <c r="AM78" s="11"/>
      <c r="AP78" s="19"/>
    </row>
    <row r="79" spans="1:42" ht="15" x14ac:dyDescent="0.2">
      <c r="A79" s="141" t="s">
        <v>24</v>
      </c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3"/>
      <c r="AB79" s="55">
        <f>AVERAGE(AB13:AB78)</f>
        <v>100</v>
      </c>
      <c r="AC79" s="48"/>
      <c r="AD79" s="46"/>
      <c r="AE79" s="55">
        <f>AVERAGE(AE13,AE44)</f>
        <v>88.087729429181636</v>
      </c>
      <c r="AF79" s="48"/>
      <c r="AG79" s="47"/>
      <c r="AH79" s="48"/>
      <c r="AI79" s="47"/>
      <c r="AJ79" s="47"/>
      <c r="AK79" s="48"/>
      <c r="AL79" s="49"/>
      <c r="AM79" s="11"/>
    </row>
    <row r="80" spans="1:42" ht="15" x14ac:dyDescent="0.2">
      <c r="A80" s="141" t="s">
        <v>25</v>
      </c>
      <c r="B80" s="142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3"/>
      <c r="AB80" s="22" t="str">
        <f>IF(AB79&gt;=91,"Sangat Tinggi",IF(AB79&gt;=76,"Tinggi",IF(AB79&gt;=66,"Sedang",IF(AB79&gt;=51,"Rendah",IF(AB79&lt;=50,"Sangat Rendah")))))</f>
        <v>Sangat Tinggi</v>
      </c>
      <c r="AC80" s="48"/>
      <c r="AD80" s="50"/>
      <c r="AE80" s="22" t="str">
        <f>IF(AE79&gt;=91,"Sangat Tinggi",IF(AE79&gt;=76,"Tinggi",IF(AE79&gt;=66,"Sedang",IF(AE79&gt;=51,"Rendah",IF(AE79&lt;=50,"Sangat Rendah")))))</f>
        <v>Tinggi</v>
      </c>
      <c r="AF80" s="48"/>
      <c r="AG80" s="51"/>
      <c r="AH80" s="48"/>
      <c r="AI80" s="52"/>
      <c r="AJ80" s="51"/>
      <c r="AK80" s="48"/>
      <c r="AL80" s="53"/>
      <c r="AM80" s="11"/>
    </row>
    <row r="81" spans="1:39" s="90" customFormat="1" ht="15" x14ac:dyDescent="0.2">
      <c r="A81" s="137" t="s">
        <v>174</v>
      </c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9"/>
      <c r="AM81" s="89"/>
    </row>
    <row r="82" spans="1:39" s="90" customFormat="1" ht="15" x14ac:dyDescent="0.2">
      <c r="A82" s="91" t="s">
        <v>175</v>
      </c>
      <c r="B82" s="92"/>
      <c r="C82" s="92"/>
      <c r="D82" s="92"/>
      <c r="E82" s="92"/>
      <c r="F82" s="92"/>
      <c r="G82" s="92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6"/>
      <c r="AM82" s="89"/>
    </row>
    <row r="83" spans="1:39" s="90" customFormat="1" ht="15" x14ac:dyDescent="0.2">
      <c r="A83" s="137" t="s">
        <v>26</v>
      </c>
      <c r="B83" s="138"/>
      <c r="C83" s="138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9"/>
      <c r="AM83" s="89"/>
    </row>
    <row r="84" spans="1:39" s="90" customFormat="1" ht="15" x14ac:dyDescent="0.2">
      <c r="A84" s="137" t="s">
        <v>176</v>
      </c>
      <c r="B84" s="138"/>
      <c r="C84" s="138"/>
      <c r="D84" s="138"/>
      <c r="E84" s="138"/>
      <c r="F84" s="138"/>
      <c r="G84" s="138"/>
      <c r="H84" s="138"/>
      <c r="I84" s="138"/>
      <c r="J84" s="138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6"/>
      <c r="AM84" s="89"/>
    </row>
    <row r="85" spans="1:39" s="90" customFormat="1" ht="15" x14ac:dyDescent="0.2">
      <c r="A85" s="91" t="s">
        <v>177</v>
      </c>
      <c r="B85" s="92"/>
      <c r="C85" s="93"/>
      <c r="D85" s="93"/>
      <c r="E85" s="93"/>
      <c r="F85" s="93"/>
      <c r="G85" s="93"/>
      <c r="H85" s="93"/>
      <c r="I85" s="93"/>
      <c r="J85" s="93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6"/>
      <c r="AM85" s="89"/>
    </row>
    <row r="86" spans="1:39" s="90" customFormat="1" ht="15" x14ac:dyDescent="0.2">
      <c r="A86" s="137" t="s">
        <v>178</v>
      </c>
      <c r="B86" s="138"/>
      <c r="C86" s="138"/>
      <c r="D86" s="138"/>
      <c r="E86" s="138"/>
      <c r="F86" s="138"/>
      <c r="G86" s="138"/>
      <c r="H86" s="138"/>
      <c r="I86" s="138"/>
      <c r="J86" s="138"/>
      <c r="K86" s="138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6"/>
      <c r="AM86" s="89"/>
    </row>
    <row r="87" spans="1:39" ht="15" x14ac:dyDescent="0.2">
      <c r="A87" s="137"/>
      <c r="B87" s="138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9"/>
      <c r="AM87" s="11"/>
    </row>
    <row r="88" spans="1:39" ht="15" x14ac:dyDescent="0.2">
      <c r="A88" s="137" t="s">
        <v>27</v>
      </c>
      <c r="B88" s="138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9"/>
      <c r="AM88" s="11"/>
    </row>
    <row r="89" spans="1:39" ht="15" x14ac:dyDescent="0.2">
      <c r="A89" s="137" t="s">
        <v>181</v>
      </c>
      <c r="B89" s="138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6"/>
      <c r="AM89" s="11"/>
    </row>
    <row r="90" spans="1:39" ht="15" x14ac:dyDescent="0.2">
      <c r="A90" s="137" t="s">
        <v>179</v>
      </c>
      <c r="B90" s="138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6"/>
      <c r="AM90" s="11"/>
    </row>
    <row r="91" spans="1:39" ht="15" x14ac:dyDescent="0.2">
      <c r="A91" s="137" t="s">
        <v>180</v>
      </c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6"/>
      <c r="AM91" s="11"/>
    </row>
    <row r="92" spans="1:39" ht="15" x14ac:dyDescent="0.2">
      <c r="A92" s="94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6"/>
      <c r="AM92" s="11"/>
    </row>
    <row r="93" spans="1:39" ht="15" x14ac:dyDescent="0.2">
      <c r="A93" s="137" t="s">
        <v>28</v>
      </c>
      <c r="B93" s="138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9"/>
      <c r="AM93" s="11"/>
    </row>
    <row r="94" spans="1:39" ht="15" x14ac:dyDescent="0.2">
      <c r="A94" s="94" t="s">
        <v>182</v>
      </c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6"/>
      <c r="AM94" s="11"/>
    </row>
    <row r="95" spans="1:39" ht="15" x14ac:dyDescent="0.2">
      <c r="A95" s="94" t="s">
        <v>183</v>
      </c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6"/>
      <c r="AM95" s="11"/>
    </row>
    <row r="96" spans="1:39" ht="15" x14ac:dyDescent="0.2">
      <c r="A96" s="94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6"/>
      <c r="AM96" s="11"/>
    </row>
    <row r="97" spans="1:39" ht="15" x14ac:dyDescent="0.2">
      <c r="A97" s="94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6"/>
      <c r="AM97" s="11"/>
    </row>
    <row r="98" spans="1:39" ht="15" x14ac:dyDescent="0.2">
      <c r="A98" s="140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23"/>
    </row>
    <row r="99" spans="1:39" ht="15" x14ac:dyDescent="0.2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5"/>
      <c r="AB99" s="24"/>
      <c r="AC99" s="25"/>
      <c r="AD99" s="24"/>
      <c r="AE99" s="24"/>
      <c r="AF99" s="25"/>
      <c r="AG99" s="24"/>
      <c r="AH99" s="25"/>
      <c r="AI99" s="24"/>
      <c r="AJ99" s="24"/>
      <c r="AK99" s="25"/>
      <c r="AL99" s="24"/>
    </row>
    <row r="100" spans="1:39" ht="15" x14ac:dyDescent="0.2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144" t="s">
        <v>52</v>
      </c>
      <c r="AA100" s="144"/>
      <c r="AB100" s="144"/>
      <c r="AC100" s="144"/>
      <c r="AD100" s="144"/>
      <c r="AE100" s="144"/>
      <c r="AF100" s="25"/>
      <c r="AG100" s="24"/>
      <c r="AH100" s="144" t="s">
        <v>53</v>
      </c>
      <c r="AI100" s="144"/>
      <c r="AJ100" s="144"/>
      <c r="AK100" s="144"/>
      <c r="AL100" s="144"/>
      <c r="AM100" s="144"/>
    </row>
    <row r="101" spans="1:39" ht="15.75" x14ac:dyDescent="0.25">
      <c r="A101" s="30"/>
      <c r="B101" s="31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144" t="s">
        <v>207</v>
      </c>
      <c r="AA101" s="144"/>
      <c r="AB101" s="144"/>
      <c r="AC101" s="144"/>
      <c r="AD101" s="144"/>
      <c r="AE101" s="144"/>
      <c r="AF101" s="25"/>
      <c r="AG101" s="24"/>
      <c r="AH101" s="144" t="s">
        <v>207</v>
      </c>
      <c r="AI101" s="144"/>
      <c r="AJ101" s="144"/>
      <c r="AK101" s="144"/>
      <c r="AL101" s="144"/>
      <c r="AM101" s="144"/>
    </row>
    <row r="102" spans="1:39" ht="15" x14ac:dyDescent="0.2">
      <c r="Z102" s="144" t="s">
        <v>58</v>
      </c>
      <c r="AA102" s="144"/>
      <c r="AB102" s="144"/>
      <c r="AC102" s="144"/>
      <c r="AD102" s="144"/>
      <c r="AE102" s="144"/>
      <c r="AH102" s="144" t="s">
        <v>54</v>
      </c>
      <c r="AI102" s="144"/>
      <c r="AJ102" s="144"/>
      <c r="AK102" s="144"/>
      <c r="AL102" s="144"/>
      <c r="AM102" s="144"/>
    </row>
    <row r="103" spans="1:39" ht="15" x14ac:dyDescent="0.2">
      <c r="Z103" s="144" t="s">
        <v>55</v>
      </c>
      <c r="AA103" s="144"/>
      <c r="AB103" s="144"/>
      <c r="AC103" s="144"/>
      <c r="AD103" s="144"/>
      <c r="AE103" s="144"/>
      <c r="AH103" s="144" t="s">
        <v>55</v>
      </c>
      <c r="AI103" s="144"/>
      <c r="AJ103" s="144"/>
      <c r="AK103" s="144"/>
      <c r="AL103" s="144"/>
      <c r="AM103" s="144"/>
    </row>
    <row r="104" spans="1:39" ht="25.5" x14ac:dyDescent="0.2">
      <c r="A104" s="27" t="s">
        <v>29</v>
      </c>
      <c r="B104" s="27" t="s">
        <v>30</v>
      </c>
      <c r="C104" s="27" t="s">
        <v>31</v>
      </c>
      <c r="Z104" s="24"/>
      <c r="AA104" s="25"/>
      <c r="AB104" s="24"/>
      <c r="AC104" s="25"/>
      <c r="AD104" s="24"/>
      <c r="AH104" s="24"/>
      <c r="AI104" s="25"/>
      <c r="AJ104" s="24"/>
      <c r="AK104" s="25"/>
      <c r="AL104" s="24"/>
    </row>
    <row r="105" spans="1:39" ht="25.5" x14ac:dyDescent="0.25">
      <c r="A105" s="28" t="s">
        <v>32</v>
      </c>
      <c r="B105" s="28" t="s">
        <v>33</v>
      </c>
      <c r="C105" s="28" t="s">
        <v>34</v>
      </c>
      <c r="Z105" s="145"/>
      <c r="AA105" s="145"/>
      <c r="AB105" s="145"/>
      <c r="AC105" s="145"/>
      <c r="AD105" s="145"/>
      <c r="AE105" s="145"/>
      <c r="AH105" s="145" t="s">
        <v>56</v>
      </c>
      <c r="AI105" s="145"/>
      <c r="AJ105" s="145"/>
      <c r="AK105" s="145"/>
      <c r="AL105" s="145"/>
      <c r="AM105" s="145"/>
    </row>
    <row r="106" spans="1:39" ht="25.5" x14ac:dyDescent="0.2">
      <c r="A106" s="28" t="s">
        <v>35</v>
      </c>
      <c r="B106" s="28" t="s">
        <v>36</v>
      </c>
      <c r="C106" s="28" t="s">
        <v>37</v>
      </c>
      <c r="Z106" s="146"/>
      <c r="AA106" s="146"/>
      <c r="AB106" s="146"/>
      <c r="AC106" s="146"/>
      <c r="AD106" s="146"/>
      <c r="AE106" s="146"/>
      <c r="AH106" s="146" t="s">
        <v>57</v>
      </c>
      <c r="AI106" s="146"/>
      <c r="AJ106" s="146"/>
      <c r="AK106" s="146"/>
      <c r="AL106" s="146"/>
      <c r="AM106" s="146"/>
    </row>
    <row r="107" spans="1:39" ht="25.5" x14ac:dyDescent="0.2">
      <c r="A107" s="28" t="s">
        <v>38</v>
      </c>
      <c r="B107" s="28" t="s">
        <v>39</v>
      </c>
      <c r="C107" s="28" t="s">
        <v>40</v>
      </c>
    </row>
    <row r="108" spans="1:39" ht="25.5" x14ac:dyDescent="0.2">
      <c r="A108" s="28" t="s">
        <v>41</v>
      </c>
      <c r="B108" s="28" t="s">
        <v>42</v>
      </c>
      <c r="C108" s="28" t="s">
        <v>43</v>
      </c>
    </row>
    <row r="109" spans="1:39" ht="25.5" x14ac:dyDescent="0.2">
      <c r="A109" s="28" t="s">
        <v>44</v>
      </c>
      <c r="B109" s="29" t="s">
        <v>45</v>
      </c>
      <c r="C109" s="28" t="s">
        <v>46</v>
      </c>
    </row>
  </sheetData>
  <mergeCells count="89">
    <mergeCell ref="Z103:AE103"/>
    <mergeCell ref="AH103:AM103"/>
    <mergeCell ref="Z105:AE105"/>
    <mergeCell ref="AH105:AM105"/>
    <mergeCell ref="Z106:AE106"/>
    <mergeCell ref="AH106:AM106"/>
    <mergeCell ref="Z100:AE100"/>
    <mergeCell ref="AH100:AM100"/>
    <mergeCell ref="Z101:AE101"/>
    <mergeCell ref="AH101:AM101"/>
    <mergeCell ref="Z102:AE102"/>
    <mergeCell ref="AH102:AM102"/>
    <mergeCell ref="A87:AL87"/>
    <mergeCell ref="A88:AL88"/>
    <mergeCell ref="A98:AL98"/>
    <mergeCell ref="A79:AA79"/>
    <mergeCell ref="A80:AA80"/>
    <mergeCell ref="A81:AL81"/>
    <mergeCell ref="A83:AL83"/>
    <mergeCell ref="A84:J84"/>
    <mergeCell ref="A86:K86"/>
    <mergeCell ref="A89:M89"/>
    <mergeCell ref="A90:M90"/>
    <mergeCell ref="A91:O91"/>
    <mergeCell ref="A93:AL93"/>
    <mergeCell ref="A10:A12"/>
    <mergeCell ref="B10:B12"/>
    <mergeCell ref="C10:C12"/>
    <mergeCell ref="D10:D12"/>
    <mergeCell ref="Q11:R12"/>
    <mergeCell ref="M11:M12"/>
    <mergeCell ref="N11:O12"/>
    <mergeCell ref="P11:P12"/>
    <mergeCell ref="E11:F12"/>
    <mergeCell ref="G11:G12"/>
    <mergeCell ref="H11:I12"/>
    <mergeCell ref="J11:J12"/>
    <mergeCell ref="K11:L12"/>
    <mergeCell ref="E10:G10"/>
    <mergeCell ref="H10:J10"/>
    <mergeCell ref="S11:S12"/>
    <mergeCell ref="Z12:AA12"/>
    <mergeCell ref="Z10:AF10"/>
    <mergeCell ref="AE11:AF11"/>
    <mergeCell ref="AE12:AF12"/>
    <mergeCell ref="T11:U12"/>
    <mergeCell ref="V11:V12"/>
    <mergeCell ref="W11:X12"/>
    <mergeCell ref="Y11:Y12"/>
    <mergeCell ref="AG10:AI10"/>
    <mergeCell ref="AJ10:AL10"/>
    <mergeCell ref="K10:M10"/>
    <mergeCell ref="N10:P10"/>
    <mergeCell ref="Q10:S10"/>
    <mergeCell ref="T10:V10"/>
    <mergeCell ref="W10:Y10"/>
    <mergeCell ref="AG12:AH12"/>
    <mergeCell ref="AJ12:AK12"/>
    <mergeCell ref="Z11:AA11"/>
    <mergeCell ref="AG11:AH11"/>
    <mergeCell ref="AJ11:AK11"/>
    <mergeCell ref="AB11:AC11"/>
    <mergeCell ref="AB12:AC12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H7:J9"/>
    <mergeCell ref="A1:AL1"/>
    <mergeCell ref="A2:AL2"/>
    <mergeCell ref="A3:AL3"/>
    <mergeCell ref="A4:AL4"/>
    <mergeCell ref="A5:AL5"/>
    <mergeCell ref="A6:AL6"/>
    <mergeCell ref="AG7:AI8"/>
    <mergeCell ref="AJ7:AL8"/>
    <mergeCell ref="Z7:AF8"/>
    <mergeCell ref="Z9:AF9"/>
    <mergeCell ref="A7:A9"/>
    <mergeCell ref="B7:B9"/>
    <mergeCell ref="C7:C9"/>
    <mergeCell ref="D7:D9"/>
    <mergeCell ref="E7:G9"/>
  </mergeCells>
  <printOptions horizontalCentered="1"/>
  <pageMargins left="0.23622047244094491" right="0.23622047244094491" top="3.937007874015748E-2" bottom="3.937007874015748E-2" header="0" footer="0"/>
  <pageSetup paperSize="14" scale="31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SET DPRD</vt:lpstr>
      <vt:lpstr>'SET DPRD'!Print_Area</vt:lpstr>
      <vt:lpstr>'SET DPRD'!Print_Titles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dcterms:created xsi:type="dcterms:W3CDTF">2020-03-18T05:59:44Z</dcterms:created>
  <dcterms:modified xsi:type="dcterms:W3CDTF">2022-01-07T01:14:39Z</dcterms:modified>
</cp:coreProperties>
</file>