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NAS KETAPANG\2022\LAPORAN EVALUASI RENJA\TRIWULAN IV\"/>
    </mc:Choice>
  </mc:AlternateContent>
  <bookViews>
    <workbookView xWindow="0" yWindow="0" windowWidth="10920" windowHeight="7680"/>
  </bookViews>
  <sheets>
    <sheet name="RENJA PERUBAHAN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3" i="2" l="1"/>
  <c r="U43" i="2" s="1"/>
  <c r="T42" i="2"/>
  <c r="U42" i="2" s="1"/>
  <c r="T64" i="2"/>
  <c r="U57" i="2"/>
  <c r="L47" i="2"/>
  <c r="S65" i="2" l="1"/>
  <c r="S64" i="2"/>
  <c r="S52" i="2"/>
  <c r="S47" i="2"/>
  <c r="S44" i="2"/>
  <c r="S41" i="2"/>
  <c r="Q41" i="2"/>
  <c r="S39" i="2"/>
  <c r="S35" i="2"/>
  <c r="S31" i="2"/>
  <c r="S13" i="2"/>
  <c r="S22" i="2"/>
  <c r="S17" i="2"/>
  <c r="S14" i="2"/>
  <c r="Q15" i="2"/>
  <c r="W70" i="2" l="1"/>
  <c r="AA70" i="2" s="1"/>
  <c r="T70" i="2"/>
  <c r="U70" i="2" s="1"/>
  <c r="W69" i="2"/>
  <c r="AA69" i="2" s="1"/>
  <c r="T69" i="2"/>
  <c r="U69" i="2" s="1"/>
  <c r="W68" i="2"/>
  <c r="AA68" i="2" s="1"/>
  <c r="T68" i="2"/>
  <c r="U68" i="2" s="1"/>
  <c r="W67" i="2"/>
  <c r="AA67" i="2" s="1"/>
  <c r="T67" i="2"/>
  <c r="U67" i="2" s="1"/>
  <c r="T66" i="2"/>
  <c r="Z66" i="2" s="1"/>
  <c r="W65" i="2"/>
  <c r="X65" i="2" s="1"/>
  <c r="T65" i="2"/>
  <c r="U65" i="2" s="1"/>
  <c r="Q65" i="2"/>
  <c r="O65" i="2"/>
  <c r="O64" i="2" s="1"/>
  <c r="M65" i="2"/>
  <c r="K65" i="2"/>
  <c r="K64" i="2" s="1"/>
  <c r="I65" i="2"/>
  <c r="AA65" i="2" s="1"/>
  <c r="G65" i="2"/>
  <c r="G64" i="2" s="1"/>
  <c r="E65" i="2"/>
  <c r="Z64" i="2"/>
  <c r="Q64" i="2"/>
  <c r="M64" i="2"/>
  <c r="W64" i="2" s="1"/>
  <c r="X64" i="2" s="1"/>
  <c r="I64" i="2"/>
  <c r="AA63" i="2"/>
  <c r="Z63" i="2"/>
  <c r="AB62" i="2"/>
  <c r="Z62" i="2"/>
  <c r="I62" i="2"/>
  <c r="AA62" i="2" s="1"/>
  <c r="G62" i="2"/>
  <c r="G61" i="2" s="1"/>
  <c r="AB61" i="2"/>
  <c r="Z61" i="2"/>
  <c r="I61" i="2"/>
  <c r="AA61" i="2" s="1"/>
  <c r="W60" i="2"/>
  <c r="AA60" i="2" s="1"/>
  <c r="U60" i="2"/>
  <c r="T60" i="2"/>
  <c r="Z60" i="2" s="1"/>
  <c r="W59" i="2"/>
  <c r="X59" i="2" s="1"/>
  <c r="T59" i="2"/>
  <c r="Z59" i="2" s="1"/>
  <c r="X58" i="2"/>
  <c r="W58" i="2"/>
  <c r="AA58" i="2" s="1"/>
  <c r="T58" i="2"/>
  <c r="Z58" i="2" s="1"/>
  <c r="W56" i="2"/>
  <c r="T56" i="2"/>
  <c r="U56" i="2" s="1"/>
  <c r="Q56" i="2"/>
  <c r="O56" i="2"/>
  <c r="M56" i="2"/>
  <c r="K56" i="2"/>
  <c r="I56" i="2"/>
  <c r="AA56" i="2" s="1"/>
  <c r="G56" i="2"/>
  <c r="AA55" i="2"/>
  <c r="Z55" i="2"/>
  <c r="W54" i="2"/>
  <c r="T54" i="2"/>
  <c r="U54" i="2" s="1"/>
  <c r="W53" i="2"/>
  <c r="U53" i="2"/>
  <c r="Q52" i="2"/>
  <c r="O52" i="2"/>
  <c r="W52" i="2" s="1"/>
  <c r="X52" i="2" s="1"/>
  <c r="M52" i="2"/>
  <c r="L52" i="2"/>
  <c r="T52" i="2" s="1"/>
  <c r="Z52" i="2" s="1"/>
  <c r="U52" i="2" s="1"/>
  <c r="K52" i="2"/>
  <c r="I52" i="2"/>
  <c r="G52" i="2"/>
  <c r="AA51" i="2"/>
  <c r="Z51" i="2"/>
  <c r="W50" i="2"/>
  <c r="X50" i="2" s="1"/>
  <c r="T50" i="2"/>
  <c r="Z50" i="2" s="1"/>
  <c r="W49" i="2"/>
  <c r="AA49" i="2" s="1"/>
  <c r="T49" i="2"/>
  <c r="Z49" i="2" s="1"/>
  <c r="Z48" i="2"/>
  <c r="T48" i="2"/>
  <c r="U48" i="2" s="1"/>
  <c r="T47" i="2"/>
  <c r="U47" i="2" s="1"/>
  <c r="Q47" i="2"/>
  <c r="O47" i="2"/>
  <c r="W47" i="2" s="1"/>
  <c r="M47" i="2"/>
  <c r="K47" i="2"/>
  <c r="K44" i="2" s="1"/>
  <c r="I47" i="2"/>
  <c r="G47" i="2"/>
  <c r="U46" i="2"/>
  <c r="T46" i="2"/>
  <c r="Z46" i="2" s="1"/>
  <c r="T45" i="2"/>
  <c r="U45" i="2" s="1"/>
  <c r="T44" i="2"/>
  <c r="Q44" i="2"/>
  <c r="M44" i="2"/>
  <c r="H44" i="2"/>
  <c r="Z44" i="2" s="1"/>
  <c r="U44" i="2" s="1"/>
  <c r="Z43" i="2"/>
  <c r="W43" i="2"/>
  <c r="Z42" i="2"/>
  <c r="W42" i="2"/>
  <c r="W41" i="2"/>
  <c r="X41" i="2" s="1"/>
  <c r="U41" i="2"/>
  <c r="O41" i="2"/>
  <c r="O39" i="2" s="1"/>
  <c r="M41" i="2"/>
  <c r="K41" i="2"/>
  <c r="K39" i="2" s="1"/>
  <c r="I41" i="2"/>
  <c r="AA41" i="2" s="1"/>
  <c r="G41" i="2"/>
  <c r="G39" i="2" s="1"/>
  <c r="U40" i="2"/>
  <c r="Z40" i="2"/>
  <c r="Z39" i="2"/>
  <c r="Q39" i="2"/>
  <c r="M39" i="2"/>
  <c r="I39" i="2"/>
  <c r="X38" i="2"/>
  <c r="W38" i="2"/>
  <c r="AA38" i="2" s="1"/>
  <c r="T38" i="2"/>
  <c r="Z38" i="2" s="1"/>
  <c r="E38" i="2"/>
  <c r="W37" i="2"/>
  <c r="T37" i="2"/>
  <c r="U37" i="2" s="1"/>
  <c r="W36" i="2"/>
  <c r="T36" i="2"/>
  <c r="U36" i="2" s="1"/>
  <c r="E36" i="2"/>
  <c r="U35" i="2"/>
  <c r="T35" i="2"/>
  <c r="Z35" i="2" s="1"/>
  <c r="Q35" i="2"/>
  <c r="O35" i="2"/>
  <c r="M35" i="2"/>
  <c r="W35" i="2" s="1"/>
  <c r="X35" i="2" s="1"/>
  <c r="K35" i="2"/>
  <c r="I35" i="2"/>
  <c r="AA35" i="2" s="1"/>
  <c r="G35" i="2"/>
  <c r="W34" i="2"/>
  <c r="X34" i="2" s="1"/>
  <c r="U34" i="2"/>
  <c r="T34" i="2"/>
  <c r="Z34" i="2" s="1"/>
  <c r="X33" i="2"/>
  <c r="W33" i="2"/>
  <c r="AA33" i="2" s="1"/>
  <c r="T33" i="2"/>
  <c r="Z33" i="2" s="1"/>
  <c r="W32" i="2"/>
  <c r="X32" i="2" s="1"/>
  <c r="T32" i="2"/>
  <c r="Z32" i="2" s="1"/>
  <c r="U31" i="2"/>
  <c r="T31" i="2"/>
  <c r="Z31" i="2" s="1"/>
  <c r="Q31" i="2"/>
  <c r="O31" i="2"/>
  <c r="M31" i="2"/>
  <c r="W31" i="2" s="1"/>
  <c r="K31" i="2"/>
  <c r="I31" i="2"/>
  <c r="G31" i="2"/>
  <c r="W30" i="2"/>
  <c r="X30" i="2" s="1"/>
  <c r="T30" i="2"/>
  <c r="Z30" i="2" s="1"/>
  <c r="U29" i="2"/>
  <c r="T29" i="2"/>
  <c r="Z29" i="2" s="1"/>
  <c r="Q29" i="2"/>
  <c r="O29" i="2"/>
  <c r="M29" i="2"/>
  <c r="W29" i="2" s="1"/>
  <c r="X29" i="2" s="1"/>
  <c r="K29" i="2"/>
  <c r="I29" i="2"/>
  <c r="AA29" i="2" s="1"/>
  <c r="G29" i="2"/>
  <c r="W28" i="2"/>
  <c r="X28" i="2" s="1"/>
  <c r="T28" i="2"/>
  <c r="Z28" i="2" s="1"/>
  <c r="X27" i="2"/>
  <c r="W27" i="2"/>
  <c r="AA27" i="2" s="1"/>
  <c r="T27" i="2"/>
  <c r="Z27" i="2" s="1"/>
  <c r="W26" i="2"/>
  <c r="X26" i="2" s="1"/>
  <c r="T26" i="2"/>
  <c r="Z26" i="2" s="1"/>
  <c r="W25" i="2"/>
  <c r="AA25" i="2" s="1"/>
  <c r="T25" i="2"/>
  <c r="Z25" i="2" s="1"/>
  <c r="W24" i="2"/>
  <c r="X24" i="2" s="1"/>
  <c r="U24" i="2"/>
  <c r="T24" i="2"/>
  <c r="Z24" i="2" s="1"/>
  <c r="W23" i="2"/>
  <c r="AA23" i="2" s="1"/>
  <c r="T23" i="2"/>
  <c r="Z23" i="2" s="1"/>
  <c r="AH22" i="2"/>
  <c r="W22" i="2"/>
  <c r="X22" i="2" s="1"/>
  <c r="T22" i="2"/>
  <c r="U22" i="2" s="1"/>
  <c r="Q22" i="2"/>
  <c r="O22" i="2"/>
  <c r="M22" i="2"/>
  <c r="K22" i="2"/>
  <c r="I22" i="2"/>
  <c r="AA22" i="2" s="1"/>
  <c r="G22" i="2"/>
  <c r="E22" i="2"/>
  <c r="AH21" i="2"/>
  <c r="W21" i="2"/>
  <c r="AA21" i="2" s="1"/>
  <c r="T21" i="2"/>
  <c r="U21" i="2" s="1"/>
  <c r="E21" i="2"/>
  <c r="AH20" i="2"/>
  <c r="W20" i="2"/>
  <c r="AA20" i="2" s="1"/>
  <c r="T20" i="2"/>
  <c r="U20" i="2" s="1"/>
  <c r="E20" i="2"/>
  <c r="AH19" i="2"/>
  <c r="W19" i="2"/>
  <c r="AA19" i="2" s="1"/>
  <c r="T19" i="2"/>
  <c r="U19" i="2" s="1"/>
  <c r="E19" i="2"/>
  <c r="AH18" i="2"/>
  <c r="W18" i="2"/>
  <c r="AA18" i="2" s="1"/>
  <c r="T18" i="2"/>
  <c r="L18" i="2"/>
  <c r="E18" i="2"/>
  <c r="Q17" i="2"/>
  <c r="P17" i="2"/>
  <c r="O17" i="2"/>
  <c r="O13" i="2" s="1"/>
  <c r="M17" i="2"/>
  <c r="AH17" i="2" s="1"/>
  <c r="L17" i="2"/>
  <c r="T17" i="2" s="1"/>
  <c r="U17" i="2" s="1"/>
  <c r="K17" i="2"/>
  <c r="K13" i="2" s="1"/>
  <c r="J17" i="2"/>
  <c r="I17" i="2"/>
  <c r="H17" i="2"/>
  <c r="Z17" i="2" s="1"/>
  <c r="G17" i="2"/>
  <c r="E17" i="2"/>
  <c r="W16" i="2"/>
  <c r="AA16" i="2" s="1"/>
  <c r="T16" i="2"/>
  <c r="U16" i="2" s="1"/>
  <c r="E16" i="2"/>
  <c r="AA15" i="2"/>
  <c r="W15" i="2"/>
  <c r="X15" i="2" s="1"/>
  <c r="T15" i="2"/>
  <c r="Z15" i="2" s="1"/>
  <c r="E15" i="2"/>
  <c r="Q14" i="2"/>
  <c r="W14" i="2" s="1"/>
  <c r="X14" i="2" s="1"/>
  <c r="P14" i="2"/>
  <c r="O14" i="2"/>
  <c r="N14" i="2"/>
  <c r="M14" i="2"/>
  <c r="L14" i="2"/>
  <c r="T14" i="2" s="1"/>
  <c r="K14" i="2"/>
  <c r="J14" i="2"/>
  <c r="I14" i="2"/>
  <c r="E14" i="2"/>
  <c r="T13" i="2"/>
  <c r="Z13" i="2" s="1"/>
  <c r="Q13" i="2"/>
  <c r="M13" i="2"/>
  <c r="I13" i="2"/>
  <c r="G13" i="2"/>
  <c r="U64" i="2" l="1"/>
  <c r="U59" i="2"/>
  <c r="U58" i="2"/>
  <c r="U50" i="2"/>
  <c r="U49" i="2"/>
  <c r="U39" i="2"/>
  <c r="U38" i="2"/>
  <c r="U33" i="2"/>
  <c r="U32" i="2"/>
  <c r="U30" i="2"/>
  <c r="U28" i="2"/>
  <c r="U27" i="2"/>
  <c r="U26" i="2"/>
  <c r="U25" i="2"/>
  <c r="U23" i="2"/>
  <c r="U15" i="2"/>
  <c r="U13" i="2"/>
  <c r="AA64" i="2"/>
  <c r="AA31" i="2"/>
  <c r="X31" i="2"/>
  <c r="X60" i="2"/>
  <c r="AA59" i="2"/>
  <c r="AA50" i="2"/>
  <c r="X49" i="2"/>
  <c r="AA34" i="2"/>
  <c r="AA30" i="2"/>
  <c r="AA32" i="2"/>
  <c r="AA28" i="2"/>
  <c r="AA26" i="2"/>
  <c r="X25" i="2"/>
  <c r="AA24" i="2"/>
  <c r="X23" i="2"/>
  <c r="AA14" i="2"/>
  <c r="AH13" i="2"/>
  <c r="X56" i="2"/>
  <c r="X47" i="2"/>
  <c r="U14" i="2"/>
  <c r="Z14" i="2"/>
  <c r="U18" i="2"/>
  <c r="Z18" i="2"/>
  <c r="Z16" i="2"/>
  <c r="Z19" i="2"/>
  <c r="Z20" i="2"/>
  <c r="Z21" i="2"/>
  <c r="Z36" i="2"/>
  <c r="AA37" i="2"/>
  <c r="X37" i="2"/>
  <c r="AA42" i="2"/>
  <c r="X42" i="2"/>
  <c r="AA43" i="2"/>
  <c r="X43" i="2"/>
  <c r="Z47" i="2"/>
  <c r="AA52" i="2"/>
  <c r="I44" i="2"/>
  <c r="AA44" i="2" s="1"/>
  <c r="AA53" i="2"/>
  <c r="X53" i="2"/>
  <c r="Z54" i="2"/>
  <c r="W13" i="2"/>
  <c r="X13" i="2" s="1"/>
  <c r="X16" i="2"/>
  <c r="W17" i="2"/>
  <c r="X18" i="2"/>
  <c r="X19" i="2"/>
  <c r="X20" i="2"/>
  <c r="X21" i="2"/>
  <c r="Z22" i="2"/>
  <c r="AA36" i="2"/>
  <c r="X36" i="2"/>
  <c r="Z37" i="2"/>
  <c r="W39" i="2"/>
  <c r="X39" i="2" s="1"/>
  <c r="Z41" i="2"/>
  <c r="O44" i="2"/>
  <c r="W44" i="2" s="1"/>
  <c r="X44" i="2" s="1"/>
  <c r="Z45" i="2"/>
  <c r="AA47" i="2"/>
  <c r="Z53" i="2"/>
  <c r="AA54" i="2"/>
  <c r="X54" i="2"/>
  <c r="Z56" i="2"/>
  <c r="Z57" i="2"/>
  <c r="Z65" i="2"/>
  <c r="U66" i="2"/>
  <c r="Z67" i="2"/>
  <c r="Z68" i="2"/>
  <c r="Z69" i="2"/>
  <c r="Z70" i="2"/>
  <c r="X67" i="2"/>
  <c r="X68" i="2"/>
  <c r="X69" i="2"/>
  <c r="X70" i="2"/>
  <c r="U71" i="2" l="1"/>
  <c r="U72" i="2" s="1"/>
  <c r="X71" i="2"/>
  <c r="X72" i="2" s="1"/>
  <c r="AA17" i="2"/>
  <c r="X17" i="2"/>
  <c r="AA13" i="2"/>
  <c r="AA39" i="2"/>
</calcChain>
</file>

<file path=xl/comments1.xml><?xml version="1.0" encoding="utf-8"?>
<comments xmlns="http://schemas.openxmlformats.org/spreadsheetml/2006/main">
  <authors>
    <author>W10 PRO</author>
    <author>USER</author>
  </authors>
  <commentList>
    <comment ref="H15" authorId="0" shapeId="0">
      <text>
        <r>
          <rPr>
            <sz val="12"/>
            <color indexed="81"/>
            <rFont val="Tahoma"/>
            <family val="2"/>
          </rPr>
          <t>Renja Murni, Renja Perubahan, RKA Murni, RKA Perubahan</t>
        </r>
      </text>
    </comment>
    <comment ref="J15" authorId="0" shapeId="0">
      <text>
        <r>
          <rPr>
            <sz val="12"/>
            <color indexed="81"/>
            <rFont val="Tahoma"/>
            <family val="2"/>
          </rPr>
          <t>Renja Murni, Renja Perubahan, RKA Murni, RKA Perubahan</t>
        </r>
      </text>
    </comment>
    <comment ref="H16" authorId="0" shapeId="0">
      <text>
        <r>
          <rPr>
            <sz val="12"/>
            <color indexed="81"/>
            <rFont val="Tahoma"/>
            <family val="2"/>
          </rPr>
          <t>Lap TW 1,2,3, LKJ</t>
        </r>
      </text>
    </comment>
    <comment ref="J16" authorId="0" shapeId="0">
      <text>
        <r>
          <rPr>
            <sz val="12"/>
            <color indexed="81"/>
            <rFont val="Tahoma"/>
            <family val="2"/>
          </rPr>
          <t>Lap TW 1,2,3, LKJ</t>
        </r>
      </text>
    </comment>
    <comment ref="J43" authorId="1" shapeId="0">
      <text>
        <r>
          <rPr>
            <b/>
            <sz val="12"/>
            <color indexed="81"/>
            <rFont val="Tahoma"/>
            <family val="2"/>
          </rPr>
          <t>Desa Hamayung Utara dan Wasah Tengah</t>
        </r>
      </text>
    </comment>
    <comment ref="H50" authorId="0" shapeId="0">
      <text>
        <r>
          <rPr>
            <b/>
            <sz val="12"/>
            <color indexed="81"/>
            <rFont val="Tahoma"/>
            <family val="2"/>
          </rPr>
          <t>Poktan Hidup Makmur, Poktan Tungkuan Dua, Poktan Budi Bhakti, Penggilingan Padi Dua Saputra</t>
        </r>
      </text>
    </comment>
    <comment ref="N63" authorId="1" shapeId="0">
      <text>
        <r>
          <rPr>
            <b/>
            <sz val="9"/>
            <color indexed="81"/>
            <rFont val="Tahoma"/>
            <family val="2"/>
          </rPr>
          <t>Data</t>
        </r>
      </text>
    </comment>
    <comment ref="J66" authorId="1" shapeId="0">
      <text>
        <r>
          <rPr>
            <b/>
            <sz val="12"/>
            <color indexed="81"/>
            <rFont val="Tahoma"/>
            <family val="2"/>
          </rPr>
          <t>Jumlah sample aman/seluruh sample X 100</t>
        </r>
      </text>
    </comment>
  </commentList>
</comments>
</file>

<file path=xl/sharedStrings.xml><?xml version="1.0" encoding="utf-8"?>
<sst xmlns="http://schemas.openxmlformats.org/spreadsheetml/2006/main" count="410" uniqueCount="192">
  <si>
    <t>RENCANA KERJA PERANGKAT DAERAH</t>
  </si>
  <si>
    <t>DINAS KETAHANAN PANGAN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</si>
  <si>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</si>
  <si>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</si>
  <si>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</si>
  <si>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</si>
  <si>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</si>
  <si>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</si>
  <si>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Capaian Kinerja Renstra Perangkat Daerah sampai dengan Renja Perangkat Daerah Tahun Lalu (2021)</t>
  </si>
  <si>
    <t>Target Kinerja dan Anggaran Renja Perangkat Daerah Tahun Berjalan (Tahun 2022) yang Dievaluasi</t>
  </si>
  <si>
    <t>Realisasi Kinerja Pada Triwulan</t>
  </si>
  <si>
    <t>Realisasi dan Tingkat Capaian Kinerja dan Anggaran Renja Perangkat Daerah yang Dievaluasi</t>
  </si>
  <si>
    <t>Realisasi Kinerja dan Anggaran Renstra Perangkat Daerah s/d Tahun 2022</t>
  </si>
  <si>
    <t>Tingkat Capaian Kinerja dan Realisasi Anggaran Renstra Perangkat Daerah s/d Tahun 2022 (%)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</si>
  <si>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</si>
  <si>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</si>
  <si>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</si>
  <si>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</si>
  <si>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</si>
  <si>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</si>
  <si>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</si>
  <si>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</si>
  <si>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(12)(K) : kolom (7)(K)] x 100%</t>
  </si>
  <si>
    <t>[kolom (8-11)(Rp)]</t>
  </si>
  <si>
    <t>[kolom (12)(Rp) : kolom (7)(Rp)] x 100%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</si>
  <si>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</si>
  <si>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</si>
  <si>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</si>
  <si>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</si>
  <si>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akuntabilitas Instansi Pemerintah dan Kualitas Pelayanan Publik</t>
  </si>
  <si>
    <t>Program Penunjang Urusan Pemerintahan Daerah Kabupaten/Kota</t>
  </si>
  <si>
    <t>Tingkat kepuasan pelayanan</t>
  </si>
  <si>
    <t>%</t>
  </si>
  <si>
    <t>Dinas Ketahanan Pangan</t>
  </si>
  <si>
    <t>Meningkatnya Kinerja Keuangan dan Kinerja Birokrasi</t>
  </si>
  <si>
    <t>Perencanaan, Pengangnggaran dan Evaluasi Kinerja Perangkat Daerah</t>
  </si>
  <si>
    <t>Jumlah dokumen Perencanaan dan Evaluasi Kinerja yang berkualitas</t>
  </si>
  <si>
    <t>Dok</t>
  </si>
  <si>
    <t>Penyusunan Dokumen Perencanaan Perangkat Daerah</t>
  </si>
  <si>
    <t>Jumlah Dokumen Perencanaan Perangkat Daerah</t>
  </si>
  <si>
    <t>Evaluasi Kinerja Perangkat Daerah</t>
  </si>
  <si>
    <t>Jumlah Laporan Evaluasi Kinerja Perangkat Daerah</t>
  </si>
  <si>
    <t>Lap</t>
  </si>
  <si>
    <t>Administrasi Keuangan Perangkat Daerah</t>
  </si>
  <si>
    <t>Jumlah dokumen administrasi Keuangan sesuai standar</t>
  </si>
  <si>
    <t>Penyedian Gaji dan Tunjangan ASN</t>
  </si>
  <si>
    <t>Jumlah Orang yang Menerima Gaji dan Tunjangan ASN</t>
  </si>
  <si>
    <t>Org</t>
  </si>
  <si>
    <t>Koordinasi dan Penyusunan Laporan Keuangan Akhir Tahun SKPD</t>
  </si>
  <si>
    <t>Jumlah Laporan Keuangan Akhir Tahun SKPD dan Laporan Hasil Koordinasi Penyusunan Laporan Keuangan Akhir Tahun SKPD</t>
  </si>
  <si>
    <t>Koordinasi dan Penyusunan laporan Keuangan Bulanan/Triwulanan/Semesteran SKPD</t>
  </si>
  <si>
    <t>Jumlah Laporan Keuangan Bulanan/Triwulanan/Semesteran SKPD dan Laporan Koordinasi Penyusunan Laporan Keuangan Bulanan/Triwulanan/Semesteran SKPD</t>
  </si>
  <si>
    <t>Penyusunan Pelaporan dan Analisis Prognosis Realisasi Anggaran</t>
  </si>
  <si>
    <t>Jumlah Dokumen Pelaporan dan Analisis Prognosis Realisasi Anggaran</t>
  </si>
  <si>
    <t>Administrasi Umum Perangkat Daerah</t>
  </si>
  <si>
    <t>Jumlah dokumen administrasi umum sesuai standar</t>
  </si>
  <si>
    <t>Penyedian Komponen Instalasi Listrik/Penerangan Bangunan kantor</t>
  </si>
  <si>
    <t>Jumlah Paket Komponen Instalasi Listrik/Penerangan Bangunan Kantor yang Disediakan</t>
  </si>
  <si>
    <t>Paket</t>
  </si>
  <si>
    <t>Penyedian Peralatan dan Perlengkapan Kantor</t>
  </si>
  <si>
    <t>Jumlah Paket Peralatan dan Perlengkapan Kantor yang Disediakan</t>
  </si>
  <si>
    <t>Penyedian Bahan Logistik Kantor</t>
  </si>
  <si>
    <t>Jumlah Paket Bahan Logistik Kantor yang Disediakan</t>
  </si>
  <si>
    <t>Penyedian Barang Cetakan dan Penggandaan</t>
  </si>
  <si>
    <t>Jumlah Paket Barang Cetakan dan Penggandaan yang Disediakan</t>
  </si>
  <si>
    <t>Penyediaan Bahan Bacaan dan Peraturan Perundang-undangan</t>
  </si>
  <si>
    <t>Jumlah Dokumen Bahan Bacaan dan Peraturan Perundang-Undangan yang Disediakan</t>
  </si>
  <si>
    <t>Penyelenggaraan Rapat Koordinasi dan Konsultasi SKPD</t>
  </si>
  <si>
    <t>Jumlah Laporan Penyelenggaraan Rapat Koordinasi dan Konsultasi SKPD</t>
  </si>
  <si>
    <t>Pengadaan Barang Milik Daerah Penunjang Urusan Pemerintah Daerah</t>
  </si>
  <si>
    <t>Tingkat Kepuasan Pelayanan</t>
  </si>
  <si>
    <t>Pengadaan Sarana dan Prasarana Gedung Kantor atau Bangunan Lainnya</t>
  </si>
  <si>
    <t>Jumlah Unit Sarana dan Prasarana Gedung Kantor atau Bangunan Lainnya yang Disediakan</t>
  </si>
  <si>
    <t>Unit</t>
  </si>
  <si>
    <t>Penyediaan Jasa Penunjang Urusan Pemerintahan Daerah</t>
  </si>
  <si>
    <t>Tingkat Pelayanan Adminstrasi Umum sesuai Standar</t>
  </si>
  <si>
    <t>Penyediaan Jasa Surat Menyurat</t>
  </si>
  <si>
    <t>Jumlah Laporan Penyediaan Jasa Surat Menyurat</t>
  </si>
  <si>
    <t>Penyediaan Jasa Komunikasi, Sumber Daya Air dan Listrik</t>
  </si>
  <si>
    <t>Jumlah Laporan Penyediaan Jasa Komunikasi, Sumber Daya Air dan Listrik yang Disediakan</t>
  </si>
  <si>
    <t>Penyediaan Jasa Pelayanan Umum Kantor</t>
  </si>
  <si>
    <t>Jumlah Laporan Penyediaan Jasa Pelayanan Umum Kantor yang Disediakan</t>
  </si>
  <si>
    <t>Pemeliharaan Barang Milik daerah Penunjang Urusan Pemerintahan Daerah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</si>
  <si>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</si>
  <si>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</si>
  <si>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>Pemeliharaan/Rehabilitasi Gedung Kantor dan Bangunan Lainnya</t>
  </si>
  <si>
    <t>Jumlah Gedung Kantor dan Bangunan Lainnya yang  Dipelihara/Direhabilitasi</t>
  </si>
  <si>
    <t>Pemeliharaan/Rehabilitasi Sarana dan Prasarana Gedung Kantor atau Bangunan Lainnya</t>
  </si>
  <si>
    <t>Jumlah Sarana dan Prasarana Gedung Kantor atau Bangunan Lainnya yang Dipelihara/Direhabilitasi</t>
  </si>
  <si>
    <t>Tercukupinya Ketersediaan Pangan Yang Beragam dan Aman</t>
  </si>
  <si>
    <t>Program Pengelolaan Sumber Daya Ekonomi Untuk Kedaulatan Dan Kemandirian Pangan</t>
  </si>
  <si>
    <t>Persentase Cadangan Pangan Masyarakat</t>
  </si>
  <si>
    <t>Skor PPH Ketersediaan</t>
  </si>
  <si>
    <t>8.04</t>
  </si>
  <si>
    <t>Skor</t>
  </si>
  <si>
    <t>Penyediaan Infrastruktur dan Seluruh Pendukung Kemandirian Pangan sesuai Kewenangan Daerah Kabupaten/Kota</t>
  </si>
  <si>
    <t>Jumlah cadangan pangan masyarakat (pada lumbung)</t>
  </si>
  <si>
    <t>Kg</t>
  </si>
  <si>
    <t>Penyediaan Infrastruktur Lumbung Pangan</t>
  </si>
  <si>
    <t>Jumlah Lumbung Pangan yang Tersedia</t>
  </si>
  <si>
    <t>unit</t>
  </si>
  <si>
    <t>Penyediaan Infrastruktur Lantai Jemur</t>
  </si>
  <si>
    <t>Jumlah Lantai Jemur yang Tersedia</t>
  </si>
  <si>
    <t>Program Peningkatan Diversifikasi Dan Ketahanan Pangan Masyarakat</t>
  </si>
  <si>
    <t>Persentase Cadangan Pangan Pemerintah Daerah</t>
  </si>
  <si>
    <t xml:space="preserve">Persentase rumah tangga pengkonsumsi pangan B2SA
</t>
  </si>
  <si>
    <t>Nilai Tukar Petani</t>
  </si>
  <si>
    <t>skor</t>
  </si>
  <si>
    <t>Penyediaan dan Penyaluran Pangan Pokok atau Pangan Lainnya sesuai dengan Kebutuhan Daerah Kabupaten/Kota dalam rangka Stabilisasi Pasokan dan Harga Pangan</t>
  </si>
  <si>
    <t xml:space="preserve">Jumlah laporan Pencatatan Harga   11 pangan pokok
</t>
  </si>
  <si>
    <t xml:space="preserve">Jumlah Ketersediaan (stok) 11 pangan pokok
</t>
  </si>
  <si>
    <t>Pemantauan Stok, Pasokan dan Harga Pangan</t>
  </si>
  <si>
    <t>Pengembangan Kelembagaan Usaha Pangan Masyarakat dan Toko Tani Indonesia</t>
  </si>
  <si>
    <t>Jumlah Kelembagaan dan Jaringan Distribusi Pangan yang Dikembangkan</t>
  </si>
  <si>
    <t>Koordinasi, Sinkronisasi dan Pelaksanaan Distribusi Pangan Pokok dan Pangan Lainnya</t>
  </si>
  <si>
    <t>Jumlah Koordinasi, Sinkronisasi dan Pelaksanaan Distribusi Pangan Pokok dan Pangan Lainnya</t>
  </si>
  <si>
    <t>Pengelolaan dan Keseimbangan Cadangan Pangan Kabupaten/Kota</t>
  </si>
  <si>
    <t xml:space="preserve">Jumlah cadangan pangan pemerintah 
</t>
  </si>
  <si>
    <t>Pengadaan Cadangan Pangan Pemerintah Kabupaten/Kota</t>
  </si>
  <si>
    <t>Jumlah Cadangan Pangan Pemerintah Kabupaten/Kota</t>
  </si>
  <si>
    <t>Ton</t>
  </si>
  <si>
    <t>7,5</t>
  </si>
  <si>
    <t>Pemeliharaan Cadangan Pangan Pemerintah Kabupaten/Kota</t>
  </si>
  <si>
    <t>Jumlah Cadangan Pangan Pemerintah Kabupaten/Kota yang Terpelihara</t>
  </si>
  <si>
    <t>Koordinasi dan Sinkronisasi Pengendalian Cadangan Pangan Kabupaten/Kota</t>
  </si>
  <si>
    <t>Jumlah Koordinasi dan Sinkronisasi Pengendalian Cadangan Pangan Kabupaten/Kota</t>
  </si>
  <si>
    <t>Pelaksanaan Pencapaian Target Konsumsi Pangan Perkapita/Tahun sesuai dengan Angka Kecukupan Gizi</t>
  </si>
  <si>
    <t xml:space="preserve">Jumlah rumah tangga yang mengimplementasikan KRPL 
</t>
  </si>
  <si>
    <t>RT</t>
  </si>
  <si>
    <t>Skor PPh Konsumsi</t>
  </si>
  <si>
    <t>Penyusunan dan Penetapan Target Konsumsi Pangan per Kapita per Tahun</t>
  </si>
  <si>
    <t>Target Konsumsi Pangan Per Kapita Per Tahun</t>
  </si>
  <si>
    <t>Pemberdayaan Masyarakat dalam Penganekaragaman Konsumsi Pangan Berbasis Sumber Daya Lokal</t>
  </si>
  <si>
    <t>Jumlah Pemberdayaan Kelompok Masyarakat dalam Penganekaragaman Konsumsi Pangan Berbasis Sumber Daya Lokal</t>
  </si>
  <si>
    <t>Koordinasi dan Sinkronisasi Pemantauan dan Evaluasi Konsumsi per Kapita per Tahun</t>
  </si>
  <si>
    <t>Jumlah Koordinasi dan Sinkronisasi Pemantauan dan Evaluasi Konsumsi Per Kapita Per Tahun</t>
  </si>
  <si>
    <t>Program Penanganan Kerawanan Pangan</t>
  </si>
  <si>
    <t>Persentase Daerah Rentan Rawan Pangan</t>
  </si>
  <si>
    <t>Penyusunan Peta Kerentanan dan Ketahanan Pangan Kecamatan</t>
  </si>
  <si>
    <t>Jumlah laporan peta</t>
  </si>
  <si>
    <t>Penyusunan, Pemutakhiran dan Analisis Peta Ketahanan dan Kerentanan Pangan</t>
  </si>
  <si>
    <t>Peta dan Analisis Ketahanan dan Kerentanan Pangan yang Dimutahirkan</t>
  </si>
  <si>
    <t>Program Pengawasan Keamanan Pangan</t>
  </si>
  <si>
    <t>Persentase pangan segar yang memenuhi persyaratan dan keamanan</t>
  </si>
  <si>
    <t>Pelaksanaan Pengawasan Keamanan Pangan Segar Daerah Kabupaten/Kota</t>
  </si>
  <si>
    <t xml:space="preserve">Jumlah unit produksi yang diperiksa
</t>
  </si>
  <si>
    <t>Unit Produksi</t>
  </si>
  <si>
    <t xml:space="preserve">Jumlah sampel unit penjualan
</t>
  </si>
  <si>
    <t>Pasar</t>
  </si>
  <si>
    <t>Penguatan Kelembagaan Keamanan Pangan Segar Daerah Kabupaten/Kota</t>
  </si>
  <si>
    <t>KelembagaanKeamanan Pangan Segar Daerah Kabupaten/Kota yang Dibina</t>
  </si>
  <si>
    <t>Registrasi Keamanan Pangan Segar Asal Tumbuhan Daerah Kabupaten/Kota</t>
  </si>
  <si>
    <t>Jumlah Registrasi Keamanan Pangan Segar Asal Tumbuhan Daerah Kabupaten/Kota</t>
  </si>
  <si>
    <t>Rekomendasi Keamanan Pangan Segar Asal Tumbuhan Daerah Kabupaten/Kota</t>
  </si>
  <si>
    <t>Jumlah Rekomendasi Keamanan Pangan Segar Asal Tumbuhan Daerah Kabupaten/Kota</t>
  </si>
  <si>
    <t>Penyediaan Sarana dan Prasarana Pengujian Mutu dan Keamanan Pangan Segar Asal Tumbuhan Daerah Kabupaten/Kota</t>
  </si>
  <si>
    <t>Jumlah Sarana dan Prasarana Pengujian Mutu dan Keamanan Pangan Segar Asal Tumbuhan Daerah Kabupaten/Kota</t>
  </si>
  <si>
    <t>Rata-rata Capaian Kinerja (%)</t>
  </si>
  <si>
    <t>Predikat Kinerja</t>
  </si>
  <si>
    <t>Faktor pendorong keberhasilan pencapaian: beberapa faktor  pendorong keberhasilan capaian PPH Konsumsi adalah dengan adanya sosialisasi/penyuluhan dalam penganekaragaman pangan melalui berbagai media dan adanya dukungan pemerintah terhadap perbaikan kelembagaan dan sarana prasarana lumbung pangan masyarakat</t>
  </si>
  <si>
    <t>Faktor penghambat pencapaian kinerja:  Masih kurangnya pengetahuan masyarakat untuk mengkonsumsi pangan sesuai angka kecukupan gizi dan sesuai dengan prinsip B2SA (Beragam, Bergizi, Seimbang dan Aman),  Peran lumbung pangan masyarakat sebagai penyangga cadangan pangan masyarakat desa masih belum optimalnya</t>
  </si>
  <si>
    <t>Tindak lanjut yang diperlukan dalam triwulan berikutnya*): Melakukan Pembinaan secara berkelanjutan untuk meningkatkan kesadaran masyarakat dalam mengkonsumsi pangan yang aman</t>
  </si>
  <si>
    <t>Tindak lanjut yang diperlukan dalam Renja Perangkat Daerah Kabupaten berikutnya*): Melakukan Pembinaan secara berkelanjutan untuk meningkatkan kesadaran masyarakat dalam mengkonsumsi pangan yang aman</t>
  </si>
  <si>
    <t>Disusun</t>
  </si>
  <si>
    <t>Kepala Dinas Ketahanan Pangan</t>
  </si>
  <si>
    <t>Kabupaten Hulu Sungai Selatan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</si>
  <si>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</si>
  <si>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</si>
  <si>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</si>
  <si>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</si>
  <si>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</si>
  <si>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</si>
  <si>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t>Ir. H. AKHMAD MAWARDI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</si>
  <si>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</si>
  <si>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</si>
  <si>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</si>
  <si>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t>NIP. 19651129 199703 1 001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</si>
  <si>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</si>
  <si>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</si>
  <si>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</si>
  <si>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</si>
  <si>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</si>
  <si>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</si>
  <si>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</si>
  <si>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</si>
  <si>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</si>
  <si>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PERIODE PELAKSANAAN TRIWULAN IV TAHUN 2022</t>
  </si>
  <si>
    <t>87,54</t>
  </si>
  <si>
    <t>96,38</t>
  </si>
  <si>
    <t>Kandangan,       Desember  2022</t>
  </si>
  <si>
    <t xml:space="preserve">  </t>
  </si>
  <si>
    <t>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</si>
</sst>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7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0" fillId="0" borderId="0"/>
  </cellStyleXfs>
  <cellXfs count="19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4" fillId="3" borderId="15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164" fontId="6" fillId="0" borderId="6" xfId="1" quotePrefix="1" applyNumberFormat="1" applyFont="1" applyFill="1" applyBorder="1" applyAlignment="1">
      <alignment vertical="top"/>
    </xf>
    <xf numFmtId="1" fontId="6" fillId="0" borderId="6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41" fontId="6" fillId="0" borderId="6" xfId="0" applyNumberFormat="1" applyFont="1" applyFill="1" applyBorder="1" applyAlignment="1">
      <alignment horizontal="center" vertical="top"/>
    </xf>
    <xf numFmtId="2" fontId="6" fillId="0" borderId="6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164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4" fontId="8" fillId="0" borderId="2" xfId="1" quotePrefix="1" applyNumberFormat="1" applyFont="1" applyFill="1" applyBorder="1" applyAlignment="1">
      <alignment vertical="top"/>
    </xf>
    <xf numFmtId="164" fontId="6" fillId="0" borderId="2" xfId="1" quotePrefix="1" applyNumberFormat="1" applyFont="1" applyFill="1" applyBorder="1" applyAlignment="1">
      <alignment vertical="top"/>
    </xf>
    <xf numFmtId="41" fontId="6" fillId="0" borderId="2" xfId="0" applyNumberFormat="1" applyFont="1" applyFill="1" applyBorder="1" applyAlignment="1">
      <alignment vertical="top"/>
    </xf>
    <xf numFmtId="2" fontId="8" fillId="0" borderId="2" xfId="0" applyNumberFormat="1" applyFont="1" applyFill="1" applyBorder="1" applyAlignment="1">
      <alignment horizontal="center" vertical="top"/>
    </xf>
    <xf numFmtId="0" fontId="4" fillId="0" borderId="11" xfId="0" applyFont="1" applyFill="1" applyBorder="1"/>
    <xf numFmtId="0" fontId="8" fillId="0" borderId="1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1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41" fontId="8" fillId="0" borderId="2" xfId="0" applyNumberFormat="1" applyFont="1" applyFill="1" applyBorder="1" applyAlignment="1">
      <alignment vertical="top"/>
    </xf>
    <xf numFmtId="164" fontId="8" fillId="0" borderId="15" xfId="1" quotePrefix="1" applyNumberFormat="1" applyFont="1" applyFill="1" applyBorder="1" applyAlignment="1">
      <alignment vertical="top"/>
    </xf>
    <xf numFmtId="1" fontId="6" fillId="0" borderId="15" xfId="0" applyNumberFormat="1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164" fontId="6" fillId="0" borderId="15" xfId="1" quotePrefix="1" applyNumberFormat="1" applyFont="1" applyFill="1" applyBorder="1" applyAlignment="1">
      <alignment vertical="top"/>
    </xf>
    <xf numFmtId="0" fontId="8" fillId="0" borderId="11" xfId="0" applyFont="1" applyFill="1" applyBorder="1" applyAlignment="1">
      <alignment horizontal="center" vertical="top" wrapText="1"/>
    </xf>
    <xf numFmtId="9" fontId="8" fillId="0" borderId="15" xfId="0" applyNumberFormat="1" applyFont="1" applyFill="1" applyBorder="1" applyAlignment="1">
      <alignment horizontal="center" vertical="top"/>
    </xf>
    <xf numFmtId="1" fontId="8" fillId="0" borderId="15" xfId="0" applyNumberFormat="1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1" fontId="8" fillId="0" borderId="2" xfId="0" quotePrefix="1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164" fontId="8" fillId="0" borderId="6" xfId="1" quotePrefix="1" applyNumberFormat="1" applyFont="1" applyFill="1" applyBorder="1" applyAlignment="1">
      <alignment vertical="top"/>
    </xf>
    <xf numFmtId="1" fontId="8" fillId="0" borderId="6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/>
    </xf>
    <xf numFmtId="41" fontId="8" fillId="0" borderId="6" xfId="0" applyNumberFormat="1" applyFont="1" applyFill="1" applyBorder="1" applyAlignment="1">
      <alignment vertical="top"/>
    </xf>
    <xf numFmtId="2" fontId="8" fillId="0" borderId="6" xfId="0" applyNumberFormat="1" applyFont="1" applyFill="1" applyBorder="1" applyAlignment="1">
      <alignment horizontal="center" vertical="top"/>
    </xf>
    <xf numFmtId="3" fontId="6" fillId="0" borderId="15" xfId="0" applyNumberFormat="1" applyFont="1" applyFill="1" applyBorder="1" applyAlignment="1">
      <alignment horizontal="center" vertical="top" wrapText="1"/>
    </xf>
    <xf numFmtId="164" fontId="6" fillId="0" borderId="6" xfId="1" applyNumberFormat="1" applyFont="1" applyFill="1" applyBorder="1" applyAlignment="1">
      <alignment vertical="top"/>
    </xf>
    <xf numFmtId="4" fontId="6" fillId="0" borderId="15" xfId="0" applyNumberFormat="1" applyFont="1" applyFill="1" applyBorder="1" applyAlignment="1">
      <alignment horizontal="center" vertical="top" wrapText="1"/>
    </xf>
    <xf numFmtId="1" fontId="6" fillId="0" borderId="15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164" fontId="8" fillId="0" borderId="6" xfId="1" applyNumberFormat="1" applyFont="1" applyFill="1" applyBorder="1" applyAlignment="1">
      <alignment vertical="top"/>
    </xf>
    <xf numFmtId="3" fontId="6" fillId="0" borderId="2" xfId="0" applyNumberFormat="1" applyFont="1" applyFill="1" applyBorder="1" applyAlignment="1">
      <alignment horizontal="center" vertical="top" wrapText="1"/>
    </xf>
    <xf numFmtId="41" fontId="6" fillId="0" borderId="15" xfId="2" applyFont="1" applyFill="1" applyBorder="1" applyAlignment="1">
      <alignment vertical="top"/>
    </xf>
    <xf numFmtId="4" fontId="6" fillId="0" borderId="2" xfId="0" applyNumberFormat="1" applyFont="1" applyFill="1" applyBorder="1" applyAlignment="1">
      <alignment horizontal="center" vertical="top" wrapText="1"/>
    </xf>
    <xf numFmtId="164" fontId="6" fillId="0" borderId="15" xfId="1" applyNumberFormat="1" applyFont="1" applyFill="1" applyBorder="1" applyAlignment="1">
      <alignment vertical="top"/>
    </xf>
    <xf numFmtId="1" fontId="6" fillId="0" borderId="2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Fill="1" applyBorder="1" applyAlignment="1">
      <alignment horizontal="center" vertical="top"/>
    </xf>
    <xf numFmtId="41" fontId="6" fillId="0" borderId="15" xfId="0" applyNumberFormat="1" applyFont="1" applyFill="1" applyBorder="1" applyAlignment="1">
      <alignment vertical="top"/>
    </xf>
    <xf numFmtId="3" fontId="6" fillId="0" borderId="2" xfId="0" applyNumberFormat="1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top"/>
    </xf>
    <xf numFmtId="164" fontId="6" fillId="0" borderId="2" xfId="1" applyNumberFormat="1" applyFont="1" applyFill="1" applyBorder="1" applyAlignment="1">
      <alignment vertical="top"/>
    </xf>
    <xf numFmtId="0" fontId="9" fillId="0" borderId="15" xfId="0" applyFont="1" applyFill="1" applyBorder="1" applyAlignment="1">
      <alignment horizontal="left" vertical="top" wrapText="1"/>
    </xf>
    <xf numFmtId="41" fontId="8" fillId="0" borderId="2" xfId="2" applyFont="1" applyFill="1" applyBorder="1" applyAlignment="1">
      <alignment vertical="top"/>
    </xf>
    <xf numFmtId="164" fontId="8" fillId="0" borderId="2" xfId="1" applyNumberFormat="1" applyFont="1" applyFill="1" applyBorder="1" applyAlignment="1">
      <alignment vertical="top"/>
    </xf>
    <xf numFmtId="2" fontId="6" fillId="0" borderId="15" xfId="0" applyNumberFormat="1" applyFont="1" applyFill="1" applyBorder="1" applyAlignment="1">
      <alignment horizontal="center" vertical="top" wrapText="1"/>
    </xf>
    <xf numFmtId="41" fontId="6" fillId="0" borderId="11" xfId="2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vertical="top"/>
    </xf>
    <xf numFmtId="2" fontId="6" fillId="0" borderId="11" xfId="0" applyNumberFormat="1" applyFont="1" applyFill="1" applyBorder="1" applyAlignment="1">
      <alignment horizontal="center" vertical="top"/>
    </xf>
    <xf numFmtId="41" fontId="6" fillId="0" borderId="6" xfId="0" applyNumberFormat="1" applyFont="1" applyFill="1" applyBorder="1" applyAlignment="1">
      <alignment vertical="top"/>
    </xf>
    <xf numFmtId="9" fontId="8" fillId="0" borderId="2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 wrapText="1"/>
    </xf>
    <xf numFmtId="4" fontId="8" fillId="0" borderId="2" xfId="1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3" fontId="8" fillId="0" borderId="2" xfId="1" applyNumberFormat="1" applyFont="1" applyFill="1" applyBorder="1" applyAlignment="1">
      <alignment horizontal="center" vertical="top" wrapText="1"/>
    </xf>
    <xf numFmtId="164" fontId="8" fillId="4" borderId="2" xfId="1" quotePrefix="1" applyNumberFormat="1" applyFont="1" applyFill="1" applyBorder="1" applyAlignment="1">
      <alignment vertical="top"/>
    </xf>
    <xf numFmtId="9" fontId="6" fillId="0" borderId="2" xfId="0" applyNumberFormat="1" applyFont="1" applyFill="1" applyBorder="1" applyAlignment="1">
      <alignment horizontal="center" vertical="top" wrapText="1"/>
    </xf>
    <xf numFmtId="3" fontId="8" fillId="0" borderId="2" xfId="2" applyNumberFormat="1" applyFont="1" applyFill="1" applyBorder="1" applyAlignment="1">
      <alignment horizontal="center" vertical="top" wrapText="1"/>
    </xf>
    <xf numFmtId="2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4" xfId="0" applyFont="1" applyFill="1" applyBorder="1" applyAlignment="1">
      <alignment horizontal="center"/>
    </xf>
    <xf numFmtId="2" fontId="8" fillId="4" borderId="13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left"/>
    </xf>
    <xf numFmtId="0" fontId="8" fillId="4" borderId="14" xfId="0" applyFont="1" applyFill="1" applyBorder="1"/>
    <xf numFmtId="0" fontId="8" fillId="4" borderId="14" xfId="0" applyFont="1" applyFill="1" applyBorder="1" applyAlignment="1">
      <alignment horizontal="left"/>
    </xf>
    <xf numFmtId="0" fontId="8" fillId="4" borderId="13" xfId="0" applyFont="1" applyFill="1" applyBorder="1"/>
    <xf numFmtId="0" fontId="4" fillId="0" borderId="15" xfId="0" applyFont="1" applyFill="1" applyBorder="1"/>
    <xf numFmtId="0" fontId="8" fillId="0" borderId="0" xfId="0" applyFont="1" applyFill="1"/>
    <xf numFmtId="0" fontId="6" fillId="0" borderId="0" xfId="0" applyFont="1" applyFill="1" applyBorder="1"/>
    <xf numFmtId="0" fontId="8" fillId="0" borderId="0" xfId="0" applyFont="1" applyFill="1" applyBorder="1"/>
    <xf numFmtId="0" fontId="11" fillId="5" borderId="16" xfId="3" applyFont="1" applyFill="1" applyBorder="1" applyAlignment="1">
      <alignment horizontal="center" vertical="center" wrapText="1"/>
    </xf>
    <xf numFmtId="0" fontId="11" fillId="0" borderId="16" xfId="3" applyFont="1" applyFill="1" applyBorder="1" applyAlignment="1">
      <alignment horizontal="center" vertical="center" wrapText="1"/>
    </xf>
    <xf numFmtId="0" fontId="13" fillId="0" borderId="16" xfId="3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/>
    </xf>
    <xf numFmtId="44" fontId="4" fillId="0" borderId="0" xfId="0" applyNumberFormat="1" applyFont="1" applyFill="1"/>
    <xf numFmtId="0" fontId="9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1" fontId="8" fillId="6" borderId="2" xfId="0" applyNumberFormat="1" applyFont="1" applyFill="1" applyBorder="1" applyAlignment="1">
      <alignment horizontal="center" vertical="top" wrapText="1"/>
    </xf>
    <xf numFmtId="9" fontId="8" fillId="6" borderId="2" xfId="0" applyNumberFormat="1" applyFont="1" applyFill="1" applyBorder="1" applyAlignment="1">
      <alignment horizontal="center" vertical="top" wrapText="1"/>
    </xf>
    <xf numFmtId="41" fontId="8" fillId="6" borderId="2" xfId="2" applyFont="1" applyFill="1" applyBorder="1" applyAlignment="1">
      <alignment vertical="top"/>
    </xf>
    <xf numFmtId="164" fontId="8" fillId="6" borderId="2" xfId="1" applyNumberFormat="1" applyFont="1" applyFill="1" applyBorder="1" applyAlignment="1">
      <alignment vertical="top"/>
    </xf>
    <xf numFmtId="164" fontId="8" fillId="6" borderId="2" xfId="1" quotePrefix="1" applyNumberFormat="1" applyFont="1" applyFill="1" applyBorder="1" applyAlignment="1">
      <alignment vertical="top"/>
    </xf>
    <xf numFmtId="0" fontId="8" fillId="6" borderId="2" xfId="0" applyFont="1" applyFill="1" applyBorder="1" applyAlignment="1">
      <alignment horizontal="center" vertical="top" wrapText="1"/>
    </xf>
    <xf numFmtId="3" fontId="8" fillId="6" borderId="2" xfId="0" applyNumberFormat="1" applyFont="1" applyFill="1" applyBorder="1" applyAlignment="1">
      <alignment horizontal="center" vertical="top" wrapText="1"/>
    </xf>
    <xf numFmtId="1" fontId="8" fillId="6" borderId="2" xfId="0" applyNumberFormat="1" applyFont="1" applyFill="1" applyBorder="1" applyAlignment="1">
      <alignment horizontal="center" vertical="top"/>
    </xf>
    <xf numFmtId="0" fontId="8" fillId="6" borderId="2" xfId="0" applyFont="1" applyFill="1" applyBorder="1" applyAlignment="1">
      <alignment horizontal="center" vertical="top"/>
    </xf>
    <xf numFmtId="41" fontId="8" fillId="6" borderId="2" xfId="0" applyNumberFormat="1" applyFont="1" applyFill="1" applyBorder="1" applyAlignment="1">
      <alignment vertical="top"/>
    </xf>
    <xf numFmtId="2" fontId="8" fillId="6" borderId="2" xfId="0" applyNumberFormat="1" applyFont="1" applyFill="1" applyBorder="1" applyAlignment="1">
      <alignment horizontal="center" vertical="top"/>
    </xf>
    <xf numFmtId="9" fontId="8" fillId="6" borderId="2" xfId="0" applyNumberFormat="1" applyFont="1" applyFill="1" applyBorder="1" applyAlignment="1">
      <alignment horizontal="center" vertical="top"/>
    </xf>
    <xf numFmtId="1" fontId="8" fillId="6" borderId="2" xfId="2" applyNumberFormat="1" applyFont="1" applyFill="1" applyBorder="1" applyAlignment="1">
      <alignment horizontal="center" vertical="top"/>
    </xf>
    <xf numFmtId="0" fontId="4" fillId="6" borderId="11" xfId="0" applyFont="1" applyFill="1" applyBorder="1"/>
    <xf numFmtId="0" fontId="6" fillId="6" borderId="15" xfId="0" applyFont="1" applyFill="1" applyBorder="1" applyAlignment="1">
      <alignment horizontal="left" vertical="top" wrapText="1"/>
    </xf>
    <xf numFmtId="2" fontId="6" fillId="6" borderId="15" xfId="1" applyNumberFormat="1" applyFont="1" applyFill="1" applyBorder="1" applyAlignment="1">
      <alignment horizontal="center" vertical="top"/>
    </xf>
    <xf numFmtId="9" fontId="6" fillId="6" borderId="15" xfId="0" applyNumberFormat="1" applyFont="1" applyFill="1" applyBorder="1" applyAlignment="1">
      <alignment horizontal="center" vertical="top"/>
    </xf>
    <xf numFmtId="164" fontId="6" fillId="6" borderId="15" xfId="1" applyNumberFormat="1" applyFont="1" applyFill="1" applyBorder="1" applyAlignment="1">
      <alignment vertical="top"/>
    </xf>
    <xf numFmtId="2" fontId="6" fillId="6" borderId="15" xfId="0" applyNumberFormat="1" applyFont="1" applyFill="1" applyBorder="1" applyAlignment="1">
      <alignment horizontal="center" vertical="top" wrapText="1"/>
    </xf>
    <xf numFmtId="2" fontId="6" fillId="6" borderId="15" xfId="1" applyNumberFormat="1" applyFont="1" applyFill="1" applyBorder="1" applyAlignment="1">
      <alignment horizontal="center" vertical="top" wrapText="1"/>
    </xf>
    <xf numFmtId="1" fontId="6" fillId="6" borderId="15" xfId="0" applyNumberFormat="1" applyFont="1" applyFill="1" applyBorder="1" applyAlignment="1">
      <alignment horizontal="center" vertical="top" wrapText="1"/>
    </xf>
    <xf numFmtId="2" fontId="6" fillId="6" borderId="15" xfId="0" applyNumberFormat="1" applyFont="1" applyFill="1" applyBorder="1" applyAlignment="1">
      <alignment horizontal="center" vertical="top"/>
    </xf>
    <xf numFmtId="0" fontId="6" fillId="6" borderId="15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center" vertical="top" wrapText="1"/>
    </xf>
    <xf numFmtId="9" fontId="6" fillId="6" borderId="2" xfId="0" applyNumberFormat="1" applyFont="1" applyFill="1" applyBorder="1" applyAlignment="1">
      <alignment horizontal="center" vertical="top"/>
    </xf>
    <xf numFmtId="164" fontId="6" fillId="6" borderId="2" xfId="1" applyNumberFormat="1" applyFont="1" applyFill="1" applyBorder="1" applyAlignment="1">
      <alignment vertical="top"/>
    </xf>
    <xf numFmtId="1" fontId="6" fillId="6" borderId="2" xfId="0" applyNumberFormat="1" applyFont="1" applyFill="1" applyBorder="1" applyAlignment="1">
      <alignment horizontal="center" vertical="top" wrapText="1"/>
    </xf>
    <xf numFmtId="164" fontId="6" fillId="6" borderId="2" xfId="1" quotePrefix="1" applyNumberFormat="1" applyFont="1" applyFill="1" applyBorder="1" applyAlignment="1">
      <alignment vertical="top"/>
    </xf>
    <xf numFmtId="1" fontId="6" fillId="6" borderId="2" xfId="0" applyNumberFormat="1" applyFont="1" applyFill="1" applyBorder="1" applyAlignment="1">
      <alignment horizontal="center" vertical="top"/>
    </xf>
    <xf numFmtId="2" fontId="6" fillId="6" borderId="2" xfId="0" applyNumberFormat="1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  <xf numFmtId="41" fontId="6" fillId="6" borderId="2" xfId="0" applyNumberFormat="1" applyFont="1" applyFill="1" applyBorder="1" applyAlignment="1">
      <alignment vertical="top"/>
    </xf>
    <xf numFmtId="2" fontId="6" fillId="7" borderId="2" xfId="0" applyNumberFormat="1" applyFont="1" applyFill="1" applyBorder="1" applyAlignment="1">
      <alignment horizontal="center" vertical="top" wrapText="1"/>
    </xf>
    <xf numFmtId="167" fontId="8" fillId="0" borderId="2" xfId="0" applyNumberFormat="1" applyFont="1" applyFill="1" applyBorder="1" applyAlignment="1">
      <alignment horizontal="center" vertical="top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87"/>
  <sheetViews>
    <sheetView tabSelected="1" view="pageBreakPreview" topLeftCell="D1" zoomScale="70" zoomScaleNormal="70" zoomScaleSheetLayoutView="70" workbookViewId="0">
      <pane ySplit="1" topLeftCell="A2" activePane="bottomLeft" state="frozen"/>
      <selection pane="bottomLeft" activeCell="K11" sqref="K11:K12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6.28515625" style="2" customWidth="1"/>
    <col min="4" max="4" width="15" style="2" customWidth="1"/>
    <col min="5" max="5" width="9.5703125" style="2" bestFit="1" customWidth="1"/>
    <col min="6" max="6" width="11" style="2" bestFit="1" customWidth="1"/>
    <col min="7" max="7" width="18.85546875" style="2" bestFit="1" customWidth="1"/>
    <col min="8" max="8" width="8.28515625" style="2" bestFit="1" customWidth="1"/>
    <col min="9" max="9" width="17.5703125" style="2" bestFit="1" customWidth="1"/>
    <col min="10" max="10" width="8.28515625" style="2" bestFit="1" customWidth="1"/>
    <col min="11" max="11" width="17.5703125" style="2" bestFit="1" customWidth="1"/>
    <col min="12" max="12" width="8.28515625" style="2" bestFit="1" customWidth="1"/>
    <col min="13" max="13" width="15.5703125" style="2" bestFit="1" customWidth="1"/>
    <col min="14" max="14" width="8.28515625" style="2" bestFit="1" customWidth="1"/>
    <col min="15" max="15" width="15.5703125" style="2" bestFit="1" customWidth="1"/>
    <col min="16" max="16" width="8.5703125" style="2" bestFit="1" customWidth="1"/>
    <col min="17" max="17" width="18.28515625" style="2" customWidth="1"/>
    <col min="18" max="18" width="10.140625" style="2" customWidth="1"/>
    <col min="19" max="19" width="17.85546875" style="2" customWidth="1"/>
    <col min="20" max="20" width="12.85546875" style="2" bestFit="1" customWidth="1"/>
    <col min="21" max="21" width="11.140625" style="2" customWidth="1"/>
    <col min="22" max="22" width="5.5703125" style="4" customWidth="1"/>
    <col min="23" max="23" width="20.85546875" style="2" customWidth="1"/>
    <col min="24" max="24" width="9" style="2" customWidth="1"/>
    <col min="25" max="25" width="5.5703125" style="4" customWidth="1"/>
    <col min="26" max="26" width="9.85546875" style="2" customWidth="1"/>
    <col min="27" max="27" width="22" style="2" customWidth="1"/>
    <col min="28" max="28" width="8" style="2" customWidth="1"/>
    <col min="29" max="29" width="5.5703125" style="4" customWidth="1"/>
    <col min="30" max="30" width="13.140625" style="2" customWidth="1"/>
    <col min="31" max="31" width="15" style="2" customWidth="1"/>
    <col min="32" max="32" width="28.5703125" style="2" customWidth="1"/>
    <col min="33" max="37" width="19.5703125" style="2" customWidth="1"/>
    <col min="38" max="16384" width="9.140625" style="2"/>
  </cols>
  <sheetData>
    <row r="1" spans="1:37" ht="23.25" x14ac:dyDescent="0.35">
      <c r="A1" s="112" t="s">
        <v>190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"/>
    </row>
    <row r="2" spans="1:37" ht="23.25" x14ac:dyDescent="0.3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3"/>
    </row>
    <row r="3" spans="1:37" ht="23.25" x14ac:dyDescent="0.35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3"/>
    </row>
    <row r="4" spans="1:37" ht="23.25" x14ac:dyDescent="0.35">
      <c r="A4" s="113" t="s">
        <v>186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"/>
    </row>
    <row r="5" spans="1:37" ht="18" x14ac:dyDescent="0.2">
      <c r="A5" s="114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</row>
    <row r="6" spans="1:37" ht="18" x14ac:dyDescent="0.25">
      <c r="A6" s="111" t="s">
        <v>1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</row>
    <row r="7" spans="1:37" ht="81" customHeight="1" x14ac:dyDescent="0.2">
      <c r="A7" s="121" t="s">
        <v>3</v>
      </c>
      <c r="B7" s="121" t="s">
        <v>4</v>
      </c>
      <c r="C7" s="122" t="s">
        <v>5</v>
      </c>
      <c r="D7" s="122" t="s">
        <v>6</v>
      </c>
      <c r="E7" s="115" t="s">
        <v>7</v>
      </c>
      <c r="F7" s="116"/>
      <c r="G7" s="123"/>
      <c r="H7" s="115" t="s">
        <v>8</v>
      </c>
      <c r="I7" s="123"/>
      <c r="J7" s="115" t="s">
        <v>9</v>
      </c>
      <c r="K7" s="116"/>
      <c r="L7" s="115" t="s">
        <v>10</v>
      </c>
      <c r="M7" s="116"/>
      <c r="N7" s="116"/>
      <c r="O7" s="116"/>
      <c r="P7" s="116"/>
      <c r="Q7" s="116"/>
      <c r="R7" s="116"/>
      <c r="S7" s="123"/>
      <c r="T7" s="115" t="s">
        <v>11</v>
      </c>
      <c r="U7" s="116"/>
      <c r="V7" s="116"/>
      <c r="W7" s="116"/>
      <c r="X7" s="116"/>
      <c r="Y7" s="123"/>
      <c r="Z7" s="115" t="s">
        <v>12</v>
      </c>
      <c r="AA7" s="123"/>
      <c r="AB7" s="115" t="s">
        <v>13</v>
      </c>
      <c r="AC7" s="116"/>
      <c r="AD7" s="116"/>
      <c r="AE7" s="119" t="s">
        <v>14</v>
      </c>
      <c r="AG7" s="4"/>
      <c r="AH7" s="4"/>
      <c r="AI7" s="4"/>
      <c r="AJ7" s="4"/>
      <c r="AK7" s="4"/>
    </row>
    <row r="8" spans="1:37" ht="18" customHeight="1" x14ac:dyDescent="0.2">
      <c r="A8" s="121"/>
      <c r="B8" s="121"/>
      <c r="C8" s="122"/>
      <c r="D8" s="122"/>
      <c r="E8" s="124"/>
      <c r="F8" s="125"/>
      <c r="G8" s="126"/>
      <c r="H8" s="124"/>
      <c r="I8" s="126"/>
      <c r="J8" s="117"/>
      <c r="K8" s="118"/>
      <c r="L8" s="117"/>
      <c r="M8" s="118"/>
      <c r="N8" s="118"/>
      <c r="O8" s="118"/>
      <c r="P8" s="118"/>
      <c r="Q8" s="118"/>
      <c r="R8" s="118"/>
      <c r="S8" s="127"/>
      <c r="T8" s="117"/>
      <c r="U8" s="118"/>
      <c r="V8" s="118"/>
      <c r="W8" s="118"/>
      <c r="X8" s="118"/>
      <c r="Y8" s="127"/>
      <c r="Z8" s="117"/>
      <c r="AA8" s="127"/>
      <c r="AB8" s="117"/>
      <c r="AC8" s="118"/>
      <c r="AD8" s="118"/>
      <c r="AE8" s="120"/>
    </row>
    <row r="9" spans="1:37" ht="15.75" customHeight="1" x14ac:dyDescent="0.2">
      <c r="A9" s="121"/>
      <c r="B9" s="121"/>
      <c r="C9" s="122"/>
      <c r="D9" s="122"/>
      <c r="E9" s="117"/>
      <c r="F9" s="118"/>
      <c r="G9" s="127"/>
      <c r="H9" s="117"/>
      <c r="I9" s="127"/>
      <c r="J9" s="142">
        <v>2022</v>
      </c>
      <c r="K9" s="143"/>
      <c r="L9" s="128" t="s">
        <v>15</v>
      </c>
      <c r="M9" s="130"/>
      <c r="N9" s="128" t="s">
        <v>16</v>
      </c>
      <c r="O9" s="130"/>
      <c r="P9" s="128" t="s">
        <v>17</v>
      </c>
      <c r="Q9" s="130"/>
      <c r="R9" s="128" t="s">
        <v>18</v>
      </c>
      <c r="S9" s="130"/>
      <c r="T9" s="128">
        <v>2022</v>
      </c>
      <c r="U9" s="129"/>
      <c r="V9" s="129"/>
      <c r="W9" s="129"/>
      <c r="X9" s="129"/>
      <c r="Y9" s="130"/>
      <c r="Z9" s="128">
        <v>2022</v>
      </c>
      <c r="AA9" s="130"/>
      <c r="AB9" s="128">
        <v>2022</v>
      </c>
      <c r="AC9" s="129"/>
      <c r="AD9" s="130"/>
      <c r="AE9" s="5"/>
    </row>
    <row r="10" spans="1:37" s="7" customFormat="1" ht="15.75" x14ac:dyDescent="0.25">
      <c r="A10" s="134">
        <v>1</v>
      </c>
      <c r="B10" s="134">
        <v>2</v>
      </c>
      <c r="C10" s="134">
        <v>3</v>
      </c>
      <c r="D10" s="134">
        <v>4</v>
      </c>
      <c r="E10" s="137">
        <v>5</v>
      </c>
      <c r="F10" s="138"/>
      <c r="G10" s="139"/>
      <c r="H10" s="137">
        <v>6</v>
      </c>
      <c r="I10" s="139"/>
      <c r="J10" s="140">
        <v>7</v>
      </c>
      <c r="K10" s="141"/>
      <c r="L10" s="140">
        <v>8</v>
      </c>
      <c r="M10" s="141"/>
      <c r="N10" s="140">
        <v>9</v>
      </c>
      <c r="O10" s="141"/>
      <c r="P10" s="140">
        <v>10</v>
      </c>
      <c r="Q10" s="141"/>
      <c r="R10" s="140">
        <v>11</v>
      </c>
      <c r="S10" s="141"/>
      <c r="T10" s="131">
        <v>12</v>
      </c>
      <c r="U10" s="132"/>
      <c r="V10" s="132"/>
      <c r="W10" s="132"/>
      <c r="X10" s="132"/>
      <c r="Y10" s="133"/>
      <c r="Z10" s="131">
        <v>13</v>
      </c>
      <c r="AA10" s="133"/>
      <c r="AB10" s="131">
        <v>14</v>
      </c>
      <c r="AC10" s="132"/>
      <c r="AD10" s="133"/>
      <c r="AE10" s="6">
        <v>15</v>
      </c>
    </row>
    <row r="11" spans="1:37" s="7" customFormat="1" ht="87" customHeight="1" x14ac:dyDescent="0.2">
      <c r="A11" s="135"/>
      <c r="B11" s="135"/>
      <c r="C11" s="135"/>
      <c r="D11" s="135"/>
      <c r="E11" s="145" t="s">
        <v>19</v>
      </c>
      <c r="F11" s="149"/>
      <c r="G11" s="136" t="s">
        <v>20</v>
      </c>
      <c r="H11" s="145" t="s">
        <v>19</v>
      </c>
      <c r="I11" s="136" t="s">
        <v>20</v>
      </c>
      <c r="J11" s="145" t="s">
        <v>19</v>
      </c>
      <c r="K11" s="134" t="s">
        <v>20</v>
      </c>
      <c r="L11" s="145" t="s">
        <v>19</v>
      </c>
      <c r="M11" s="134" t="s">
        <v>20</v>
      </c>
      <c r="N11" s="145" t="s">
        <v>19</v>
      </c>
      <c r="O11" s="134" t="s">
        <v>20</v>
      </c>
      <c r="P11" s="145" t="s">
        <v>19</v>
      </c>
      <c r="Q11" s="134" t="s">
        <v>20</v>
      </c>
      <c r="R11" s="145" t="s">
        <v>19</v>
      </c>
      <c r="S11" s="134" t="s">
        <v>20</v>
      </c>
      <c r="T11" s="103" t="s">
        <v>21</v>
      </c>
      <c r="U11" s="137" t="s">
        <v>22</v>
      </c>
      <c r="V11" s="139"/>
      <c r="W11" s="8" t="s">
        <v>23</v>
      </c>
      <c r="X11" s="137" t="s">
        <v>24</v>
      </c>
      <c r="Y11" s="139"/>
      <c r="Z11" s="103" t="s">
        <v>25</v>
      </c>
      <c r="AA11" s="8" t="s">
        <v>26</v>
      </c>
      <c r="AB11" s="137" t="s">
        <v>27</v>
      </c>
      <c r="AC11" s="139"/>
      <c r="AD11" s="8" t="s">
        <v>28</v>
      </c>
      <c r="AE11" s="9"/>
    </row>
    <row r="12" spans="1:37" s="7" customFormat="1" ht="15.75" x14ac:dyDescent="0.2">
      <c r="A12" s="136"/>
      <c r="B12" s="136"/>
      <c r="C12" s="136"/>
      <c r="D12" s="136"/>
      <c r="E12" s="146"/>
      <c r="F12" s="148"/>
      <c r="G12" s="144"/>
      <c r="H12" s="146"/>
      <c r="I12" s="144"/>
      <c r="J12" s="146"/>
      <c r="K12" s="136"/>
      <c r="L12" s="146"/>
      <c r="M12" s="136"/>
      <c r="N12" s="146"/>
      <c r="O12" s="136"/>
      <c r="P12" s="146"/>
      <c r="Q12" s="136"/>
      <c r="R12" s="146"/>
      <c r="S12" s="136"/>
      <c r="T12" s="105" t="s">
        <v>19</v>
      </c>
      <c r="U12" s="146" t="s">
        <v>19</v>
      </c>
      <c r="V12" s="148"/>
      <c r="W12" s="104" t="s">
        <v>20</v>
      </c>
      <c r="X12" s="146" t="s">
        <v>20</v>
      </c>
      <c r="Y12" s="148"/>
      <c r="Z12" s="105" t="s">
        <v>19</v>
      </c>
      <c r="AA12" s="104" t="s">
        <v>20</v>
      </c>
      <c r="AB12" s="146" t="s">
        <v>19</v>
      </c>
      <c r="AC12" s="148"/>
      <c r="AD12" s="104" t="s">
        <v>20</v>
      </c>
      <c r="AE12" s="10"/>
    </row>
    <row r="13" spans="1:37" ht="125.25" customHeight="1" x14ac:dyDescent="0.2">
      <c r="A13" s="11">
        <v>1</v>
      </c>
      <c r="B13" s="12" t="s">
        <v>29</v>
      </c>
      <c r="C13" s="13" t="s">
        <v>30</v>
      </c>
      <c r="D13" s="13" t="s">
        <v>31</v>
      </c>
      <c r="E13" s="14">
        <v>100</v>
      </c>
      <c r="F13" s="15" t="s">
        <v>32</v>
      </c>
      <c r="G13" s="16">
        <f>5200742146*3</f>
        <v>15602226438</v>
      </c>
      <c r="H13" s="14">
        <v>200</v>
      </c>
      <c r="I13" s="16">
        <f>I14+I17+I22+I29+I31+I35</f>
        <v>2608533692</v>
      </c>
      <c r="J13" s="14">
        <v>100</v>
      </c>
      <c r="K13" s="16">
        <f>K14+K17+K22+K29+K31+K35</f>
        <v>3432288716</v>
      </c>
      <c r="L13" s="14">
        <v>100</v>
      </c>
      <c r="M13" s="16">
        <f>M14+M17+M22+M29+M31+M35</f>
        <v>505859939</v>
      </c>
      <c r="N13" s="17">
        <v>100</v>
      </c>
      <c r="O13" s="16">
        <f>O14+O17+O22+O29+O31+O35</f>
        <v>770861964</v>
      </c>
      <c r="P13" s="17">
        <v>100</v>
      </c>
      <c r="Q13" s="16">
        <f>Q14+Q17+Q22+Q29+Q31+Q35</f>
        <v>711080757</v>
      </c>
      <c r="R13" s="17">
        <v>100</v>
      </c>
      <c r="S13" s="16">
        <f>S14+S17+S22+S29+S31+S35</f>
        <v>662971428</v>
      </c>
      <c r="T13" s="18">
        <f>AVERAGE(L13,N13,P13,R13)</f>
        <v>100</v>
      </c>
      <c r="U13" s="18">
        <f t="shared" ref="U13:U41" si="0">T13/J13*100</f>
        <v>100</v>
      </c>
      <c r="V13" s="19" t="s">
        <v>32</v>
      </c>
      <c r="W13" s="20">
        <f t="shared" ref="W13:W39" si="1">SUM(M13,O13,Q13,S13)</f>
        <v>2650774088</v>
      </c>
      <c r="X13" s="21">
        <f t="shared" ref="X13:X39" si="2">W13/K13*100</f>
        <v>77.230510231937018</v>
      </c>
      <c r="Y13" s="22" t="s">
        <v>32</v>
      </c>
      <c r="Z13" s="18">
        <f t="shared" ref="Z13:Z44" si="3">SUM(H13,T13)</f>
        <v>300</v>
      </c>
      <c r="AA13" s="20">
        <f t="shared" ref="AA13:AA39" si="4">SUM(I13,W13)</f>
        <v>5259307780</v>
      </c>
      <c r="AB13" s="23"/>
      <c r="AC13" s="19" t="s">
        <v>32</v>
      </c>
      <c r="AD13" s="21"/>
      <c r="AE13" s="106" t="s">
        <v>33</v>
      </c>
      <c r="AF13" s="161">
        <v>662969610</v>
      </c>
      <c r="AH13" s="24">
        <f>M13+O13+Q13+S13</f>
        <v>2650774088</v>
      </c>
    </row>
    <row r="14" spans="1:37" ht="132.75" customHeight="1" x14ac:dyDescent="0.2">
      <c r="A14" s="22">
        <v>2</v>
      </c>
      <c r="B14" s="108" t="s">
        <v>34</v>
      </c>
      <c r="C14" s="109" t="s">
        <v>35</v>
      </c>
      <c r="D14" s="13" t="s">
        <v>36</v>
      </c>
      <c r="E14" s="25">
        <f>8*3</f>
        <v>24</v>
      </c>
      <c r="F14" s="26" t="s">
        <v>37</v>
      </c>
      <c r="G14" s="27">
        <v>28500000</v>
      </c>
      <c r="H14" s="14">
        <v>30</v>
      </c>
      <c r="I14" s="28">
        <f t="shared" ref="I14:S14" si="5">SUM(I15:I16)</f>
        <v>8925000</v>
      </c>
      <c r="J14" s="14">
        <f t="shared" si="5"/>
        <v>15</v>
      </c>
      <c r="K14" s="28">
        <f t="shared" si="5"/>
        <v>7599900</v>
      </c>
      <c r="L14" s="14">
        <f t="shared" si="5"/>
        <v>2</v>
      </c>
      <c r="M14" s="28">
        <f t="shared" si="5"/>
        <v>1499600</v>
      </c>
      <c r="N14" s="14">
        <f t="shared" si="5"/>
        <v>5</v>
      </c>
      <c r="O14" s="28">
        <f t="shared" si="5"/>
        <v>3949900</v>
      </c>
      <c r="P14" s="14">
        <f t="shared" si="5"/>
        <v>3</v>
      </c>
      <c r="Q14" s="28">
        <f t="shared" si="5"/>
        <v>1948600</v>
      </c>
      <c r="R14" s="14">
        <v>5</v>
      </c>
      <c r="S14" s="28">
        <f t="shared" si="5"/>
        <v>198800</v>
      </c>
      <c r="T14" s="18">
        <f t="shared" ref="T14:T28" si="6">SUM(L14,N14,P14,R14)</f>
        <v>15</v>
      </c>
      <c r="U14" s="18">
        <f t="shared" si="0"/>
        <v>100</v>
      </c>
      <c r="V14" s="19" t="s">
        <v>32</v>
      </c>
      <c r="W14" s="29">
        <f t="shared" si="1"/>
        <v>7596900</v>
      </c>
      <c r="X14" s="23">
        <f t="shared" si="2"/>
        <v>99.960525796392048</v>
      </c>
      <c r="Y14" s="19" t="s">
        <v>32</v>
      </c>
      <c r="Z14" s="18">
        <f t="shared" si="3"/>
        <v>45</v>
      </c>
      <c r="AA14" s="29">
        <f t="shared" si="4"/>
        <v>16521900</v>
      </c>
      <c r="AB14" s="30"/>
      <c r="AC14" s="19" t="s">
        <v>32</v>
      </c>
      <c r="AD14" s="30"/>
      <c r="AE14" s="31"/>
      <c r="AF14" s="161">
        <v>197000</v>
      </c>
      <c r="AH14" s="24"/>
    </row>
    <row r="15" spans="1:37" ht="75" x14ac:dyDescent="0.2">
      <c r="A15" s="11"/>
      <c r="B15" s="12"/>
      <c r="C15" s="32" t="s">
        <v>38</v>
      </c>
      <c r="D15" s="33" t="s">
        <v>39</v>
      </c>
      <c r="E15" s="25">
        <f>5*3</f>
        <v>15</v>
      </c>
      <c r="F15" s="26" t="s">
        <v>37</v>
      </c>
      <c r="G15" s="27">
        <v>24000000</v>
      </c>
      <c r="H15" s="25">
        <v>5</v>
      </c>
      <c r="I15" s="27">
        <v>7650000</v>
      </c>
      <c r="J15" s="25">
        <v>5</v>
      </c>
      <c r="K15" s="27">
        <v>6399900</v>
      </c>
      <c r="L15" s="25">
        <v>1</v>
      </c>
      <c r="M15" s="27">
        <v>1299800</v>
      </c>
      <c r="N15" s="25">
        <v>2</v>
      </c>
      <c r="O15" s="27">
        <v>3374700</v>
      </c>
      <c r="P15" s="25">
        <v>1</v>
      </c>
      <c r="Q15" s="27">
        <f>1725400-1800</f>
        <v>1723600</v>
      </c>
      <c r="R15" s="25">
        <v>1</v>
      </c>
      <c r="S15" s="27">
        <v>0</v>
      </c>
      <c r="T15" s="34">
        <f t="shared" si="6"/>
        <v>5</v>
      </c>
      <c r="U15" s="34">
        <f t="shared" si="0"/>
        <v>100</v>
      </c>
      <c r="V15" s="35" t="s">
        <v>32</v>
      </c>
      <c r="W15" s="36">
        <f t="shared" si="1"/>
        <v>6398100</v>
      </c>
      <c r="X15" s="30">
        <f t="shared" si="2"/>
        <v>99.971874560540002</v>
      </c>
      <c r="Y15" s="35" t="s">
        <v>32</v>
      </c>
      <c r="Z15" s="34">
        <f t="shared" si="3"/>
        <v>10</v>
      </c>
      <c r="AA15" s="36">
        <f t="shared" si="4"/>
        <v>14048100</v>
      </c>
      <c r="AB15" s="30"/>
      <c r="AC15" s="35" t="s">
        <v>32</v>
      </c>
      <c r="AD15" s="30"/>
      <c r="AE15" s="31"/>
      <c r="AF15" s="161">
        <v>-1800</v>
      </c>
      <c r="AH15" s="24"/>
    </row>
    <row r="16" spans="1:37" ht="90" x14ac:dyDescent="0.2">
      <c r="A16" s="11"/>
      <c r="B16" s="12"/>
      <c r="C16" s="32" t="s">
        <v>40</v>
      </c>
      <c r="D16" s="33" t="s">
        <v>41</v>
      </c>
      <c r="E16" s="25">
        <f>10*3</f>
        <v>30</v>
      </c>
      <c r="F16" s="26" t="s">
        <v>42</v>
      </c>
      <c r="G16" s="37">
        <v>4500000</v>
      </c>
      <c r="H16" s="25">
        <v>10</v>
      </c>
      <c r="I16" s="37">
        <v>1275000</v>
      </c>
      <c r="J16" s="25">
        <v>10</v>
      </c>
      <c r="K16" s="37">
        <v>1200000</v>
      </c>
      <c r="L16" s="25">
        <v>1</v>
      </c>
      <c r="M16" s="37">
        <v>199800</v>
      </c>
      <c r="N16" s="25">
        <v>3</v>
      </c>
      <c r="O16" s="37">
        <v>575200</v>
      </c>
      <c r="P16" s="25">
        <v>2</v>
      </c>
      <c r="Q16" s="37">
        <v>225000</v>
      </c>
      <c r="R16" s="25">
        <v>4</v>
      </c>
      <c r="S16" s="37">
        <v>198800</v>
      </c>
      <c r="T16" s="34">
        <f t="shared" si="6"/>
        <v>10</v>
      </c>
      <c r="U16" s="34">
        <f t="shared" si="0"/>
        <v>100</v>
      </c>
      <c r="V16" s="35" t="s">
        <v>32</v>
      </c>
      <c r="W16" s="36">
        <f t="shared" si="1"/>
        <v>1198800</v>
      </c>
      <c r="X16" s="34">
        <f t="shared" si="2"/>
        <v>99.9</v>
      </c>
      <c r="Y16" s="35" t="s">
        <v>32</v>
      </c>
      <c r="Z16" s="34">
        <f t="shared" si="3"/>
        <v>20</v>
      </c>
      <c r="AA16" s="36">
        <f t="shared" si="4"/>
        <v>2473800</v>
      </c>
      <c r="AB16" s="23"/>
      <c r="AC16" s="19" t="s">
        <v>32</v>
      </c>
      <c r="AD16" s="23"/>
      <c r="AE16" s="31"/>
      <c r="AF16" s="161">
        <v>198800</v>
      </c>
      <c r="AH16" s="24"/>
    </row>
    <row r="17" spans="1:34" ht="94.5" x14ac:dyDescent="0.2">
      <c r="A17" s="11"/>
      <c r="B17" s="12"/>
      <c r="C17" s="109" t="s">
        <v>43</v>
      </c>
      <c r="D17" s="13" t="s">
        <v>44</v>
      </c>
      <c r="E17" s="38">
        <f>SUM(E19:E21)</f>
        <v>42</v>
      </c>
      <c r="F17" s="39" t="s">
        <v>37</v>
      </c>
      <c r="G17" s="40">
        <f>4564191000*3</f>
        <v>13692573000</v>
      </c>
      <c r="H17" s="38">
        <f>SUM(H19:H21)</f>
        <v>14</v>
      </c>
      <c r="I17" s="28">
        <f>SUM(I18:I21)</f>
        <v>2070552798</v>
      </c>
      <c r="J17" s="38">
        <f>SUM(J19:J21)</f>
        <v>14</v>
      </c>
      <c r="K17" s="28">
        <f>SUM(K18:K21)</f>
        <v>3035220416</v>
      </c>
      <c r="L17" s="38">
        <f>SUM(L19:L21)</f>
        <v>3</v>
      </c>
      <c r="M17" s="28">
        <f>SUM(M18:M21)</f>
        <v>405471341</v>
      </c>
      <c r="N17" s="38">
        <v>3</v>
      </c>
      <c r="O17" s="28">
        <f>SUM(O18:O21)</f>
        <v>669435916</v>
      </c>
      <c r="P17" s="38">
        <f>SUM(P19:P21)</f>
        <v>4</v>
      </c>
      <c r="Q17" s="28">
        <f>SUM(Q18:Q21)</f>
        <v>638948501</v>
      </c>
      <c r="R17" s="38">
        <v>4</v>
      </c>
      <c r="S17" s="28">
        <f>SUM(S18:S21)</f>
        <v>558707078</v>
      </c>
      <c r="T17" s="18">
        <f t="shared" si="6"/>
        <v>14</v>
      </c>
      <c r="U17" s="18">
        <f t="shared" si="0"/>
        <v>100</v>
      </c>
      <c r="V17" s="19" t="s">
        <v>32</v>
      </c>
      <c r="W17" s="29">
        <f t="shared" si="1"/>
        <v>2272562836</v>
      </c>
      <c r="X17" s="23">
        <f t="shared" si="2"/>
        <v>74.873074259131499</v>
      </c>
      <c r="Y17" s="19" t="s">
        <v>32</v>
      </c>
      <c r="Z17" s="18">
        <f t="shared" si="3"/>
        <v>28</v>
      </c>
      <c r="AA17" s="29">
        <f t="shared" si="4"/>
        <v>4343115634</v>
      </c>
      <c r="AB17" s="23"/>
      <c r="AC17" s="19" t="s">
        <v>32</v>
      </c>
      <c r="AD17" s="23"/>
      <c r="AE17" s="41"/>
      <c r="AF17" s="161">
        <v>558707078</v>
      </c>
      <c r="AH17" s="24">
        <f t="shared" ref="AH17:AH22" si="7">M17+O17+Q17+S17</f>
        <v>2272562836</v>
      </c>
    </row>
    <row r="18" spans="1:34" ht="90" x14ac:dyDescent="0.2">
      <c r="A18" s="11"/>
      <c r="B18" s="12"/>
      <c r="C18" s="32" t="s">
        <v>45</v>
      </c>
      <c r="D18" s="32" t="s">
        <v>46</v>
      </c>
      <c r="E18" s="25">
        <f>15+20+20</f>
        <v>55</v>
      </c>
      <c r="F18" s="42" t="s">
        <v>47</v>
      </c>
      <c r="G18" s="27">
        <v>13677573000</v>
      </c>
      <c r="H18" s="43">
        <v>15</v>
      </c>
      <c r="I18" s="27">
        <v>2066077798</v>
      </c>
      <c r="J18" s="43">
        <v>20</v>
      </c>
      <c r="K18" s="27">
        <v>3031220616</v>
      </c>
      <c r="L18" s="43">
        <f>AVERAGE(16,15,15)</f>
        <v>15.333333333333334</v>
      </c>
      <c r="M18" s="27">
        <v>405171341</v>
      </c>
      <c r="N18" s="43">
        <v>19</v>
      </c>
      <c r="O18" s="27">
        <v>667635916</v>
      </c>
      <c r="P18" s="43">
        <v>19</v>
      </c>
      <c r="Q18" s="27">
        <v>637548701</v>
      </c>
      <c r="R18" s="43">
        <v>19</v>
      </c>
      <c r="S18" s="27">
        <v>558207078</v>
      </c>
      <c r="T18" s="34">
        <f>AVERAGE(L18,N18,P18,R18)</f>
        <v>18.083333333333336</v>
      </c>
      <c r="U18" s="34">
        <f t="shared" si="0"/>
        <v>90.416666666666686</v>
      </c>
      <c r="V18" s="35" t="s">
        <v>32</v>
      </c>
      <c r="W18" s="36">
        <f t="shared" si="1"/>
        <v>2268563036</v>
      </c>
      <c r="X18" s="30">
        <f t="shared" si="2"/>
        <v>74.839918415228937</v>
      </c>
      <c r="Y18" s="35" t="s">
        <v>32</v>
      </c>
      <c r="Z18" s="34">
        <f>AVERAGE(R18,T18,V18,X18)</f>
        <v>37.307750582854091</v>
      </c>
      <c r="AA18" s="36">
        <f t="shared" si="4"/>
        <v>4334640834</v>
      </c>
      <c r="AB18" s="30"/>
      <c r="AC18" s="35" t="s">
        <v>32</v>
      </c>
      <c r="AD18" s="30"/>
      <c r="AE18" s="31"/>
      <c r="AF18" s="161">
        <v>558207078</v>
      </c>
      <c r="AH18" s="24">
        <f t="shared" si="7"/>
        <v>2268563036</v>
      </c>
    </row>
    <row r="19" spans="1:34" ht="195" x14ac:dyDescent="0.2">
      <c r="A19" s="11"/>
      <c r="B19" s="12"/>
      <c r="C19" s="32" t="s">
        <v>48</v>
      </c>
      <c r="D19" s="33" t="s">
        <v>49</v>
      </c>
      <c r="E19" s="43">
        <f>1*3</f>
        <v>3</v>
      </c>
      <c r="F19" s="42" t="s">
        <v>42</v>
      </c>
      <c r="G19" s="27">
        <v>6000000</v>
      </c>
      <c r="H19" s="43">
        <v>1</v>
      </c>
      <c r="I19" s="27">
        <v>2000000</v>
      </c>
      <c r="J19" s="43">
        <v>1</v>
      </c>
      <c r="K19" s="27">
        <v>1599800</v>
      </c>
      <c r="L19" s="43">
        <v>0</v>
      </c>
      <c r="M19" s="27">
        <v>300000</v>
      </c>
      <c r="N19" s="43">
        <v>0</v>
      </c>
      <c r="O19" s="27">
        <v>0</v>
      </c>
      <c r="P19" s="43">
        <v>1</v>
      </c>
      <c r="Q19" s="27">
        <v>799800</v>
      </c>
      <c r="R19" s="43">
        <v>0</v>
      </c>
      <c r="S19" s="27">
        <v>500000</v>
      </c>
      <c r="T19" s="34">
        <f t="shared" si="6"/>
        <v>1</v>
      </c>
      <c r="U19" s="34">
        <f t="shared" si="0"/>
        <v>100</v>
      </c>
      <c r="V19" s="35" t="s">
        <v>32</v>
      </c>
      <c r="W19" s="36">
        <f t="shared" si="1"/>
        <v>1599800</v>
      </c>
      <c r="X19" s="34">
        <f t="shared" si="2"/>
        <v>100</v>
      </c>
      <c r="Y19" s="35" t="s">
        <v>32</v>
      </c>
      <c r="Z19" s="34">
        <f t="shared" si="3"/>
        <v>2</v>
      </c>
      <c r="AA19" s="36">
        <f t="shared" si="4"/>
        <v>3599800</v>
      </c>
      <c r="AB19" s="30"/>
      <c r="AC19" s="35" t="s">
        <v>32</v>
      </c>
      <c r="AD19" s="30"/>
      <c r="AE19" s="31"/>
      <c r="AF19" s="161">
        <v>500000</v>
      </c>
      <c r="AH19" s="24">
        <f t="shared" si="7"/>
        <v>1599800</v>
      </c>
    </row>
    <row r="20" spans="1:34" ht="210" x14ac:dyDescent="0.2">
      <c r="A20" s="11"/>
      <c r="B20" s="12"/>
      <c r="C20" s="32" t="s">
        <v>50</v>
      </c>
      <c r="D20" s="33" t="s">
        <v>51</v>
      </c>
      <c r="E20" s="25">
        <f>12*3</f>
        <v>36</v>
      </c>
      <c r="F20" s="42" t="s">
        <v>42</v>
      </c>
      <c r="G20" s="27">
        <v>4500000</v>
      </c>
      <c r="H20" s="43">
        <v>12</v>
      </c>
      <c r="I20" s="27">
        <v>975000</v>
      </c>
      <c r="J20" s="43">
        <v>12</v>
      </c>
      <c r="K20" s="27">
        <v>1200000</v>
      </c>
      <c r="L20" s="43">
        <v>3</v>
      </c>
      <c r="M20" s="27">
        <v>0</v>
      </c>
      <c r="N20" s="43">
        <v>3</v>
      </c>
      <c r="O20" s="27">
        <v>600000</v>
      </c>
      <c r="P20" s="43">
        <v>3</v>
      </c>
      <c r="Q20" s="27">
        <v>600000</v>
      </c>
      <c r="R20" s="43">
        <v>3</v>
      </c>
      <c r="S20" s="27">
        <v>0</v>
      </c>
      <c r="T20" s="34">
        <f t="shared" si="6"/>
        <v>12</v>
      </c>
      <c r="U20" s="34">
        <f t="shared" si="0"/>
        <v>100</v>
      </c>
      <c r="V20" s="35" t="s">
        <v>32</v>
      </c>
      <c r="W20" s="36">
        <f t="shared" si="1"/>
        <v>1200000</v>
      </c>
      <c r="X20" s="34">
        <f t="shared" si="2"/>
        <v>100</v>
      </c>
      <c r="Y20" s="35" t="s">
        <v>32</v>
      </c>
      <c r="Z20" s="34">
        <f t="shared" si="3"/>
        <v>24</v>
      </c>
      <c r="AA20" s="36">
        <f t="shared" si="4"/>
        <v>2175000</v>
      </c>
      <c r="AB20" s="30"/>
      <c r="AC20" s="35" t="s">
        <v>32</v>
      </c>
      <c r="AD20" s="30"/>
      <c r="AE20" s="31"/>
      <c r="AF20" s="161">
        <v>0</v>
      </c>
      <c r="AH20" s="24">
        <f t="shared" si="7"/>
        <v>1200000</v>
      </c>
    </row>
    <row r="21" spans="1:34" ht="105" x14ac:dyDescent="0.2">
      <c r="A21" s="11"/>
      <c r="B21" s="12"/>
      <c r="C21" s="32" t="s">
        <v>52</v>
      </c>
      <c r="D21" s="33" t="s">
        <v>53</v>
      </c>
      <c r="E21" s="25">
        <f>1*3</f>
        <v>3</v>
      </c>
      <c r="F21" s="42" t="s">
        <v>37</v>
      </c>
      <c r="G21" s="27">
        <v>4500000</v>
      </c>
      <c r="H21" s="43">
        <v>1</v>
      </c>
      <c r="I21" s="27">
        <v>1500000</v>
      </c>
      <c r="J21" s="43">
        <v>1</v>
      </c>
      <c r="K21" s="27">
        <v>1200000</v>
      </c>
      <c r="L21" s="43">
        <v>0</v>
      </c>
      <c r="M21" s="27">
        <v>0</v>
      </c>
      <c r="N21" s="43">
        <v>0</v>
      </c>
      <c r="O21" s="27">
        <v>1200000</v>
      </c>
      <c r="P21" s="43">
        <v>0</v>
      </c>
      <c r="Q21" s="27">
        <v>0</v>
      </c>
      <c r="R21" s="43">
        <v>1</v>
      </c>
      <c r="S21" s="27">
        <v>0</v>
      </c>
      <c r="T21" s="34">
        <f t="shared" si="6"/>
        <v>1</v>
      </c>
      <c r="U21" s="34">
        <f t="shared" si="0"/>
        <v>100</v>
      </c>
      <c r="V21" s="35" t="s">
        <v>32</v>
      </c>
      <c r="W21" s="36">
        <f t="shared" si="1"/>
        <v>1200000</v>
      </c>
      <c r="X21" s="34">
        <f t="shared" si="2"/>
        <v>100</v>
      </c>
      <c r="Y21" s="35" t="s">
        <v>32</v>
      </c>
      <c r="Z21" s="34">
        <f t="shared" si="3"/>
        <v>2</v>
      </c>
      <c r="AA21" s="36">
        <f t="shared" si="4"/>
        <v>2700000</v>
      </c>
      <c r="AB21" s="30"/>
      <c r="AC21" s="35" t="s">
        <v>32</v>
      </c>
      <c r="AD21" s="30"/>
      <c r="AE21" s="31"/>
      <c r="AF21" s="161">
        <v>0</v>
      </c>
      <c r="AH21" s="24">
        <f t="shared" si="7"/>
        <v>1200000</v>
      </c>
    </row>
    <row r="22" spans="1:34" ht="94.5" x14ac:dyDescent="0.2">
      <c r="A22" s="11"/>
      <c r="B22" s="12"/>
      <c r="C22" s="12" t="s">
        <v>54</v>
      </c>
      <c r="D22" s="13" t="s">
        <v>55</v>
      </c>
      <c r="E22" s="14">
        <f>1*3</f>
        <v>3</v>
      </c>
      <c r="F22" s="39" t="s">
        <v>37</v>
      </c>
      <c r="G22" s="40">
        <f>287351646*3</f>
        <v>862054938</v>
      </c>
      <c r="H22" s="38">
        <v>1</v>
      </c>
      <c r="I22" s="28">
        <f>SUM(I23:I28)</f>
        <v>209994435</v>
      </c>
      <c r="J22" s="38">
        <v>1</v>
      </c>
      <c r="K22" s="28">
        <f>SUM(K23:K28)</f>
        <v>204807400</v>
      </c>
      <c r="L22" s="38">
        <v>0</v>
      </c>
      <c r="M22" s="28">
        <f>SUM(M23:M28)</f>
        <v>67147800</v>
      </c>
      <c r="N22" s="38">
        <v>1</v>
      </c>
      <c r="O22" s="28">
        <f>SUM(O23:O28)</f>
        <v>33583900</v>
      </c>
      <c r="P22" s="38"/>
      <c r="Q22" s="28">
        <f>SUM(Q23:Q28)</f>
        <v>34895600</v>
      </c>
      <c r="R22" s="38">
        <v>0</v>
      </c>
      <c r="S22" s="28">
        <f>SUM(S23:S28)</f>
        <v>65320042</v>
      </c>
      <c r="T22" s="18">
        <f t="shared" si="6"/>
        <v>1</v>
      </c>
      <c r="U22" s="18">
        <f t="shared" si="0"/>
        <v>100</v>
      </c>
      <c r="V22" s="19" t="s">
        <v>32</v>
      </c>
      <c r="W22" s="29">
        <f t="shared" si="1"/>
        <v>200947342</v>
      </c>
      <c r="X22" s="23">
        <f t="shared" si="2"/>
        <v>98.115274155133065</v>
      </c>
      <c r="Y22" s="19" t="s">
        <v>32</v>
      </c>
      <c r="Z22" s="18">
        <f t="shared" si="3"/>
        <v>2</v>
      </c>
      <c r="AA22" s="29">
        <f t="shared" si="4"/>
        <v>410941777</v>
      </c>
      <c r="AB22" s="23"/>
      <c r="AC22" s="19" t="s">
        <v>32</v>
      </c>
      <c r="AD22" s="23"/>
      <c r="AE22" s="31"/>
      <c r="AF22" s="161">
        <v>65320024</v>
      </c>
      <c r="AH22" s="24">
        <f t="shared" si="7"/>
        <v>200947342</v>
      </c>
    </row>
    <row r="23" spans="1:34" ht="120" x14ac:dyDescent="0.2">
      <c r="A23" s="11"/>
      <c r="B23" s="12"/>
      <c r="C23" s="33" t="s">
        <v>56</v>
      </c>
      <c r="D23" s="33" t="s">
        <v>57</v>
      </c>
      <c r="E23" s="25">
        <v>36</v>
      </c>
      <c r="F23" s="26" t="s">
        <v>58</v>
      </c>
      <c r="G23" s="27">
        <v>10364934</v>
      </c>
      <c r="H23" s="43">
        <v>12</v>
      </c>
      <c r="I23" s="27">
        <v>3454978</v>
      </c>
      <c r="J23" s="43">
        <v>12</v>
      </c>
      <c r="K23" s="27">
        <v>3127500</v>
      </c>
      <c r="L23" s="43">
        <v>12</v>
      </c>
      <c r="M23" s="27">
        <v>3127500</v>
      </c>
      <c r="N23" s="43">
        <v>0</v>
      </c>
      <c r="O23" s="28">
        <v>0</v>
      </c>
      <c r="P23" s="43"/>
      <c r="Q23" s="27">
        <v>0</v>
      </c>
      <c r="R23" s="43">
        <v>0</v>
      </c>
      <c r="S23" s="27">
        <v>0</v>
      </c>
      <c r="T23" s="34">
        <f>SUM(L23,N23,P23,R23)</f>
        <v>12</v>
      </c>
      <c r="U23" s="34">
        <f t="shared" si="0"/>
        <v>100</v>
      </c>
      <c r="V23" s="35" t="s">
        <v>32</v>
      </c>
      <c r="W23" s="36">
        <f t="shared" si="1"/>
        <v>3127500</v>
      </c>
      <c r="X23" s="34">
        <f t="shared" si="2"/>
        <v>100</v>
      </c>
      <c r="Y23" s="35" t="s">
        <v>32</v>
      </c>
      <c r="Z23" s="34">
        <f t="shared" si="3"/>
        <v>24</v>
      </c>
      <c r="AA23" s="36">
        <f t="shared" si="4"/>
        <v>6582478</v>
      </c>
      <c r="AB23" s="30"/>
      <c r="AC23" s="35" t="s">
        <v>32</v>
      </c>
      <c r="AD23" s="30"/>
      <c r="AE23" s="31"/>
      <c r="AF23" s="161">
        <v>0</v>
      </c>
      <c r="AH23" s="24"/>
    </row>
    <row r="24" spans="1:34" ht="90" x14ac:dyDescent="0.2">
      <c r="A24" s="11"/>
      <c r="B24" s="12"/>
      <c r="C24" s="33" t="s">
        <v>59</v>
      </c>
      <c r="D24" s="33" t="s">
        <v>60</v>
      </c>
      <c r="E24" s="25">
        <v>36</v>
      </c>
      <c r="F24" s="26" t="s">
        <v>58</v>
      </c>
      <c r="G24" s="27">
        <v>109764504</v>
      </c>
      <c r="H24" s="43">
        <v>12</v>
      </c>
      <c r="I24" s="27">
        <v>35988168</v>
      </c>
      <c r="J24" s="43">
        <v>12</v>
      </c>
      <c r="K24" s="27">
        <v>32176900</v>
      </c>
      <c r="L24" s="43">
        <v>11</v>
      </c>
      <c r="M24" s="27">
        <v>29448300</v>
      </c>
      <c r="N24" s="43">
        <v>1</v>
      </c>
      <c r="O24" s="27">
        <v>712000</v>
      </c>
      <c r="P24" s="43"/>
      <c r="Q24" s="27">
        <v>0</v>
      </c>
      <c r="R24" s="43">
        <v>0</v>
      </c>
      <c r="S24" s="27">
        <v>250000</v>
      </c>
      <c r="T24" s="34">
        <f t="shared" si="6"/>
        <v>12</v>
      </c>
      <c r="U24" s="34">
        <f t="shared" si="0"/>
        <v>100</v>
      </c>
      <c r="V24" s="35" t="s">
        <v>32</v>
      </c>
      <c r="W24" s="36">
        <f t="shared" si="1"/>
        <v>30410300</v>
      </c>
      <c r="X24" s="30">
        <f t="shared" si="2"/>
        <v>94.50972592139081</v>
      </c>
      <c r="Y24" s="35" t="s">
        <v>32</v>
      </c>
      <c r="Z24" s="34">
        <f t="shared" si="3"/>
        <v>24</v>
      </c>
      <c r="AA24" s="36">
        <f t="shared" si="4"/>
        <v>66398468</v>
      </c>
      <c r="AB24" s="30"/>
      <c r="AC24" s="35" t="s">
        <v>32</v>
      </c>
      <c r="AD24" s="30"/>
      <c r="AE24" s="31"/>
      <c r="AF24" s="161">
        <v>250000</v>
      </c>
      <c r="AH24" s="24"/>
    </row>
    <row r="25" spans="1:34" ht="75" x14ac:dyDescent="0.2">
      <c r="A25" s="11"/>
      <c r="B25" s="12"/>
      <c r="C25" s="33" t="s">
        <v>61</v>
      </c>
      <c r="D25" s="32" t="s">
        <v>62</v>
      </c>
      <c r="E25" s="25">
        <v>36</v>
      </c>
      <c r="F25" s="26" t="s">
        <v>58</v>
      </c>
      <c r="G25" s="27">
        <v>93405000</v>
      </c>
      <c r="H25" s="43">
        <v>12</v>
      </c>
      <c r="I25" s="27">
        <v>15062500</v>
      </c>
      <c r="J25" s="43">
        <v>12</v>
      </c>
      <c r="K25" s="27">
        <v>51335000</v>
      </c>
      <c r="L25" s="43">
        <v>3</v>
      </c>
      <c r="M25" s="27">
        <v>12390000</v>
      </c>
      <c r="N25" s="43">
        <v>3</v>
      </c>
      <c r="O25" s="27">
        <v>4560000</v>
      </c>
      <c r="P25" s="43">
        <v>3</v>
      </c>
      <c r="Q25" s="27">
        <v>6890000</v>
      </c>
      <c r="R25" s="43">
        <v>3</v>
      </c>
      <c r="S25" s="27">
        <v>26197500</v>
      </c>
      <c r="T25" s="34">
        <f t="shared" si="6"/>
        <v>12</v>
      </c>
      <c r="U25" s="34">
        <f t="shared" si="0"/>
        <v>100</v>
      </c>
      <c r="V25" s="35" t="s">
        <v>32</v>
      </c>
      <c r="W25" s="36">
        <f t="shared" si="1"/>
        <v>50037500</v>
      </c>
      <c r="X25" s="34">
        <f t="shared" si="2"/>
        <v>97.472484659588972</v>
      </c>
      <c r="Y25" s="35" t="s">
        <v>32</v>
      </c>
      <c r="Z25" s="34">
        <f t="shared" si="3"/>
        <v>24</v>
      </c>
      <c r="AA25" s="36">
        <f t="shared" si="4"/>
        <v>65100000</v>
      </c>
      <c r="AB25" s="30"/>
      <c r="AC25" s="35" t="s">
        <v>32</v>
      </c>
      <c r="AD25" s="30"/>
      <c r="AE25" s="31"/>
      <c r="AF25" s="161">
        <v>26197500</v>
      </c>
      <c r="AH25" s="24"/>
    </row>
    <row r="26" spans="1:34" ht="90" x14ac:dyDescent="0.2">
      <c r="A26" s="11"/>
      <c r="B26" s="12"/>
      <c r="C26" s="33" t="s">
        <v>63</v>
      </c>
      <c r="D26" s="32" t="s">
        <v>64</v>
      </c>
      <c r="E26" s="25">
        <v>36</v>
      </c>
      <c r="F26" s="26" t="s">
        <v>58</v>
      </c>
      <c r="G26" s="27">
        <v>58360500</v>
      </c>
      <c r="H26" s="43">
        <v>12</v>
      </c>
      <c r="I26" s="27">
        <v>17727350</v>
      </c>
      <c r="J26" s="43">
        <v>12</v>
      </c>
      <c r="K26" s="27">
        <v>25890000</v>
      </c>
      <c r="L26" s="43">
        <v>3</v>
      </c>
      <c r="M26" s="27">
        <v>982000</v>
      </c>
      <c r="N26" s="43">
        <v>3</v>
      </c>
      <c r="O26" s="27">
        <v>7787500</v>
      </c>
      <c r="P26" s="43">
        <v>3</v>
      </c>
      <c r="Q26" s="27">
        <v>2900000</v>
      </c>
      <c r="R26" s="43">
        <v>3</v>
      </c>
      <c r="S26" s="27">
        <v>14200000</v>
      </c>
      <c r="T26" s="34">
        <f t="shared" si="6"/>
        <v>12</v>
      </c>
      <c r="U26" s="34">
        <f t="shared" si="0"/>
        <v>100</v>
      </c>
      <c r="V26" s="35" t="s">
        <v>32</v>
      </c>
      <c r="W26" s="36">
        <f t="shared" si="1"/>
        <v>25869500</v>
      </c>
      <c r="X26" s="30">
        <f t="shared" si="2"/>
        <v>99.920818848976438</v>
      </c>
      <c r="Y26" s="35" t="s">
        <v>32</v>
      </c>
      <c r="Z26" s="34">
        <f t="shared" si="3"/>
        <v>24</v>
      </c>
      <c r="AA26" s="36">
        <f t="shared" si="4"/>
        <v>43596850</v>
      </c>
      <c r="AB26" s="30"/>
      <c r="AC26" s="35" t="s">
        <v>32</v>
      </c>
      <c r="AD26" s="30"/>
      <c r="AE26" s="31"/>
      <c r="AF26" s="161">
        <v>14200000</v>
      </c>
      <c r="AH26" s="24"/>
    </row>
    <row r="27" spans="1:34" ht="135" x14ac:dyDescent="0.2">
      <c r="A27" s="11"/>
      <c r="B27" s="12"/>
      <c r="C27" s="33" t="s">
        <v>65</v>
      </c>
      <c r="D27" s="44" t="s">
        <v>66</v>
      </c>
      <c r="E27" s="25">
        <v>36</v>
      </c>
      <c r="F27" s="26" t="s">
        <v>37</v>
      </c>
      <c r="G27" s="27">
        <v>10800000</v>
      </c>
      <c r="H27" s="43">
        <v>12</v>
      </c>
      <c r="I27" s="27">
        <v>3175000</v>
      </c>
      <c r="J27" s="43">
        <v>12</v>
      </c>
      <c r="K27" s="27">
        <v>3600000</v>
      </c>
      <c r="L27" s="43">
        <v>3</v>
      </c>
      <c r="M27" s="27">
        <v>870000</v>
      </c>
      <c r="N27" s="43">
        <v>3</v>
      </c>
      <c r="O27" s="27">
        <v>290000</v>
      </c>
      <c r="P27" s="43">
        <v>3</v>
      </c>
      <c r="Q27" s="27">
        <v>860000</v>
      </c>
      <c r="R27" s="43">
        <v>3</v>
      </c>
      <c r="S27" s="27">
        <v>940000</v>
      </c>
      <c r="T27" s="34">
        <f t="shared" si="6"/>
        <v>12</v>
      </c>
      <c r="U27" s="34">
        <f t="shared" si="0"/>
        <v>100</v>
      </c>
      <c r="V27" s="35" t="s">
        <v>32</v>
      </c>
      <c r="W27" s="36">
        <f t="shared" si="1"/>
        <v>2960000</v>
      </c>
      <c r="X27" s="30">
        <f t="shared" si="2"/>
        <v>82.222222222222214</v>
      </c>
      <c r="Y27" s="35" t="s">
        <v>32</v>
      </c>
      <c r="Z27" s="34">
        <f t="shared" si="3"/>
        <v>24</v>
      </c>
      <c r="AA27" s="36">
        <f t="shared" si="4"/>
        <v>6135000</v>
      </c>
      <c r="AB27" s="30"/>
      <c r="AC27" s="35" t="s">
        <v>32</v>
      </c>
      <c r="AD27" s="30"/>
      <c r="AE27" s="31"/>
      <c r="AF27" s="161">
        <v>940000</v>
      </c>
      <c r="AH27" s="24"/>
    </row>
    <row r="28" spans="1:34" ht="120" x14ac:dyDescent="0.2">
      <c r="A28" s="11"/>
      <c r="B28" s="12"/>
      <c r="C28" s="33" t="s">
        <v>67</v>
      </c>
      <c r="D28" s="44" t="s">
        <v>68</v>
      </c>
      <c r="E28" s="25">
        <v>36</v>
      </c>
      <c r="F28" s="26" t="s">
        <v>42</v>
      </c>
      <c r="G28" s="27">
        <v>579360000</v>
      </c>
      <c r="H28" s="43">
        <v>12</v>
      </c>
      <c r="I28" s="27">
        <v>134586439</v>
      </c>
      <c r="J28" s="43">
        <v>12</v>
      </c>
      <c r="K28" s="27">
        <v>88678000</v>
      </c>
      <c r="L28" s="43">
        <v>3</v>
      </c>
      <c r="M28" s="27">
        <v>20330000</v>
      </c>
      <c r="N28" s="43">
        <v>3</v>
      </c>
      <c r="O28" s="27">
        <v>20234400</v>
      </c>
      <c r="P28" s="43">
        <v>3</v>
      </c>
      <c r="Q28" s="27">
        <v>24245600</v>
      </c>
      <c r="R28" s="43">
        <v>3</v>
      </c>
      <c r="S28" s="27">
        <v>23732542</v>
      </c>
      <c r="T28" s="34">
        <f t="shared" si="6"/>
        <v>12</v>
      </c>
      <c r="U28" s="34">
        <f t="shared" si="0"/>
        <v>100</v>
      </c>
      <c r="V28" s="35" t="s">
        <v>32</v>
      </c>
      <c r="W28" s="36">
        <f t="shared" si="1"/>
        <v>88542542</v>
      </c>
      <c r="X28" s="30">
        <f t="shared" si="2"/>
        <v>99.847247344324401</v>
      </c>
      <c r="Y28" s="35" t="s">
        <v>32</v>
      </c>
      <c r="Z28" s="34">
        <f t="shared" si="3"/>
        <v>24</v>
      </c>
      <c r="AA28" s="36">
        <f t="shared" si="4"/>
        <v>223128981</v>
      </c>
      <c r="AB28" s="30"/>
      <c r="AC28" s="35" t="s">
        <v>32</v>
      </c>
      <c r="AD28" s="30"/>
      <c r="AE28" s="31"/>
      <c r="AF28" s="161">
        <v>23732524</v>
      </c>
      <c r="AH28" s="24"/>
    </row>
    <row r="29" spans="1:34" ht="110.25" x14ac:dyDescent="0.2">
      <c r="A29" s="11"/>
      <c r="B29" s="12"/>
      <c r="C29" s="13" t="s">
        <v>69</v>
      </c>
      <c r="D29" s="13" t="s">
        <v>70</v>
      </c>
      <c r="E29" s="14">
        <v>100</v>
      </c>
      <c r="F29" s="39" t="s">
        <v>32</v>
      </c>
      <c r="G29" s="40">
        <f>103167500*3</f>
        <v>309502500</v>
      </c>
      <c r="H29" s="38">
        <v>100</v>
      </c>
      <c r="I29" s="28">
        <f>SUM(I30)</f>
        <v>102877700</v>
      </c>
      <c r="J29" s="38">
        <v>100</v>
      </c>
      <c r="K29" s="28">
        <f>SUM(K30)</f>
        <v>7935000</v>
      </c>
      <c r="L29" s="38">
        <v>100</v>
      </c>
      <c r="M29" s="28">
        <f>SUM(M30)</f>
        <v>345000</v>
      </c>
      <c r="N29" s="38">
        <v>100</v>
      </c>
      <c r="O29" s="28">
        <f>SUM(O30)</f>
        <v>5799000</v>
      </c>
      <c r="P29" s="38"/>
      <c r="Q29" s="28">
        <f>SUM(Q30)</f>
        <v>0</v>
      </c>
      <c r="R29" s="38">
        <v>100</v>
      </c>
      <c r="S29" s="28"/>
      <c r="T29" s="18">
        <f>AVERAGE(L29,N29,P29,R29)</f>
        <v>100</v>
      </c>
      <c r="U29" s="18">
        <f t="shared" si="0"/>
        <v>100</v>
      </c>
      <c r="V29" s="19" t="s">
        <v>32</v>
      </c>
      <c r="W29" s="29">
        <f t="shared" si="1"/>
        <v>6144000</v>
      </c>
      <c r="X29" s="23">
        <f t="shared" si="2"/>
        <v>77.429111531190927</v>
      </c>
      <c r="Y29" s="19" t="s">
        <v>32</v>
      </c>
      <c r="Z29" s="18">
        <f t="shared" si="3"/>
        <v>200</v>
      </c>
      <c r="AA29" s="29">
        <f t="shared" si="4"/>
        <v>109021700</v>
      </c>
      <c r="AB29" s="23"/>
      <c r="AC29" s="19" t="s">
        <v>32</v>
      </c>
      <c r="AD29" s="23"/>
      <c r="AE29" s="31"/>
      <c r="AF29" s="161">
        <v>0</v>
      </c>
      <c r="AH29" s="24"/>
    </row>
    <row r="30" spans="1:34" ht="120" x14ac:dyDescent="0.2">
      <c r="A30" s="11"/>
      <c r="B30" s="12"/>
      <c r="C30" s="33" t="s">
        <v>71</v>
      </c>
      <c r="D30" s="33" t="s">
        <v>72</v>
      </c>
      <c r="E30" s="25">
        <v>36</v>
      </c>
      <c r="F30" s="26" t="s">
        <v>73</v>
      </c>
      <c r="G30" s="27">
        <v>309502500</v>
      </c>
      <c r="H30" s="43">
        <v>12</v>
      </c>
      <c r="I30" s="27">
        <v>102877700</v>
      </c>
      <c r="J30" s="43">
        <v>12</v>
      </c>
      <c r="K30" s="27">
        <v>7935000</v>
      </c>
      <c r="L30" s="43">
        <v>2</v>
      </c>
      <c r="M30" s="27">
        <v>345000</v>
      </c>
      <c r="N30" s="43">
        <v>10</v>
      </c>
      <c r="O30" s="27">
        <v>5799000</v>
      </c>
      <c r="P30" s="43">
        <v>0</v>
      </c>
      <c r="Q30" s="27">
        <v>0</v>
      </c>
      <c r="R30" s="43">
        <v>0</v>
      </c>
      <c r="S30" s="27">
        <v>0</v>
      </c>
      <c r="T30" s="34">
        <f>SUM(L30,N30,P30,R30)</f>
        <v>12</v>
      </c>
      <c r="U30" s="34">
        <f t="shared" si="0"/>
        <v>100</v>
      </c>
      <c r="V30" s="35" t="s">
        <v>32</v>
      </c>
      <c r="W30" s="36">
        <f t="shared" si="1"/>
        <v>6144000</v>
      </c>
      <c r="X30" s="30">
        <f t="shared" si="2"/>
        <v>77.429111531190927</v>
      </c>
      <c r="Y30" s="35" t="s">
        <v>32</v>
      </c>
      <c r="Z30" s="34">
        <f t="shared" si="3"/>
        <v>24</v>
      </c>
      <c r="AA30" s="36">
        <f t="shared" si="4"/>
        <v>109021700</v>
      </c>
      <c r="AB30" s="30"/>
      <c r="AC30" s="35" t="s">
        <v>32</v>
      </c>
      <c r="AD30" s="30"/>
      <c r="AE30" s="31"/>
      <c r="AF30" s="161">
        <v>0</v>
      </c>
      <c r="AH30" s="24"/>
    </row>
    <row r="31" spans="1:34" ht="94.5" x14ac:dyDescent="0.2">
      <c r="A31" s="11"/>
      <c r="B31" s="12"/>
      <c r="C31" s="13" t="s">
        <v>74</v>
      </c>
      <c r="D31" s="13" t="s">
        <v>75</v>
      </c>
      <c r="E31" s="14">
        <v>100</v>
      </c>
      <c r="F31" s="39" t="s">
        <v>32</v>
      </c>
      <c r="G31" s="40">
        <f>75694000*3</f>
        <v>227082000</v>
      </c>
      <c r="H31" s="38">
        <v>100</v>
      </c>
      <c r="I31" s="28">
        <f>SUM(I32:I34)</f>
        <v>63083459</v>
      </c>
      <c r="J31" s="38">
        <v>100</v>
      </c>
      <c r="K31" s="28">
        <f>SUM(K32:K34)</f>
        <v>94676000</v>
      </c>
      <c r="L31" s="38">
        <v>100</v>
      </c>
      <c r="M31" s="28">
        <f>SUM(M32:M34)</f>
        <v>21141198</v>
      </c>
      <c r="N31" s="38">
        <v>100</v>
      </c>
      <c r="O31" s="28">
        <f>SUM(O32:O34)</f>
        <v>18670448</v>
      </c>
      <c r="P31" s="38">
        <v>100</v>
      </c>
      <c r="Q31" s="28">
        <f>SUM(Q32:Q34)</f>
        <v>21379556</v>
      </c>
      <c r="R31" s="38">
        <v>100</v>
      </c>
      <c r="S31" s="28">
        <f>SUM(S32:S34)</f>
        <v>24519008</v>
      </c>
      <c r="T31" s="18">
        <f>AVERAGE(L31,N31,P31,R31)</f>
        <v>100</v>
      </c>
      <c r="U31" s="18">
        <f t="shared" si="0"/>
        <v>100</v>
      </c>
      <c r="V31" s="19" t="s">
        <v>32</v>
      </c>
      <c r="W31" s="29">
        <f t="shared" si="1"/>
        <v>85710210</v>
      </c>
      <c r="X31" s="23">
        <f t="shared" si="2"/>
        <v>90.530028729561877</v>
      </c>
      <c r="Y31" s="19" t="s">
        <v>32</v>
      </c>
      <c r="Z31" s="18">
        <f t="shared" si="3"/>
        <v>200</v>
      </c>
      <c r="AA31" s="29">
        <f t="shared" si="4"/>
        <v>148793669</v>
      </c>
      <c r="AB31" s="23"/>
      <c r="AC31" s="19" t="s">
        <v>32</v>
      </c>
      <c r="AD31" s="30"/>
      <c r="AE31" s="31"/>
      <c r="AF31" s="161">
        <v>24519008</v>
      </c>
      <c r="AH31" s="24"/>
    </row>
    <row r="32" spans="1:34" ht="75" x14ac:dyDescent="0.2">
      <c r="A32" s="11"/>
      <c r="B32" s="12"/>
      <c r="C32" s="33" t="s">
        <v>76</v>
      </c>
      <c r="D32" s="33" t="s">
        <v>77</v>
      </c>
      <c r="E32" s="45">
        <v>36</v>
      </c>
      <c r="F32" s="26" t="s">
        <v>42</v>
      </c>
      <c r="G32" s="27">
        <v>9000000</v>
      </c>
      <c r="H32" s="46">
        <v>12</v>
      </c>
      <c r="I32" s="27">
        <v>552200</v>
      </c>
      <c r="J32" s="46">
        <v>12</v>
      </c>
      <c r="K32" s="27">
        <v>500000</v>
      </c>
      <c r="L32" s="46">
        <v>3</v>
      </c>
      <c r="M32" s="27">
        <v>85575</v>
      </c>
      <c r="N32" s="46">
        <v>3</v>
      </c>
      <c r="O32" s="47">
        <v>85575</v>
      </c>
      <c r="P32" s="46">
        <v>3</v>
      </c>
      <c r="Q32" s="47">
        <v>37000</v>
      </c>
      <c r="R32" s="46">
        <v>3</v>
      </c>
      <c r="S32" s="47">
        <v>61475</v>
      </c>
      <c r="T32" s="48">
        <f>SUM(L32,N32,P32,R32)</f>
        <v>12</v>
      </c>
      <c r="U32" s="48">
        <f t="shared" si="0"/>
        <v>100</v>
      </c>
      <c r="V32" s="49" t="s">
        <v>32</v>
      </c>
      <c r="W32" s="50">
        <f t="shared" si="1"/>
        <v>269625</v>
      </c>
      <c r="X32" s="51">
        <f t="shared" si="2"/>
        <v>53.924999999999997</v>
      </c>
      <c r="Y32" s="49" t="s">
        <v>32</v>
      </c>
      <c r="Z32" s="48">
        <f t="shared" si="3"/>
        <v>24</v>
      </c>
      <c r="AA32" s="50">
        <f t="shared" si="4"/>
        <v>821825</v>
      </c>
      <c r="AB32" s="51"/>
      <c r="AC32" s="49" t="s">
        <v>32</v>
      </c>
      <c r="AD32" s="51"/>
      <c r="AE32" s="31"/>
      <c r="AF32" s="161">
        <v>61475</v>
      </c>
      <c r="AH32" s="24"/>
    </row>
    <row r="33" spans="1:34" ht="135" x14ac:dyDescent="0.2">
      <c r="A33" s="11"/>
      <c r="B33" s="12"/>
      <c r="C33" s="33" t="s">
        <v>78</v>
      </c>
      <c r="D33" s="33" t="s">
        <v>79</v>
      </c>
      <c r="E33" s="45">
        <v>36</v>
      </c>
      <c r="F33" s="26" t="s">
        <v>42</v>
      </c>
      <c r="G33" s="27">
        <v>148350000</v>
      </c>
      <c r="H33" s="46">
        <v>12</v>
      </c>
      <c r="I33" s="27">
        <v>39591259</v>
      </c>
      <c r="J33" s="46">
        <v>12</v>
      </c>
      <c r="K33" s="27">
        <v>31644000</v>
      </c>
      <c r="L33" s="46">
        <v>3</v>
      </c>
      <c r="M33" s="27">
        <v>6040623</v>
      </c>
      <c r="N33" s="46">
        <v>3</v>
      </c>
      <c r="O33" s="27">
        <v>3679625</v>
      </c>
      <c r="P33" s="46">
        <v>3</v>
      </c>
      <c r="Q33" s="27">
        <v>7037556</v>
      </c>
      <c r="R33" s="46">
        <v>3</v>
      </c>
      <c r="S33" s="27">
        <v>8827781</v>
      </c>
      <c r="T33" s="34">
        <f>SUM(L33,N33,P33,R33)</f>
        <v>12</v>
      </c>
      <c r="U33" s="34">
        <f t="shared" si="0"/>
        <v>100</v>
      </c>
      <c r="V33" s="35" t="s">
        <v>32</v>
      </c>
      <c r="W33" s="36">
        <f t="shared" si="1"/>
        <v>25585585</v>
      </c>
      <c r="X33" s="30">
        <f t="shared" si="2"/>
        <v>80.854458981165465</v>
      </c>
      <c r="Y33" s="35" t="s">
        <v>32</v>
      </c>
      <c r="Z33" s="34">
        <f t="shared" si="3"/>
        <v>24</v>
      </c>
      <c r="AA33" s="36">
        <f t="shared" si="4"/>
        <v>65176844</v>
      </c>
      <c r="AB33" s="30"/>
      <c r="AC33" s="35" t="s">
        <v>32</v>
      </c>
      <c r="AD33" s="30"/>
      <c r="AE33" s="31"/>
      <c r="AF33" s="161">
        <v>8827781</v>
      </c>
      <c r="AH33" s="24"/>
    </row>
    <row r="34" spans="1:34" ht="120" x14ac:dyDescent="0.2">
      <c r="A34" s="11"/>
      <c r="B34" s="12"/>
      <c r="C34" s="33" t="s">
        <v>80</v>
      </c>
      <c r="D34" s="33" t="s">
        <v>81</v>
      </c>
      <c r="E34" s="45">
        <v>36</v>
      </c>
      <c r="F34" s="26" t="s">
        <v>42</v>
      </c>
      <c r="G34" s="27">
        <v>69732000</v>
      </c>
      <c r="H34" s="46">
        <v>12</v>
      </c>
      <c r="I34" s="27">
        <v>22940000</v>
      </c>
      <c r="J34" s="46">
        <v>12</v>
      </c>
      <c r="K34" s="27">
        <v>62532000</v>
      </c>
      <c r="L34" s="46">
        <v>3</v>
      </c>
      <c r="M34" s="27">
        <v>15015000</v>
      </c>
      <c r="N34" s="46">
        <v>3</v>
      </c>
      <c r="O34" s="27">
        <v>14905248</v>
      </c>
      <c r="P34" s="46">
        <v>3</v>
      </c>
      <c r="Q34" s="27">
        <v>14305000</v>
      </c>
      <c r="R34" s="46">
        <v>3</v>
      </c>
      <c r="S34" s="27">
        <v>15629752</v>
      </c>
      <c r="T34" s="34">
        <f>SUM(L34,N34,P34,R34)</f>
        <v>12</v>
      </c>
      <c r="U34" s="34">
        <f t="shared" si="0"/>
        <v>100</v>
      </c>
      <c r="V34" s="35" t="s">
        <v>32</v>
      </c>
      <c r="W34" s="36">
        <f t="shared" si="1"/>
        <v>59855000</v>
      </c>
      <c r="X34" s="30">
        <f t="shared" si="2"/>
        <v>95.718991876159407</v>
      </c>
      <c r="Y34" s="35" t="s">
        <v>32</v>
      </c>
      <c r="Z34" s="34">
        <f t="shared" si="3"/>
        <v>24</v>
      </c>
      <c r="AA34" s="36">
        <f t="shared" si="4"/>
        <v>82795000</v>
      </c>
      <c r="AB34" s="30"/>
      <c r="AC34" s="35" t="s">
        <v>32</v>
      </c>
      <c r="AD34" s="30"/>
      <c r="AE34" s="31"/>
      <c r="AF34" s="161">
        <v>15629752</v>
      </c>
      <c r="AH34" s="24"/>
    </row>
    <row r="35" spans="1:34" ht="110.25" x14ac:dyDescent="0.2">
      <c r="A35" s="11"/>
      <c r="B35" s="12"/>
      <c r="C35" s="13" t="s">
        <v>82</v>
      </c>
      <c r="D35" s="13" t="s">
        <v>75</v>
      </c>
      <c r="E35" s="14">
        <v>100</v>
      </c>
      <c r="F35" s="39" t="s">
        <v>32</v>
      </c>
      <c r="G35" s="40">
        <f>160838000*3</f>
        <v>482514000</v>
      </c>
      <c r="H35" s="38">
        <v>100</v>
      </c>
      <c r="I35" s="28">
        <f>SUM(I36:I38)</f>
        <v>153100300</v>
      </c>
      <c r="J35" s="38">
        <v>100</v>
      </c>
      <c r="K35" s="28">
        <f>SUM(K36:K38)</f>
        <v>82050000</v>
      </c>
      <c r="L35" s="38">
        <v>100</v>
      </c>
      <c r="M35" s="28">
        <f>SUM(M36:M38)</f>
        <v>10255000</v>
      </c>
      <c r="N35" s="38">
        <v>100</v>
      </c>
      <c r="O35" s="28">
        <f>SUM(O36:O38)</f>
        <v>39422800</v>
      </c>
      <c r="P35" s="38">
        <v>100</v>
      </c>
      <c r="Q35" s="28">
        <f>SUM(Q36:Q38)</f>
        <v>13908500</v>
      </c>
      <c r="R35" s="38">
        <v>100</v>
      </c>
      <c r="S35" s="28">
        <f>SUM(S36:S38)</f>
        <v>14226500</v>
      </c>
      <c r="T35" s="18">
        <f>AVERAGE(L35,N35,P35,R35)</f>
        <v>100</v>
      </c>
      <c r="U35" s="18">
        <f t="shared" si="0"/>
        <v>100</v>
      </c>
      <c r="V35" s="19" t="s">
        <v>32</v>
      </c>
      <c r="W35" s="29">
        <f t="shared" si="1"/>
        <v>77812800</v>
      </c>
      <c r="X35" s="23">
        <f t="shared" si="2"/>
        <v>94.835831809872033</v>
      </c>
      <c r="Y35" s="19" t="s">
        <v>32</v>
      </c>
      <c r="Z35" s="18">
        <f t="shared" si="3"/>
        <v>200</v>
      </c>
      <c r="AA35" s="29">
        <f t="shared" si="4"/>
        <v>230913100</v>
      </c>
      <c r="AB35" s="23"/>
      <c r="AC35" s="19" t="s">
        <v>32</v>
      </c>
      <c r="AD35" s="23"/>
      <c r="AE35" s="31"/>
      <c r="AF35" s="161">
        <v>14226500</v>
      </c>
      <c r="AH35" s="24"/>
    </row>
    <row r="36" spans="1:34" ht="180" x14ac:dyDescent="0.2">
      <c r="A36" s="11"/>
      <c r="B36" s="12"/>
      <c r="C36" s="33" t="s">
        <v>83</v>
      </c>
      <c r="D36" s="33" t="s">
        <v>84</v>
      </c>
      <c r="E36" s="25">
        <f>15*3</f>
        <v>45</v>
      </c>
      <c r="F36" s="26" t="s">
        <v>73</v>
      </c>
      <c r="G36" s="27">
        <v>222882000</v>
      </c>
      <c r="H36" s="46">
        <v>15</v>
      </c>
      <c r="I36" s="27">
        <v>68751300</v>
      </c>
      <c r="J36" s="46">
        <v>15</v>
      </c>
      <c r="K36" s="27">
        <v>50350000</v>
      </c>
      <c r="L36" s="46">
        <v>3</v>
      </c>
      <c r="M36" s="27">
        <v>2275000</v>
      </c>
      <c r="N36" s="46">
        <v>6</v>
      </c>
      <c r="O36" s="27">
        <v>21185300</v>
      </c>
      <c r="P36" s="46">
        <v>4</v>
      </c>
      <c r="Q36" s="27">
        <v>12408500</v>
      </c>
      <c r="R36" s="46">
        <v>2</v>
      </c>
      <c r="S36" s="27">
        <v>10891500</v>
      </c>
      <c r="T36" s="34">
        <f t="shared" ref="T36:T43" si="8">SUM(L36,N36,P36,R36)</f>
        <v>15</v>
      </c>
      <c r="U36" s="34">
        <f t="shared" si="0"/>
        <v>100</v>
      </c>
      <c r="V36" s="35" t="s">
        <v>32</v>
      </c>
      <c r="W36" s="36">
        <f t="shared" si="1"/>
        <v>46760300</v>
      </c>
      <c r="X36" s="30">
        <f t="shared" si="2"/>
        <v>92.87050645481628</v>
      </c>
      <c r="Y36" s="35" t="s">
        <v>32</v>
      </c>
      <c r="Z36" s="34">
        <f t="shared" si="3"/>
        <v>30</v>
      </c>
      <c r="AA36" s="36">
        <f t="shared" si="4"/>
        <v>115511600</v>
      </c>
      <c r="AB36" s="30"/>
      <c r="AC36" s="35" t="s">
        <v>32</v>
      </c>
      <c r="AD36" s="30"/>
      <c r="AE36" s="31"/>
      <c r="AF36" s="161">
        <v>10891500</v>
      </c>
      <c r="AH36" s="24"/>
    </row>
    <row r="37" spans="1:34" ht="105" x14ac:dyDescent="0.2">
      <c r="A37" s="11"/>
      <c r="B37" s="12"/>
      <c r="C37" s="33" t="s">
        <v>85</v>
      </c>
      <c r="D37" s="33" t="s">
        <v>86</v>
      </c>
      <c r="E37" s="25">
        <v>3</v>
      </c>
      <c r="F37" s="26" t="s">
        <v>73</v>
      </c>
      <c r="G37" s="27">
        <v>226932000</v>
      </c>
      <c r="H37" s="46">
        <v>1</v>
      </c>
      <c r="I37" s="27">
        <v>73499000</v>
      </c>
      <c r="J37" s="46">
        <v>1</v>
      </c>
      <c r="K37" s="27">
        <v>21000000</v>
      </c>
      <c r="L37" s="46">
        <v>0</v>
      </c>
      <c r="M37" s="27">
        <v>7980000</v>
      </c>
      <c r="N37" s="46">
        <v>1</v>
      </c>
      <c r="O37" s="36">
        <v>12987500</v>
      </c>
      <c r="P37" s="46">
        <v>0</v>
      </c>
      <c r="Q37" s="36">
        <v>0</v>
      </c>
      <c r="R37" s="46">
        <v>1</v>
      </c>
      <c r="S37" s="36">
        <v>0</v>
      </c>
      <c r="T37" s="34">
        <f t="shared" si="8"/>
        <v>2</v>
      </c>
      <c r="U37" s="34">
        <f t="shared" si="0"/>
        <v>200</v>
      </c>
      <c r="V37" s="35" t="s">
        <v>32</v>
      </c>
      <c r="W37" s="36">
        <f t="shared" si="1"/>
        <v>20967500</v>
      </c>
      <c r="X37" s="30">
        <f t="shared" si="2"/>
        <v>99.845238095238102</v>
      </c>
      <c r="Y37" s="35" t="s">
        <v>32</v>
      </c>
      <c r="Z37" s="34">
        <f t="shared" si="3"/>
        <v>3</v>
      </c>
      <c r="AA37" s="36">
        <f t="shared" si="4"/>
        <v>94466500</v>
      </c>
      <c r="AB37" s="30"/>
      <c r="AC37" s="35" t="s">
        <v>32</v>
      </c>
      <c r="AD37" s="30"/>
      <c r="AE37" s="31"/>
      <c r="AF37" s="161">
        <v>0</v>
      </c>
      <c r="AH37" s="24"/>
    </row>
    <row r="38" spans="1:34" ht="135" x14ac:dyDescent="0.2">
      <c r="A38" s="11"/>
      <c r="B38" s="12"/>
      <c r="C38" s="33" t="s">
        <v>87</v>
      </c>
      <c r="D38" s="44" t="s">
        <v>88</v>
      </c>
      <c r="E38" s="25">
        <f>36*3</f>
        <v>108</v>
      </c>
      <c r="F38" s="26" t="s">
        <v>73</v>
      </c>
      <c r="G38" s="27">
        <v>32700000</v>
      </c>
      <c r="H38" s="46">
        <v>36</v>
      </c>
      <c r="I38" s="27">
        <v>10850000</v>
      </c>
      <c r="J38" s="46">
        <v>36</v>
      </c>
      <c r="K38" s="27">
        <v>10700000</v>
      </c>
      <c r="L38" s="46">
        <v>0</v>
      </c>
      <c r="M38" s="27">
        <v>0</v>
      </c>
      <c r="N38" s="46">
        <v>12</v>
      </c>
      <c r="O38" s="36">
        <v>5250000</v>
      </c>
      <c r="P38" s="46">
        <v>12</v>
      </c>
      <c r="Q38" s="36">
        <v>1500000</v>
      </c>
      <c r="R38" s="46">
        <v>12</v>
      </c>
      <c r="S38" s="36">
        <v>3335000</v>
      </c>
      <c r="T38" s="34">
        <f t="shared" si="8"/>
        <v>36</v>
      </c>
      <c r="U38" s="34">
        <f t="shared" si="0"/>
        <v>100</v>
      </c>
      <c r="V38" s="35" t="s">
        <v>32</v>
      </c>
      <c r="W38" s="36">
        <f t="shared" si="1"/>
        <v>10085000</v>
      </c>
      <c r="X38" s="34">
        <f t="shared" si="2"/>
        <v>94.252336448598129</v>
      </c>
      <c r="Y38" s="35" t="s">
        <v>32</v>
      </c>
      <c r="Z38" s="34">
        <f t="shared" si="3"/>
        <v>72</v>
      </c>
      <c r="AA38" s="36">
        <f t="shared" si="4"/>
        <v>20935000</v>
      </c>
      <c r="AB38" s="30"/>
      <c r="AC38" s="35" t="s">
        <v>32</v>
      </c>
      <c r="AD38" s="36"/>
      <c r="AE38" s="31"/>
      <c r="AF38" s="161">
        <v>3335000</v>
      </c>
      <c r="AH38" s="24"/>
    </row>
    <row r="39" spans="1:34" ht="141.75" x14ac:dyDescent="0.2">
      <c r="A39" s="22">
        <v>3</v>
      </c>
      <c r="B39" s="108" t="s">
        <v>89</v>
      </c>
      <c r="C39" s="108" t="s">
        <v>90</v>
      </c>
      <c r="D39" s="109" t="s">
        <v>91</v>
      </c>
      <c r="E39" s="52">
        <v>100</v>
      </c>
      <c r="F39" s="39" t="s">
        <v>32</v>
      </c>
      <c r="G39" s="53">
        <f>G41</f>
        <v>2690575000</v>
      </c>
      <c r="H39" s="54">
        <v>111.79</v>
      </c>
      <c r="I39" s="53">
        <f>I41</f>
        <v>863298000</v>
      </c>
      <c r="J39" s="52">
        <v>112</v>
      </c>
      <c r="K39" s="53">
        <f>K41</f>
        <v>2175000000</v>
      </c>
      <c r="L39" s="107">
        <v>0</v>
      </c>
      <c r="M39" s="53">
        <f>M41</f>
        <v>9966000</v>
      </c>
      <c r="N39" s="54">
        <v>0</v>
      </c>
      <c r="O39" s="53">
        <f>O41</f>
        <v>308450000</v>
      </c>
      <c r="P39" s="107"/>
      <c r="Q39" s="53">
        <f>Q41</f>
        <v>670050000</v>
      </c>
      <c r="R39" s="107">
        <v>112</v>
      </c>
      <c r="S39" s="53">
        <f>S41</f>
        <v>1186108000</v>
      </c>
      <c r="T39" s="55">
        <v>112</v>
      </c>
      <c r="U39" s="56">
        <f t="shared" si="0"/>
        <v>100</v>
      </c>
      <c r="V39" s="57"/>
      <c r="W39" s="53">
        <f t="shared" si="1"/>
        <v>2174574000</v>
      </c>
      <c r="X39" s="21">
        <f t="shared" si="2"/>
        <v>99.980413793103452</v>
      </c>
      <c r="Y39" s="22" t="s">
        <v>32</v>
      </c>
      <c r="Z39" s="55">
        <f t="shared" si="3"/>
        <v>223.79000000000002</v>
      </c>
      <c r="AA39" s="53">
        <f t="shared" si="4"/>
        <v>3037872000</v>
      </c>
      <c r="AB39" s="56"/>
      <c r="AC39" s="57" t="s">
        <v>32</v>
      </c>
      <c r="AD39" s="58"/>
      <c r="AE39" s="31"/>
      <c r="AF39" s="161">
        <v>1186108000</v>
      </c>
      <c r="AH39" s="24"/>
    </row>
    <row r="40" spans="1:34" ht="47.25" x14ac:dyDescent="0.2">
      <c r="A40" s="11"/>
      <c r="B40" s="12"/>
      <c r="C40" s="109"/>
      <c r="D40" s="13" t="s">
        <v>92</v>
      </c>
      <c r="E40" s="59" t="s">
        <v>93</v>
      </c>
      <c r="F40" s="15" t="s">
        <v>94</v>
      </c>
      <c r="G40" s="60"/>
      <c r="H40" s="61">
        <v>86.33</v>
      </c>
      <c r="I40" s="62"/>
      <c r="J40" s="61">
        <v>87.17</v>
      </c>
      <c r="K40" s="40"/>
      <c r="L40" s="14">
        <v>0</v>
      </c>
      <c r="M40" s="40"/>
      <c r="N40" s="63"/>
      <c r="O40" s="40"/>
      <c r="P40" s="63"/>
      <c r="Q40" s="40"/>
      <c r="R40" s="63" t="s">
        <v>187</v>
      </c>
      <c r="S40" s="40"/>
      <c r="T40" s="64">
        <v>87.54</v>
      </c>
      <c r="U40" s="18">
        <f t="shared" si="0"/>
        <v>100.42445795571872</v>
      </c>
      <c r="V40" s="19"/>
      <c r="W40" s="65"/>
      <c r="X40" s="56"/>
      <c r="Y40" s="57"/>
      <c r="Z40" s="66">
        <f t="shared" si="3"/>
        <v>173.87</v>
      </c>
      <c r="AA40" s="65"/>
      <c r="AB40" s="23"/>
      <c r="AC40" s="19" t="s">
        <v>32</v>
      </c>
      <c r="AD40" s="67"/>
      <c r="AE40" s="31"/>
      <c r="AF40" s="161">
        <v>1186108000</v>
      </c>
      <c r="AH40" s="24"/>
    </row>
    <row r="41" spans="1:34" ht="173.25" x14ac:dyDescent="0.2">
      <c r="A41" s="11"/>
      <c r="B41" s="12"/>
      <c r="C41" s="109" t="s">
        <v>95</v>
      </c>
      <c r="D41" s="13" t="s">
        <v>96</v>
      </c>
      <c r="E41" s="59">
        <v>65250</v>
      </c>
      <c r="F41" s="15" t="s">
        <v>97</v>
      </c>
      <c r="G41" s="68">
        <f>SUM(G42:G43)</f>
        <v>2690575000</v>
      </c>
      <c r="H41" s="59">
        <v>61087</v>
      </c>
      <c r="I41" s="68">
        <f>SUM(I42:I43)</f>
        <v>863298000</v>
      </c>
      <c r="J41" s="59">
        <v>63087</v>
      </c>
      <c r="K41" s="68">
        <f>SUM(K42:K43)</f>
        <v>2175000000</v>
      </c>
      <c r="L41" s="14">
        <v>0</v>
      </c>
      <c r="M41" s="68">
        <f>SUM(M42:M43)</f>
        <v>9966000</v>
      </c>
      <c r="N41" s="63">
        <v>0</v>
      </c>
      <c r="O41" s="68">
        <f>SUM(O42:O43)</f>
        <v>308450000</v>
      </c>
      <c r="P41" s="63"/>
      <c r="Q41" s="68">
        <f>SUM(Q42:Q43)</f>
        <v>670050000</v>
      </c>
      <c r="R41" s="63"/>
      <c r="S41" s="68">
        <f>SUM(S42:S43)</f>
        <v>1186108000</v>
      </c>
      <c r="T41" s="66">
        <v>102027</v>
      </c>
      <c r="U41" s="18">
        <f t="shared" si="0"/>
        <v>161.72428551048552</v>
      </c>
      <c r="V41" s="19"/>
      <c r="W41" s="68">
        <f t="shared" ref="W41:W43" si="9">SUM(M41,O41,Q41,S41)</f>
        <v>2174574000</v>
      </c>
      <c r="X41" s="23">
        <f t="shared" ref="X41:X43" si="10">W41/K41*100</f>
        <v>99.980413793103452</v>
      </c>
      <c r="Y41" s="19" t="s">
        <v>32</v>
      </c>
      <c r="Z41" s="66">
        <f t="shared" si="3"/>
        <v>163114</v>
      </c>
      <c r="AA41" s="29">
        <f>SUM(I41,W41)</f>
        <v>3037872000</v>
      </c>
      <c r="AB41" s="23"/>
      <c r="AC41" s="19" t="s">
        <v>32</v>
      </c>
      <c r="AD41" s="30"/>
      <c r="AE41" s="31"/>
      <c r="AF41" s="161">
        <v>1070380000</v>
      </c>
      <c r="AH41" s="24"/>
    </row>
    <row r="42" spans="1:34" ht="60" x14ac:dyDescent="0.2">
      <c r="A42" s="11"/>
      <c r="B42" s="12"/>
      <c r="C42" s="69" t="s">
        <v>98</v>
      </c>
      <c r="D42" s="33" t="s">
        <v>99</v>
      </c>
      <c r="E42" s="46">
        <v>6</v>
      </c>
      <c r="F42" s="26" t="s">
        <v>100</v>
      </c>
      <c r="G42" s="70">
        <v>2200575000</v>
      </c>
      <c r="H42" s="46">
        <v>2</v>
      </c>
      <c r="I42" s="71">
        <v>723400000</v>
      </c>
      <c r="J42" s="46">
        <v>2</v>
      </c>
      <c r="K42" s="27">
        <v>1883800000</v>
      </c>
      <c r="L42" s="46">
        <v>0</v>
      </c>
      <c r="M42" s="27">
        <v>0</v>
      </c>
      <c r="N42" s="46">
        <v>0</v>
      </c>
      <c r="O42" s="27">
        <v>279000000</v>
      </c>
      <c r="P42" s="46">
        <v>0</v>
      </c>
      <c r="Q42" s="27">
        <v>534400000</v>
      </c>
      <c r="R42" s="46">
        <v>2</v>
      </c>
      <c r="S42" s="27">
        <v>1070380000</v>
      </c>
      <c r="T42" s="34">
        <f t="shared" si="8"/>
        <v>2</v>
      </c>
      <c r="U42" s="34">
        <f t="shared" ref="U42:U43" si="11">T42/J42*100</f>
        <v>100</v>
      </c>
      <c r="V42" s="35"/>
      <c r="W42" s="36">
        <f t="shared" si="9"/>
        <v>1883780000</v>
      </c>
      <c r="X42" s="30">
        <f t="shared" si="10"/>
        <v>99.998938316169443</v>
      </c>
      <c r="Y42" s="35" t="s">
        <v>32</v>
      </c>
      <c r="Z42" s="34">
        <f t="shared" si="3"/>
        <v>4</v>
      </c>
      <c r="AA42" s="36">
        <f>SUM(I42,W42)</f>
        <v>2607180000</v>
      </c>
      <c r="AB42" s="30"/>
      <c r="AC42" s="35" t="s">
        <v>32</v>
      </c>
      <c r="AD42" s="30"/>
      <c r="AE42" s="31"/>
      <c r="AF42" s="161">
        <v>115728000</v>
      </c>
      <c r="AH42" s="24"/>
    </row>
    <row r="43" spans="1:34" ht="60" x14ac:dyDescent="0.2">
      <c r="A43" s="11"/>
      <c r="B43" s="12"/>
      <c r="C43" s="33" t="s">
        <v>101</v>
      </c>
      <c r="D43" s="33" t="s">
        <v>102</v>
      </c>
      <c r="E43" s="46">
        <v>6</v>
      </c>
      <c r="F43" s="26" t="s">
        <v>100</v>
      </c>
      <c r="G43" s="36">
        <v>490000000</v>
      </c>
      <c r="H43" s="46">
        <v>2</v>
      </c>
      <c r="I43" s="36">
        <v>139898000</v>
      </c>
      <c r="J43" s="46">
        <v>2</v>
      </c>
      <c r="K43" s="36">
        <v>291200000</v>
      </c>
      <c r="L43" s="46">
        <v>0</v>
      </c>
      <c r="M43" s="36">
        <v>9966000</v>
      </c>
      <c r="N43" s="25">
        <v>0</v>
      </c>
      <c r="O43" s="36">
        <v>29450000</v>
      </c>
      <c r="P43" s="25">
        <v>0</v>
      </c>
      <c r="Q43" s="36">
        <v>135650000</v>
      </c>
      <c r="R43" s="25">
        <v>2</v>
      </c>
      <c r="S43" s="27">
        <v>115728000</v>
      </c>
      <c r="T43" s="34">
        <f t="shared" si="8"/>
        <v>2</v>
      </c>
      <c r="U43" s="34">
        <f t="shared" si="11"/>
        <v>100</v>
      </c>
      <c r="V43" s="35"/>
      <c r="W43" s="36">
        <f t="shared" si="9"/>
        <v>290794000</v>
      </c>
      <c r="X43" s="30">
        <f t="shared" si="10"/>
        <v>99.860576923076934</v>
      </c>
      <c r="Y43" s="35" t="s">
        <v>32</v>
      </c>
      <c r="Z43" s="34">
        <f t="shared" si="3"/>
        <v>4</v>
      </c>
      <c r="AA43" s="36">
        <f>SUM(I43,W43)</f>
        <v>430692000</v>
      </c>
      <c r="AB43" s="30"/>
      <c r="AC43" s="35" t="s">
        <v>32</v>
      </c>
      <c r="AD43" s="23"/>
      <c r="AE43" s="31"/>
      <c r="AF43" s="161">
        <v>1068582306</v>
      </c>
      <c r="AH43" s="24"/>
    </row>
    <row r="44" spans="1:34" ht="78.75" x14ac:dyDescent="0.2">
      <c r="A44" s="11"/>
      <c r="B44" s="12"/>
      <c r="C44" s="150" t="s">
        <v>103</v>
      </c>
      <c r="D44" s="109" t="s">
        <v>104</v>
      </c>
      <c r="E44" s="52">
        <v>100</v>
      </c>
      <c r="F44" s="39" t="s">
        <v>32</v>
      </c>
      <c r="G44" s="53">
        <v>1394677500</v>
      </c>
      <c r="H44" s="54">
        <f>69.021/102*100</f>
        <v>67.667647058823533</v>
      </c>
      <c r="I44" s="53">
        <f>I47+I52+I56</f>
        <v>1059357910</v>
      </c>
      <c r="J44" s="54">
        <v>82.37</v>
      </c>
      <c r="K44" s="53">
        <f>K47+K52+K56</f>
        <v>2081727550</v>
      </c>
      <c r="L44" s="107">
        <v>0</v>
      </c>
      <c r="M44" s="53">
        <f>M47+M52+M56</f>
        <v>44515000</v>
      </c>
      <c r="N44" s="72">
        <v>0</v>
      </c>
      <c r="O44" s="53">
        <f>O47+O52+O56</f>
        <v>621179494</v>
      </c>
      <c r="P44" s="38"/>
      <c r="Q44" s="53">
        <f>Q47+Q52+Q56</f>
        <v>238433500</v>
      </c>
      <c r="R44" s="38">
        <v>100</v>
      </c>
      <c r="S44" s="53">
        <f>S47+S52+S56</f>
        <v>618464950</v>
      </c>
      <c r="T44" s="56">
        <f t="shared" ref="T44:T50" si="12">SUM(L44,N44,P44,R44)</f>
        <v>100</v>
      </c>
      <c r="U44" s="55">
        <f>Z44/J44*100</f>
        <v>203.55426375964979</v>
      </c>
      <c r="V44" s="57" t="s">
        <v>32</v>
      </c>
      <c r="W44" s="53">
        <f>SUM(M44,O44,Q44,S44)</f>
        <v>1522592944</v>
      </c>
      <c r="X44" s="21">
        <f>W44/K44*100</f>
        <v>73.140836513404466</v>
      </c>
      <c r="Y44" s="22" t="s">
        <v>32</v>
      </c>
      <c r="Z44" s="56">
        <f t="shared" si="3"/>
        <v>167.66764705882355</v>
      </c>
      <c r="AA44" s="53">
        <f>SUM(I44,W44)</f>
        <v>2581950854</v>
      </c>
      <c r="AB44" s="56"/>
      <c r="AC44" s="57" t="s">
        <v>32</v>
      </c>
      <c r="AD44" s="53"/>
      <c r="AE44" s="31"/>
      <c r="AF44" s="161">
        <v>70854000</v>
      </c>
      <c r="AH44" s="24"/>
    </row>
    <row r="45" spans="1:34" ht="126" x14ac:dyDescent="0.2">
      <c r="A45" s="11"/>
      <c r="B45" s="12"/>
      <c r="C45" s="151"/>
      <c r="D45" s="13" t="s">
        <v>105</v>
      </c>
      <c r="E45" s="14">
        <v>82.02</v>
      </c>
      <c r="F45" s="39" t="s">
        <v>32</v>
      </c>
      <c r="G45" s="73"/>
      <c r="H45" s="74">
        <v>89.1</v>
      </c>
      <c r="I45" s="75"/>
      <c r="J45" s="14">
        <v>76.06</v>
      </c>
      <c r="K45" s="75"/>
      <c r="L45" s="14">
        <v>0</v>
      </c>
      <c r="M45" s="75"/>
      <c r="N45" s="63"/>
      <c r="O45" s="75"/>
      <c r="P45" s="74"/>
      <c r="Q45" s="75"/>
      <c r="R45" s="74"/>
      <c r="S45" s="75"/>
      <c r="T45" s="56">
        <f t="shared" si="12"/>
        <v>0</v>
      </c>
      <c r="U45" s="55">
        <f t="shared" ref="U45:U50" si="13">T45/J45*100</f>
        <v>0</v>
      </c>
      <c r="V45" s="57" t="s">
        <v>32</v>
      </c>
      <c r="W45" s="75"/>
      <c r="X45" s="76"/>
      <c r="Y45" s="11"/>
      <c r="Z45" s="56">
        <f>T45</f>
        <v>0</v>
      </c>
      <c r="AA45" s="75"/>
      <c r="AB45" s="56"/>
      <c r="AC45" s="57"/>
      <c r="AD45" s="75"/>
      <c r="AE45" s="31"/>
      <c r="AF45" s="161">
        <v>20829000</v>
      </c>
      <c r="AH45" s="24"/>
    </row>
    <row r="46" spans="1:34" ht="31.5" x14ac:dyDescent="0.2">
      <c r="A46" s="11"/>
      <c r="B46" s="12"/>
      <c r="C46" s="152"/>
      <c r="D46" s="13" t="s">
        <v>106</v>
      </c>
      <c r="E46" s="14">
        <v>108</v>
      </c>
      <c r="F46" s="15" t="s">
        <v>107</v>
      </c>
      <c r="G46" s="60"/>
      <c r="H46" s="74">
        <v>106.35</v>
      </c>
      <c r="I46" s="62"/>
      <c r="J46" s="14">
        <v>107</v>
      </c>
      <c r="K46" s="62"/>
      <c r="L46" s="14">
        <v>0</v>
      </c>
      <c r="M46" s="62"/>
      <c r="N46" s="63"/>
      <c r="O46" s="62"/>
      <c r="P46" s="74"/>
      <c r="Q46" s="62"/>
      <c r="R46" s="197"/>
      <c r="S46" s="62"/>
      <c r="T46" s="56">
        <f t="shared" si="12"/>
        <v>0</v>
      </c>
      <c r="U46" s="55">
        <f t="shared" si="13"/>
        <v>0</v>
      </c>
      <c r="V46" s="57" t="s">
        <v>32</v>
      </c>
      <c r="W46" s="62"/>
      <c r="X46" s="56"/>
      <c r="Y46" s="57"/>
      <c r="Z46" s="56">
        <f>T46</f>
        <v>0</v>
      </c>
      <c r="AA46" s="62"/>
      <c r="AB46" s="56"/>
      <c r="AC46" s="57"/>
      <c r="AD46" s="62"/>
      <c r="AE46" s="31"/>
      <c r="AF46" s="161">
        <v>50025000</v>
      </c>
      <c r="AH46" s="24"/>
    </row>
    <row r="47" spans="1:34" ht="110.25" x14ac:dyDescent="0.2">
      <c r="A47" s="11"/>
      <c r="B47" s="12"/>
      <c r="C47" s="153" t="s">
        <v>108</v>
      </c>
      <c r="D47" s="13" t="s">
        <v>109</v>
      </c>
      <c r="E47" s="59">
        <v>1825</v>
      </c>
      <c r="F47" s="15" t="s">
        <v>42</v>
      </c>
      <c r="G47" s="16">
        <f>SUM(G49:G50)</f>
        <v>502750500</v>
      </c>
      <c r="H47" s="59">
        <v>1095</v>
      </c>
      <c r="I47" s="16">
        <f>SUM(I49:I50)</f>
        <v>159862000</v>
      </c>
      <c r="J47" s="59">
        <v>1460</v>
      </c>
      <c r="K47" s="16">
        <f>SUM(K49:K50)</f>
        <v>240177550</v>
      </c>
      <c r="L47" s="63">
        <f>1095+91</f>
        <v>1186</v>
      </c>
      <c r="M47" s="16">
        <f>SUM(M49:M50)</f>
        <v>34274000</v>
      </c>
      <c r="N47" s="63">
        <v>91</v>
      </c>
      <c r="O47" s="16">
        <f>SUM(O49:O50)</f>
        <v>54877500</v>
      </c>
      <c r="P47" s="63">
        <v>91</v>
      </c>
      <c r="Q47" s="16">
        <f>SUM(Q49:Q50)</f>
        <v>36187500</v>
      </c>
      <c r="R47" s="63">
        <v>92</v>
      </c>
      <c r="S47" s="16">
        <f>SUM(S49:S50)</f>
        <v>70854000</v>
      </c>
      <c r="T47" s="18">
        <f t="shared" si="12"/>
        <v>1460</v>
      </c>
      <c r="U47" s="23">
        <f t="shared" si="13"/>
        <v>100</v>
      </c>
      <c r="V47" s="19" t="s">
        <v>32</v>
      </c>
      <c r="W47" s="77">
        <f>SUM(M47,O47,Q47,S47)</f>
        <v>196193000</v>
      </c>
      <c r="X47" s="21">
        <f>W47/K47*100</f>
        <v>81.686652228736605</v>
      </c>
      <c r="Y47" s="22" t="s">
        <v>32</v>
      </c>
      <c r="Z47" s="18">
        <f t="shared" ref="Z47:Z70" si="14">SUM(H47,T47)</f>
        <v>2555</v>
      </c>
      <c r="AA47" s="77">
        <f>SUM(I47,W47)</f>
        <v>356055000</v>
      </c>
      <c r="AB47" s="23"/>
      <c r="AC47" s="19" t="s">
        <v>32</v>
      </c>
      <c r="AD47" s="21"/>
      <c r="AE47" s="31"/>
      <c r="AF47" s="161">
        <v>0</v>
      </c>
      <c r="AH47" s="24"/>
    </row>
    <row r="48" spans="1:34" ht="94.5" x14ac:dyDescent="0.2">
      <c r="A48" s="11"/>
      <c r="B48" s="12"/>
      <c r="C48" s="154"/>
      <c r="D48" s="13" t="s">
        <v>110</v>
      </c>
      <c r="E48" s="59">
        <v>1825</v>
      </c>
      <c r="F48" s="15" t="s">
        <v>42</v>
      </c>
      <c r="G48" s="60"/>
      <c r="H48" s="59">
        <v>1003</v>
      </c>
      <c r="I48" s="62"/>
      <c r="J48" s="59">
        <v>1460</v>
      </c>
      <c r="K48" s="40"/>
      <c r="L48" s="63">
        <v>1186</v>
      </c>
      <c r="M48" s="40"/>
      <c r="N48" s="63">
        <v>91</v>
      </c>
      <c r="O48" s="40"/>
      <c r="P48" s="63">
        <v>91</v>
      </c>
      <c r="Q48" s="40"/>
      <c r="R48" s="63">
        <v>92</v>
      </c>
      <c r="S48" s="40"/>
      <c r="T48" s="18">
        <f t="shared" si="12"/>
        <v>1460</v>
      </c>
      <c r="U48" s="23">
        <f t="shared" si="13"/>
        <v>100</v>
      </c>
      <c r="V48" s="19" t="s">
        <v>32</v>
      </c>
      <c r="W48" s="65"/>
      <c r="X48" s="56"/>
      <c r="Y48" s="57"/>
      <c r="Z48" s="18">
        <f t="shared" si="14"/>
        <v>2463</v>
      </c>
      <c r="AA48" s="65"/>
      <c r="AB48" s="23"/>
      <c r="AC48" s="19" t="s">
        <v>32</v>
      </c>
      <c r="AD48" s="56"/>
      <c r="AE48" s="31"/>
      <c r="AF48" s="161">
        <v>621608806</v>
      </c>
      <c r="AH48" s="24"/>
    </row>
    <row r="49" spans="1:34" ht="75" x14ac:dyDescent="0.2">
      <c r="A49" s="11"/>
      <c r="B49" s="12"/>
      <c r="C49" s="33" t="s">
        <v>111</v>
      </c>
      <c r="D49" s="33" t="s">
        <v>111</v>
      </c>
      <c r="E49" s="46">
        <v>36</v>
      </c>
      <c r="F49" s="26" t="s">
        <v>37</v>
      </c>
      <c r="G49" s="36">
        <v>262476000</v>
      </c>
      <c r="H49" s="46">
        <v>12</v>
      </c>
      <c r="I49" s="36">
        <v>84702500</v>
      </c>
      <c r="J49" s="46">
        <v>12</v>
      </c>
      <c r="K49" s="36">
        <v>88004000</v>
      </c>
      <c r="L49" s="46">
        <v>3</v>
      </c>
      <c r="M49" s="36">
        <v>18144000</v>
      </c>
      <c r="N49" s="46">
        <v>3</v>
      </c>
      <c r="O49" s="36">
        <v>27037500</v>
      </c>
      <c r="P49" s="46">
        <v>3</v>
      </c>
      <c r="Q49" s="36">
        <v>21937500</v>
      </c>
      <c r="R49" s="46">
        <v>3</v>
      </c>
      <c r="S49" s="36">
        <v>20829000</v>
      </c>
      <c r="T49" s="34">
        <f t="shared" si="12"/>
        <v>12</v>
      </c>
      <c r="U49" s="34">
        <f t="shared" si="13"/>
        <v>100</v>
      </c>
      <c r="V49" s="35" t="s">
        <v>32</v>
      </c>
      <c r="W49" s="36">
        <f>SUM(M49,O49,Q49,S49)</f>
        <v>87948000</v>
      </c>
      <c r="X49" s="30">
        <f>W49/K49*100</f>
        <v>99.936366528794139</v>
      </c>
      <c r="Y49" s="35" t="s">
        <v>32</v>
      </c>
      <c r="Z49" s="34">
        <f t="shared" si="14"/>
        <v>24</v>
      </c>
      <c r="AA49" s="36">
        <f t="shared" ref="AA49:AA56" si="15">SUM(I49,W49)</f>
        <v>172650500</v>
      </c>
      <c r="AB49" s="30"/>
      <c r="AC49" s="35" t="s">
        <v>32</v>
      </c>
      <c r="AD49" s="23"/>
      <c r="AE49" s="31"/>
      <c r="AF49" s="161">
        <v>547610950</v>
      </c>
      <c r="AH49" s="24"/>
    </row>
    <row r="50" spans="1:34" ht="120" x14ac:dyDescent="0.2">
      <c r="A50" s="11"/>
      <c r="B50" s="12"/>
      <c r="C50" s="32" t="s">
        <v>112</v>
      </c>
      <c r="D50" s="33" t="s">
        <v>113</v>
      </c>
      <c r="E50" s="46">
        <v>8</v>
      </c>
      <c r="F50" s="78" t="s">
        <v>73</v>
      </c>
      <c r="G50" s="70">
        <v>240274500</v>
      </c>
      <c r="H50" s="46">
        <v>6</v>
      </c>
      <c r="I50" s="71">
        <v>75159500</v>
      </c>
      <c r="J50" s="46">
        <v>2</v>
      </c>
      <c r="K50" s="27">
        <v>152173550</v>
      </c>
      <c r="L50" s="46">
        <v>0</v>
      </c>
      <c r="M50" s="27">
        <v>16130000</v>
      </c>
      <c r="N50" s="46">
        <v>1</v>
      </c>
      <c r="O50" s="27">
        <v>27840000</v>
      </c>
      <c r="P50" s="46">
        <v>0</v>
      </c>
      <c r="Q50" s="27">
        <v>14250000</v>
      </c>
      <c r="R50" s="46">
        <v>1</v>
      </c>
      <c r="S50" s="27">
        <v>50025000</v>
      </c>
      <c r="T50" s="34">
        <f t="shared" si="12"/>
        <v>2</v>
      </c>
      <c r="U50" s="34">
        <f t="shared" si="13"/>
        <v>100</v>
      </c>
      <c r="V50" s="35" t="s">
        <v>32</v>
      </c>
      <c r="W50" s="36">
        <f>SUM(M50,O50,Q50,S50)</f>
        <v>108245000</v>
      </c>
      <c r="X50" s="30">
        <f>W50/K50*100</f>
        <v>71.132598273484447</v>
      </c>
      <c r="Y50" s="35" t="s">
        <v>32</v>
      </c>
      <c r="Z50" s="34">
        <f t="shared" si="14"/>
        <v>8</v>
      </c>
      <c r="AA50" s="36">
        <f t="shared" si="15"/>
        <v>183404500</v>
      </c>
      <c r="AB50" s="30"/>
      <c r="AC50" s="35" t="s">
        <v>32</v>
      </c>
      <c r="AD50" s="30"/>
      <c r="AE50" s="31"/>
      <c r="AF50" s="161">
        <v>0</v>
      </c>
      <c r="AH50" s="24"/>
    </row>
    <row r="51" spans="1:34" ht="150" x14ac:dyDescent="0.2">
      <c r="A51" s="11"/>
      <c r="B51" s="12"/>
      <c r="C51" s="162" t="s">
        <v>114</v>
      </c>
      <c r="D51" s="163" t="s">
        <v>115</v>
      </c>
      <c r="E51" s="164">
        <v>6</v>
      </c>
      <c r="F51" s="165" t="s">
        <v>42</v>
      </c>
      <c r="G51" s="166">
        <v>10150000</v>
      </c>
      <c r="H51" s="164">
        <v>2</v>
      </c>
      <c r="I51" s="167">
        <v>0</v>
      </c>
      <c r="J51" s="164"/>
      <c r="K51" s="168"/>
      <c r="L51" s="169"/>
      <c r="M51" s="168"/>
      <c r="N51" s="170"/>
      <c r="O51" s="168">
        <v>0</v>
      </c>
      <c r="P51" s="169"/>
      <c r="Q51" s="168"/>
      <c r="R51" s="169"/>
      <c r="S51" s="168"/>
      <c r="T51" s="171"/>
      <c r="U51" s="171"/>
      <c r="V51" s="172"/>
      <c r="W51" s="173"/>
      <c r="X51" s="171"/>
      <c r="Y51" s="172"/>
      <c r="Z51" s="171">
        <f t="shared" si="14"/>
        <v>2</v>
      </c>
      <c r="AA51" s="173">
        <f t="shared" si="15"/>
        <v>0</v>
      </c>
      <c r="AB51" s="174"/>
      <c r="AC51" s="172" t="s">
        <v>32</v>
      </c>
      <c r="AD51" s="174"/>
      <c r="AE51" s="31"/>
      <c r="AF51" s="161">
        <v>0</v>
      </c>
      <c r="AH51" s="24"/>
    </row>
    <row r="52" spans="1:34" ht="110.25" x14ac:dyDescent="0.2">
      <c r="A52" s="11"/>
      <c r="B52" s="12"/>
      <c r="C52" s="109" t="s">
        <v>116</v>
      </c>
      <c r="D52" s="13" t="s">
        <v>117</v>
      </c>
      <c r="E52" s="59">
        <v>104021</v>
      </c>
      <c r="F52" s="15" t="s">
        <v>97</v>
      </c>
      <c r="G52" s="28">
        <f>SUM(G53:G55)</f>
        <v>521251800</v>
      </c>
      <c r="H52" s="59">
        <v>69021</v>
      </c>
      <c r="I52" s="28">
        <f>SUM(I53:I55)</f>
        <v>100483500</v>
      </c>
      <c r="J52" s="59">
        <v>84021</v>
      </c>
      <c r="K52" s="28">
        <f>SUM(K53:K54)</f>
        <v>925353800</v>
      </c>
      <c r="L52" s="59">
        <f>L53</f>
        <v>0</v>
      </c>
      <c r="M52" s="28">
        <f>SUM(M53:M54)</f>
        <v>1500000</v>
      </c>
      <c r="N52" s="59">
        <v>84021</v>
      </c>
      <c r="O52" s="28">
        <f>SUM(O53:O54)</f>
        <v>295144994</v>
      </c>
      <c r="P52" s="59"/>
      <c r="Q52" s="28">
        <f>Q53+Q54</f>
        <v>7100000</v>
      </c>
      <c r="R52" s="59">
        <v>7666</v>
      </c>
      <c r="S52" s="28">
        <f>S53+S54</f>
        <v>547610950</v>
      </c>
      <c r="T52" s="66">
        <f>SUM(L52,N52,P52,R52)</f>
        <v>91687</v>
      </c>
      <c r="U52" s="18">
        <f>Z52/J52*100</f>
        <v>191.27122981159474</v>
      </c>
      <c r="V52" s="19" t="s">
        <v>32</v>
      </c>
      <c r="W52" s="29">
        <f>SUM(M52,O52,Q52,S52)</f>
        <v>851355944</v>
      </c>
      <c r="X52" s="18">
        <f>W52/K52*100</f>
        <v>92.003290417135588</v>
      </c>
      <c r="Y52" s="19" t="s">
        <v>32</v>
      </c>
      <c r="Z52" s="66">
        <f t="shared" si="14"/>
        <v>160708</v>
      </c>
      <c r="AA52" s="29">
        <f t="shared" si="15"/>
        <v>951839444</v>
      </c>
      <c r="AB52" s="23"/>
      <c r="AC52" s="19" t="s">
        <v>32</v>
      </c>
      <c r="AD52" s="23"/>
      <c r="AE52" s="31"/>
      <c r="AF52" s="161">
        <v>376119500</v>
      </c>
      <c r="AH52" s="24"/>
    </row>
    <row r="53" spans="1:34" ht="90" x14ac:dyDescent="0.2">
      <c r="A53" s="11"/>
      <c r="B53" s="12"/>
      <c r="C53" s="33" t="s">
        <v>118</v>
      </c>
      <c r="D53" s="33" t="s">
        <v>119</v>
      </c>
      <c r="E53" s="80">
        <v>24.75</v>
      </c>
      <c r="F53" s="26" t="s">
        <v>120</v>
      </c>
      <c r="G53" s="36">
        <v>495726800</v>
      </c>
      <c r="H53" s="80">
        <v>14.25</v>
      </c>
      <c r="I53" s="36">
        <v>93974250</v>
      </c>
      <c r="J53" s="81">
        <v>9.5</v>
      </c>
      <c r="K53" s="36">
        <v>921353800</v>
      </c>
      <c r="L53" s="46">
        <v>0</v>
      </c>
      <c r="M53" s="36">
        <v>1500000</v>
      </c>
      <c r="N53" s="79" t="s">
        <v>121</v>
      </c>
      <c r="O53" s="36">
        <v>291144994</v>
      </c>
      <c r="P53" s="79">
        <v>0</v>
      </c>
      <c r="Q53" s="36">
        <v>7100000</v>
      </c>
      <c r="R53" s="79" t="s">
        <v>191</v>
      </c>
      <c r="S53" s="36">
        <v>547610950</v>
      </c>
      <c r="T53" s="198">
        <v>10.8</v>
      </c>
      <c r="U53" s="34">
        <f>T53/J53*100</f>
        <v>113.68421052631578</v>
      </c>
      <c r="V53" s="35" t="s">
        <v>32</v>
      </c>
      <c r="W53" s="36">
        <f>SUM(M53,O53,Q53,S53)</f>
        <v>847355944</v>
      </c>
      <c r="X53" s="34">
        <f>W53/K53*100</f>
        <v>91.968573201738565</v>
      </c>
      <c r="Y53" s="35" t="s">
        <v>32</v>
      </c>
      <c r="Z53" s="34">
        <f t="shared" si="14"/>
        <v>25.05</v>
      </c>
      <c r="AA53" s="36">
        <f t="shared" si="15"/>
        <v>941330194</v>
      </c>
      <c r="AB53" s="30"/>
      <c r="AC53" s="35" t="s">
        <v>32</v>
      </c>
      <c r="AD53" s="23"/>
      <c r="AE53" s="31"/>
      <c r="AF53" s="161">
        <v>2834000</v>
      </c>
      <c r="AH53" s="24"/>
    </row>
    <row r="54" spans="1:34" ht="105" x14ac:dyDescent="0.2">
      <c r="A54" s="11"/>
      <c r="B54" s="12"/>
      <c r="C54" s="32" t="s">
        <v>122</v>
      </c>
      <c r="D54" s="33" t="s">
        <v>123</v>
      </c>
      <c r="E54" s="83">
        <v>30</v>
      </c>
      <c r="F54" s="26" t="s">
        <v>120</v>
      </c>
      <c r="G54" s="70">
        <v>13000000</v>
      </c>
      <c r="H54" s="83">
        <v>10</v>
      </c>
      <c r="I54" s="71">
        <v>4000000</v>
      </c>
      <c r="J54" s="83">
        <v>10</v>
      </c>
      <c r="K54" s="27">
        <v>4000000</v>
      </c>
      <c r="L54" s="79">
        <v>0</v>
      </c>
      <c r="M54" s="27">
        <v>0</v>
      </c>
      <c r="N54" s="79">
        <v>10</v>
      </c>
      <c r="O54" s="27">
        <v>4000000</v>
      </c>
      <c r="P54" s="79">
        <v>0</v>
      </c>
      <c r="Q54" s="27">
        <v>0</v>
      </c>
      <c r="R54" s="79"/>
      <c r="S54" s="27">
        <v>0</v>
      </c>
      <c r="T54" s="82">
        <f>SUM(L54,N54,P54,R54)</f>
        <v>10</v>
      </c>
      <c r="U54" s="34">
        <f>T54/J54*100</f>
        <v>100</v>
      </c>
      <c r="V54" s="35" t="s">
        <v>32</v>
      </c>
      <c r="W54" s="36">
        <f>SUM(M54,O54,Q54,S54)</f>
        <v>4000000</v>
      </c>
      <c r="X54" s="34">
        <f>W54/K54*100</f>
        <v>100</v>
      </c>
      <c r="Y54" s="35" t="s">
        <v>32</v>
      </c>
      <c r="Z54" s="82">
        <f t="shared" si="14"/>
        <v>20</v>
      </c>
      <c r="AA54" s="36">
        <f t="shared" si="15"/>
        <v>8000000</v>
      </c>
      <c r="AB54" s="30"/>
      <c r="AC54" s="35" t="s">
        <v>32</v>
      </c>
      <c r="AD54" s="30"/>
      <c r="AE54" s="31"/>
      <c r="AF54" s="161">
        <v>372147000</v>
      </c>
      <c r="AH54" s="24"/>
    </row>
    <row r="55" spans="1:34" ht="135" x14ac:dyDescent="0.2">
      <c r="A55" s="11"/>
      <c r="B55" s="12"/>
      <c r="C55" s="162" t="s">
        <v>124</v>
      </c>
      <c r="D55" s="163" t="s">
        <v>125</v>
      </c>
      <c r="E55" s="169">
        <v>6</v>
      </c>
      <c r="F55" s="175" t="s">
        <v>42</v>
      </c>
      <c r="G55" s="166">
        <v>12525000</v>
      </c>
      <c r="H55" s="176">
        <v>4</v>
      </c>
      <c r="I55" s="167">
        <v>2509250</v>
      </c>
      <c r="J55" s="169"/>
      <c r="K55" s="168"/>
      <c r="L55" s="169"/>
      <c r="M55" s="168"/>
      <c r="N55" s="169"/>
      <c r="O55" s="168"/>
      <c r="P55" s="169"/>
      <c r="Q55" s="168"/>
      <c r="R55" s="169"/>
      <c r="S55" s="168"/>
      <c r="T55" s="171"/>
      <c r="U55" s="171"/>
      <c r="V55" s="172"/>
      <c r="W55" s="173"/>
      <c r="X55" s="171"/>
      <c r="Y55" s="172"/>
      <c r="Z55" s="171">
        <f t="shared" si="14"/>
        <v>4</v>
      </c>
      <c r="AA55" s="173">
        <f t="shared" si="15"/>
        <v>2509250</v>
      </c>
      <c r="AB55" s="174"/>
      <c r="AC55" s="172" t="s">
        <v>32</v>
      </c>
      <c r="AD55" s="174"/>
      <c r="AE55" s="177"/>
      <c r="AF55" s="161">
        <v>1138500</v>
      </c>
      <c r="AH55" s="24"/>
    </row>
    <row r="56" spans="1:34" ht="173.25" x14ac:dyDescent="0.2">
      <c r="A56" s="11"/>
      <c r="B56" s="12"/>
      <c r="C56" s="108" t="s">
        <v>126</v>
      </c>
      <c r="D56" s="13" t="s">
        <v>127</v>
      </c>
      <c r="E56" s="14">
        <v>740</v>
      </c>
      <c r="F56" s="15" t="s">
        <v>128</v>
      </c>
      <c r="G56" s="16">
        <f>SUM(G58:G60)</f>
        <v>784205000</v>
      </c>
      <c r="H56" s="63">
        <v>859</v>
      </c>
      <c r="I56" s="16">
        <f>SUM(I58:I60)</f>
        <v>799012410</v>
      </c>
      <c r="J56" s="14">
        <v>680</v>
      </c>
      <c r="K56" s="16">
        <f>SUM(K58:K60)</f>
        <v>916196200</v>
      </c>
      <c r="L56" s="74">
        <v>170</v>
      </c>
      <c r="M56" s="16">
        <f>SUM(M58:M60)</f>
        <v>8741000</v>
      </c>
      <c r="N56" s="74">
        <v>170</v>
      </c>
      <c r="O56" s="16">
        <f>SUM(O58:O60)</f>
        <v>271157000</v>
      </c>
      <c r="P56" s="74">
        <v>170</v>
      </c>
      <c r="Q56" s="16">
        <f>Q58+Q59+Q60</f>
        <v>195146000</v>
      </c>
      <c r="R56" s="74">
        <v>170</v>
      </c>
      <c r="S56" s="16"/>
      <c r="T56" s="23">
        <f>SUM(L56,N56,P56,R56)</f>
        <v>680</v>
      </c>
      <c r="U56" s="23">
        <f>T56/J56*100</f>
        <v>100</v>
      </c>
      <c r="V56" s="19" t="s">
        <v>32</v>
      </c>
      <c r="W56" s="77">
        <f>SUM(M56,O56,Q56,S56)</f>
        <v>475044000</v>
      </c>
      <c r="X56" s="21">
        <f>W56/K56*100</f>
        <v>51.84959291470539</v>
      </c>
      <c r="Y56" s="22" t="s">
        <v>32</v>
      </c>
      <c r="Z56" s="18">
        <f t="shared" si="14"/>
        <v>1539</v>
      </c>
      <c r="AA56" s="77">
        <f t="shared" si="15"/>
        <v>1274056410</v>
      </c>
      <c r="AB56" s="23"/>
      <c r="AC56" s="19" t="s">
        <v>32</v>
      </c>
      <c r="AD56" s="51"/>
      <c r="AE56" s="31"/>
      <c r="AF56" s="161">
        <v>0</v>
      </c>
      <c r="AH56" s="24"/>
    </row>
    <row r="57" spans="1:34" ht="31.5" x14ac:dyDescent="0.2">
      <c r="A57" s="11"/>
      <c r="B57" s="12"/>
      <c r="C57" s="109"/>
      <c r="D57" s="13" t="s">
        <v>129</v>
      </c>
      <c r="E57" s="14">
        <v>86.17</v>
      </c>
      <c r="F57" s="15" t="s">
        <v>94</v>
      </c>
      <c r="G57" s="60"/>
      <c r="H57" s="74">
        <v>89.91</v>
      </c>
      <c r="I57" s="62"/>
      <c r="J57" s="14">
        <v>85.32</v>
      </c>
      <c r="K57" s="40"/>
      <c r="L57" s="74">
        <v>0</v>
      </c>
      <c r="M57" s="40"/>
      <c r="N57" s="74">
        <v>0</v>
      </c>
      <c r="O57" s="40"/>
      <c r="P57" s="74"/>
      <c r="Q57" s="40"/>
      <c r="R57" s="74" t="s">
        <v>188</v>
      </c>
      <c r="S57" s="40"/>
      <c r="T57" s="23">
        <v>96.38</v>
      </c>
      <c r="U57" s="23">
        <f>T57/J57*100</f>
        <v>112.96296296296298</v>
      </c>
      <c r="V57" s="19" t="s">
        <v>32</v>
      </c>
      <c r="W57" s="65"/>
      <c r="X57" s="56"/>
      <c r="Y57" s="57"/>
      <c r="Z57" s="23">
        <f t="shared" si="14"/>
        <v>186.29</v>
      </c>
      <c r="AA57" s="65"/>
      <c r="AB57" s="23"/>
      <c r="AC57" s="19" t="s">
        <v>32</v>
      </c>
      <c r="AD57" s="67"/>
      <c r="AE57" s="31"/>
      <c r="AF57" s="161">
        <v>0</v>
      </c>
      <c r="AH57" s="24"/>
    </row>
    <row r="58" spans="1:34" ht="120" x14ac:dyDescent="0.2">
      <c r="A58" s="11"/>
      <c r="B58" s="12"/>
      <c r="C58" s="69" t="s">
        <v>130</v>
      </c>
      <c r="D58" s="33" t="s">
        <v>131</v>
      </c>
      <c r="E58" s="46">
        <v>12</v>
      </c>
      <c r="F58" s="26" t="s">
        <v>37</v>
      </c>
      <c r="G58" s="70"/>
      <c r="H58" s="46">
        <v>4</v>
      </c>
      <c r="I58" s="71"/>
      <c r="J58" s="46">
        <v>4</v>
      </c>
      <c r="K58" s="27">
        <v>6940000</v>
      </c>
      <c r="L58" s="46">
        <v>1</v>
      </c>
      <c r="M58" s="84">
        <v>111000</v>
      </c>
      <c r="N58" s="46">
        <v>1</v>
      </c>
      <c r="O58" s="27">
        <v>0</v>
      </c>
      <c r="P58" s="46">
        <v>1</v>
      </c>
      <c r="Q58" s="27">
        <v>2995000</v>
      </c>
      <c r="R58" s="46">
        <v>1</v>
      </c>
      <c r="S58" s="27">
        <v>2834000</v>
      </c>
      <c r="T58" s="34">
        <f>SUM(L58,N58,P58,R58)</f>
        <v>4</v>
      </c>
      <c r="U58" s="30">
        <f>T58/J58*100</f>
        <v>100</v>
      </c>
      <c r="V58" s="35" t="s">
        <v>32</v>
      </c>
      <c r="W58" s="36">
        <f>SUM(M58,O58,Q58,S58)</f>
        <v>5940000</v>
      </c>
      <c r="X58" s="30">
        <f>W58/K58*100</f>
        <v>85.590778097982707</v>
      </c>
      <c r="Y58" s="35" t="s">
        <v>32</v>
      </c>
      <c r="Z58" s="34">
        <f t="shared" si="14"/>
        <v>8</v>
      </c>
      <c r="AA58" s="36">
        <f t="shared" ref="AA58:AA65" si="16">SUM(I58,W58)</f>
        <v>5940000</v>
      </c>
      <c r="AB58" s="30"/>
      <c r="AC58" s="35" t="s">
        <v>32</v>
      </c>
      <c r="AD58" s="30"/>
      <c r="AE58" s="31"/>
      <c r="AF58" s="161">
        <v>0</v>
      </c>
      <c r="AH58" s="24"/>
    </row>
    <row r="59" spans="1:34" ht="180" x14ac:dyDescent="0.2">
      <c r="A59" s="11"/>
      <c r="B59" s="12"/>
      <c r="C59" s="69" t="s">
        <v>132</v>
      </c>
      <c r="D59" s="33" t="s">
        <v>133</v>
      </c>
      <c r="E59" s="46">
        <v>11</v>
      </c>
      <c r="F59" s="26" t="s">
        <v>42</v>
      </c>
      <c r="G59" s="70">
        <v>765380000</v>
      </c>
      <c r="H59" s="46">
        <v>11</v>
      </c>
      <c r="I59" s="71">
        <v>792737410</v>
      </c>
      <c r="J59" s="46">
        <v>7</v>
      </c>
      <c r="K59" s="27">
        <v>903437200</v>
      </c>
      <c r="L59" s="46">
        <v>0</v>
      </c>
      <c r="M59" s="27">
        <v>8630000</v>
      </c>
      <c r="N59" s="46">
        <v>4</v>
      </c>
      <c r="O59" s="27">
        <v>267725000</v>
      </c>
      <c r="P59" s="46">
        <v>2</v>
      </c>
      <c r="Q59" s="27">
        <v>191102500</v>
      </c>
      <c r="R59" s="46">
        <v>1</v>
      </c>
      <c r="S59" s="27">
        <v>372147000</v>
      </c>
      <c r="T59" s="34">
        <f>SUM(L59,N59,P59,R59)</f>
        <v>7</v>
      </c>
      <c r="U59" s="30">
        <f>T59/J59*100</f>
        <v>100</v>
      </c>
      <c r="V59" s="35" t="s">
        <v>32</v>
      </c>
      <c r="W59" s="36">
        <f>SUM(M59,O59,Q59,S59)</f>
        <v>839604500</v>
      </c>
      <c r="X59" s="30">
        <f>W59/K59*100</f>
        <v>92.934461853020892</v>
      </c>
      <c r="Y59" s="35" t="s">
        <v>32</v>
      </c>
      <c r="Z59" s="34">
        <f t="shared" si="14"/>
        <v>18</v>
      </c>
      <c r="AA59" s="36">
        <f t="shared" si="16"/>
        <v>1632341910</v>
      </c>
      <c r="AB59" s="30"/>
      <c r="AC59" s="35" t="s">
        <v>32</v>
      </c>
      <c r="AD59" s="30"/>
      <c r="AE59" s="31"/>
      <c r="AF59" s="161">
        <v>4869900</v>
      </c>
      <c r="AH59" s="24"/>
    </row>
    <row r="60" spans="1:34" ht="135" x14ac:dyDescent="0.2">
      <c r="A60" s="11"/>
      <c r="B60" s="12"/>
      <c r="C60" s="33" t="s">
        <v>134</v>
      </c>
      <c r="D60" s="33" t="s">
        <v>135</v>
      </c>
      <c r="E60" s="46">
        <v>12</v>
      </c>
      <c r="F60" s="26" t="s">
        <v>42</v>
      </c>
      <c r="G60" s="36">
        <v>18825000</v>
      </c>
      <c r="H60" s="46">
        <v>6</v>
      </c>
      <c r="I60" s="36">
        <v>6275000</v>
      </c>
      <c r="J60" s="46">
        <v>4</v>
      </c>
      <c r="K60" s="36">
        <v>5819000</v>
      </c>
      <c r="L60" s="46">
        <v>1</v>
      </c>
      <c r="M60" s="36">
        <v>0</v>
      </c>
      <c r="N60" s="25">
        <v>1</v>
      </c>
      <c r="O60" s="36">
        <v>3432000</v>
      </c>
      <c r="P60" s="25">
        <v>1</v>
      </c>
      <c r="Q60" s="36">
        <v>1048500</v>
      </c>
      <c r="R60" s="25">
        <v>1</v>
      </c>
      <c r="S60" s="36">
        <v>1138500</v>
      </c>
      <c r="T60" s="34">
        <f>SUM(L60,N60,P60,R60)</f>
        <v>4</v>
      </c>
      <c r="U60" s="30">
        <f>T60/J60*100</f>
        <v>100</v>
      </c>
      <c r="V60" s="35" t="s">
        <v>32</v>
      </c>
      <c r="W60" s="36">
        <f>SUM(M60,O60,Q60,S60)</f>
        <v>5619000</v>
      </c>
      <c r="X60" s="30">
        <f>W60/K60*100</f>
        <v>96.562983330469152</v>
      </c>
      <c r="Y60" s="35" t="s">
        <v>32</v>
      </c>
      <c r="Z60" s="34">
        <f t="shared" si="14"/>
        <v>10</v>
      </c>
      <c r="AA60" s="36">
        <f t="shared" si="16"/>
        <v>11894000</v>
      </c>
      <c r="AB60" s="30"/>
      <c r="AC60" s="35" t="s">
        <v>32</v>
      </c>
      <c r="AD60" s="23"/>
      <c r="AE60" s="31"/>
      <c r="AF60" s="161">
        <v>4869900</v>
      </c>
      <c r="AH60" s="24"/>
    </row>
    <row r="61" spans="1:34" ht="78.75" x14ac:dyDescent="0.2">
      <c r="A61" s="11"/>
      <c r="B61" s="12"/>
      <c r="C61" s="178" t="s">
        <v>136</v>
      </c>
      <c r="D61" s="178" t="s">
        <v>137</v>
      </c>
      <c r="E61" s="179">
        <v>2.7</v>
      </c>
      <c r="F61" s="180" t="s">
        <v>32</v>
      </c>
      <c r="G61" s="181">
        <f>G62</f>
        <v>8475000</v>
      </c>
      <c r="H61" s="182">
        <v>3.38</v>
      </c>
      <c r="I61" s="181">
        <f>I62</f>
        <v>2825000</v>
      </c>
      <c r="J61" s="183"/>
      <c r="K61" s="181"/>
      <c r="L61" s="184"/>
      <c r="M61" s="181"/>
      <c r="N61" s="184"/>
      <c r="O61" s="181"/>
      <c r="P61" s="184"/>
      <c r="Q61" s="181"/>
      <c r="R61" s="184"/>
      <c r="S61" s="181"/>
      <c r="T61" s="185"/>
      <c r="U61" s="185"/>
      <c r="V61" s="186"/>
      <c r="W61" s="181"/>
      <c r="X61" s="185"/>
      <c r="Y61" s="186"/>
      <c r="Z61" s="185">
        <f t="shared" si="14"/>
        <v>3.38</v>
      </c>
      <c r="AA61" s="181">
        <f t="shared" si="16"/>
        <v>2825000</v>
      </c>
      <c r="AB61" s="185">
        <f>(E61-(H61-E61))/E61*100</f>
        <v>74.814814814814824</v>
      </c>
      <c r="AC61" s="186" t="s">
        <v>32</v>
      </c>
      <c r="AD61" s="181"/>
      <c r="AE61" s="177"/>
      <c r="AF61" s="161">
        <v>0</v>
      </c>
      <c r="AH61" s="24"/>
    </row>
    <row r="62" spans="1:34" ht="110.25" x14ac:dyDescent="0.2">
      <c r="A62" s="11"/>
      <c r="B62" s="12"/>
      <c r="C62" s="178" t="s">
        <v>138</v>
      </c>
      <c r="D62" s="187" t="s">
        <v>139</v>
      </c>
      <c r="E62" s="188">
        <v>6</v>
      </c>
      <c r="F62" s="189" t="s">
        <v>42</v>
      </c>
      <c r="G62" s="190">
        <f>G63</f>
        <v>8475000</v>
      </c>
      <c r="H62" s="191">
        <v>5</v>
      </c>
      <c r="I62" s="190">
        <f>I63</f>
        <v>2825000</v>
      </c>
      <c r="J62" s="188"/>
      <c r="K62" s="192"/>
      <c r="L62" s="188"/>
      <c r="M62" s="192"/>
      <c r="N62" s="188"/>
      <c r="O62" s="192"/>
      <c r="P62" s="188"/>
      <c r="Q62" s="192"/>
      <c r="R62" s="188"/>
      <c r="S62" s="192"/>
      <c r="T62" s="193"/>
      <c r="U62" s="194"/>
      <c r="V62" s="195"/>
      <c r="W62" s="196"/>
      <c r="X62" s="193"/>
      <c r="Y62" s="195"/>
      <c r="Z62" s="193">
        <f t="shared" si="14"/>
        <v>5</v>
      </c>
      <c r="AA62" s="196">
        <f t="shared" si="16"/>
        <v>2825000</v>
      </c>
      <c r="AB62" s="194">
        <f>H62/E62*100</f>
        <v>83.333333333333343</v>
      </c>
      <c r="AC62" s="195" t="s">
        <v>32</v>
      </c>
      <c r="AD62" s="174"/>
      <c r="AE62" s="177"/>
      <c r="AF62" s="161">
        <v>240000</v>
      </c>
      <c r="AH62" s="24"/>
    </row>
    <row r="63" spans="1:34" ht="120" x14ac:dyDescent="0.2">
      <c r="A63" s="11"/>
      <c r="B63" s="12"/>
      <c r="C63" s="162" t="s">
        <v>140</v>
      </c>
      <c r="D63" s="163" t="s">
        <v>141</v>
      </c>
      <c r="E63" s="164">
        <v>6</v>
      </c>
      <c r="F63" s="165" t="s">
        <v>37</v>
      </c>
      <c r="G63" s="166">
        <v>8475000</v>
      </c>
      <c r="H63" s="164">
        <v>5</v>
      </c>
      <c r="I63" s="167">
        <v>2825000</v>
      </c>
      <c r="J63" s="164"/>
      <c r="K63" s="168"/>
      <c r="L63" s="169"/>
      <c r="M63" s="168"/>
      <c r="N63" s="169"/>
      <c r="O63" s="168"/>
      <c r="P63" s="169"/>
      <c r="Q63" s="168"/>
      <c r="R63" s="169"/>
      <c r="S63" s="168"/>
      <c r="T63" s="171"/>
      <c r="U63" s="174"/>
      <c r="V63" s="172"/>
      <c r="W63" s="173"/>
      <c r="X63" s="171"/>
      <c r="Y63" s="172"/>
      <c r="Z63" s="171">
        <f t="shared" si="14"/>
        <v>5</v>
      </c>
      <c r="AA63" s="173">
        <f t="shared" si="16"/>
        <v>2825000</v>
      </c>
      <c r="AB63" s="174"/>
      <c r="AC63" s="172" t="s">
        <v>32</v>
      </c>
      <c r="AD63" s="174"/>
      <c r="AE63" s="177"/>
      <c r="AF63" s="161">
        <v>3829900</v>
      </c>
      <c r="AH63" s="24"/>
    </row>
    <row r="64" spans="1:34" ht="110.25" x14ac:dyDescent="0.2">
      <c r="A64" s="11"/>
      <c r="B64" s="12"/>
      <c r="C64" s="109" t="s">
        <v>142</v>
      </c>
      <c r="D64" s="13" t="s">
        <v>143</v>
      </c>
      <c r="E64" s="14">
        <v>100</v>
      </c>
      <c r="F64" s="15" t="s">
        <v>32</v>
      </c>
      <c r="G64" s="28">
        <f>SUM(G65)</f>
        <v>103192500</v>
      </c>
      <c r="H64" s="63">
        <v>100</v>
      </c>
      <c r="I64" s="28">
        <f>SUM(I65)</f>
        <v>33152900</v>
      </c>
      <c r="J64" s="63">
        <v>100</v>
      </c>
      <c r="K64" s="28">
        <f>SUM(K65)</f>
        <v>30389900</v>
      </c>
      <c r="L64" s="14">
        <v>100</v>
      </c>
      <c r="M64" s="28">
        <f>SUM(M65)</f>
        <v>0</v>
      </c>
      <c r="N64" s="14">
        <v>100</v>
      </c>
      <c r="O64" s="28">
        <f>SUM(O65)</f>
        <v>24025000</v>
      </c>
      <c r="P64" s="14">
        <v>100</v>
      </c>
      <c r="Q64" s="28">
        <f>Q65</f>
        <v>1300000</v>
      </c>
      <c r="R64" s="74">
        <v>100</v>
      </c>
      <c r="S64" s="28">
        <f>S65</f>
        <v>4869900</v>
      </c>
      <c r="T64" s="18">
        <f>AVERAGE(L64,N64,P64,R64)</f>
        <v>100</v>
      </c>
      <c r="U64" s="18">
        <f t="shared" ref="U64:U70" si="17">T64/J64*100</f>
        <v>100</v>
      </c>
      <c r="V64" s="19" t="s">
        <v>32</v>
      </c>
      <c r="W64" s="29">
        <f>SUM(M64,O64,Q64,S64)</f>
        <v>30194900</v>
      </c>
      <c r="X64" s="23">
        <f>W64/K64*100</f>
        <v>99.358339448303539</v>
      </c>
      <c r="Y64" s="19" t="s">
        <v>32</v>
      </c>
      <c r="Z64" s="18">
        <f t="shared" si="14"/>
        <v>200</v>
      </c>
      <c r="AA64" s="29">
        <f t="shared" si="16"/>
        <v>63347800</v>
      </c>
      <c r="AB64" s="23"/>
      <c r="AC64" s="19" t="s">
        <v>32</v>
      </c>
      <c r="AD64" s="23"/>
      <c r="AE64" s="31"/>
      <c r="AF64" s="161">
        <v>800000</v>
      </c>
      <c r="AH64" s="24"/>
    </row>
    <row r="65" spans="1:34" ht="110.25" x14ac:dyDescent="0.2">
      <c r="A65" s="11"/>
      <c r="B65" s="12"/>
      <c r="C65" s="108" t="s">
        <v>144</v>
      </c>
      <c r="D65" s="13" t="s">
        <v>145</v>
      </c>
      <c r="E65" s="14">
        <f>11*3</f>
        <v>33</v>
      </c>
      <c r="F65" s="85" t="s">
        <v>146</v>
      </c>
      <c r="G65" s="16">
        <f>SUM(G67:G70)</f>
        <v>103192500</v>
      </c>
      <c r="H65" s="63">
        <v>11</v>
      </c>
      <c r="I65" s="16">
        <f>SUM(I67:I70)</f>
        <v>33152900</v>
      </c>
      <c r="J65" s="63">
        <v>11</v>
      </c>
      <c r="K65" s="16">
        <f>SUM(K67:K70)</f>
        <v>30389900</v>
      </c>
      <c r="L65" s="14">
        <v>0</v>
      </c>
      <c r="M65" s="16">
        <f>SUM(M67:M70)</f>
        <v>0</v>
      </c>
      <c r="N65" s="14">
        <v>8</v>
      </c>
      <c r="O65" s="40">
        <f>O67+O68+O69+O70</f>
        <v>24025000</v>
      </c>
      <c r="P65" s="14">
        <v>2</v>
      </c>
      <c r="Q65" s="16">
        <f>Q67+Q68+Q69+Q70</f>
        <v>1300000</v>
      </c>
      <c r="R65" s="14">
        <v>1</v>
      </c>
      <c r="S65" s="16">
        <f>S67+S68+S69+S70</f>
        <v>4869900</v>
      </c>
      <c r="T65" s="18">
        <f t="shared" ref="T64:T70" si="18">SUM(L65,N65,P65,R65)</f>
        <v>11</v>
      </c>
      <c r="U65" s="18">
        <f t="shared" si="17"/>
        <v>100</v>
      </c>
      <c r="V65" s="19" t="s">
        <v>32</v>
      </c>
      <c r="W65" s="77">
        <f t="shared" ref="W65" si="19">SUM(M65,O65,Q65,S65)</f>
        <v>30194900</v>
      </c>
      <c r="X65" s="21">
        <f t="shared" ref="X65" si="20">W65/K65*100</f>
        <v>99.358339448303539</v>
      </c>
      <c r="Y65" s="22" t="s">
        <v>32</v>
      </c>
      <c r="Z65" s="18">
        <f t="shared" si="14"/>
        <v>22</v>
      </c>
      <c r="AA65" s="77">
        <f t="shared" si="16"/>
        <v>63347800</v>
      </c>
      <c r="AB65" s="23"/>
      <c r="AC65" s="19" t="s">
        <v>32</v>
      </c>
      <c r="AD65" s="21"/>
      <c r="AE65" s="31"/>
      <c r="AH65" s="24"/>
    </row>
    <row r="66" spans="1:34" ht="63" x14ac:dyDescent="0.2">
      <c r="A66" s="11"/>
      <c r="B66" s="12"/>
      <c r="C66" s="109"/>
      <c r="D66" s="13" t="s">
        <v>147</v>
      </c>
      <c r="E66" s="14">
        <v>14</v>
      </c>
      <c r="F66" s="85" t="s">
        <v>148</v>
      </c>
      <c r="G66" s="60"/>
      <c r="H66" s="63">
        <v>25</v>
      </c>
      <c r="I66" s="62"/>
      <c r="J66" s="63">
        <v>14</v>
      </c>
      <c r="K66" s="40"/>
      <c r="L66" s="14">
        <v>0</v>
      </c>
      <c r="M66" s="40"/>
      <c r="N66" s="14">
        <v>4</v>
      </c>
      <c r="P66" s="14">
        <v>8</v>
      </c>
      <c r="Q66" s="40"/>
      <c r="R66" s="14">
        <v>2</v>
      </c>
      <c r="S66" s="40"/>
      <c r="T66" s="18">
        <f t="shared" si="18"/>
        <v>14</v>
      </c>
      <c r="U66" s="18">
        <f t="shared" si="17"/>
        <v>100</v>
      </c>
      <c r="V66" s="19" t="s">
        <v>32</v>
      </c>
      <c r="W66" s="65"/>
      <c r="X66" s="56"/>
      <c r="Y66" s="57"/>
      <c r="Z66" s="18">
        <f t="shared" si="14"/>
        <v>39</v>
      </c>
      <c r="AA66" s="65"/>
      <c r="AB66" s="23"/>
      <c r="AC66" s="19" t="s">
        <v>32</v>
      </c>
      <c r="AD66" s="56"/>
      <c r="AE66" s="31"/>
      <c r="AH66" s="24"/>
    </row>
    <row r="67" spans="1:34" ht="120" x14ac:dyDescent="0.2">
      <c r="A67" s="11"/>
      <c r="B67" s="12"/>
      <c r="C67" s="69" t="s">
        <v>149</v>
      </c>
      <c r="D67" s="33" t="s">
        <v>150</v>
      </c>
      <c r="E67" s="86">
        <v>3</v>
      </c>
      <c r="F67" s="78" t="s">
        <v>37</v>
      </c>
      <c r="G67" s="70"/>
      <c r="H67" s="86">
        <v>1</v>
      </c>
      <c r="I67" s="71"/>
      <c r="J67" s="86">
        <v>1</v>
      </c>
      <c r="K67" s="27">
        <v>8720000</v>
      </c>
      <c r="L67" s="25">
        <v>0</v>
      </c>
      <c r="N67" s="86">
        <v>1</v>
      </c>
      <c r="O67" s="27">
        <v>8525000</v>
      </c>
      <c r="P67" s="86">
        <v>0</v>
      </c>
      <c r="Q67" s="27">
        <v>0</v>
      </c>
      <c r="R67" s="86">
        <v>0</v>
      </c>
      <c r="S67" s="27">
        <v>0</v>
      </c>
      <c r="T67" s="82">
        <f t="shared" si="18"/>
        <v>1</v>
      </c>
      <c r="U67" s="34">
        <f t="shared" si="17"/>
        <v>100</v>
      </c>
      <c r="V67" s="35" t="s">
        <v>32</v>
      </c>
      <c r="W67" s="36">
        <f t="shared" ref="W67:W70" si="21">SUM(M67,O67,Q67,S67)</f>
        <v>8525000</v>
      </c>
      <c r="X67" s="30">
        <f t="shared" ref="X67:X70" si="22">W67/K67*100</f>
        <v>97.763761467889907</v>
      </c>
      <c r="Y67" s="35" t="s">
        <v>32</v>
      </c>
      <c r="Z67" s="34">
        <f t="shared" si="14"/>
        <v>2</v>
      </c>
      <c r="AA67" s="36">
        <f>SUM(I67,W67)</f>
        <v>8525000</v>
      </c>
      <c r="AB67" s="30"/>
      <c r="AC67" s="35" t="s">
        <v>32</v>
      </c>
      <c r="AD67" s="30"/>
      <c r="AE67" s="31"/>
      <c r="AH67" s="24"/>
    </row>
    <row r="68" spans="1:34" ht="135" x14ac:dyDescent="0.2">
      <c r="A68" s="11"/>
      <c r="B68" s="12"/>
      <c r="C68" s="69" t="s">
        <v>151</v>
      </c>
      <c r="D68" s="33" t="s">
        <v>152</v>
      </c>
      <c r="E68" s="86">
        <v>3</v>
      </c>
      <c r="F68" s="78" t="s">
        <v>37</v>
      </c>
      <c r="G68" s="70">
        <v>12150000</v>
      </c>
      <c r="H68" s="86">
        <v>1</v>
      </c>
      <c r="I68" s="71">
        <v>3400000</v>
      </c>
      <c r="J68" s="86">
        <v>1</v>
      </c>
      <c r="K68" s="27">
        <v>3240000</v>
      </c>
      <c r="L68" s="25">
        <v>0</v>
      </c>
      <c r="N68" s="86">
        <v>1</v>
      </c>
      <c r="O68" s="27">
        <v>3000000</v>
      </c>
      <c r="P68" s="86">
        <v>0</v>
      </c>
      <c r="Q68" s="27">
        <v>0</v>
      </c>
      <c r="R68" s="86">
        <v>0</v>
      </c>
      <c r="S68" s="27">
        <v>240000</v>
      </c>
      <c r="T68" s="82">
        <f t="shared" si="18"/>
        <v>1</v>
      </c>
      <c r="U68" s="34">
        <f t="shared" si="17"/>
        <v>100</v>
      </c>
      <c r="V68" s="35" t="s">
        <v>32</v>
      </c>
      <c r="W68" s="36">
        <f t="shared" si="21"/>
        <v>3240000</v>
      </c>
      <c r="X68" s="30">
        <f t="shared" si="22"/>
        <v>100</v>
      </c>
      <c r="Y68" s="35" t="s">
        <v>32</v>
      </c>
      <c r="Z68" s="34">
        <f t="shared" si="14"/>
        <v>2</v>
      </c>
      <c r="AA68" s="36">
        <f>SUM(I68,W68)</f>
        <v>6640000</v>
      </c>
      <c r="AB68" s="30"/>
      <c r="AC68" s="35" t="s">
        <v>32</v>
      </c>
      <c r="AD68" s="30"/>
      <c r="AE68" s="31"/>
      <c r="AH68" s="24"/>
    </row>
    <row r="69" spans="1:34" ht="135" x14ac:dyDescent="0.2">
      <c r="A69" s="11"/>
      <c r="B69" s="12"/>
      <c r="C69" s="33" t="s">
        <v>153</v>
      </c>
      <c r="D69" s="33" t="s">
        <v>154</v>
      </c>
      <c r="E69" s="46">
        <v>3</v>
      </c>
      <c r="F69" s="78" t="s">
        <v>37</v>
      </c>
      <c r="G69" s="36">
        <v>14542500</v>
      </c>
      <c r="H69" s="46">
        <v>1</v>
      </c>
      <c r="I69" s="36">
        <v>4847500</v>
      </c>
      <c r="J69" s="46">
        <v>1</v>
      </c>
      <c r="K69" s="36">
        <v>3829900</v>
      </c>
      <c r="L69" s="46">
        <v>0</v>
      </c>
      <c r="N69" s="25">
        <v>0</v>
      </c>
      <c r="O69" s="36">
        <v>0</v>
      </c>
      <c r="P69" s="25">
        <v>0</v>
      </c>
      <c r="Q69" s="36">
        <v>0</v>
      </c>
      <c r="R69" s="25">
        <v>1</v>
      </c>
      <c r="S69" s="36">
        <v>3829900</v>
      </c>
      <c r="T69" s="34">
        <f t="shared" si="18"/>
        <v>1</v>
      </c>
      <c r="U69" s="30">
        <f t="shared" si="17"/>
        <v>100</v>
      </c>
      <c r="V69" s="35" t="s">
        <v>32</v>
      </c>
      <c r="W69" s="36">
        <f t="shared" si="21"/>
        <v>3829900</v>
      </c>
      <c r="X69" s="34">
        <f t="shared" si="22"/>
        <v>100</v>
      </c>
      <c r="Y69" s="35" t="s">
        <v>32</v>
      </c>
      <c r="Z69" s="34">
        <f t="shared" si="14"/>
        <v>2</v>
      </c>
      <c r="AA69" s="36">
        <f>SUM(I69,W69)</f>
        <v>8677400</v>
      </c>
      <c r="AB69" s="30"/>
      <c r="AC69" s="35" t="s">
        <v>32</v>
      </c>
      <c r="AD69" s="23"/>
      <c r="AE69" s="31"/>
      <c r="AH69" s="24"/>
    </row>
    <row r="70" spans="1:34" ht="180" x14ac:dyDescent="0.2">
      <c r="A70" s="11"/>
      <c r="B70" s="12"/>
      <c r="C70" s="32" t="s">
        <v>155</v>
      </c>
      <c r="D70" s="33" t="s">
        <v>156</v>
      </c>
      <c r="E70" s="25">
        <v>3</v>
      </c>
      <c r="F70" s="26" t="s">
        <v>37</v>
      </c>
      <c r="G70" s="70">
        <v>76500000</v>
      </c>
      <c r="H70" s="46">
        <v>1</v>
      </c>
      <c r="I70" s="71">
        <v>24905400</v>
      </c>
      <c r="J70" s="25">
        <v>1</v>
      </c>
      <c r="K70" s="27">
        <v>14600000</v>
      </c>
      <c r="L70" s="25">
        <v>0</v>
      </c>
      <c r="N70" s="25">
        <v>1</v>
      </c>
      <c r="O70" s="27">
        <v>12500000</v>
      </c>
      <c r="P70" s="25">
        <v>0</v>
      </c>
      <c r="Q70" s="27">
        <v>1300000</v>
      </c>
      <c r="R70" s="25">
        <v>0</v>
      </c>
      <c r="S70" s="27">
        <v>800000</v>
      </c>
      <c r="T70" s="34">
        <f t="shared" si="18"/>
        <v>1</v>
      </c>
      <c r="U70" s="30">
        <f t="shared" si="17"/>
        <v>100</v>
      </c>
      <c r="V70" s="35" t="s">
        <v>32</v>
      </c>
      <c r="W70" s="36">
        <f t="shared" si="21"/>
        <v>14600000</v>
      </c>
      <c r="X70" s="30">
        <f t="shared" si="22"/>
        <v>100</v>
      </c>
      <c r="Y70" s="35" t="s">
        <v>32</v>
      </c>
      <c r="Z70" s="34">
        <f t="shared" si="14"/>
        <v>2</v>
      </c>
      <c r="AA70" s="36">
        <f>SUM(I70,W70)</f>
        <v>39505400</v>
      </c>
      <c r="AB70" s="30"/>
      <c r="AC70" s="35" t="s">
        <v>32</v>
      </c>
      <c r="AD70" s="30"/>
      <c r="AE70" s="31"/>
      <c r="AH70" s="24"/>
    </row>
    <row r="71" spans="1:34" ht="15" x14ac:dyDescent="0.2">
      <c r="A71" s="155" t="s">
        <v>157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87">
        <f>AVERAGE(U13:U70)</f>
        <v>103.28373730553574</v>
      </c>
      <c r="V71" s="88"/>
      <c r="W71" s="89"/>
      <c r="X71" s="87">
        <f>AVERAGE(X13,X39,X44,X61)</f>
        <v>83.450586846148312</v>
      </c>
      <c r="Y71" s="88"/>
      <c r="Z71" s="89"/>
      <c r="AA71" s="89"/>
      <c r="AB71" s="89"/>
      <c r="AC71" s="90"/>
      <c r="AD71" s="91"/>
      <c r="AE71" s="31"/>
    </row>
    <row r="72" spans="1:34" ht="15" x14ac:dyDescent="0.2">
      <c r="A72" s="155" t="s">
        <v>158</v>
      </c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92" t="str">
        <f>IF(U71&gt;=91,"Sangat Tinggi",IF(U71&gt;=76,"Tinggi",IF(U71&gt;=66,"Sedang",IF(U71&gt;=51,"Rendah",IF(U71&lt;=50,"Sangat Rendah")))))</f>
        <v>Sangat Tinggi</v>
      </c>
      <c r="V72" s="88"/>
      <c r="W72" s="93"/>
      <c r="X72" s="92" t="str">
        <f>IF(X71&gt;=91,"Sangat Tinggi",IF(X71&gt;=76,"Tinggi",IF(X71&gt;=66,"Sedang",IF(X71&gt;=51,"Rendah",IF(X71&lt;=50,"Sangat Rendah")))))</f>
        <v>Tinggi</v>
      </c>
      <c r="Y72" s="88"/>
      <c r="Z72" s="94"/>
      <c r="AA72" s="93"/>
      <c r="AB72" s="94"/>
      <c r="AC72" s="90"/>
      <c r="AD72" s="95"/>
      <c r="AE72" s="31"/>
    </row>
    <row r="73" spans="1:34" ht="15" x14ac:dyDescent="0.2">
      <c r="A73" s="147" t="s">
        <v>159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31"/>
    </row>
    <row r="74" spans="1:34" ht="15" x14ac:dyDescent="0.2">
      <c r="A74" s="147" t="s">
        <v>160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31"/>
    </row>
    <row r="75" spans="1:34" ht="15" x14ac:dyDescent="0.2">
      <c r="A75" s="157" t="s">
        <v>161</v>
      </c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31"/>
    </row>
    <row r="76" spans="1:34" ht="15" x14ac:dyDescent="0.2">
      <c r="A76" s="147" t="s">
        <v>162</v>
      </c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96"/>
    </row>
    <row r="77" spans="1:34" ht="15" x14ac:dyDescent="0.2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110"/>
      <c r="W77" s="97"/>
      <c r="X77" s="97"/>
      <c r="Y77" s="110"/>
      <c r="Z77" s="97"/>
      <c r="AA77" s="97"/>
      <c r="AB77" s="97"/>
      <c r="AC77" s="110"/>
      <c r="AD77" s="97"/>
    </row>
    <row r="78" spans="1:34" ht="15" x14ac:dyDescent="0.2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158" t="s">
        <v>163</v>
      </c>
      <c r="U78" s="158"/>
      <c r="V78" s="158"/>
      <c r="W78" s="158"/>
      <c r="X78" s="158"/>
      <c r="Y78" s="110"/>
      <c r="Z78" s="97"/>
      <c r="AA78" s="158"/>
      <c r="AB78" s="158"/>
      <c r="AC78" s="158"/>
      <c r="AD78" s="158"/>
      <c r="AE78" s="158"/>
    </row>
    <row r="79" spans="1:34" ht="15.75" x14ac:dyDescent="0.25">
      <c r="A79" s="98"/>
      <c r="B79" s="99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158" t="s">
        <v>189</v>
      </c>
      <c r="U79" s="158"/>
      <c r="V79" s="158"/>
      <c r="W79" s="158"/>
      <c r="X79" s="158"/>
      <c r="Y79" s="110"/>
      <c r="Z79" s="97"/>
      <c r="AA79" s="158"/>
      <c r="AB79" s="158"/>
      <c r="AC79" s="158"/>
      <c r="AD79" s="158"/>
      <c r="AE79" s="158"/>
    </row>
    <row r="80" spans="1:34" ht="15" x14ac:dyDescent="0.2">
      <c r="T80" s="158" t="s">
        <v>164</v>
      </c>
      <c r="U80" s="158"/>
      <c r="V80" s="158"/>
      <c r="W80" s="158"/>
      <c r="X80" s="158"/>
      <c r="AA80" s="158"/>
      <c r="AB80" s="158"/>
      <c r="AC80" s="158"/>
      <c r="AD80" s="158"/>
      <c r="AE80" s="158"/>
    </row>
    <row r="81" spans="1:31" ht="15" x14ac:dyDescent="0.2">
      <c r="T81" s="158" t="s">
        <v>165</v>
      </c>
      <c r="U81" s="158"/>
      <c r="V81" s="158"/>
      <c r="W81" s="158"/>
      <c r="X81" s="158"/>
      <c r="AA81" s="158"/>
      <c r="AB81" s="158"/>
      <c r="AC81" s="158"/>
      <c r="AD81" s="158"/>
      <c r="AE81" s="158"/>
    </row>
    <row r="82" spans="1:31" ht="38.25" x14ac:dyDescent="0.2">
      <c r="A82" s="100" t="s">
        <v>166</v>
      </c>
      <c r="B82" s="100" t="s">
        <v>167</v>
      </c>
      <c r="C82" s="100" t="s">
        <v>168</v>
      </c>
      <c r="T82" s="97"/>
      <c r="U82" s="97"/>
      <c r="V82" s="110"/>
      <c r="W82" s="97"/>
      <c r="AA82" s="110"/>
      <c r="AB82" s="97"/>
      <c r="AC82" s="110"/>
      <c r="AD82" s="97"/>
    </row>
    <row r="83" spans="1:31" ht="25.5" x14ac:dyDescent="0.25">
      <c r="A83" s="101" t="s">
        <v>169</v>
      </c>
      <c r="B83" s="101" t="s">
        <v>170</v>
      </c>
      <c r="C83" s="101" t="s">
        <v>171</v>
      </c>
      <c r="T83" s="160" t="s">
        <v>172</v>
      </c>
      <c r="U83" s="160"/>
      <c r="V83" s="160"/>
      <c r="W83" s="160"/>
      <c r="X83" s="160"/>
      <c r="AA83" s="160"/>
      <c r="AB83" s="160"/>
      <c r="AC83" s="160"/>
      <c r="AD83" s="160"/>
      <c r="AE83" s="160"/>
    </row>
    <row r="84" spans="1:31" ht="25.5" x14ac:dyDescent="0.2">
      <c r="A84" s="101" t="s">
        <v>173</v>
      </c>
      <c r="B84" s="101" t="s">
        <v>174</v>
      </c>
      <c r="C84" s="101" t="s">
        <v>175</v>
      </c>
      <c r="T84" s="159" t="s">
        <v>176</v>
      </c>
      <c r="U84" s="159"/>
      <c r="V84" s="159"/>
      <c r="W84" s="159"/>
      <c r="X84" s="159"/>
      <c r="AA84" s="159"/>
      <c r="AB84" s="159"/>
      <c r="AC84" s="159"/>
      <c r="AD84" s="159"/>
      <c r="AE84" s="159"/>
    </row>
    <row r="85" spans="1:31" ht="25.5" x14ac:dyDescent="0.2">
      <c r="A85" s="101" t="s">
        <v>177</v>
      </c>
      <c r="B85" s="101" t="s">
        <v>178</v>
      </c>
      <c r="C85" s="101" t="s">
        <v>179</v>
      </c>
    </row>
    <row r="86" spans="1:31" ht="25.5" x14ac:dyDescent="0.2">
      <c r="A86" s="101" t="s">
        <v>180</v>
      </c>
      <c r="B86" s="101" t="s">
        <v>181</v>
      </c>
      <c r="C86" s="101" t="s">
        <v>182</v>
      </c>
    </row>
    <row r="87" spans="1:31" ht="25.5" x14ac:dyDescent="0.2">
      <c r="A87" s="101" t="s">
        <v>183</v>
      </c>
      <c r="B87" s="102" t="s">
        <v>184</v>
      </c>
      <c r="C87" s="101" t="s">
        <v>185</v>
      </c>
    </row>
  </sheetData>
  <mergeCells count="80">
    <mergeCell ref="T84:X84"/>
    <mergeCell ref="AA84:AE84"/>
    <mergeCell ref="T80:X80"/>
    <mergeCell ref="AA80:AE80"/>
    <mergeCell ref="T81:X81"/>
    <mergeCell ref="AA81:AE81"/>
    <mergeCell ref="T83:X83"/>
    <mergeCell ref="AA83:AE83"/>
    <mergeCell ref="A75:AD75"/>
    <mergeCell ref="A76:AD76"/>
    <mergeCell ref="T78:X78"/>
    <mergeCell ref="AA78:AE78"/>
    <mergeCell ref="T79:X79"/>
    <mergeCell ref="AA79:AE79"/>
    <mergeCell ref="C44:C46"/>
    <mergeCell ref="C47:C48"/>
    <mergeCell ref="A71:T71"/>
    <mergeCell ref="A72:T72"/>
    <mergeCell ref="A73:AD73"/>
    <mergeCell ref="A74:AD74"/>
    <mergeCell ref="R11:R12"/>
    <mergeCell ref="S11:S12"/>
    <mergeCell ref="U11:V11"/>
    <mergeCell ref="X11:Y11"/>
    <mergeCell ref="AB11:AC11"/>
    <mergeCell ref="U12:V12"/>
    <mergeCell ref="X12:Y12"/>
    <mergeCell ref="AB12:AC12"/>
    <mergeCell ref="L11:L12"/>
    <mergeCell ref="M11:M12"/>
    <mergeCell ref="N11:N12"/>
    <mergeCell ref="O11:O12"/>
    <mergeCell ref="P11:P12"/>
    <mergeCell ref="Q11:Q12"/>
    <mergeCell ref="E11:F12"/>
    <mergeCell ref="G11:G12"/>
    <mergeCell ref="H11:H12"/>
    <mergeCell ref="I11:I12"/>
    <mergeCell ref="J11:J12"/>
    <mergeCell ref="K11:K12"/>
    <mergeCell ref="N10:O10"/>
    <mergeCell ref="P10:Q10"/>
    <mergeCell ref="R10:S10"/>
    <mergeCell ref="T10:Y10"/>
    <mergeCell ref="Z10:AA10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6:AD6"/>
    <mergeCell ref="A1:AD1"/>
    <mergeCell ref="A2:AD2"/>
    <mergeCell ref="A3:AD3"/>
    <mergeCell ref="A4:AD4"/>
    <mergeCell ref="A5:AD5"/>
  </mergeCells>
  <printOptions horizontalCentered="1"/>
  <pageMargins left="0" right="0" top="0.75" bottom="0.75" header="0.3" footer="0.3"/>
  <pageSetup paperSize="14" scale="38" orientation="landscape" horizontalDpi="0" verticalDpi="0" r:id="rId1"/>
  <colBreaks count="1" manualBreakCount="1">
    <brk id="3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RENJA PERUBAHAN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2023-01-02T06:21:56Z</cp:lastPrinted>
  <dcterms:created xsi:type="dcterms:W3CDTF">2022-07-08T02:56:53Z</dcterms:created>
  <dcterms:modified xsi:type="dcterms:W3CDTF">2023-01-02T08:15:05Z</dcterms:modified>
</cp:coreProperties>
</file>