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ATA PINDAHAN\2020\RPJMD\Gasan Satu Data\"/>
    </mc:Choice>
  </mc:AlternateContent>
  <bookViews>
    <workbookView xWindow="0" yWindow="0" windowWidth="28800" windowHeight="12300"/>
  </bookViews>
  <sheets>
    <sheet name="Misi I" sheetId="9" r:id="rId1"/>
    <sheet name="Misi II" sheetId="10" r:id="rId2"/>
    <sheet name="Misi III" sheetId="11" r:id="rId3"/>
    <sheet name="Misi IV" sheetId="12" r:id="rId4"/>
    <sheet name="Misi V" sheetId="13" r:id="rId5"/>
  </sheets>
  <definedNames>
    <definedName name="_xlnm._FilterDatabase" localSheetId="4" hidden="1">'Misi V'!$A$10:$AM$56</definedName>
    <definedName name="_xlnm.Print_Area" localSheetId="0">'Misi I'!$A$1:$AJ$175</definedName>
    <definedName name="_xlnm.Print_Area" localSheetId="1">'Misi II'!$A$1:$AJ$195</definedName>
    <definedName name="_xlnm.Print_Area" localSheetId="2">'Misi III'!$A$1:$AJ$74</definedName>
    <definedName name="_xlnm.Print_Area" localSheetId="3">'Misi IV'!$A$1:$AJ$100</definedName>
    <definedName name="_xlnm.Print_Area" localSheetId="4">'Misi V'!$A$1:$AJ$163</definedName>
    <definedName name="_xlnm.Print_Titles" localSheetId="0">'Misi I'!$11:$16</definedName>
    <definedName name="_xlnm.Print_Titles" localSheetId="1">'Misi II'!$12:$17</definedName>
    <definedName name="_xlnm.Print_Titles" localSheetId="2">'Misi III'!$7:$12</definedName>
    <definedName name="_xlnm.Print_Titles" localSheetId="3">'Misi IV'!#REF!</definedName>
    <definedName name="_xlnm.Print_Titles" localSheetId="4">'Misi V'!#REF!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36" i="12" l="1"/>
  <c r="Z70" i="10" l="1"/>
  <c r="Z41" i="10" l="1"/>
  <c r="Z64" i="10" l="1"/>
  <c r="T64" i="9" l="1"/>
  <c r="T128" i="13" l="1"/>
  <c r="W42" i="10" l="1"/>
  <c r="Z105" i="13" l="1"/>
  <c r="T25" i="9" l="1"/>
  <c r="Q25" i="9"/>
  <c r="E25" i="9"/>
  <c r="AC25" i="9" l="1"/>
  <c r="Z25" i="9"/>
  <c r="T27" i="11" l="1"/>
  <c r="AC28" i="11"/>
  <c r="Z27" i="11" l="1"/>
  <c r="W27" i="11"/>
  <c r="T25" i="11"/>
  <c r="Q25" i="11"/>
  <c r="Z58" i="9" l="1"/>
  <c r="AB87" i="10" l="1"/>
  <c r="AB66" i="9" l="1"/>
  <c r="Z17" i="11" l="1"/>
  <c r="Z113" i="10"/>
  <c r="Z63" i="9" l="1"/>
  <c r="Z131" i="10" l="1"/>
  <c r="Z35" i="11" l="1"/>
  <c r="Z153" i="10" l="1"/>
  <c r="W153" i="10"/>
  <c r="W131" i="10" l="1"/>
  <c r="T131" i="10"/>
  <c r="Q131" i="10" l="1"/>
  <c r="Z42" i="10" l="1"/>
  <c r="Z21" i="10"/>
  <c r="AB139" i="9"/>
  <c r="Z132" i="9" l="1"/>
  <c r="Z116" i="9"/>
  <c r="AB116" i="9"/>
  <c r="Y116" i="9"/>
  <c r="W116" i="9"/>
  <c r="AB114" i="9"/>
  <c r="Z112" i="9"/>
  <c r="AB112" i="9"/>
  <c r="AB111" i="9"/>
  <c r="AB110" i="9"/>
  <c r="AB52" i="9" l="1"/>
  <c r="Z22" i="9"/>
  <c r="Z51" i="9"/>
  <c r="W51" i="9"/>
  <c r="W63" i="9" l="1"/>
  <c r="W58" i="9" l="1"/>
  <c r="Z31" i="9" l="1"/>
  <c r="AB22" i="9" l="1"/>
  <c r="Y22" i="9"/>
  <c r="Q27" i="11"/>
  <c r="W82" i="13" l="1"/>
  <c r="Z82" i="13"/>
  <c r="Z149" i="10" l="1"/>
  <c r="AC149" i="10"/>
  <c r="AE149" i="10"/>
  <c r="Z128" i="13" l="1"/>
  <c r="Q128" i="13"/>
  <c r="T116" i="9" l="1"/>
  <c r="Z29" i="11"/>
  <c r="T17" i="11" l="1"/>
  <c r="T24" i="11"/>
  <c r="Q24" i="11"/>
  <c r="Q16" i="11" s="1"/>
  <c r="Z20" i="11"/>
  <c r="AB18" i="11"/>
  <c r="Z18" i="11"/>
  <c r="Q17" i="11"/>
  <c r="T16" i="11" l="1"/>
  <c r="Z24" i="11"/>
  <c r="T21" i="9"/>
  <c r="Q105" i="13" l="1"/>
  <c r="T105" i="13"/>
  <c r="P128" i="13" l="1"/>
  <c r="T112" i="13" l="1"/>
  <c r="Q112" i="13"/>
  <c r="Q111" i="13"/>
  <c r="T111" i="13"/>
  <c r="N105" i="13" l="1"/>
  <c r="T87" i="13" l="1"/>
  <c r="T85" i="13"/>
  <c r="T84" i="13"/>
  <c r="T83" i="13"/>
  <c r="Z76" i="13" l="1"/>
  <c r="W76" i="13"/>
  <c r="Q43" i="13" l="1"/>
  <c r="T43" i="13"/>
  <c r="T39" i="13" l="1"/>
  <c r="T36" i="13"/>
  <c r="AC63" i="9" l="1"/>
  <c r="AC64" i="9"/>
  <c r="AB63" i="9"/>
  <c r="Z64" i="9"/>
  <c r="Y64" i="9"/>
  <c r="W64" i="9"/>
  <c r="Y63" i="9"/>
  <c r="T31" i="13" l="1"/>
  <c r="T132" i="9" l="1"/>
  <c r="AC71" i="9" l="1"/>
  <c r="T65" i="12" l="1"/>
  <c r="T64" i="12"/>
  <c r="T63" i="12"/>
  <c r="T58" i="12"/>
  <c r="T59" i="12"/>
  <c r="T41" i="12" l="1"/>
  <c r="Q41" i="12"/>
  <c r="T39" i="12"/>
  <c r="Q39" i="12"/>
  <c r="Q38" i="12"/>
  <c r="T38" i="12"/>
  <c r="T18" i="12" l="1"/>
  <c r="Q18" i="12"/>
  <c r="T17" i="12"/>
  <c r="Q17" i="12"/>
  <c r="Q40" i="12" l="1"/>
  <c r="T40" i="12"/>
  <c r="T37" i="11"/>
  <c r="Q37" i="11"/>
  <c r="Z36" i="11"/>
  <c r="T35" i="11"/>
  <c r="Q35" i="11"/>
  <c r="K35" i="11"/>
  <c r="N35" i="11"/>
  <c r="T32" i="11"/>
  <c r="T33" i="11"/>
  <c r="T34" i="11"/>
  <c r="Q22" i="11" l="1"/>
  <c r="Q21" i="11"/>
  <c r="W23" i="11"/>
  <c r="Q23" i="11"/>
  <c r="T23" i="11"/>
  <c r="T22" i="11"/>
  <c r="Z21" i="11"/>
  <c r="T21" i="11"/>
  <c r="Z151" i="10" l="1"/>
  <c r="V149" i="10" l="1"/>
  <c r="Z132" i="10" l="1"/>
  <c r="Z114" i="10" l="1"/>
  <c r="W113" i="10"/>
  <c r="T97" i="10" l="1"/>
  <c r="V93" i="10"/>
  <c r="P93" i="10"/>
  <c r="T96" i="10"/>
  <c r="T95" i="10"/>
  <c r="T94" i="10"/>
  <c r="AC91" i="10" l="1"/>
  <c r="Z67" i="10" l="1"/>
  <c r="T64" i="10" l="1"/>
  <c r="AC63" i="10"/>
  <c r="Z63" i="10"/>
  <c r="T63" i="10"/>
  <c r="T62" i="10"/>
  <c r="T45" i="10"/>
  <c r="T44" i="10"/>
  <c r="T43" i="10"/>
  <c r="T25" i="10" l="1"/>
  <c r="Z24" i="10"/>
  <c r="T24" i="10"/>
  <c r="T140" i="9" l="1"/>
  <c r="T139" i="9"/>
  <c r="T52" i="9" l="1"/>
  <c r="T114" i="9"/>
  <c r="T133" i="9" l="1"/>
  <c r="T115" i="9" l="1"/>
  <c r="Q114" i="9"/>
  <c r="T110" i="9" l="1"/>
  <c r="Z92" i="9" l="1"/>
  <c r="W92" i="9"/>
  <c r="Z88" i="9"/>
  <c r="T66" i="9" l="1"/>
  <c r="Q66" i="9"/>
  <c r="N66" i="9"/>
  <c r="K66" i="9"/>
  <c r="T65" i="9" l="1"/>
  <c r="Q65" i="9"/>
  <c r="N65" i="9"/>
  <c r="K65" i="9"/>
  <c r="T62" i="9" l="1"/>
  <c r="N61" i="9"/>
  <c r="K61" i="9"/>
  <c r="T61" i="9"/>
  <c r="Q61" i="9"/>
  <c r="T60" i="9"/>
  <c r="T59" i="9"/>
  <c r="T53" i="9" l="1"/>
  <c r="T31" i="9" l="1"/>
  <c r="T113" i="10" l="1"/>
  <c r="Q113" i="10"/>
  <c r="Y114" i="9" l="1"/>
  <c r="Y49" i="9" l="1"/>
  <c r="W49" i="9"/>
  <c r="W28" i="9" l="1"/>
  <c r="W25" i="9"/>
  <c r="W21" i="10"/>
  <c r="AC89" i="9" l="1"/>
  <c r="Q60" i="9" l="1"/>
  <c r="Q59" i="9"/>
  <c r="Q57" i="9" l="1"/>
  <c r="Q56" i="9"/>
  <c r="Q53" i="9"/>
  <c r="Q52" i="9"/>
  <c r="T22" i="9" l="1"/>
  <c r="Q22" i="9"/>
  <c r="AE129" i="13" l="1"/>
  <c r="AC129" i="13"/>
  <c r="AC128" i="13"/>
  <c r="AB129" i="13"/>
  <c r="Z129" i="13"/>
  <c r="W128" i="13"/>
  <c r="AE112" i="13"/>
  <c r="AE110" i="13"/>
  <c r="AE108" i="13"/>
  <c r="AC109" i="13"/>
  <c r="AC110" i="13"/>
  <c r="AC111" i="13"/>
  <c r="AC112" i="13"/>
  <c r="AC107" i="13"/>
  <c r="AC108" i="13"/>
  <c r="AE106" i="13"/>
  <c r="AC106" i="13"/>
  <c r="AC105" i="13"/>
  <c r="AE89" i="13"/>
  <c r="AC89" i="13"/>
  <c r="AC88" i="13"/>
  <c r="AE87" i="13"/>
  <c r="AC87" i="13"/>
  <c r="AE86" i="13"/>
  <c r="AC86" i="13"/>
  <c r="AC84" i="13"/>
  <c r="AC85" i="13"/>
  <c r="AE83" i="13"/>
  <c r="AC83" i="13"/>
  <c r="AC82" i="13"/>
  <c r="AE81" i="13"/>
  <c r="AC81" i="13"/>
  <c r="AE80" i="13"/>
  <c r="AC80" i="13"/>
  <c r="AC77" i="13"/>
  <c r="AC78" i="13"/>
  <c r="AC79" i="13"/>
  <c r="AE76" i="13"/>
  <c r="AC76" i="13"/>
  <c r="AE75" i="13"/>
  <c r="AC75" i="13"/>
  <c r="AE74" i="13"/>
  <c r="AC74" i="13"/>
  <c r="AC73" i="13"/>
  <c r="AE72" i="13"/>
  <c r="AC72" i="13"/>
  <c r="AE71" i="13"/>
  <c r="AC71" i="13"/>
  <c r="AE70" i="13"/>
  <c r="AC70" i="13"/>
  <c r="AE69" i="13"/>
  <c r="AC69" i="13"/>
  <c r="AE68" i="13"/>
  <c r="AC68" i="13"/>
  <c r="AE67" i="13"/>
  <c r="AC67" i="13"/>
  <c r="AC66" i="13"/>
  <c r="AC50" i="13"/>
  <c r="AE49" i="13"/>
  <c r="AC49" i="13"/>
  <c r="AC48" i="13"/>
  <c r="AE47" i="13"/>
  <c r="AC47" i="13"/>
  <c r="AE46" i="13"/>
  <c r="AC46" i="13"/>
  <c r="AC45" i="13"/>
  <c r="AE45" i="13"/>
  <c r="AC44" i="13"/>
  <c r="AE43" i="13"/>
  <c r="AC43" i="13"/>
  <c r="AE42" i="13"/>
  <c r="AC42" i="13"/>
  <c r="AE41" i="13"/>
  <c r="AC41" i="13"/>
  <c r="AE40" i="13"/>
  <c r="AC40" i="13"/>
  <c r="AE39" i="13"/>
  <c r="AC39" i="13"/>
  <c r="AE38" i="13"/>
  <c r="AC38" i="13"/>
  <c r="AE37" i="13"/>
  <c r="AC37" i="13"/>
  <c r="AE36" i="13"/>
  <c r="AC36" i="13"/>
  <c r="AE35" i="13"/>
  <c r="AC35" i="13"/>
  <c r="AE34" i="13"/>
  <c r="AC34" i="13"/>
  <c r="AE33" i="13"/>
  <c r="AC33" i="13"/>
  <c r="AE32" i="13"/>
  <c r="AC32" i="13"/>
  <c r="AE31" i="13"/>
  <c r="AC31" i="13"/>
  <c r="AE30" i="13"/>
  <c r="AC30" i="13"/>
  <c r="AE29" i="13"/>
  <c r="AC29" i="13"/>
  <c r="V28" i="13"/>
  <c r="S28" i="13"/>
  <c r="P28" i="13"/>
  <c r="M28" i="13"/>
  <c r="J28" i="13"/>
  <c r="AC28" i="13"/>
  <c r="AE27" i="13"/>
  <c r="AC27" i="13"/>
  <c r="AE26" i="13"/>
  <c r="AC26" i="13"/>
  <c r="AE25" i="13"/>
  <c r="AC25" i="13"/>
  <c r="AE24" i="13"/>
  <c r="AC24" i="13"/>
  <c r="AC23" i="13"/>
  <c r="AE22" i="13"/>
  <c r="AC22" i="13"/>
  <c r="AC20" i="13"/>
  <c r="AE19" i="13"/>
  <c r="AC19" i="13"/>
  <c r="AC18" i="13"/>
  <c r="AE18" i="13"/>
  <c r="AC17" i="13"/>
  <c r="AE16" i="13"/>
  <c r="AC16" i="13"/>
  <c r="AC64" i="12"/>
  <c r="AC65" i="12"/>
  <c r="AE63" i="12"/>
  <c r="AC63" i="12"/>
  <c r="AC62" i="12"/>
  <c r="AC61" i="12"/>
  <c r="AE60" i="12"/>
  <c r="AC60" i="12"/>
  <c r="AC59" i="12"/>
  <c r="AC58" i="12"/>
  <c r="AE42" i="12"/>
  <c r="AC42" i="12"/>
  <c r="AE41" i="12"/>
  <c r="AC41" i="12"/>
  <c r="AC40" i="12"/>
  <c r="AC39" i="12"/>
  <c r="AE39" i="12"/>
  <c r="Z39" i="12"/>
  <c r="AC38" i="12"/>
  <c r="AE38" i="12"/>
  <c r="AC37" i="12"/>
  <c r="AC36" i="12"/>
  <c r="AE20" i="12"/>
  <c r="AC20" i="12"/>
  <c r="AC19" i="12"/>
  <c r="AE19" i="12"/>
  <c r="AE18" i="12"/>
  <c r="AC18" i="12"/>
  <c r="AC17" i="12"/>
  <c r="AE17" i="12"/>
  <c r="AC16" i="12"/>
  <c r="AC15" i="12"/>
  <c r="AE37" i="11"/>
  <c r="AC37" i="11"/>
  <c r="AE36" i="11"/>
  <c r="AC36" i="11"/>
  <c r="AC35" i="11"/>
  <c r="AE34" i="11"/>
  <c r="AC34" i="11"/>
  <c r="AE33" i="11"/>
  <c r="AC33" i="11"/>
  <c r="AC32" i="11"/>
  <c r="AC31" i="11"/>
  <c r="AE31" i="11"/>
  <c r="AC30" i="11"/>
  <c r="AE29" i="11"/>
  <c r="AC29" i="11"/>
  <c r="AE28" i="11"/>
  <c r="AC27" i="11"/>
  <c r="AE26" i="11"/>
  <c r="AC26" i="11"/>
  <c r="AE25" i="11"/>
  <c r="AC25" i="11"/>
  <c r="AC24" i="11"/>
  <c r="AE23" i="11"/>
  <c r="AC23" i="11"/>
  <c r="AE21" i="11"/>
  <c r="AC22" i="11"/>
  <c r="AC21" i="11"/>
  <c r="AC20" i="11"/>
  <c r="AE20" i="11"/>
  <c r="AC19" i="11"/>
  <c r="AE19" i="11"/>
  <c r="AE18" i="11"/>
  <c r="AC18" i="11"/>
  <c r="AC16" i="11"/>
  <c r="AC17" i="11"/>
  <c r="S16" i="11"/>
  <c r="M16" i="11"/>
  <c r="J16" i="11"/>
  <c r="Z16" i="11"/>
  <c r="AE153" i="10"/>
  <c r="AB153" i="10"/>
  <c r="AC153" i="10"/>
  <c r="AE28" i="13" l="1"/>
  <c r="Z130" i="13"/>
  <c r="Z131" i="13" s="1"/>
  <c r="AC152" i="10"/>
  <c r="AE152" i="10"/>
  <c r="AE151" i="10"/>
  <c r="AC151" i="10"/>
  <c r="AC150" i="10" l="1"/>
  <c r="AE150" i="10"/>
  <c r="AC133" i="10"/>
  <c r="AE133" i="10"/>
  <c r="AC132" i="10"/>
  <c r="AE132" i="10"/>
  <c r="AC131" i="10"/>
  <c r="AE115" i="10"/>
  <c r="AC115" i="10"/>
  <c r="AE114" i="10"/>
  <c r="AC114" i="10"/>
  <c r="AC113" i="10"/>
  <c r="AC97" i="10"/>
  <c r="AE97" i="10"/>
  <c r="AC96" i="10"/>
  <c r="AC95" i="10"/>
  <c r="AE94" i="10"/>
  <c r="AC94" i="10"/>
  <c r="AC93" i="10"/>
  <c r="AC92" i="10"/>
  <c r="AE92" i="10"/>
  <c r="AE91" i="10"/>
  <c r="AC90" i="10"/>
  <c r="AE90" i="10"/>
  <c r="AC89" i="10"/>
  <c r="AE89" i="10"/>
  <c r="AC88" i="10"/>
  <c r="AE88" i="10"/>
  <c r="AC87" i="10"/>
  <c r="AE87" i="10"/>
  <c r="AC86" i="10"/>
  <c r="AC85" i="10"/>
  <c r="AE85" i="10"/>
  <c r="AE84" i="10"/>
  <c r="AC84" i="10"/>
  <c r="AC83" i="10"/>
  <c r="AC82" i="10"/>
  <c r="AE81" i="10"/>
  <c r="AC81" i="10"/>
  <c r="AC80" i="10"/>
  <c r="AC79" i="10"/>
  <c r="AE78" i="10"/>
  <c r="AC78" i="10"/>
  <c r="AC77" i="10"/>
  <c r="AC76" i="10"/>
  <c r="AC75" i="10"/>
  <c r="AE74" i="10"/>
  <c r="AC74" i="10"/>
  <c r="AC72" i="10"/>
  <c r="AC73" i="10"/>
  <c r="AC71" i="10"/>
  <c r="AE71" i="10"/>
  <c r="AC70" i="10"/>
  <c r="AC69" i="10"/>
  <c r="AC68" i="10"/>
  <c r="AE68" i="10"/>
  <c r="AE67" i="10"/>
  <c r="AC67" i="10"/>
  <c r="AC66" i="10"/>
  <c r="AE66" i="10"/>
  <c r="AC65" i="10"/>
  <c r="AE64" i="10"/>
  <c r="AC64" i="10"/>
  <c r="AE62" i="10"/>
  <c r="AC62" i="10"/>
  <c r="AC61" i="10"/>
  <c r="AC45" i="10"/>
  <c r="AC44" i="10"/>
  <c r="AE45" i="10"/>
  <c r="AC43" i="10"/>
  <c r="AE43" i="10"/>
  <c r="AC42" i="10"/>
  <c r="S41" i="10"/>
  <c r="M41" i="10"/>
  <c r="J41" i="10"/>
  <c r="AC41" i="10"/>
  <c r="AC23" i="10"/>
  <c r="AC22" i="10"/>
  <c r="AC21" i="10"/>
  <c r="Z23" i="10"/>
  <c r="AE25" i="10"/>
  <c r="AC25" i="10"/>
  <c r="AE24" i="10"/>
  <c r="AC24" i="10"/>
  <c r="Z136" i="9"/>
  <c r="AC140" i="9"/>
  <c r="AE139" i="9"/>
  <c r="AC139" i="9"/>
  <c r="AC138" i="9"/>
  <c r="AE138" i="9"/>
  <c r="AE137" i="9"/>
  <c r="AC137" i="9"/>
  <c r="AE136" i="9"/>
  <c r="AC136" i="9"/>
  <c r="AE135" i="9"/>
  <c r="AC135" i="9"/>
  <c r="AE134" i="9"/>
  <c r="AC134" i="9"/>
  <c r="AE133" i="9"/>
  <c r="AC133" i="9"/>
  <c r="AC132" i="9"/>
  <c r="AC115" i="9"/>
  <c r="AE116" i="9"/>
  <c r="AC116" i="9"/>
  <c r="AE114" i="9"/>
  <c r="AC114" i="9"/>
  <c r="AE113" i="9"/>
  <c r="AC113" i="9"/>
  <c r="AE112" i="9"/>
  <c r="AC112" i="9"/>
  <c r="AE111" i="9"/>
  <c r="AC111" i="9"/>
  <c r="AE110" i="9"/>
  <c r="AC110" i="9"/>
  <c r="AC109" i="9"/>
  <c r="AC93" i="9"/>
  <c r="AC92" i="9"/>
  <c r="AC91" i="9"/>
  <c r="AC88" i="9"/>
  <c r="AE92" i="9"/>
  <c r="AE90" i="9"/>
  <c r="AC90" i="9"/>
  <c r="AE89" i="9"/>
  <c r="AE70" i="9"/>
  <c r="AC72" i="9"/>
  <c r="AC70" i="9"/>
  <c r="AC69" i="9"/>
  <c r="AC68" i="9"/>
  <c r="AC67" i="9"/>
  <c r="AC66" i="9"/>
  <c r="AC65" i="9"/>
  <c r="AC60" i="9"/>
  <c r="AC59" i="9"/>
  <c r="V58" i="9"/>
  <c r="S58" i="9"/>
  <c r="P58" i="9"/>
  <c r="M58" i="9"/>
  <c r="J58" i="9"/>
  <c r="AC52" i="9"/>
  <c r="AE52" i="9"/>
  <c r="AC53" i="9"/>
  <c r="AC54" i="9"/>
  <c r="AE54" i="9"/>
  <c r="AC55" i="9"/>
  <c r="AE55" i="9"/>
  <c r="AC56" i="9"/>
  <c r="AE56" i="9"/>
  <c r="AC57" i="9"/>
  <c r="AC58" i="9"/>
  <c r="AE58" i="9"/>
  <c r="AE59" i="9"/>
  <c r="AC61" i="9"/>
  <c r="AE61" i="9"/>
  <c r="AC62" i="9"/>
  <c r="AE64" i="9"/>
  <c r="AE66" i="9"/>
  <c r="AE68" i="9"/>
  <c r="AC51" i="9"/>
  <c r="AE51" i="9"/>
  <c r="AC50" i="9"/>
  <c r="AE50" i="9"/>
  <c r="AC49" i="9"/>
  <c r="AE49" i="9"/>
  <c r="AC48" i="9"/>
  <c r="AE22" i="9"/>
  <c r="AC23" i="9"/>
  <c r="AC24" i="9"/>
  <c r="AC26" i="9"/>
  <c r="AC27" i="9"/>
  <c r="AC28" i="9"/>
  <c r="AC29" i="9"/>
  <c r="AC30" i="9"/>
  <c r="AC31" i="9"/>
  <c r="AC32" i="9"/>
  <c r="AC22" i="9"/>
  <c r="AC21" i="9"/>
  <c r="AC20" i="9"/>
  <c r="AC19" i="9"/>
  <c r="AC18" i="9"/>
  <c r="AC17" i="9"/>
  <c r="J48" i="9"/>
  <c r="J17" i="9" s="1"/>
  <c r="V18" i="9"/>
  <c r="AE18" i="9" s="1"/>
  <c r="S18" i="9"/>
  <c r="P18" i="9"/>
  <c r="M18" i="9"/>
  <c r="J18" i="9"/>
  <c r="Y129" i="13"/>
  <c r="W129" i="13"/>
  <c r="V128" i="13"/>
  <c r="S128" i="13"/>
  <c r="M128" i="13"/>
  <c r="Y128" i="13" s="1"/>
  <c r="J128" i="13"/>
  <c r="AE128" i="13" l="1"/>
  <c r="AB128" i="13"/>
  <c r="AB112" i="13"/>
  <c r="Z112" i="13"/>
  <c r="Z111" i="13"/>
  <c r="Y112" i="13"/>
  <c r="W112" i="13"/>
  <c r="W111" i="13"/>
  <c r="V111" i="13" l="1"/>
  <c r="S111" i="13"/>
  <c r="P111" i="13"/>
  <c r="M111" i="13"/>
  <c r="J111" i="13"/>
  <c r="V105" i="13"/>
  <c r="S105" i="13"/>
  <c r="AE105" i="13" s="1"/>
  <c r="P105" i="13"/>
  <c r="M105" i="13"/>
  <c r="J105" i="13"/>
  <c r="AB110" i="13"/>
  <c r="Z110" i="13"/>
  <c r="Z109" i="13"/>
  <c r="AB108" i="13"/>
  <c r="Z108" i="13"/>
  <c r="Z107" i="13"/>
  <c r="AB106" i="13"/>
  <c r="Z106" i="13"/>
  <c r="Z113" i="13"/>
  <c r="Z114" i="13" s="1"/>
  <c r="Y110" i="13"/>
  <c r="Y108" i="13"/>
  <c r="Y106" i="13"/>
  <c r="W107" i="13"/>
  <c r="W108" i="13"/>
  <c r="W109" i="13"/>
  <c r="W110" i="13"/>
  <c r="W106" i="13"/>
  <c r="W105" i="13"/>
  <c r="AE111" i="13" l="1"/>
  <c r="Y111" i="13"/>
  <c r="Y105" i="13"/>
  <c r="AB111" i="13"/>
  <c r="AB89" i="13"/>
  <c r="Z88" i="13"/>
  <c r="Z87" i="13"/>
  <c r="Z86" i="13"/>
  <c r="Z85" i="13"/>
  <c r="Z84" i="13"/>
  <c r="V82" i="13"/>
  <c r="S82" i="13"/>
  <c r="AE82" i="13" s="1"/>
  <c r="P82" i="13"/>
  <c r="M82" i="13"/>
  <c r="J82" i="13"/>
  <c r="Z89" i="13"/>
  <c r="AB87" i="13"/>
  <c r="AB86" i="13"/>
  <c r="AB83" i="13"/>
  <c r="Z83" i="13"/>
  <c r="AB81" i="13"/>
  <c r="Z81" i="13"/>
  <c r="AB80" i="13"/>
  <c r="Z80" i="13"/>
  <c r="Z79" i="13"/>
  <c r="Z78" i="13"/>
  <c r="Z77" i="13"/>
  <c r="AB76" i="13"/>
  <c r="AB75" i="13"/>
  <c r="Z75" i="13"/>
  <c r="AB74" i="13"/>
  <c r="Z74" i="13"/>
  <c r="W85" i="13"/>
  <c r="W84" i="13"/>
  <c r="W83" i="13"/>
  <c r="Y83" i="13"/>
  <c r="Y89" i="13"/>
  <c r="Y87" i="13"/>
  <c r="Y86" i="13"/>
  <c r="W86" i="13"/>
  <c r="W87" i="13"/>
  <c r="W88" i="13"/>
  <c r="W89" i="13"/>
  <c r="AB82" i="13" l="1"/>
  <c r="Y82" i="13"/>
  <c r="Y80" i="13"/>
  <c r="Y81" i="13"/>
  <c r="Y76" i="13"/>
  <c r="Y75" i="13"/>
  <c r="Y74" i="13"/>
  <c r="W80" i="13"/>
  <c r="W81" i="13"/>
  <c r="W75" i="13"/>
  <c r="W77" i="13"/>
  <c r="W78" i="13"/>
  <c r="W79" i="13"/>
  <c r="W74" i="13"/>
  <c r="V73" i="13" l="1"/>
  <c r="S73" i="13"/>
  <c r="P73" i="13"/>
  <c r="M73" i="13"/>
  <c r="J73" i="13"/>
  <c r="V66" i="13"/>
  <c r="S66" i="13"/>
  <c r="P66" i="13"/>
  <c r="M66" i="13"/>
  <c r="J66" i="13"/>
  <c r="AB72" i="13"/>
  <c r="Z72" i="13"/>
  <c r="AB71" i="13"/>
  <c r="Z71" i="13"/>
  <c r="AB70" i="13"/>
  <c r="Z70" i="13"/>
  <c r="AB69" i="13"/>
  <c r="Z69" i="13"/>
  <c r="AB68" i="13"/>
  <c r="Z68" i="13"/>
  <c r="AB67" i="13"/>
  <c r="Z67" i="13"/>
  <c r="Z66" i="13"/>
  <c r="Y72" i="13"/>
  <c r="Y68" i="13"/>
  <c r="Y69" i="13"/>
  <c r="Y70" i="13"/>
  <c r="Y71" i="13"/>
  <c r="Y67" i="13"/>
  <c r="W72" i="13"/>
  <c r="W71" i="13"/>
  <c r="W68" i="13"/>
  <c r="W69" i="13"/>
  <c r="W70" i="13"/>
  <c r="W67" i="13"/>
  <c r="W66" i="13"/>
  <c r="AB73" i="13" l="1"/>
  <c r="Z90" i="13"/>
  <c r="Z91" i="13" s="1"/>
  <c r="AE66" i="13"/>
  <c r="AB66" i="13"/>
  <c r="AE73" i="13"/>
  <c r="Y73" i="13"/>
  <c r="Y66" i="13"/>
  <c r="Z45" i="13"/>
  <c r="Z39" i="13"/>
  <c r="AB38" i="13"/>
  <c r="AB37" i="13"/>
  <c r="Z37" i="13"/>
  <c r="Z35" i="13"/>
  <c r="AB49" i="13"/>
  <c r="Z49" i="13"/>
  <c r="Z48" i="13"/>
  <c r="AB47" i="13"/>
  <c r="Z47" i="13"/>
  <c r="AB46" i="13"/>
  <c r="Z46" i="13"/>
  <c r="AB45" i="13"/>
  <c r="Z44" i="13"/>
  <c r="AB43" i="13"/>
  <c r="Z43" i="13"/>
  <c r="AB42" i="13"/>
  <c r="Z42" i="13"/>
  <c r="AB41" i="13"/>
  <c r="Z41" i="13"/>
  <c r="AB40" i="13"/>
  <c r="Z40" i="13"/>
  <c r="AB39" i="13"/>
  <c r="Z38" i="13"/>
  <c r="AB36" i="13"/>
  <c r="Z36" i="13"/>
  <c r="AB35" i="13"/>
  <c r="AB34" i="13"/>
  <c r="Z34" i="13"/>
  <c r="AB33" i="13"/>
  <c r="Z33" i="13"/>
  <c r="AB32" i="13"/>
  <c r="Z32" i="13"/>
  <c r="AB31" i="13"/>
  <c r="Z31" i="13"/>
  <c r="AB30" i="13"/>
  <c r="Z30" i="13"/>
  <c r="AB29" i="13"/>
  <c r="Z29" i="13"/>
  <c r="AB28" i="13"/>
  <c r="Z28" i="13"/>
  <c r="Y38" i="13"/>
  <c r="Y50" i="13"/>
  <c r="Y49" i="13"/>
  <c r="Y47" i="13"/>
  <c r="Y46" i="13"/>
  <c r="Y45" i="13"/>
  <c r="Y43" i="13"/>
  <c r="Y42" i="13"/>
  <c r="Y39" i="13"/>
  <c r="Y40" i="13"/>
  <c r="Y41" i="13"/>
  <c r="Y36" i="13"/>
  <c r="Y37" i="13"/>
  <c r="Y33" i="13"/>
  <c r="Y34" i="13"/>
  <c r="Y35" i="13"/>
  <c r="Y30" i="13"/>
  <c r="Y31" i="13"/>
  <c r="Y32" i="13"/>
  <c r="Y29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45" i="13"/>
  <c r="W46" i="13"/>
  <c r="W47" i="13"/>
  <c r="W48" i="13"/>
  <c r="W49" i="13"/>
  <c r="W50" i="13"/>
  <c r="W29" i="13"/>
  <c r="Y28" i="13"/>
  <c r="W28" i="13" l="1"/>
  <c r="AB27" i="13"/>
  <c r="AB26" i="13"/>
  <c r="Z27" i="13"/>
  <c r="Z26" i="13"/>
  <c r="Y27" i="13"/>
  <c r="Y26" i="13"/>
  <c r="W27" i="13"/>
  <c r="W26" i="13"/>
  <c r="W25" i="13"/>
  <c r="W22" i="13" l="1"/>
  <c r="AB19" i="13"/>
  <c r="AB25" i="13"/>
  <c r="Z25" i="13"/>
  <c r="AB24" i="13"/>
  <c r="Z24" i="13"/>
  <c r="Z23" i="13"/>
  <c r="AB22" i="13"/>
  <c r="Z22" i="13"/>
  <c r="Z20" i="13"/>
  <c r="Z19" i="13"/>
  <c r="AB18" i="13"/>
  <c r="Z18" i="13"/>
  <c r="AB16" i="13"/>
  <c r="Z16" i="13"/>
  <c r="Y22" i="13"/>
  <c r="Y25" i="13"/>
  <c r="Y24" i="13"/>
  <c r="Y19" i="13"/>
  <c r="Y18" i="13"/>
  <c r="W23" i="13"/>
  <c r="W24" i="13"/>
  <c r="W19" i="13"/>
  <c r="W20" i="13"/>
  <c r="W18" i="13"/>
  <c r="W17" i="13"/>
  <c r="W16" i="13"/>
  <c r="Y16" i="13"/>
  <c r="Z51" i="13" l="1"/>
  <c r="Z52" i="13" s="1"/>
  <c r="V17" i="13"/>
  <c r="S17" i="13"/>
  <c r="P17" i="13"/>
  <c r="M17" i="13"/>
  <c r="J17" i="13"/>
  <c r="AE17" i="13" l="1"/>
  <c r="Y17" i="13"/>
  <c r="AB17" i="13"/>
  <c r="Z65" i="12"/>
  <c r="Z64" i="12"/>
  <c r="AB63" i="12"/>
  <c r="Z63" i="12"/>
  <c r="Z62" i="12"/>
  <c r="Z61" i="12"/>
  <c r="AB60" i="12"/>
  <c r="Z60" i="12"/>
  <c r="Z59" i="12"/>
  <c r="Z66" i="12" s="1"/>
  <c r="Z67" i="12" s="1"/>
  <c r="Z58" i="12"/>
  <c r="W65" i="12"/>
  <c r="W64" i="12"/>
  <c r="Y63" i="12"/>
  <c r="W63" i="12"/>
  <c r="Y60" i="12"/>
  <c r="W60" i="12"/>
  <c r="W58" i="12"/>
  <c r="W61" i="12"/>
  <c r="W62" i="12"/>
  <c r="Y59" i="12"/>
  <c r="W59" i="12"/>
  <c r="Y58" i="12"/>
  <c r="V59" i="12" l="1"/>
  <c r="S59" i="12"/>
  <c r="S58" i="12" s="1"/>
  <c r="P59" i="12"/>
  <c r="M59" i="12"/>
  <c r="M58" i="12" s="1"/>
  <c r="J59" i="12"/>
  <c r="Z42" i="12"/>
  <c r="Z41" i="12"/>
  <c r="AB42" i="12"/>
  <c r="AB41" i="12"/>
  <c r="Z40" i="12"/>
  <c r="Y42" i="12"/>
  <c r="W42" i="12"/>
  <c r="Y41" i="12"/>
  <c r="W41" i="12"/>
  <c r="Y40" i="12"/>
  <c r="W40" i="12"/>
  <c r="V40" i="12"/>
  <c r="AE40" i="12" s="1"/>
  <c r="S40" i="12"/>
  <c r="P40" i="12"/>
  <c r="M40" i="12"/>
  <c r="J40" i="12"/>
  <c r="AB39" i="12"/>
  <c r="AB38" i="12"/>
  <c r="Z38" i="12"/>
  <c r="Z37" i="12"/>
  <c r="W39" i="12"/>
  <c r="W38" i="12"/>
  <c r="Y39" i="12"/>
  <c r="Y38" i="12"/>
  <c r="Y37" i="12"/>
  <c r="W37" i="12"/>
  <c r="Y36" i="12"/>
  <c r="W36" i="12"/>
  <c r="V37" i="12"/>
  <c r="S37" i="12"/>
  <c r="P37" i="12"/>
  <c r="P36" i="12" s="1"/>
  <c r="M37" i="12"/>
  <c r="S36" i="12"/>
  <c r="M36" i="12"/>
  <c r="J36" i="12"/>
  <c r="J37" i="12"/>
  <c r="V58" i="12" l="1"/>
  <c r="AE58" i="12" s="1"/>
  <c r="AE59" i="12"/>
  <c r="P58" i="12"/>
  <c r="AB58" i="12" s="1"/>
  <c r="AB59" i="12"/>
  <c r="AB40" i="12"/>
  <c r="Z43" i="12"/>
  <c r="Z44" i="12" s="1"/>
  <c r="V36" i="12"/>
  <c r="AE37" i="12"/>
  <c r="AB37" i="12"/>
  <c r="W20" i="12"/>
  <c r="Z19" i="12"/>
  <c r="AB19" i="12"/>
  <c r="Z20" i="12"/>
  <c r="AB20" i="12"/>
  <c r="W19" i="12"/>
  <c r="Y19" i="12"/>
  <c r="Y20" i="12"/>
  <c r="AE36" i="12" l="1"/>
  <c r="AB36" i="12"/>
  <c r="AB17" i="12"/>
  <c r="AB18" i="12"/>
  <c r="Z18" i="12"/>
  <c r="W18" i="12"/>
  <c r="Z17" i="12"/>
  <c r="Z16" i="12"/>
  <c r="Z15" i="12"/>
  <c r="S15" i="12"/>
  <c r="Y15" i="12" s="1"/>
  <c r="Y18" i="12"/>
  <c r="Y17" i="12"/>
  <c r="W17" i="12"/>
  <c r="Y16" i="12"/>
  <c r="W16" i="12"/>
  <c r="W15" i="12"/>
  <c r="V16" i="12"/>
  <c r="AE16" i="12" s="1"/>
  <c r="S16" i="12"/>
  <c r="P16" i="12"/>
  <c r="M16" i="12"/>
  <c r="J16" i="12"/>
  <c r="Z21" i="12" l="1"/>
  <c r="Z22" i="12" s="1"/>
  <c r="V15" i="12"/>
  <c r="AE15" i="12" s="1"/>
  <c r="AB16" i="12"/>
  <c r="P15" i="12"/>
  <c r="AB15" i="12"/>
  <c r="AB37" i="11"/>
  <c r="AB36" i="11"/>
  <c r="Z37" i="11"/>
  <c r="Y37" i="11"/>
  <c r="Y36" i="11"/>
  <c r="W37" i="11"/>
  <c r="W36" i="11"/>
  <c r="Y35" i="11"/>
  <c r="W35" i="11"/>
  <c r="V35" i="11"/>
  <c r="AE35" i="11" s="1"/>
  <c r="S35" i="11"/>
  <c r="P35" i="11"/>
  <c r="M35" i="11"/>
  <c r="AB34" i="11"/>
  <c r="AB33" i="11"/>
  <c r="Z32" i="11"/>
  <c r="Z34" i="11"/>
  <c r="Z33" i="11"/>
  <c r="Y34" i="11"/>
  <c r="Y33" i="11"/>
  <c r="W34" i="11"/>
  <c r="W33" i="11"/>
  <c r="Y32" i="11"/>
  <c r="W32" i="11"/>
  <c r="V32" i="11"/>
  <c r="AE32" i="11" s="1"/>
  <c r="S32" i="11"/>
  <c r="P32" i="11"/>
  <c r="M32" i="11"/>
  <c r="J32" i="11"/>
  <c r="AB35" i="11" l="1"/>
  <c r="AB32" i="11"/>
  <c r="Y27" i="11"/>
  <c r="Z30" i="11"/>
  <c r="AB29" i="11"/>
  <c r="AB28" i="11"/>
  <c r="Z28" i="11"/>
  <c r="Y31" i="11"/>
  <c r="Y29" i="11"/>
  <c r="Y28" i="11"/>
  <c r="W29" i="11"/>
  <c r="W30" i="11"/>
  <c r="W31" i="11"/>
  <c r="W28" i="11"/>
  <c r="J27" i="11"/>
  <c r="V27" i="11"/>
  <c r="AE27" i="11" s="1"/>
  <c r="S27" i="11"/>
  <c r="P27" i="11"/>
  <c r="M27" i="11"/>
  <c r="G27" i="11"/>
  <c r="AB26" i="11"/>
  <c r="Z26" i="11"/>
  <c r="AB25" i="11"/>
  <c r="Z25" i="11"/>
  <c r="Y26" i="11"/>
  <c r="Y25" i="11"/>
  <c r="W26" i="11"/>
  <c r="W25" i="11"/>
  <c r="Y24" i="11"/>
  <c r="W24" i="11"/>
  <c r="V24" i="11"/>
  <c r="AE24" i="11" s="1"/>
  <c r="S24" i="11"/>
  <c r="P24" i="11"/>
  <c r="M24" i="11"/>
  <c r="G24" i="11"/>
  <c r="J24" i="11"/>
  <c r="AB23" i="11"/>
  <c r="Y23" i="11"/>
  <c r="AB21" i="11"/>
  <c r="Y21" i="11"/>
  <c r="Y19" i="11"/>
  <c r="Z22" i="11"/>
  <c r="Z23" i="11"/>
  <c r="W22" i="11"/>
  <c r="W18" i="11"/>
  <c r="W19" i="11"/>
  <c r="W21" i="11"/>
  <c r="AB27" i="11" l="1"/>
  <c r="AB24" i="11"/>
  <c r="AB20" i="11"/>
  <c r="Z38" i="11"/>
  <c r="Z39" i="11" s="1"/>
  <c r="Y18" i="11"/>
  <c r="Y17" i="11"/>
  <c r="W17" i="11"/>
  <c r="Y16" i="11"/>
  <c r="W16" i="11"/>
  <c r="V17" i="11"/>
  <c r="S17" i="11"/>
  <c r="P17" i="11"/>
  <c r="P16" i="11" s="1"/>
  <c r="J17" i="11"/>
  <c r="M17" i="11"/>
  <c r="V16" i="11" l="1"/>
  <c r="AE16" i="11" s="1"/>
  <c r="AE17" i="11"/>
  <c r="AB17" i="11"/>
  <c r="AB151" i="10"/>
  <c r="AB150" i="10"/>
  <c r="Z150" i="10"/>
  <c r="Y151" i="10"/>
  <c r="Y152" i="10"/>
  <c r="Y153" i="10"/>
  <c r="Y150" i="10"/>
  <c r="W151" i="10"/>
  <c r="W152" i="10"/>
  <c r="W150" i="10"/>
  <c r="Y149" i="10"/>
  <c r="W149" i="10"/>
  <c r="S149" i="10"/>
  <c r="P149" i="10"/>
  <c r="AB149" i="10" s="1"/>
  <c r="M149" i="10"/>
  <c r="J149" i="10"/>
  <c r="AB16" i="11" l="1"/>
  <c r="Z154" i="10"/>
  <c r="Z155" i="10" s="1"/>
  <c r="W132" i="10"/>
  <c r="AB133" i="10"/>
  <c r="Z133" i="10"/>
  <c r="AB132" i="10"/>
  <c r="Y133" i="10"/>
  <c r="Y132" i="10"/>
  <c r="W133" i="10"/>
  <c r="Y131" i="10"/>
  <c r="V131" i="10"/>
  <c r="AE131" i="10" s="1"/>
  <c r="S131" i="10"/>
  <c r="P131" i="10"/>
  <c r="AB131" i="10" s="1"/>
  <c r="M131" i="10"/>
  <c r="J131" i="10"/>
  <c r="W134" i="10" l="1"/>
  <c r="Z134" i="10"/>
  <c r="Z135" i="10" s="1"/>
  <c r="AB115" i="10"/>
  <c r="Z115" i="10"/>
  <c r="AB114" i="10"/>
  <c r="Y115" i="10"/>
  <c r="Y114" i="10"/>
  <c r="W115" i="10"/>
  <c r="W114" i="10"/>
  <c r="Y113" i="10"/>
  <c r="Z116" i="10" l="1"/>
  <c r="Z117" i="10" s="1"/>
  <c r="V113" i="10"/>
  <c r="AE113" i="10" s="1"/>
  <c r="S113" i="10"/>
  <c r="P113" i="10"/>
  <c r="M113" i="10"/>
  <c r="J113" i="10"/>
  <c r="AM97" i="10"/>
  <c r="AB97" i="10"/>
  <c r="Z97" i="10"/>
  <c r="Z96" i="10"/>
  <c r="Z95" i="10"/>
  <c r="AB94" i="10"/>
  <c r="Z94" i="10"/>
  <c r="Z93" i="10"/>
  <c r="Y94" i="10"/>
  <c r="Y93" i="10"/>
  <c r="W95" i="10"/>
  <c r="W96" i="10"/>
  <c r="W94" i="10"/>
  <c r="W93" i="10"/>
  <c r="AE93" i="10"/>
  <c r="S93" i="10"/>
  <c r="M93" i="10"/>
  <c r="J93" i="10"/>
  <c r="AB113" i="10" l="1"/>
  <c r="AB93" i="10"/>
  <c r="AB92" i="10"/>
  <c r="Z92" i="10"/>
  <c r="AB91" i="10"/>
  <c r="Z91" i="10"/>
  <c r="AB90" i="10"/>
  <c r="Z90" i="10"/>
  <c r="AB89" i="10"/>
  <c r="Z89" i="10"/>
  <c r="Y90" i="10"/>
  <c r="Y91" i="10"/>
  <c r="Y92" i="10"/>
  <c r="W90" i="10"/>
  <c r="W91" i="10"/>
  <c r="W92" i="10"/>
  <c r="Y89" i="10"/>
  <c r="W89" i="10"/>
  <c r="Y88" i="10"/>
  <c r="Y87" i="10"/>
  <c r="AB88" i="10" l="1"/>
  <c r="Z88" i="10"/>
  <c r="Z87" i="10"/>
  <c r="Z83" i="10"/>
  <c r="AB84" i="10"/>
  <c r="Z84" i="10"/>
  <c r="Z82" i="10"/>
  <c r="AB81" i="10"/>
  <c r="Z81" i="10"/>
  <c r="Z80" i="10"/>
  <c r="Z79" i="10"/>
  <c r="AB78" i="10"/>
  <c r="Z78" i="10"/>
  <c r="Z77" i="10"/>
  <c r="Z76" i="10"/>
  <c r="Z75" i="10"/>
  <c r="AB74" i="10"/>
  <c r="Z74" i="10"/>
  <c r="Z73" i="10"/>
  <c r="Z72" i="10"/>
  <c r="AB71" i="10"/>
  <c r="Z71" i="10"/>
  <c r="Y85" i="10"/>
  <c r="Y84" i="10"/>
  <c r="Y81" i="10"/>
  <c r="Y78" i="10"/>
  <c r="Y74" i="10"/>
  <c r="Y71" i="10"/>
  <c r="W72" i="10"/>
  <c r="W73" i="10"/>
  <c r="W74" i="10"/>
  <c r="W75" i="10"/>
  <c r="W76" i="10"/>
  <c r="W77" i="10"/>
  <c r="W78" i="10"/>
  <c r="W79" i="10"/>
  <c r="W80" i="10"/>
  <c r="W81" i="10"/>
  <c r="W82" i="10"/>
  <c r="W83" i="10"/>
  <c r="W84" i="10"/>
  <c r="W85" i="10"/>
  <c r="W86" i="10"/>
  <c r="W87" i="10"/>
  <c r="W88" i="10"/>
  <c r="W71" i="10"/>
  <c r="Y70" i="10"/>
  <c r="W70" i="10"/>
  <c r="M70" i="10"/>
  <c r="V70" i="10" l="1"/>
  <c r="AE70" i="10" s="1"/>
  <c r="S70" i="10"/>
  <c r="P70" i="10"/>
  <c r="AB68" i="10"/>
  <c r="Z69" i="10"/>
  <c r="Z68" i="10"/>
  <c r="AB67" i="10"/>
  <c r="AB66" i="10"/>
  <c r="Z66" i="10"/>
  <c r="Z65" i="10"/>
  <c r="Y68" i="10"/>
  <c r="Y67" i="10"/>
  <c r="Y66" i="10"/>
  <c r="W69" i="10"/>
  <c r="W68" i="10"/>
  <c r="W67" i="10"/>
  <c r="W66" i="10"/>
  <c r="Y65" i="10"/>
  <c r="W65" i="10"/>
  <c r="AB70" i="10" l="1"/>
  <c r="V65" i="10"/>
  <c r="AE65" i="10" s="1"/>
  <c r="S65" i="10"/>
  <c r="P65" i="10"/>
  <c r="M65" i="10"/>
  <c r="J65" i="10"/>
  <c r="AB64" i="10"/>
  <c r="AB62" i="10"/>
  <c r="Z62" i="10"/>
  <c r="Z61" i="10"/>
  <c r="W62" i="10"/>
  <c r="Y62" i="10"/>
  <c r="W63" i="10"/>
  <c r="Y61" i="10"/>
  <c r="W61" i="10"/>
  <c r="V61" i="10"/>
  <c r="AE61" i="10" s="1"/>
  <c r="S61" i="10"/>
  <c r="P61" i="10"/>
  <c r="M61" i="10"/>
  <c r="J61" i="10"/>
  <c r="AB45" i="10"/>
  <c r="Z45" i="10"/>
  <c r="Z44" i="10"/>
  <c r="AB43" i="10"/>
  <c r="Z43" i="10"/>
  <c r="Y45" i="10"/>
  <c r="Y43" i="10"/>
  <c r="Y42" i="10"/>
  <c r="Y41" i="10"/>
  <c r="W45" i="10"/>
  <c r="W44" i="10"/>
  <c r="W43" i="10"/>
  <c r="V42" i="10"/>
  <c r="S42" i="10"/>
  <c r="P42" i="10"/>
  <c r="M42" i="10"/>
  <c r="J42" i="10"/>
  <c r="W41" i="10"/>
  <c r="AB65" i="10" l="1"/>
  <c r="AB61" i="10"/>
  <c r="Z98" i="10"/>
  <c r="Z99" i="10" s="1"/>
  <c r="P41" i="10"/>
  <c r="AB42" i="10"/>
  <c r="AE42" i="10"/>
  <c r="V41" i="10"/>
  <c r="AE41" i="10" s="1"/>
  <c r="Z46" i="10"/>
  <c r="Z47" i="10" s="1"/>
  <c r="AB25" i="10"/>
  <c r="Z25" i="10"/>
  <c r="AB24" i="10"/>
  <c r="Z26" i="10"/>
  <c r="Z27" i="10" s="1"/>
  <c r="Z22" i="10"/>
  <c r="W26" i="10"/>
  <c r="S21" i="10"/>
  <c r="M21" i="10"/>
  <c r="V22" i="10"/>
  <c r="AE22" i="10" s="1"/>
  <c r="S22" i="10"/>
  <c r="P22" i="10"/>
  <c r="M22" i="10"/>
  <c r="J21" i="10"/>
  <c r="J22" i="10"/>
  <c r="Y25" i="10"/>
  <c r="Y24" i="10"/>
  <c r="W25" i="10"/>
  <c r="W24" i="10"/>
  <c r="W23" i="10"/>
  <c r="W22" i="10"/>
  <c r="AB41" i="10" l="1"/>
  <c r="V21" i="10"/>
  <c r="AE21" i="10" s="1"/>
  <c r="AB22" i="10"/>
  <c r="P21" i="10"/>
  <c r="AB21" i="10" s="1"/>
  <c r="Y22" i="10"/>
  <c r="Z140" i="9" l="1"/>
  <c r="Z139" i="9"/>
  <c r="AB138" i="9"/>
  <c r="Z137" i="9"/>
  <c r="AB136" i="9"/>
  <c r="AB135" i="9"/>
  <c r="Z135" i="9"/>
  <c r="AB134" i="9"/>
  <c r="Z134" i="9"/>
  <c r="AB133" i="9"/>
  <c r="Z133" i="9"/>
  <c r="Z141" i="9" s="1"/>
  <c r="Z142" i="9" s="1"/>
  <c r="Y132" i="9"/>
  <c r="W140" i="9"/>
  <c r="W139" i="9"/>
  <c r="W136" i="9"/>
  <c r="W133" i="9"/>
  <c r="W132" i="9"/>
  <c r="Y139" i="9" l="1"/>
  <c r="Y138" i="9"/>
  <c r="Y134" i="9"/>
  <c r="Y135" i="9"/>
  <c r="Y136" i="9"/>
  <c r="Y137" i="9"/>
  <c r="W137" i="9"/>
  <c r="W134" i="9"/>
  <c r="W135" i="9"/>
  <c r="Y133" i="9"/>
  <c r="V132" i="9" l="1"/>
  <c r="AE132" i="9" s="1"/>
  <c r="S132" i="9"/>
  <c r="P132" i="9"/>
  <c r="AB132" i="9" s="1"/>
  <c r="M132" i="9"/>
  <c r="J132" i="9"/>
  <c r="W114" i="9" l="1"/>
  <c r="Z114" i="9"/>
  <c r="Z115" i="9"/>
  <c r="W115" i="9"/>
  <c r="AB113" i="9" l="1"/>
  <c r="Z113" i="9"/>
  <c r="Z111" i="9"/>
  <c r="Z110" i="9"/>
  <c r="Z109" i="9"/>
  <c r="Y111" i="9"/>
  <c r="Y112" i="9"/>
  <c r="Y113" i="9"/>
  <c r="Y110" i="9"/>
  <c r="W111" i="9"/>
  <c r="W112" i="9"/>
  <c r="W113" i="9"/>
  <c r="W110" i="9"/>
  <c r="Z117" i="9" l="1"/>
  <c r="Z118" i="9" s="1"/>
  <c r="V109" i="9"/>
  <c r="AE109" i="9" s="1"/>
  <c r="S109" i="9"/>
  <c r="P109" i="9"/>
  <c r="M109" i="9"/>
  <c r="J109" i="9"/>
  <c r="S88" i="9"/>
  <c r="P88" i="9"/>
  <c r="M88" i="9"/>
  <c r="J88" i="9"/>
  <c r="M65" i="9"/>
  <c r="J65" i="9"/>
  <c r="S65" i="9"/>
  <c r="V65" i="9"/>
  <c r="AE65" i="9" s="1"/>
  <c r="P65" i="9"/>
  <c r="M63" i="9"/>
  <c r="M48" i="9"/>
  <c r="Z90" i="9"/>
  <c r="Z93" i="9"/>
  <c r="AB92" i="9"/>
  <c r="Z91" i="9"/>
  <c r="AB90" i="9"/>
  <c r="Z94" i="9"/>
  <c r="Z95" i="9" s="1"/>
  <c r="W93" i="9"/>
  <c r="V88" i="9"/>
  <c r="AE88" i="9" s="1"/>
  <c r="Y92" i="9"/>
  <c r="Y89" i="9"/>
  <c r="W89" i="9"/>
  <c r="W88" i="9"/>
  <c r="M17" i="9" l="1"/>
  <c r="AB88" i="9"/>
  <c r="AB109" i="9"/>
  <c r="Y109" i="9"/>
  <c r="Y88" i="9"/>
  <c r="Z70" i="9" l="1"/>
  <c r="Z72" i="9"/>
  <c r="Z68" i="9"/>
  <c r="Z65" i="9"/>
  <c r="Y56" i="9"/>
  <c r="Z54" i="9"/>
  <c r="G48" i="9"/>
  <c r="V48" i="9"/>
  <c r="S48" i="9"/>
  <c r="P48" i="9"/>
  <c r="AB70" i="9"/>
  <c r="Z69" i="9"/>
  <c r="AB68" i="9"/>
  <c r="Z67" i="9"/>
  <c r="Z66" i="9"/>
  <c r="AB65" i="9"/>
  <c r="AB64" i="9"/>
  <c r="Z62" i="9"/>
  <c r="AB61" i="9"/>
  <c r="Z61" i="9"/>
  <c r="Z60" i="9"/>
  <c r="AB59" i="9"/>
  <c r="Z59" i="9"/>
  <c r="AB58" i="9"/>
  <c r="Z57" i="9"/>
  <c r="AB56" i="9"/>
  <c r="Z56" i="9"/>
  <c r="AB54" i="9"/>
  <c r="Z53" i="9"/>
  <c r="Z52" i="9"/>
  <c r="AB51" i="9"/>
  <c r="Z48" i="9"/>
  <c r="Y70" i="9"/>
  <c r="W72" i="9"/>
  <c r="W71" i="9"/>
  <c r="W70" i="9"/>
  <c r="Y68" i="9"/>
  <c r="W68" i="9"/>
  <c r="Y66" i="9"/>
  <c r="W67" i="9"/>
  <c r="W66" i="9"/>
  <c r="W65" i="9"/>
  <c r="Z73" i="9" l="1"/>
  <c r="Z74" i="9" s="1"/>
  <c r="S17" i="9"/>
  <c r="AE48" i="9"/>
  <c r="AB48" i="9"/>
  <c r="V63" i="9"/>
  <c r="S63" i="9"/>
  <c r="P63" i="9"/>
  <c r="P17" i="9" s="1"/>
  <c r="AE63" i="9" l="1"/>
  <c r="V17" i="9"/>
  <c r="AB17" i="9" s="1"/>
  <c r="W61" i="9"/>
  <c r="W62" i="9"/>
  <c r="Y59" i="9"/>
  <c r="W59" i="9"/>
  <c r="Y65" i="9"/>
  <c r="Y61" i="9"/>
  <c r="Y58" i="9"/>
  <c r="W60" i="9"/>
  <c r="W57" i="9"/>
  <c r="AE17" i="9" l="1"/>
  <c r="Z17" i="9"/>
  <c r="Z32" i="9"/>
  <c r="AB31" i="9"/>
  <c r="Z29" i="9"/>
  <c r="Z28" i="9"/>
  <c r="Z27" i="9"/>
  <c r="Z26" i="9"/>
  <c r="Z24" i="9"/>
  <c r="Z23" i="9"/>
  <c r="Z21" i="9"/>
  <c r="Z20" i="9"/>
  <c r="Z19" i="9"/>
  <c r="AB18" i="9"/>
  <c r="Z18" i="9"/>
  <c r="Y55" i="9"/>
  <c r="W55" i="9"/>
  <c r="Y54" i="9"/>
  <c r="W53" i="9"/>
  <c r="Y52" i="9"/>
  <c r="W52" i="9"/>
  <c r="Z33" i="9" l="1"/>
  <c r="Z34" i="9" s="1"/>
  <c r="Y51" i="9"/>
  <c r="Y48" i="9"/>
  <c r="W54" i="9"/>
  <c r="W56" i="9"/>
  <c r="W73" i="9" s="1"/>
  <c r="W69" i="9"/>
  <c r="W48" i="9"/>
  <c r="W30" i="9" l="1"/>
  <c r="W32" i="9"/>
  <c r="Y31" i="9" l="1"/>
  <c r="Y30" i="9"/>
  <c r="Y18" i="9"/>
  <c r="Y17" i="9"/>
  <c r="W23" i="9"/>
  <c r="W24" i="9"/>
  <c r="W26" i="9"/>
  <c r="W27" i="9"/>
  <c r="W29" i="9"/>
  <c r="W31" i="9"/>
  <c r="W19" i="9"/>
  <c r="W20" i="9"/>
  <c r="W21" i="9"/>
  <c r="W22" i="9"/>
  <c r="W33" i="9" s="1"/>
  <c r="W18" i="9"/>
  <c r="W17" i="9"/>
  <c r="AM62" i="9" l="1"/>
  <c r="AM61" i="9"/>
  <c r="AM91" i="9" l="1"/>
  <c r="AM129" i="13" l="1"/>
  <c r="AM128" i="13"/>
  <c r="AM106" i="13"/>
  <c r="AM107" i="13"/>
  <c r="AM108" i="13"/>
  <c r="AM109" i="13"/>
  <c r="AM110" i="13"/>
  <c r="AM111" i="13"/>
  <c r="AM67" i="13"/>
  <c r="AM68" i="13"/>
  <c r="AM69" i="13"/>
  <c r="AM70" i="13"/>
  <c r="AM71" i="13"/>
  <c r="AM72" i="13"/>
  <c r="AM73" i="13"/>
  <c r="AM74" i="13"/>
  <c r="AM75" i="13"/>
  <c r="AM76" i="13"/>
  <c r="AM77" i="13"/>
  <c r="AM78" i="13"/>
  <c r="AM79" i="13"/>
  <c r="AM80" i="13"/>
  <c r="AM81" i="13"/>
  <c r="AM82" i="13"/>
  <c r="AM83" i="13"/>
  <c r="AM84" i="13"/>
  <c r="AM85" i="13"/>
  <c r="AM86" i="13"/>
  <c r="AM87" i="13"/>
  <c r="AM88" i="13"/>
  <c r="AM89" i="13"/>
  <c r="AM66" i="13"/>
  <c r="AM17" i="13"/>
  <c r="AM18" i="13"/>
  <c r="AM19" i="13"/>
  <c r="AM20" i="13"/>
  <c r="AM21" i="13"/>
  <c r="AM22" i="13"/>
  <c r="AM23" i="13"/>
  <c r="AM24" i="13"/>
  <c r="AM25" i="13"/>
  <c r="AM27" i="13"/>
  <c r="AM28" i="13"/>
  <c r="AM29" i="13"/>
  <c r="AM30" i="13"/>
  <c r="AM31" i="13"/>
  <c r="AM32" i="13"/>
  <c r="AM33" i="13"/>
  <c r="AM34" i="13"/>
  <c r="AM35" i="13"/>
  <c r="AM36" i="13"/>
  <c r="AM37" i="13"/>
  <c r="AM38" i="13"/>
  <c r="AM39" i="13"/>
  <c r="AM40" i="13"/>
  <c r="AM41" i="13"/>
  <c r="AM42" i="13"/>
  <c r="AM43" i="13"/>
  <c r="AM44" i="13"/>
  <c r="AM45" i="13"/>
  <c r="AM46" i="13"/>
  <c r="AM47" i="13"/>
  <c r="AM48" i="13"/>
  <c r="AM49" i="13"/>
  <c r="AM50" i="13"/>
  <c r="AM16" i="13"/>
  <c r="J58" i="12"/>
  <c r="N58" i="12"/>
  <c r="H58" i="12"/>
  <c r="N36" i="12"/>
  <c r="H36" i="12"/>
  <c r="N15" i="12"/>
  <c r="J15" i="12"/>
  <c r="AM59" i="12"/>
  <c r="AM60" i="12"/>
  <c r="AM61" i="12"/>
  <c r="AM62" i="12"/>
  <c r="AM63" i="12"/>
  <c r="AM64" i="12"/>
  <c r="AM65" i="12"/>
  <c r="AM38" i="12"/>
  <c r="AM39" i="12"/>
  <c r="AM40" i="12"/>
  <c r="AM41" i="12"/>
  <c r="AM42" i="12"/>
  <c r="AM37" i="12"/>
  <c r="AM16" i="12"/>
  <c r="AM17" i="12"/>
  <c r="AM18" i="12"/>
  <c r="AM19" i="12"/>
  <c r="AM20" i="12"/>
  <c r="AM15" i="12"/>
  <c r="AM32" i="11"/>
  <c r="N32" i="11"/>
  <c r="AM18" i="11"/>
  <c r="AM19" i="11"/>
  <c r="AM20" i="11"/>
  <c r="AM21" i="11"/>
  <c r="AM22" i="11"/>
  <c r="AM23" i="11"/>
  <c r="AM24" i="11"/>
  <c r="AM25" i="11"/>
  <c r="AM26" i="11"/>
  <c r="AM27" i="11"/>
  <c r="AM28" i="11"/>
  <c r="AM29" i="11"/>
  <c r="AM30" i="11"/>
  <c r="AM31" i="11"/>
  <c r="AM33" i="11"/>
  <c r="AM34" i="11"/>
  <c r="AM36" i="11"/>
  <c r="AM37" i="11"/>
  <c r="AM16" i="11"/>
  <c r="N21" i="10"/>
  <c r="AM150" i="10"/>
  <c r="AM151" i="10"/>
  <c r="AM152" i="10"/>
  <c r="AM153" i="10"/>
  <c r="AM94" i="10"/>
  <c r="AM95" i="10"/>
  <c r="AM96" i="10"/>
  <c r="AM149" i="10"/>
  <c r="AM132" i="10"/>
  <c r="AM133" i="10"/>
  <c r="AM131" i="10"/>
  <c r="AM114" i="10"/>
  <c r="AM115" i="10"/>
  <c r="AM113" i="10"/>
  <c r="AM62" i="10"/>
  <c r="AM63" i="10"/>
  <c r="AM64" i="10"/>
  <c r="AM65" i="10"/>
  <c r="AM66" i="10"/>
  <c r="AM67" i="10"/>
  <c r="AM68" i="10"/>
  <c r="AM69" i="10"/>
  <c r="AM70" i="10"/>
  <c r="AM71" i="10"/>
  <c r="AM72" i="10"/>
  <c r="AM73" i="10"/>
  <c r="AM74" i="10"/>
  <c r="AM75" i="10"/>
  <c r="AM76" i="10"/>
  <c r="AM77" i="10"/>
  <c r="AM78" i="10"/>
  <c r="AM79" i="10"/>
  <c r="AM80" i="10"/>
  <c r="AM81" i="10"/>
  <c r="AM82" i="10"/>
  <c r="AM83" i="10"/>
  <c r="AM84" i="10"/>
  <c r="AM85" i="10"/>
  <c r="AM86" i="10"/>
  <c r="AM87" i="10"/>
  <c r="AM88" i="10"/>
  <c r="AM89" i="10"/>
  <c r="AM90" i="10"/>
  <c r="AM91" i="10"/>
  <c r="AM92" i="10"/>
  <c r="AM93" i="10"/>
  <c r="AM61" i="10"/>
  <c r="AM43" i="10"/>
  <c r="AM44" i="10"/>
  <c r="AM45" i="10"/>
  <c r="AM41" i="10"/>
  <c r="AM23" i="10"/>
  <c r="AM24" i="10"/>
  <c r="AM25" i="10"/>
  <c r="W109" i="9"/>
  <c r="W117" i="9" s="1"/>
  <c r="AM18" i="9"/>
  <c r="AM19" i="9"/>
  <c r="AM20" i="9"/>
  <c r="AM21" i="9"/>
  <c r="AM22" i="9"/>
  <c r="AM23" i="9"/>
  <c r="AM24" i="9"/>
  <c r="AM25" i="9"/>
  <c r="AM26" i="9"/>
  <c r="AM27" i="9"/>
  <c r="AM28" i="9"/>
  <c r="AM29" i="9"/>
  <c r="AM30" i="9"/>
  <c r="AM31" i="9"/>
  <c r="AM32" i="9"/>
  <c r="AM48" i="9"/>
  <c r="AM49" i="9"/>
  <c r="AM50" i="9"/>
  <c r="AM52" i="9"/>
  <c r="AM53" i="9"/>
  <c r="AM54" i="9"/>
  <c r="AM55" i="9"/>
  <c r="AM56" i="9"/>
  <c r="AM57" i="9"/>
  <c r="AM51" i="9"/>
  <c r="AM58" i="9"/>
  <c r="AM59" i="9"/>
  <c r="AM60" i="9"/>
  <c r="AM64" i="9"/>
  <c r="AM65" i="9"/>
  <c r="AM66" i="9"/>
  <c r="AM67" i="9"/>
  <c r="AM68" i="9"/>
  <c r="AM69" i="9"/>
  <c r="AM70" i="9"/>
  <c r="AM71" i="9"/>
  <c r="AM72" i="9"/>
  <c r="AM88" i="9"/>
  <c r="AM89" i="9"/>
  <c r="AM90" i="9"/>
  <c r="AM92" i="9"/>
  <c r="AM93" i="9"/>
  <c r="AM109" i="9"/>
  <c r="AM110" i="9"/>
  <c r="AM111" i="9"/>
  <c r="AM112" i="9"/>
  <c r="AM113" i="9"/>
  <c r="AM114" i="9"/>
  <c r="AM115" i="9"/>
  <c r="AM116" i="9"/>
  <c r="AM132" i="9"/>
  <c r="AM133" i="9"/>
  <c r="AM134" i="9"/>
  <c r="AM135" i="9"/>
  <c r="AM136" i="9"/>
  <c r="AM137" i="9"/>
  <c r="AM138" i="9"/>
  <c r="AM139" i="9"/>
  <c r="AM140" i="9"/>
  <c r="AM17" i="9"/>
  <c r="AM21" i="10" l="1"/>
  <c r="Y21" i="10"/>
  <c r="AM22" i="10"/>
  <c r="AS28" i="13"/>
  <c r="W51" i="13"/>
  <c r="AB105" i="13" l="1"/>
  <c r="AM105" i="13"/>
  <c r="AM112" i="13"/>
  <c r="AM63" i="9" l="1"/>
  <c r="J63" i="9"/>
  <c r="AM35" i="11" l="1"/>
  <c r="J35" i="11"/>
  <c r="AM17" i="11" l="1"/>
  <c r="G17" i="11"/>
  <c r="AM58" i="12" l="1"/>
  <c r="AM42" i="10" l="1"/>
  <c r="W130" i="13" l="1"/>
  <c r="W113" i="13"/>
  <c r="W114" i="13" s="1"/>
  <c r="W143" i="13" l="1"/>
  <c r="W144" i="13"/>
  <c r="W131" i="13"/>
  <c r="W90" i="13" l="1"/>
  <c r="W142" i="13" l="1"/>
  <c r="W91" i="13"/>
  <c r="W141" i="13" l="1"/>
  <c r="W145" i="13" s="1"/>
  <c r="W146" i="13" s="1"/>
  <c r="W52" i="13"/>
  <c r="W43" i="12"/>
  <c r="W21" i="12"/>
  <c r="W66" i="12"/>
  <c r="W78" i="12" l="1"/>
  <c r="W22" i="12"/>
  <c r="W79" i="12"/>
  <c r="W44" i="12"/>
  <c r="W80" i="12"/>
  <c r="W67" i="12"/>
  <c r="W81" i="12" l="1"/>
  <c r="W82" i="12" s="1"/>
  <c r="W38" i="11" l="1"/>
  <c r="W50" i="11" l="1"/>
  <c r="W51" i="11" s="1"/>
  <c r="W52" i="11" s="1"/>
  <c r="W39" i="11"/>
  <c r="W116" i="10" l="1"/>
  <c r="W154" i="10"/>
  <c r="W169" i="10" l="1"/>
  <c r="W117" i="10"/>
  <c r="W171" i="10"/>
  <c r="W155" i="10"/>
  <c r="W170" i="10"/>
  <c r="W135" i="10"/>
  <c r="W98" i="10" l="1"/>
  <c r="W46" i="10"/>
  <c r="W166" i="10" l="1"/>
  <c r="W27" i="10"/>
  <c r="W168" i="10"/>
  <c r="W99" i="10"/>
  <c r="W47" i="10"/>
  <c r="W167" i="10"/>
  <c r="W172" i="10" l="1"/>
  <c r="W173" i="10" s="1"/>
  <c r="W141" i="9"/>
  <c r="W156" i="9" l="1"/>
  <c r="W157" i="9"/>
  <c r="W142" i="9"/>
  <c r="W118" i="9" l="1"/>
  <c r="W94" i="9"/>
  <c r="W95" i="9" s="1"/>
  <c r="W155" i="9" l="1"/>
  <c r="W154" i="9" l="1"/>
  <c r="W74" i="9"/>
  <c r="W34" i="9" l="1"/>
  <c r="W153" i="9" l="1"/>
  <c r="W158" i="9" s="1"/>
  <c r="W159" i="9" s="1"/>
  <c r="AM26" i="13" l="1"/>
</calcChain>
</file>

<file path=xl/comments1.xml><?xml version="1.0" encoding="utf-8"?>
<comments xmlns="http://schemas.openxmlformats.org/spreadsheetml/2006/main">
  <authors>
    <author>W10 PRO</author>
    <author>Ultimate</author>
  </authors>
  <commentList>
    <comment ref="Q22" authorId="0" shapeId="0">
      <text>
        <r>
          <rPr>
            <b/>
            <sz val="12"/>
            <color indexed="81"/>
            <rFont val="Tahoma"/>
            <family val="2"/>
          </rPr>
          <t>Jumlah peserta didik PAUD/Jumlah penduduk usia 5-6 th dikali 100</t>
        </r>
      </text>
    </comment>
    <comment ref="E25" authorId="0" shapeId="0">
      <text>
        <r>
          <rPr>
            <b/>
            <sz val="12"/>
            <color indexed="81"/>
            <rFont val="Tahoma"/>
            <family val="2"/>
          </rPr>
          <t>Jumlah siswa putus sekolah/jumlah seluruh siswa dikali 100</t>
        </r>
      </text>
    </comment>
    <comment ref="H30" authorId="0" shapeId="0">
      <text>
        <r>
          <rPr>
            <b/>
            <sz val="14"/>
            <color indexed="81"/>
            <rFont val="Tahoma"/>
            <family val="2"/>
          </rPr>
          <t>Bab VI 100</t>
        </r>
      </text>
    </comment>
    <comment ref="Q52" authorId="0" shapeId="0">
      <text>
        <r>
          <rPr>
            <b/>
            <sz val="12"/>
            <color indexed="81"/>
            <rFont val="Tahoma"/>
            <family val="2"/>
          </rPr>
          <t>Jumlah poskesdes/jumlah desa dikali 100</t>
        </r>
      </text>
    </comment>
    <comment ref="T52" authorId="0" shapeId="0">
      <text>
        <r>
          <rPr>
            <b/>
            <sz val="12"/>
            <color indexed="81"/>
            <rFont val="Tahoma"/>
            <family val="2"/>
          </rPr>
          <t>Jumlah poskesdes/jumlah desa dikali 100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Capaian Triwulanan agar diakumulasi</t>
        </r>
      </text>
    </comment>
    <comment ref="Q53" authorId="0" shapeId="0">
      <text>
        <r>
          <rPr>
            <b/>
            <sz val="11"/>
            <color indexed="81"/>
            <rFont val="Tahoma"/>
            <family val="2"/>
          </rPr>
          <t>Jumlah alkes rata-rata per PKM/Jumlah alkes standar per PKM dikali 100</t>
        </r>
      </text>
    </comment>
    <comment ref="T53" authorId="0" shapeId="0">
      <text>
        <r>
          <rPr>
            <b/>
            <sz val="11"/>
            <color indexed="81"/>
            <rFont val="Tahoma"/>
            <family val="2"/>
          </rPr>
          <t>Jumlah alkes rata-rata per PKM/Jumlah alkes standar per PKM dikali 100</t>
        </r>
      </text>
    </comment>
    <comment ref="Q56" authorId="0" shapeId="0">
      <text>
        <r>
          <rPr>
            <b/>
            <sz val="12"/>
            <color indexed="81"/>
            <rFont val="Tahoma"/>
            <family val="2"/>
          </rPr>
          <t>Rata-rata capaian 6 indikator pemenuhan SPM penyakit menular dan tidak menular</t>
        </r>
      </text>
    </comment>
    <comment ref="D57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Capaian triwulanan agar diakumulasi</t>
        </r>
      </text>
    </comment>
    <comment ref="Q57" authorId="0" shapeId="0">
      <text>
        <r>
          <rPr>
            <b/>
            <sz val="12"/>
            <color indexed="81"/>
            <rFont val="Tahoma"/>
            <family val="2"/>
          </rPr>
          <t>rata-rata capaian 5 indikator pengendalian penyakit menular</t>
        </r>
      </text>
    </comment>
    <comment ref="H59" authorId="0" shapeId="0">
      <text>
        <r>
          <rPr>
            <b/>
            <sz val="14"/>
            <color indexed="81"/>
            <rFont val="Tahoma"/>
            <family val="2"/>
          </rPr>
          <t>Bab VI 89,28</t>
        </r>
      </text>
    </comment>
    <comment ref="Q59" authorId="0" shapeId="0">
      <text>
        <r>
          <rPr>
            <b/>
            <sz val="11"/>
            <color indexed="81"/>
            <rFont val="Tahoma"/>
            <family val="2"/>
          </rPr>
          <t>jumlah organisasi yg menindaklanjuti kesepakatan PUP/Jumlah organisasi yg menyepakati PUP dikali 100</t>
        </r>
      </text>
    </comment>
    <comment ref="T59" authorId="0" shapeId="0">
      <text>
        <r>
          <rPr>
            <b/>
            <sz val="11"/>
            <color indexed="81"/>
            <rFont val="Tahoma"/>
            <family val="2"/>
          </rPr>
          <t>jumlah organisasi yg menindaklanjuti kesepakatan PUP/Jumlah organisasi yg menyepakati PUP dikali 100</t>
        </r>
      </text>
    </comment>
    <comment ref="Q60" authorId="0" shapeId="0">
      <text>
        <r>
          <rPr>
            <b/>
            <sz val="12"/>
            <color indexed="81"/>
            <rFont val="Tahoma"/>
            <family val="2"/>
          </rPr>
          <t>jumlah peserta KB aktif/jumlah PUS dikali 100</t>
        </r>
      </text>
    </comment>
    <comment ref="H61" authorId="0" shapeId="0">
      <text>
        <r>
          <rPr>
            <b/>
            <sz val="14"/>
            <color indexed="81"/>
            <rFont val="Tahoma"/>
            <family val="2"/>
          </rPr>
          <t>Bab VI 89,28</t>
        </r>
      </text>
    </comment>
    <comment ref="D71" authorId="0" shapeId="0">
      <text>
        <r>
          <rPr>
            <b/>
            <sz val="12"/>
            <color indexed="81"/>
            <rFont val="Tahoma"/>
            <family val="2"/>
          </rPr>
          <t>Tidak digunakan lagi di tahun 2020</t>
        </r>
      </text>
    </comment>
    <comment ref="T72" authorId="0" shapeId="0">
      <text>
        <r>
          <rPr>
            <b/>
            <sz val="12"/>
            <color indexed="81"/>
            <rFont val="Tahoma"/>
            <family val="2"/>
          </rPr>
          <t>Belum penilaian</t>
        </r>
      </text>
    </comment>
    <comment ref="C90" authorId="1" shapeId="0">
      <text>
        <r>
          <rPr>
            <b/>
            <sz val="9"/>
            <color indexed="81"/>
            <rFont val="Tahoma"/>
            <family val="2"/>
          </rPr>
          <t>Ultimate:</t>
        </r>
        <r>
          <rPr>
            <sz val="9"/>
            <color indexed="81"/>
            <rFont val="Tahoma"/>
            <family val="2"/>
          </rPr>
          <t xml:space="preserve">
Program tahun 2020</t>
        </r>
      </text>
    </comment>
    <comment ref="H133" authorId="0" shapeId="0">
      <text>
        <r>
          <rPr>
            <b/>
            <sz val="14"/>
            <color indexed="81"/>
            <rFont val="Tahoma"/>
            <family val="2"/>
          </rPr>
          <t>Bab VI 52</t>
        </r>
      </text>
    </comment>
  </commentList>
</comments>
</file>

<file path=xl/comments2.xml><?xml version="1.0" encoding="utf-8"?>
<comments xmlns="http://schemas.openxmlformats.org/spreadsheetml/2006/main">
  <authors>
    <author>W10 PRO</author>
    <author>user</author>
  </authors>
  <commentList>
    <comment ref="H43" authorId="0" shapeId="0">
      <text>
        <r>
          <rPr>
            <b/>
            <sz val="14"/>
            <color indexed="81"/>
            <rFont val="Tahoma"/>
            <family val="2"/>
          </rPr>
          <t>Bab VI 4,11</t>
        </r>
      </text>
    </comment>
    <comment ref="K66" authorId="0" shapeId="0">
      <text>
        <r>
          <rPr>
            <b/>
            <sz val="14"/>
            <color indexed="81"/>
            <rFont val="Tahoma"/>
            <family val="2"/>
          </rPr>
          <t>Bab VI 10</t>
        </r>
      </text>
    </comment>
    <comment ref="W66" authorId="0" shapeId="0">
      <text>
        <r>
          <rPr>
            <b/>
            <sz val="14"/>
            <color indexed="81"/>
            <rFont val="Tahoma"/>
            <family val="2"/>
          </rPr>
          <t>Peningkatan atau penurunan</t>
        </r>
      </text>
    </comment>
    <comment ref="Z66" authorId="0" shapeId="0">
      <text>
        <r>
          <rPr>
            <b/>
            <sz val="14"/>
            <color indexed="81"/>
            <rFont val="Tahoma"/>
            <family val="2"/>
          </rPr>
          <t>Peningkatan atau penurunan</t>
        </r>
      </text>
    </comment>
    <comment ref="H68" authorId="0" shapeId="0">
      <text>
        <r>
          <rPr>
            <b/>
            <sz val="14"/>
            <color indexed="81"/>
            <rFont val="Tahoma"/>
            <family val="2"/>
          </rPr>
          <t>Bab VI 97,64</t>
        </r>
      </text>
    </comment>
    <comment ref="AK68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 m plus DAK
</t>
        </r>
      </text>
    </comment>
    <comment ref="V89" authorId="0" shapeId="0">
      <text>
        <r>
          <rPr>
            <b/>
            <sz val="12"/>
            <color indexed="81"/>
            <rFont val="Tahoma"/>
            <family val="2"/>
          </rPr>
          <t>Bimtek Albumin</t>
        </r>
      </text>
    </comment>
    <comment ref="V92" authorId="0" shapeId="0">
      <text>
        <r>
          <rPr>
            <b/>
            <sz val="12"/>
            <color indexed="81"/>
            <rFont val="Tahoma"/>
            <family val="2"/>
          </rPr>
          <t>anggaran dihapuskan untuk penanganan covid 19</t>
        </r>
      </text>
    </comment>
    <comment ref="D95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Anggaran jadi satu dengan indikator Usaha Kecil</t>
        </r>
      </text>
    </comment>
    <comment ref="T113" authorId="0" shapeId="0">
      <text>
        <r>
          <rPr>
            <b/>
            <sz val="12"/>
            <color indexed="81"/>
            <rFont val="Tahoma"/>
            <family val="2"/>
          </rPr>
          <t>20.519.889.923</t>
        </r>
      </text>
    </comment>
    <comment ref="T114" authorId="0" shapeId="0">
      <text>
        <r>
          <rPr>
            <b/>
            <sz val="12"/>
            <color indexed="81"/>
            <rFont val="Tahoma"/>
            <family val="2"/>
          </rPr>
          <t>18.350.944.983</t>
        </r>
      </text>
    </comment>
    <comment ref="T115" authorId="0" shapeId="0">
      <text>
        <r>
          <rPr>
            <b/>
            <sz val="12"/>
            <color indexed="81"/>
            <rFont val="Tahoma"/>
            <family val="2"/>
          </rPr>
          <t>2.154.994.940
PBB 1.175.286.591
BPHTB 979.708.349</t>
        </r>
      </text>
    </comment>
    <comment ref="Q131" authorId="0" shapeId="0">
      <text>
        <r>
          <rPr>
            <b/>
            <sz val="12"/>
            <color indexed="81"/>
            <rFont val="Tahoma"/>
            <family val="2"/>
          </rPr>
          <t>Nilai realisasi investasi (nilai PMDN tahun n - nilai PMDN tahun n-1)/nilai PMDN tahun n-1 dikali 100</t>
        </r>
      </text>
    </comment>
    <comment ref="T149" authorId="0" shapeId="0">
      <text>
        <r>
          <rPr>
            <b/>
            <sz val="12"/>
            <color indexed="81"/>
            <rFont val="Tahoma"/>
            <family val="2"/>
          </rPr>
          <t>(271,75x100)*270.000</t>
        </r>
      </text>
    </comment>
  </commentList>
</comments>
</file>

<file path=xl/comments3.xml><?xml version="1.0" encoding="utf-8"?>
<comments xmlns="http://schemas.openxmlformats.org/spreadsheetml/2006/main">
  <authors>
    <author>W10 PRO</author>
  </authors>
  <commentList>
    <comment ref="Q25" authorId="0" shapeId="0">
      <text>
        <r>
          <rPr>
            <b/>
            <sz val="11"/>
            <color indexed="81"/>
            <rFont val="Tahoma"/>
            <family val="2"/>
          </rPr>
          <t>Jumlah ketersediaan air irigasi (1,2 L perdet/ha) pada setiap musim tanam/jumlah ketersediaan air irigasi seluruh hektar dikali 100</t>
        </r>
      </text>
    </comment>
  </commentList>
</comments>
</file>

<file path=xl/comments4.xml><?xml version="1.0" encoding="utf-8"?>
<comments xmlns="http://schemas.openxmlformats.org/spreadsheetml/2006/main">
  <authors>
    <author>W10 PRO</author>
  </authors>
  <commentList>
    <comment ref="P18" authorId="0" shapeId="0">
      <text>
        <r>
          <rPr>
            <b/>
            <sz val="12"/>
            <color indexed="81"/>
            <rFont val="Tahoma"/>
            <family val="2"/>
          </rPr>
          <t>Anggaran dihapus utk penanganan covid 19</t>
        </r>
      </text>
    </comment>
    <comment ref="V18" authorId="0" shapeId="0">
      <text>
        <r>
          <rPr>
            <b/>
            <sz val="12"/>
            <color indexed="81"/>
            <rFont val="Tahoma"/>
            <family val="2"/>
          </rPr>
          <t>Anggaran dihapus utk penanganan covid 19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atau 90,07</t>
        </r>
      </text>
    </comment>
    <comment ref="T38" authorId="0" shapeId="0">
      <text>
        <r>
          <rPr>
            <b/>
            <sz val="11"/>
            <color indexed="81"/>
            <rFont val="Tahoma"/>
            <family val="2"/>
          </rPr>
          <t>Jumlah SKPD yg perencanaan dan penganggaran responsif gender/jumlah seluruh SKPD dikali 100</t>
        </r>
      </text>
    </comment>
    <comment ref="H39" authorId="0" shapeId="0">
      <text>
        <r>
          <rPr>
            <b/>
            <sz val="16"/>
            <color indexed="81"/>
            <rFont val="Tahoma"/>
            <family val="2"/>
          </rPr>
          <t>Bab VI 52,97</t>
        </r>
      </text>
    </comment>
    <comment ref="N39" authorId="0" shapeId="0">
      <text>
        <r>
          <rPr>
            <b/>
            <sz val="14"/>
            <color indexed="81"/>
            <rFont val="Tahoma"/>
            <family val="2"/>
          </rPr>
          <t>21,08</t>
        </r>
      </text>
    </comment>
    <comment ref="Q39" authorId="0" shapeId="0">
      <text>
        <r>
          <rPr>
            <b/>
            <sz val="11"/>
            <color indexed="81"/>
            <rFont val="Tahoma"/>
            <family val="2"/>
          </rPr>
          <t>Jumlah organisasi perempuan penyedia pelayanan perlindungan perempuan yg dibina/jumlah organisasi perempuan di kab.hss dikali 100</t>
        </r>
      </text>
    </comment>
    <comment ref="T39" authorId="0" shapeId="0">
      <text>
        <r>
          <rPr>
            <b/>
            <sz val="11"/>
            <color indexed="81"/>
            <rFont val="Tahoma"/>
            <family val="2"/>
          </rPr>
          <t>Jumlah organisasi perempuan penyedia pelayanan perlindungan perempuan yg dibina/jumlah organisasi perempuan di kab.hss dikali 100</t>
        </r>
      </text>
    </comment>
    <comment ref="Q41" authorId="0" shapeId="0">
      <text>
        <r>
          <rPr>
            <b/>
            <sz val="11"/>
            <color indexed="81"/>
            <rFont val="Tahoma"/>
            <family val="2"/>
          </rPr>
          <t>Jumlah indikator yg terpenuhi/jumlah seluruh indikator dikali 100</t>
        </r>
      </text>
    </comment>
    <comment ref="T41" authorId="0" shapeId="0">
      <text>
        <r>
          <rPr>
            <b/>
            <sz val="11"/>
            <color indexed="81"/>
            <rFont val="Tahoma"/>
            <family val="2"/>
          </rPr>
          <t>Jumlah indikator yg terpenuhi/jumlah seluruh indikator dikali 100</t>
        </r>
      </text>
    </comment>
    <comment ref="T59" authorId="0" shapeId="0">
      <text>
        <r>
          <rPr>
            <b/>
            <sz val="11"/>
            <color indexed="81"/>
            <rFont val="Tahoma"/>
            <family val="2"/>
          </rPr>
          <t>IKLH = (IKAx30%)+(IKUx30%)+(IKTLx40%)</t>
        </r>
      </text>
    </comment>
    <comment ref="T63" authorId="0" shapeId="0">
      <text>
        <r>
          <rPr>
            <b/>
            <sz val="12"/>
            <color indexed="81"/>
            <rFont val="Tahoma"/>
            <family val="2"/>
          </rPr>
          <t>Jumlah tonase sampah TPA yg dikelola secara control landfill/potensi timbunan sampah per tahun dikali 100</t>
        </r>
      </text>
    </comment>
    <comment ref="T64" authorId="0" shapeId="0">
      <text>
        <r>
          <rPr>
            <b/>
            <sz val="12"/>
            <color indexed="81"/>
            <rFont val="Tahoma"/>
            <family val="2"/>
          </rPr>
          <t>Jumlah tonase sampah yang diolah secara 3R/potensi timbunan sampah per tahun dikali 100</t>
        </r>
      </text>
    </comment>
  </commentList>
</comments>
</file>

<file path=xl/comments5.xml><?xml version="1.0" encoding="utf-8"?>
<comments xmlns="http://schemas.openxmlformats.org/spreadsheetml/2006/main">
  <authors>
    <author>W10 PRO</author>
    <author>User</author>
  </authors>
  <commentList>
    <comment ref="C21" authorId="0" shapeId="0">
      <text>
        <r>
          <rPr>
            <b/>
            <sz val="12"/>
            <color indexed="81"/>
            <rFont val="Tahoma"/>
            <family val="2"/>
          </rPr>
          <t>Program dihapus</t>
        </r>
      </text>
    </comment>
    <comment ref="D28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dukcapil,rsud, pmptsp</t>
        </r>
      </text>
    </comment>
    <comment ref="C42" authorId="0" shapeId="0">
      <text>
        <r>
          <rPr>
            <b/>
            <sz val="9"/>
            <color indexed="81"/>
            <rFont val="Tahoma"/>
            <family val="2"/>
          </rPr>
          <t>W10 PRO: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dokumen rpjmd itkab dan setwan, anggran setwan yang sesuai</t>
        </r>
      </text>
    </comment>
    <comment ref="T48" authorId="0" shapeId="0">
      <text>
        <r>
          <rPr>
            <b/>
            <sz val="12"/>
            <color indexed="81"/>
            <rFont val="Tahoma"/>
            <family val="2"/>
          </rPr>
          <t>capaian sama dengan tahun lalu karena masih proses penambahan standarisasi</t>
        </r>
      </text>
    </comment>
    <comment ref="K72" authorId="0" shapeId="0">
      <text>
        <r>
          <rPr>
            <b/>
            <sz val="14"/>
            <color indexed="81"/>
            <rFont val="Tahoma"/>
            <family val="2"/>
          </rPr>
          <t>Bab VI 18</t>
        </r>
      </text>
    </comment>
    <comment ref="N72" authorId="0" shapeId="0">
      <text>
        <r>
          <rPr>
            <b/>
            <sz val="14"/>
            <color indexed="81"/>
            <rFont val="Tahoma"/>
            <family val="2"/>
          </rPr>
          <t>Bab VI 18</t>
        </r>
      </text>
    </comment>
    <comment ref="T82" authorId="0" shapeId="0">
      <text>
        <r>
          <rPr>
            <b/>
            <sz val="12"/>
            <color indexed="81"/>
            <rFont val="Tahoma"/>
            <family val="2"/>
          </rPr>
          <t>Capaian 2020 belum keluar</t>
        </r>
      </text>
    </comment>
    <comment ref="H83" authorId="0" shapeId="0">
      <text>
        <r>
          <rPr>
            <b/>
            <sz val="16"/>
            <color indexed="81"/>
            <rFont val="Tahoma"/>
            <family val="2"/>
          </rPr>
          <t>Bab VI 28</t>
        </r>
      </text>
    </comment>
  </commentList>
</comments>
</file>

<file path=xl/sharedStrings.xml><?xml version="1.0" encoding="utf-8"?>
<sst xmlns="http://schemas.openxmlformats.org/spreadsheetml/2006/main" count="3765" uniqueCount="614">
  <si>
    <t>No</t>
  </si>
  <si>
    <t>Program Prioritas</t>
  </si>
  <si>
    <t>K</t>
  </si>
  <si>
    <t>Rp</t>
  </si>
  <si>
    <t>Rasio Capaian Akhir (%)</t>
  </si>
  <si>
    <t>Rata-rata Capaian Kinerja (%)</t>
  </si>
  <si>
    <t>Predikat Kinerja</t>
  </si>
  <si>
    <t>Faktor pendorong keberhasilan pencapaian:</t>
  </si>
  <si>
    <t>Faktor penghambat pencapaian kinerja:</t>
  </si>
  <si>
    <t>Tindak lanjut yang diperlukan dalam RKPD kabupaten/kota berikutnya:</t>
  </si>
  <si>
    <t>Tindak lanjut yang diperlukan dalam RPJMD kabupaten/kota berikutnya:</t>
  </si>
  <si>
    <t>Formulir E.78</t>
  </si>
  <si>
    <t>Sasaran Pembangunan Jangka Menengah:</t>
  </si>
  <si>
    <t>[kolom (12)(K) : kolom (7)(K)] x 100%</t>
  </si>
  <si>
    <t>[Kolom (12)(Rp) : Kolom (7)(Rp)] x 100%</t>
  </si>
  <si>
    <t>[Kolom (13)(K) : Kolom (8)(K)] x 100%</t>
  </si>
  <si>
    <t>[Kolom (13)(Rp) : Kolom (8)(Rp)] x 100%</t>
  </si>
  <si>
    <t>[Kolom (22)(Rp) : Kolom (6)(Rp)] x 100%</t>
  </si>
  <si>
    <t>[Kolom (22)(K) : Kolom (6)(K)] x 100%</t>
  </si>
  <si>
    <t>Capaian Pada Akhir Tahun Perencanaan</t>
  </si>
  <si>
    <t>Target Kinerja RPJMD pada Tahun 2023</t>
  </si>
  <si>
    <t>Data Kondisi awal Capaian Kinerja RPJMD Tahun 2018</t>
  </si>
  <si>
    <t>Predikat Kinerja (Buruk, sedang, baik, sangat baik)</t>
  </si>
  <si>
    <t>Program Peningkatan Perencanaan, Pelaporan Capaian Kinerja dan Keuangan</t>
  </si>
  <si>
    <t xml:space="preserve">EVALUASI TERHADAP HASIL RENCANA PEMBANGUNAN JANGKA MENENGAH DAERAH </t>
  </si>
  <si>
    <t>KABUPATEN HULU SUNGAI SELATAN</t>
  </si>
  <si>
    <t>Indeks</t>
  </si>
  <si>
    <t>BB</t>
  </si>
  <si>
    <t>%</t>
  </si>
  <si>
    <t>Program Pengendalian Pembangunan Daerah</t>
  </si>
  <si>
    <t>Program Evaluasi Pembangunan Daerah</t>
  </si>
  <si>
    <t>Nilai</t>
  </si>
  <si>
    <t>Program Peningkatan Pelayanan Kinerja Perangkat Daerah</t>
  </si>
  <si>
    <t>tabel 5.2 rpjmd, misi 5, hal 207</t>
  </si>
  <si>
    <t>tabel  6,1 renstra kolom 5</t>
  </si>
  <si>
    <t>tabel  6,1 renstra kolom 6</t>
  </si>
  <si>
    <t>tabel  6,1 renstra kolom 9</t>
  </si>
  <si>
    <t>tabel  6,1 renstra kolom 18</t>
  </si>
  <si>
    <t>tabel  6,1 Renstra kolom 19</t>
  </si>
  <si>
    <t>tabel  6,1 Renstra kolom 10</t>
  </si>
  <si>
    <t>tabel  6,1 renstra kolom 11</t>
  </si>
  <si>
    <t>sistem emonev triwulan II</t>
  </si>
  <si>
    <t>Program Peningkatan Akses Pendidikan Anak Usia Dini</t>
  </si>
  <si>
    <t>Program Peningkatan Mutu Pendidikan Sekolah Dasar</t>
  </si>
  <si>
    <t>Program Pelayanan Kesehatan Masyarakat</t>
  </si>
  <si>
    <t>A</t>
  </si>
  <si>
    <t>Program Pengembangan dan Pengelolaan Jaringan Irigasi, Rawa dan Jaringan Pengairan Lainnya</t>
  </si>
  <si>
    <t>Program Pengembangan Pengelolaan dan Konservasi Sungai, Danau dan Lainnya</t>
  </si>
  <si>
    <t>Program Pembangunan Jalan dan Jembatan</t>
  </si>
  <si>
    <t>Program Pemeliharaan Jalan dan Jembatan</t>
  </si>
  <si>
    <t>Program Pembangunan Sarana dan Prasarana Publik</t>
  </si>
  <si>
    <t>Program Pemeliharaan Kamtibmas dan Pencegahan Tindak Kriminal</t>
  </si>
  <si>
    <t>Program Pemberdayaan Penyandang Masalah Kesejahteraan Sosial (PMKS)</t>
  </si>
  <si>
    <t>Menurunnya tingkat penganguran terbuka</t>
  </si>
  <si>
    <t>Program Peningkatan Kesempatan Kerja</t>
  </si>
  <si>
    <t>Program Peningkatan Kualitas dan Perlindungan Tenaga Kerja</t>
  </si>
  <si>
    <t>Meningkatnya laju pertumbuhan ekonomi sektor unggulan</t>
  </si>
  <si>
    <t>Program Diversifikasi dan Keamanan Pangan</t>
  </si>
  <si>
    <t>Skor</t>
  </si>
  <si>
    <t>Program Penguatan Cadangan Pangan Pemda dan Masyarakat</t>
  </si>
  <si>
    <t>Program Pengendalian Pencemaran dan Perusakan Lingkungan Hidup</t>
  </si>
  <si>
    <t>Program Pengembangan Kinerja Pengelolaan Persampahan</t>
  </si>
  <si>
    <t>Program Pengembangan Lembaga Ekonomi Perdesaan</t>
  </si>
  <si>
    <t>Program Pembinaan dan Pelayanan Pemerintahan Desa</t>
  </si>
  <si>
    <t>Meningkatnya akuntabilitas instansi pemerintah dan kualitas pelayanan publik</t>
  </si>
  <si>
    <t>Program Peningkatan Realisasi Investasi</t>
  </si>
  <si>
    <t>Program Peningkatan Pelayanan Perizinan</t>
  </si>
  <si>
    <t>Meningkatnya pemanfaatan potensi pariwisata dan kebudayaan bagi masyarakat</t>
  </si>
  <si>
    <t>Program Pengembangan Kemitraan</t>
  </si>
  <si>
    <t>Program Pengembangan Pemasaran Pariwisata</t>
  </si>
  <si>
    <t>Program Pengembangan Destinasi Pariwisata</t>
  </si>
  <si>
    <t>Program Peningkatan Budaya Baca</t>
  </si>
  <si>
    <t>Program Peningkatan Sistem Pengawasan Internal dan Pengendalian Pelaksanaan Kebijakan KDH</t>
  </si>
  <si>
    <t>Program Peningkatan Produksi Perikanan Budidaya</t>
  </si>
  <si>
    <t>Program Peningkatan Produksi Perikanan Tangkap</t>
  </si>
  <si>
    <t>Program Peningkatan Pengolahan dan Pemasaran Hasil Perikanan</t>
  </si>
  <si>
    <t>Program Peningkatan Kesejahteraan Petani Ikan</t>
  </si>
  <si>
    <t>Program Peningkatan Mutu Pendidikan Anak Usia Dini</t>
  </si>
  <si>
    <t>Program Peningkatan Mutu Pendidikan Masyarakat</t>
  </si>
  <si>
    <t>Program Keluarga Berencana dan Kesehatan Reproduksi Remaja (KRR)</t>
  </si>
  <si>
    <t>Program Standarisasi Pelayanan Kesehatan (BLUD)</t>
  </si>
  <si>
    <t>Meningkatnya pelayanan dasar bagi masyarakat</t>
  </si>
  <si>
    <t>Program Peningkatan Peran Serta dan Kesetaraan Gender dalam Pembangunan</t>
  </si>
  <si>
    <t>Program Peningkatan Perlindungan hak Perempuan</t>
  </si>
  <si>
    <t>Program Peningkatan Perlindungan Anak</t>
  </si>
  <si>
    <t>Program Pemenuhan Hak Anak dan Peningkatan Kualitas Hidup Anak</t>
  </si>
  <si>
    <t>Meningkatnya kualitas lingkungan hidup</t>
  </si>
  <si>
    <t>Program Peningkatan Kualitas Pelaporan Keuangan Daerah</t>
  </si>
  <si>
    <t>Meningkatnya penggunaan sistem informasi daerah</t>
  </si>
  <si>
    <t>Meningkatnya kehidupan sosial keagamaan</t>
  </si>
  <si>
    <t>Program peningkatan akses sarana dan prasarana kesehatan</t>
  </si>
  <si>
    <t>Program Peningkatan Kesehatan ibu hamil bersalin, nifas, dan anak</t>
  </si>
  <si>
    <t>Program Pengendalian dan pencegahan penyakit</t>
  </si>
  <si>
    <t>Program Perbaikan Gizi masyarakat</t>
  </si>
  <si>
    <t>Program peningkatan mutu sarana dan prasarana kesehatan</t>
  </si>
  <si>
    <t>Meningkatnya akses dan kualitas pelayanan kesehatan</t>
  </si>
  <si>
    <t>Tercukupinya ketersediaan pangan yang beragam dan aman</t>
  </si>
  <si>
    <t>Program Peningkatan Akses Pendidikan Sekolah Dasar</t>
  </si>
  <si>
    <t>Program Peningkatan Mutu Pendidikan Sekolah Menengah Pertama</t>
  </si>
  <si>
    <t>Program Peningkatan kualitas layanan rumah sakit</t>
  </si>
  <si>
    <t>Program Peningkatan Kualitas Layanan Puskesmas dan Jaringannya</t>
  </si>
  <si>
    <t>Program Peningkatan Kualitas Pelayanan Publik</t>
  </si>
  <si>
    <t>Meningkatnya perlindungan sosial dan masyarakat</t>
  </si>
  <si>
    <t>Program perlindungan penyandang masalah kesejahteraan sosial (PMKS)</t>
  </si>
  <si>
    <t>Menurunnya kemiskinan dan kesenjangan antar wilayah</t>
  </si>
  <si>
    <t>Program Peningkatan usaha sektor perdagangan</t>
  </si>
  <si>
    <t>Program Perlindungan konsumen dan pengamanan perdagangan</t>
  </si>
  <si>
    <t>Program Peningkatan sarana dan jaringan distribusi perdagangan</t>
  </si>
  <si>
    <t>Program Peningkatan Produktivitas Tanaman Pangan</t>
  </si>
  <si>
    <t>Program Peningkatan Produksi Perkebunan</t>
  </si>
  <si>
    <t>Program Peningkatan Produksi Hortikultura</t>
  </si>
  <si>
    <t>Program Peningkatan Pengolahan dan Pemasaran Hasil Pertanian</t>
  </si>
  <si>
    <t>Program Peningkatan Kesejahteraan Petani</t>
  </si>
  <si>
    <t>Program Peningkatan Sarana Prasarana Pertanian</t>
  </si>
  <si>
    <t>Meningkatnya Pendapatan Asli Daerah (PAD)</t>
  </si>
  <si>
    <t>Program Peningkatan dan Pengembangan Pengelolaan PAD dan Dana Perimbangan</t>
  </si>
  <si>
    <t>Program Peningkatan Pengelolaan PBB dan BPHTB</t>
  </si>
  <si>
    <t>Meningkatnya investasi PMDN</t>
  </si>
  <si>
    <t>Program  Penguatan  Iklim  Investasi</t>
  </si>
  <si>
    <t>Meningkatnya infrastruktur ekonomi dan sosial yang berkualitas</t>
  </si>
  <si>
    <t>Meningkatnya kapasitas pemberdayaan kelompok masyarakat</t>
  </si>
  <si>
    <t>Program Peningkatan Pemberdayaan Masyarakat Perdesaaan</t>
  </si>
  <si>
    <t>Meningkatnya pemberdayaan responsif gender dan perlindungan terhadap anak</t>
  </si>
  <si>
    <t>Program Peningkatan Akuntabilitas Kinerja Aparatur dan Instansi Pemerintah</t>
  </si>
  <si>
    <t>Meningkatnya kinerja keuangan dan kinerja birokrasi</t>
  </si>
  <si>
    <t>Program Pemanfaatan Teknologi Informasi</t>
  </si>
  <si>
    <t>Predikat</t>
  </si>
  <si>
    <t>B</t>
  </si>
  <si>
    <t>WTP</t>
  </si>
  <si>
    <t>Program Peningkatan Mutu dan Akses Perpustakaan</t>
  </si>
  <si>
    <t>Persentase Badan Usaha Milik Desa Yang Berkembang</t>
  </si>
  <si>
    <t>Persentase Tenaga Kerja Yang Kompeten</t>
  </si>
  <si>
    <t>Persentase Angkatan Kerja Yang Ditempatkan</t>
  </si>
  <si>
    <t>Persentase Peningkatan Kapasitas Produk Industri Kecil</t>
  </si>
  <si>
    <t>Persentase Koperasi Aktif</t>
  </si>
  <si>
    <t>Thn</t>
  </si>
  <si>
    <t>Rp.</t>
  </si>
  <si>
    <t>Program Promosi kesehatan</t>
  </si>
  <si>
    <t>Persentase penduduk yang memiliki jaminan kesehatan</t>
  </si>
  <si>
    <t>Persentase pemenuhan akses prasarana kesehatan</t>
  </si>
  <si>
    <t>Persentase pemenuhan layanan promosi kesehatan</t>
  </si>
  <si>
    <t>Persentase Pemenuhan pencapaian SPM pelayanan kesehatan dasar pada bayi, balita, anak usia sekolah dasar,  ibu, dan lansia</t>
  </si>
  <si>
    <t>Persentase fasyankes yang terakreditasi paripurna</t>
  </si>
  <si>
    <t>Persentase Pemenuhan pencapaian SPM pelayanan kesehatan dasar penyakit menular dan tidak menular</t>
  </si>
  <si>
    <t>Persentase pemenuhan capaian indikator pengendalian penyakit menular</t>
  </si>
  <si>
    <t>Meningkatnya akses dan kualitas pelayanan pendidikan</t>
  </si>
  <si>
    <t>1. Meningkatnya akses dan kualitas pelayanan pendidikan</t>
  </si>
  <si>
    <t>2. Meningkatnya akses dan kualitas pelayanan kesehatan</t>
  </si>
  <si>
    <t>3. Tercukupinya ketersediaan pangan yang beragam dan aman</t>
  </si>
  <si>
    <t>4. Meningkatnya pelayanan dasar bagi masyarakat</t>
  </si>
  <si>
    <t>5. Meningkatnya perlindungan sosial dan masyarakat</t>
  </si>
  <si>
    <t>Program Peningkatan Akses Pendidikan Sekolah Menengah Pertama</t>
  </si>
  <si>
    <t>APK PAUD Formal</t>
  </si>
  <si>
    <t>Angka Partisipasi Kasar (APK) SD</t>
  </si>
  <si>
    <t>Angka Partisipasi Murni (APM) SD</t>
  </si>
  <si>
    <t>Angka Putus Sekolah (APS) SD</t>
  </si>
  <si>
    <t>Angka Partisipasi Kasar (APK) SMP</t>
  </si>
  <si>
    <t>Angka Partisipasi Murni (APM) SMP</t>
  </si>
  <si>
    <t>Angka Putus Sekolah (APS) SMP</t>
  </si>
  <si>
    <t>Program Peningkatan Akses Pendidikan Masyarakat</t>
  </si>
  <si>
    <t>Angka Partisipasi Sekolah</t>
  </si>
  <si>
    <t>Persentase Peningkatan bahan Pustaka</t>
  </si>
  <si>
    <t>Persentase Jangkauan Layanan Perpustakaan</t>
  </si>
  <si>
    <t>Persentase Perpustakaan Desa dan Keluarahan yang Aktif</t>
  </si>
  <si>
    <t>Persentase pemenuhan akses sarana kesehatan</t>
  </si>
  <si>
    <t>Program Peningkatan Kesehatan Keluarga</t>
  </si>
  <si>
    <t>Persentase organisasi yang menindaklanjuti kesepakatan pendewasaan usia perkawinan</t>
  </si>
  <si>
    <t>Persentase pasangan usia subur yang menjadi peserta KB aktif</t>
  </si>
  <si>
    <t>AAA</t>
  </si>
  <si>
    <t>Program Pembangunan/Pemeliharaan Gedung Pelayanan RSUD Brigjend H. Hasan Basry Kandangan</t>
  </si>
  <si>
    <t>Persentase  Pemenuhan Aspek Prasarana  IPP RSUD</t>
  </si>
  <si>
    <t>Indeks Kepuasan Masyarakat</t>
  </si>
  <si>
    <t>Persentase Fasyankes Yang Terakreditasi Sempurna</t>
  </si>
  <si>
    <t>Jumlah Cadangan Pangan Pemda dan Masyarakat</t>
  </si>
  <si>
    <t>Ton</t>
  </si>
  <si>
    <t>Program Ketersediaan dan Distribusi Pangan</t>
  </si>
  <si>
    <t>Tingkat Fluktuasi harga</t>
  </si>
  <si>
    <t>Persentase Pangan Segar yang Tercemar</t>
  </si>
  <si>
    <t>Skor PPH Konsumsi</t>
  </si>
  <si>
    <t>≤ 20</t>
  </si>
  <si>
    <t>≤ 10</t>
  </si>
  <si>
    <t xml:space="preserve">Persentase Pemenuhan SPM/SNP PAUD </t>
  </si>
  <si>
    <t>Persentase pemenuhan Aspek SPM  Dikmas</t>
  </si>
  <si>
    <t>Persentase pemenuhan SPM/SNP SD</t>
  </si>
  <si>
    <t>Persentase pemenuhan SPM/SNP SMP</t>
  </si>
  <si>
    <t xml:space="preserve">Persentase pemenuhan Kualitas Prasarana Kesehatan  </t>
  </si>
  <si>
    <t>Program Peningkatan Akses dan Mutu Air Bersih</t>
  </si>
  <si>
    <t xml:space="preserve">Persentase penduduk / rumah tangga yang terakses air bersih </t>
  </si>
  <si>
    <t>Program Lingkungan Perumahan dan Permukiman Sehat</t>
  </si>
  <si>
    <t>Persentase kawasan perumahan dan permukiman sehat</t>
  </si>
  <si>
    <t>Program Peningkatan Potensi dan Sumber Kesejahteraan Sosial (PSKS)</t>
  </si>
  <si>
    <t>Cakupan Lembaga/Organisasi sosial, yang aktif dalam penanganan masalah sosial</t>
  </si>
  <si>
    <t>Persentase Kawasan Ketertiban Umum Yang Diobservasi</t>
  </si>
  <si>
    <t xml:space="preserve">Persentase Penanganan Kebakaran dan Pemenuhan Perlindungan Masyarakat </t>
  </si>
  <si>
    <t>Program  Penegakan Peraturan Daerah</t>
  </si>
  <si>
    <t>Cakupan penyelesaian penegakkan perda</t>
  </si>
  <si>
    <t>persentase pemenuhan prasarana penanggulangan bencana</t>
  </si>
  <si>
    <t>Program Penanganan Tanggap Darurat Pasca Bencana</t>
  </si>
  <si>
    <t>Rata-rata tingkat waktu tanggap</t>
  </si>
  <si>
    <t>Program Pelayanan dan Rehabilitasi Kesejahteraan Sosial</t>
  </si>
  <si>
    <t>Tingkat pelayanan sosial terhadap Penyandang Masalah Kesejahteraan Sosial (PMKS)</t>
  </si>
  <si>
    <t>Tingkat rehabilitasi sosial terhadap Penyandang Masalah Kesejahteraan Sosial (PMKS)</t>
  </si>
  <si>
    <t>Program Peningkatan Keluarga Sejahtera</t>
  </si>
  <si>
    <t>Persentase instansi KB yang menyelenggarakan kegiatan sinkronisasi dan keterpaduan program KKBPK</t>
  </si>
  <si>
    <t>Waktu</t>
  </si>
  <si>
    <t>&lt;1 Jam</t>
  </si>
  <si>
    <t>6. Menurunnya kemiskinan dan kesenjangan antar wilayah</t>
  </si>
  <si>
    <t>7. Menurunnya tingkat penganguran terbuka</t>
  </si>
  <si>
    <t>8. Meningkatnya laju pertumbuhan ekonomi sektor unggulan</t>
  </si>
  <si>
    <t>9. Meningkatnya Pendapatan Asli Daerah (PAD)</t>
  </si>
  <si>
    <t>10. Meningkatnya investasi PMDN</t>
  </si>
  <si>
    <t>Tingkat Pemberdayaan  sosial terhadap Penyandang Masalah Kesejahteraan Sosial (PMKS)</t>
  </si>
  <si>
    <t>Tingkat Perlindungan sosial terhadap Penyandang Masalah Kesejahteraan Sosial (PMKS)</t>
  </si>
  <si>
    <t>Persentase Kasus Yang Diselesaikan Melalui Perjanjian Bersama (PB)</t>
  </si>
  <si>
    <t>Persentase produk industri yang bersertifikasi mutu</t>
  </si>
  <si>
    <t>Program Pengembangan Sentra Industri</t>
  </si>
  <si>
    <t>Program Peningkatan Mutu Produk Industri</t>
  </si>
  <si>
    <t>Persentase Pengembangan Sentra Industri</t>
  </si>
  <si>
    <t>Persentase pelaku usaha perdagangan non formal terhadap pelaku perdagangan formal</t>
  </si>
  <si>
    <t>PAD sub sektor perdagangan (kemetrologian)</t>
  </si>
  <si>
    <t>Persentase kualitas sarana distribusi perdagangan dalam kondisi baik</t>
  </si>
  <si>
    <t>PAD sub sektor perdagangan (pelayanan pasar)</t>
  </si>
  <si>
    <t>M</t>
  </si>
  <si>
    <t xml:space="preserve">Produksi Padi </t>
  </si>
  <si>
    <t>Produksi Jagung</t>
  </si>
  <si>
    <t>253.653</t>
  </si>
  <si>
    <t>256.620</t>
  </si>
  <si>
    <t>Produksi Karet</t>
  </si>
  <si>
    <t>Produksi Kayu Manis</t>
  </si>
  <si>
    <t>Produksi Kelapa</t>
  </si>
  <si>
    <t>Produksi Aren</t>
  </si>
  <si>
    <t>124.692</t>
  </si>
  <si>
    <t>115.842</t>
  </si>
  <si>
    <t>Produksi Cabe</t>
  </si>
  <si>
    <t>Produksi Tomat</t>
  </si>
  <si>
    <t>Produksi Bawang Merah</t>
  </si>
  <si>
    <t>Program Peningkatan Populasi Ternak</t>
  </si>
  <si>
    <t>Jumlah populasi ternak besar (sapi + kerbau)</t>
  </si>
  <si>
    <t>Jumlah populasi ternak kecil (kambing)</t>
  </si>
  <si>
    <t>Jumlah populasi ternak unggas(ayam ras+ayam broiler+itik)</t>
  </si>
  <si>
    <t>Ekor</t>
  </si>
  <si>
    <t>3.012.120</t>
  </si>
  <si>
    <t>Program Pengendalian dan Pencegahan Penyakit Ternak</t>
  </si>
  <si>
    <t>Terkendalinya kasus zoonosis</t>
  </si>
  <si>
    <t xml:space="preserve">Penambahan jumlah alat pasca panen </t>
  </si>
  <si>
    <t>Buah</t>
  </si>
  <si>
    <t>Kenaikan Kelas Kelompok Tani</t>
  </si>
  <si>
    <t>Kelas</t>
  </si>
  <si>
    <t>Jumlah pengembangan optimasi lahan dan pemulihan kesuburan tanah</t>
  </si>
  <si>
    <t>Ha</t>
  </si>
  <si>
    <t>Produksi perikanan budidaya</t>
  </si>
  <si>
    <t>Produksi perikanan tangkap</t>
  </si>
  <si>
    <t>Persentase peningkatan kapasitas petani ikan/nelayan</t>
  </si>
  <si>
    <t>Milyar Rupiah</t>
  </si>
  <si>
    <t>Jumlah Peningkatan Realisasi pajak daerah non PBB dan BPHTB</t>
  </si>
  <si>
    <t>Jumlah Peningkatan Realisasi PBB-P2 dan BPHTB</t>
  </si>
  <si>
    <t>Rupiah</t>
  </si>
  <si>
    <t>770.000.000.000</t>
  </si>
  <si>
    <t>11. Meningkatnya pemanfaatan potensi pariwisata dan kebudayaan bagi masyarakat</t>
  </si>
  <si>
    <t>3.223.750.000</t>
  </si>
  <si>
    <t>9.073.800.000</t>
  </si>
  <si>
    <t xml:space="preserve">Jumlah kunjungan wisatawan </t>
  </si>
  <si>
    <t>orang/ wisatawan</t>
  </si>
  <si>
    <t>243.305</t>
  </si>
  <si>
    <t>Lama tinggal wisatawan (Length of Stay)</t>
  </si>
  <si>
    <t>Malam</t>
  </si>
  <si>
    <t>Program Pengelolaan Kekayaan dan Keragaman Budaya</t>
  </si>
  <si>
    <t>Persentase tingkat pengembangan seni dan budaya</t>
  </si>
  <si>
    <t>Program Peningkatan Kualitas Koperasi</t>
  </si>
  <si>
    <t>persentase SDM Koperasi aktif yang berkualitas</t>
  </si>
  <si>
    <t>Persentase SDM Usaha Kecil yang Berkualitas</t>
  </si>
  <si>
    <t>12. Meningkatnya infrastruktur ekonomi dan sosial yang berkualitas</t>
  </si>
  <si>
    <t>Tujuan/Sasaran</t>
  </si>
  <si>
    <t>Meningkatkan kualitas sumber daya manusia dan pelayanan dasar lainnya</t>
  </si>
  <si>
    <t>I</t>
  </si>
  <si>
    <t>1). Harapan lama sekolah</t>
  </si>
  <si>
    <t>2). Rata-rata lama sekolah</t>
  </si>
  <si>
    <t>3). Persentase PAUD formal terakreditasi A</t>
  </si>
  <si>
    <t>4). Persentase satuan pendidikan terakreditasi A</t>
  </si>
  <si>
    <t>Program Peningkatan  Kesiagaan dan Pencegahan Bencana/Program Peningkatan  Kesiagaan dan Pencegahan Bahaya Kebakaran</t>
  </si>
  <si>
    <t>Sedang</t>
  </si>
  <si>
    <t>II</t>
  </si>
  <si>
    <t>Meningkatkan pertumbuhan ekonomi yang berkualitas dan inklusif yang berdampak terhadap angka kemiskinan</t>
  </si>
  <si>
    <t>5). Angka Harapan Hidup/Umur Harapan Hidup</t>
  </si>
  <si>
    <t>6). Persentase wanita pernah kawin usia (15-49) tahun  menurut usia kawin pertama; usia ≤ 20 tahun</t>
  </si>
  <si>
    <t>7). Tingkat kesehatan Rumah Sakit (RS)</t>
  </si>
  <si>
    <t>8). Persentase fasilitas kesehatan yang terakreditasi paripurna</t>
  </si>
  <si>
    <t>9). PPH Ketersediaan</t>
  </si>
  <si>
    <t xml:space="preserve">10). Persentase capaian perangkat daerah dalam menerapkan SPM </t>
  </si>
  <si>
    <t>11). Persentase angka PMKS yang mandiri</t>
  </si>
  <si>
    <t>2. Tingkat kemiskinan</t>
  </si>
  <si>
    <t>1. Indeks Pembangunan Manusia (IPM)</t>
  </si>
  <si>
    <t>10.000.000</t>
  </si>
  <si>
    <t>45.000.000</t>
  </si>
  <si>
    <t>SKPD Penanggung Jawab</t>
  </si>
  <si>
    <t>Dinas Pendidikan</t>
  </si>
  <si>
    <t>Dinas Perpustakaan dan Kearsipan</t>
  </si>
  <si>
    <t>Dinas Kesehatan</t>
  </si>
  <si>
    <t>Dinas Pengendalian Penduduk, Keluarga Berencana, Pemberdayaan Perempuan dan Perlindungan Anak</t>
  </si>
  <si>
    <t>RSUD Brigjend H. Hasan Basry</t>
  </si>
  <si>
    <t>Dinas Ketahanan Pangan</t>
  </si>
  <si>
    <t>Dinas Pendidikan, Dinas Kesehatan, Dinas PUTR, Dispera KPLH</t>
  </si>
  <si>
    <t>Dinas Sosial</t>
  </si>
  <si>
    <t>Satuan Polisi Pamong Praja</t>
  </si>
  <si>
    <t>Badan Penanggulangan Bencana, Kesatuan Bangsa dan Politik</t>
  </si>
  <si>
    <t>Dinas Tenaga Kerja, Koperasi, Usaha Kecil dan Perindustrian</t>
  </si>
  <si>
    <t>Dinas Perdagangan</t>
  </si>
  <si>
    <t>Dinas Pertanian, Dinas Perikanan, Disnakerkop UKP</t>
  </si>
  <si>
    <t>Produksi Kacang Tanah (Lahan Kering)</t>
  </si>
  <si>
    <t>Persentase Regulasi Potensi Investasi Yang ditindaklanjuti / Persentase kepatuhan  investor terhadap per Undang-undangan.</t>
  </si>
  <si>
    <t>Dinas Pertanian</t>
  </si>
  <si>
    <t>Dinas Perikanan</t>
  </si>
  <si>
    <t>Badan Keuangan Daerah</t>
  </si>
  <si>
    <t>Dinas Penanaman Modal, Pelayanan Terpadu Satu Pintu</t>
  </si>
  <si>
    <t>Dinas Pemuda, Olahraga dan Pariwisata</t>
  </si>
  <si>
    <t>Capaian Sasaran 1</t>
  </si>
  <si>
    <t>Capaian Sasaran 2</t>
  </si>
  <si>
    <t>Capaian Sasaran 3</t>
  </si>
  <si>
    <t>Capaian Sasaran 4</t>
  </si>
  <si>
    <t>Capaian Sasaran 5</t>
  </si>
  <si>
    <t>Capaian Sasaran 6</t>
  </si>
  <si>
    <t>Capaian Sasaran 7</t>
  </si>
  <si>
    <t>Capaian Sasaran 8</t>
  </si>
  <si>
    <t>Capaian Sasaran 9</t>
  </si>
  <si>
    <t>Capaian Sasaran 10</t>
  </si>
  <si>
    <t>Capaian Sasaran 11</t>
  </si>
  <si>
    <t>3. Laju Pertumbuhan Ekonomi</t>
  </si>
  <si>
    <t>Indikator Kinerja Tujuan/Sasaran/Program</t>
  </si>
  <si>
    <t>III</t>
  </si>
  <si>
    <t>Meningkatkan infrastruktur ekonomi dan sosial yang berkualitas</t>
  </si>
  <si>
    <t>4. Persentase infrastruktur ekonomi dan sosial yang berkualitas</t>
  </si>
  <si>
    <t>Dinas Pekerjaan Umum dan Tata Ruang</t>
  </si>
  <si>
    <t>Panjang jalan dalam kondisi baik</t>
  </si>
  <si>
    <t>KM</t>
  </si>
  <si>
    <t>Program Rehabilitasi Jalan dan Jembatan</t>
  </si>
  <si>
    <t>Program Pengendalian Dan Pengamanan Lalu Lintas Angkutan Jalan</t>
  </si>
  <si>
    <t>Persentase aspek penyebab kemacetan yang teratasi</t>
  </si>
  <si>
    <t>Persentase angkutan umum yang laik jalan</t>
  </si>
  <si>
    <t>Program Pengendalian Dan Pengamanan Lalu Lintas Angkutan Sungai Dan Danau</t>
  </si>
  <si>
    <t>Persentase angkutan sungai dan danau yang laik layar</t>
  </si>
  <si>
    <t>Dinas Perhubungan</t>
  </si>
  <si>
    <t>Persentase jaringan irigasi dalam kondisi baik</t>
  </si>
  <si>
    <t>Jumlah bangunan pelayanan publik yang berfungsi baik</t>
  </si>
  <si>
    <t>Program Pengelolaan Air Limbah dan Drainase</t>
  </si>
  <si>
    <t>Persentase drainase yang berfungsi dengan baik</t>
  </si>
  <si>
    <t>Persentase KK yang terlayani air limbah domestik</t>
  </si>
  <si>
    <t>Program Pembinaan Jasa Kontruksi</t>
  </si>
  <si>
    <t>Persentase Tenaga Terampil yang Bersertifikat</t>
  </si>
  <si>
    <t>Persentase kecukupan RTH Publik</t>
  </si>
  <si>
    <t>Program Penataan dan Penguasaan Tanah</t>
  </si>
  <si>
    <t>Persentase penguasaan fisik tanah yang teradministrasi</t>
  </si>
  <si>
    <t>Program Pengelolaan ruang terbuka hijau (RTH) dan areal pemakaman</t>
  </si>
  <si>
    <t>Program Pengelolaan Penerangan Jalan Umum</t>
  </si>
  <si>
    <t>Rasio jumlah titik PJU terhadap panjang jalan</t>
  </si>
  <si>
    <t>Dinas Perumahan Rakyat, Kawasan Permukiman dan Lingkungan Hidup</t>
  </si>
  <si>
    <t>IV</t>
  </si>
  <si>
    <t>Meningkatkan sumber daya daerah dan kualitas lingkungan hidup dalam menjamin pembangunan berkelanjutan</t>
  </si>
  <si>
    <t>5. Indeks Desa Membangun (IDM)</t>
  </si>
  <si>
    <t>12). Tingkat kemiskinan</t>
  </si>
  <si>
    <t>13). Indeks Gini</t>
  </si>
  <si>
    <t>14). Tingkat pengangguran terbuka</t>
  </si>
  <si>
    <t>15). Laju  pertumbuhan ekonomi kategori industri pengolahan</t>
  </si>
  <si>
    <t>16). Laju  pertumbuhan ekonomi kategori  perdagangan besar, eceran, reparasi mobil dan sepeda motor</t>
  </si>
  <si>
    <t>17). Laju pertumbuhan  ekonomi kategori  pertanian, kehutanan dan perikanan</t>
  </si>
  <si>
    <t>18). Persentase koperasi sehat</t>
  </si>
  <si>
    <t>19). Peningkatan retribusi dan pajak daerah</t>
  </si>
  <si>
    <t>20). Persentase peningkatan Penanaman Modal</t>
  </si>
  <si>
    <t>21). Tingkat Pengeluaran Wisatawan (Spending of money)</t>
  </si>
  <si>
    <t>22). Persentase kondisi jalan baik dengan kecepatan ≥ 40 Km/jam</t>
  </si>
  <si>
    <t>23). Persentase kinerja sistem jaringan irigasi</t>
  </si>
  <si>
    <t>24). Persentase kecukupan sarana dan prasarana publik</t>
  </si>
  <si>
    <t>25). Persentase kecukupan RTH Publik</t>
  </si>
  <si>
    <t>26). Persentase perumahan dan kawasan permukiman yang berkualitas</t>
  </si>
  <si>
    <t>27). Indeks Desa Membangun (IDM)</t>
  </si>
  <si>
    <t>Dinas Pemberdayaan Masyarakat dan Desa</t>
  </si>
  <si>
    <t>Program Peningkatan Peran Serta Kepemudaan</t>
  </si>
  <si>
    <t>Persentase pemuda berprestasi dari unsur organisasi kepemudaan &amp; pemuda berprestasi bidang kepaskibrakaan</t>
  </si>
  <si>
    <t>Program Peningkatan Prestasi Dan Pemasyarakatan Olahraga</t>
  </si>
  <si>
    <t>Persentase nomor cabang olahraga yang meraih  medali pada POPDA tingkat provinsi</t>
  </si>
  <si>
    <t>6. Indeks Pembangunan Gender (IPG)</t>
  </si>
  <si>
    <t>Persentase organisasi perempuan penyedia pelayanan perlindungan perempuan yang aktif</t>
  </si>
  <si>
    <t>Tingkat pemenuhan aspek Desa/Kelurahan Layak Anak berbasis kluster</t>
  </si>
  <si>
    <t>28). Indeks Pembangunan Gender (IPG)</t>
  </si>
  <si>
    <t>29). Persentase desa/kelurahan layak anak</t>
  </si>
  <si>
    <t>30). Indeks kualitas lingkungan hidup</t>
  </si>
  <si>
    <t>7. Indeks kualitas lingkungan hidup</t>
  </si>
  <si>
    <t>Persentase cakupan sampah yang dikelola secara Control landfill</t>
  </si>
  <si>
    <t>Persentase cakupan sampah yang dikelola dengan pola 3R</t>
  </si>
  <si>
    <t>Persentase luasan layanan persampahan</t>
  </si>
  <si>
    <t>13. Meningkatnya kapasitas pemberdayaan kelompok masyarakat</t>
  </si>
  <si>
    <t>14. Meningkatnya pemberdayaan responsif gender dan perlindungan terhadap anak</t>
  </si>
  <si>
    <t>15. Meningkatnya kualitas lingkungan hidup</t>
  </si>
  <si>
    <t>16. Meningkatnya akuntabilitas instansi pemerintah dan kualitas pelayanan publik</t>
  </si>
  <si>
    <t>17. Meningkatnya kinerja keuangan dan kinerja birokrasi</t>
  </si>
  <si>
    <t>18. Meningkatnya penggunaan sistem informasi daerah</t>
  </si>
  <si>
    <t>19. Meningkatnya kehidupan sosial keagamaan</t>
  </si>
  <si>
    <t>V</t>
  </si>
  <si>
    <t>Meningkatkan tata kelola pemerintahan yang baik dan bersih serta layanan publik yang berkualitas berbasis teknologi informasi</t>
  </si>
  <si>
    <t>8. Indeks Reformasi Birokrasi</t>
  </si>
  <si>
    <t>Bagian Organisasi dan Pendayagunaan Aparatur Daerah Sekretariat Daerah</t>
  </si>
  <si>
    <t>Nilai / Predikat AKIP pada komponen pelaporan</t>
  </si>
  <si>
    <t xml:space="preserve">Program Peningkatan Penyelenggaraan Pemerintahan  Daerah </t>
  </si>
  <si>
    <t>Nilai LPPD</t>
  </si>
  <si>
    <t>Persentase Peningkatan Administrasi Pemerintahan dan Kewilayahan</t>
  </si>
  <si>
    <t>Persentase SOP Sesuai Standar</t>
  </si>
  <si>
    <t>Tingkat pemenuhan aspek kualitas dokumen AKIP</t>
  </si>
  <si>
    <t>Tingkat pemenuhan aspek kualitas dokumen Keuangan daerah</t>
  </si>
  <si>
    <t>Program Pelayanan Administrasi Perkantoran RSUD Daha Sejahtera</t>
  </si>
  <si>
    <t>Program Peningkatan Sarana dan Prasarana Aparatur RSUD Daha Sejahtera</t>
  </si>
  <si>
    <t>Program Penyelenggaraan Pemerintahan Umum dan Pemberdayaan Masyarakat</t>
  </si>
  <si>
    <t>Persentase Penyelenggaraan Urusan Pemerintahan Umum dan Kewenangan Lainnya dilaksanakan dengan baik</t>
  </si>
  <si>
    <t>Program Pembinaan Kesatuan Bangsa dan Politik</t>
  </si>
  <si>
    <t>Cakupan kemitraan dengan kelembagaan organisasi masyarakat yang terdaftar</t>
  </si>
  <si>
    <t>Bagian Pemerintahan Sekretariat Daerah</t>
  </si>
  <si>
    <t>Inspektorat</t>
  </si>
  <si>
    <t>RSUD Daha Sejahtera</t>
  </si>
  <si>
    <t>Semua Kecamatan</t>
  </si>
  <si>
    <t>Program Penataan dan Penyempurnaan Kebijakan Sistem dan Prosedur Pengawasan</t>
  </si>
  <si>
    <t>Jumlah inovasi yang lolos nasional</t>
  </si>
  <si>
    <t>Persentase pemenuhan aspek penyelenggaraan pelayanan publik minimal baik (B)</t>
  </si>
  <si>
    <t>Program Peningkatan Sarana Prasarana dan Peralatan Kesehatan Penunjang Medik/Non Medik</t>
  </si>
  <si>
    <t>Persentase  Pemenuhan Aspek Sarana  IPP RSUD</t>
  </si>
  <si>
    <t>Prog.Peningkatan Pelayanan Kependudukan</t>
  </si>
  <si>
    <t>Cakupan penerbitan dokumen kependudukan</t>
  </si>
  <si>
    <t>Program Pelayanan Informasi Data Kependudukan</t>
  </si>
  <si>
    <t xml:space="preserve">Validitas database kependudukan </t>
  </si>
  <si>
    <t>Program Peningkatan Pelayanan Catatan Sipil</t>
  </si>
  <si>
    <t>Cakupan Penerbitan Dokumen Pencatatan Sipil</t>
  </si>
  <si>
    <t>Program Mengintensifkan Penanganan Pengaduan Masyarakat</t>
  </si>
  <si>
    <t>Persentase Pengaduan Masyarakat Yang Ditindak Lanjuti</t>
  </si>
  <si>
    <t>Program Peningkatan Pengelolaan Arsip Daerah</t>
  </si>
  <si>
    <t xml:space="preserve">Persentase OPD yang mengelola Arsip </t>
  </si>
  <si>
    <t>Program Pelayanan Administrasi Perkantoran</t>
  </si>
  <si>
    <t>Tingkat kepuasan pelayanan</t>
  </si>
  <si>
    <t>Program Peningkatan Sarana dan Prasarana Aparatur</t>
  </si>
  <si>
    <t>Persentase APIP yang memiliki Standar Kompetensi Jabatan</t>
  </si>
  <si>
    <t>Program Peningkatan Pelayanan Perundang -Undangan dan Hubungan Masyarakat</t>
  </si>
  <si>
    <t>Persentase Fasilitasi Rapat-rapat Dewan Tepat Waktu</t>
  </si>
  <si>
    <t>Program Peningkatan Kualitas Pelayanan Penganggaran dan Pengawasan</t>
  </si>
  <si>
    <t>Persentase Fasilitasi Keluhan / Pengaduan Masyarakat</t>
  </si>
  <si>
    <t>Program Peningkatan Disiplin Aparatur</t>
  </si>
  <si>
    <t>Tingkat Kepuasan Pelayanan</t>
  </si>
  <si>
    <t>Program Perumusan Kebijakan Penerapan Hukum dan Perundang-undangan</t>
  </si>
  <si>
    <t>Persentase produk hukum daerah yang berkualitas</t>
  </si>
  <si>
    <t>Persentase permasalahan hukum yang ditangani dan diselesaikan</t>
  </si>
  <si>
    <t xml:space="preserve">Program Peningkatan Pelayanan Kedinasan Bupati dan Wakil Bupati </t>
  </si>
  <si>
    <t>Tingkat kepuasan Pelayanan Pimpinan Daerah</t>
  </si>
  <si>
    <t>Program Pelayanan Keprotokolan dan Kehumasan Pimpinan Daerah</t>
  </si>
  <si>
    <t>Program Peningkatan Kualitas Pelayanan Pengadaan Barang/Jasa</t>
  </si>
  <si>
    <t>Persentasi  PD yang melaksanakan PBJ melalui ULP</t>
  </si>
  <si>
    <t>Persentase Pemenuhan Peningkatan standardisasi Sistem  LPSE</t>
  </si>
  <si>
    <t>Program Perumusan Kebijakan Ekonomi Pembangunan</t>
  </si>
  <si>
    <t>Persentase policy brief bidang perekonomian dan Pembangunan yang dimanfaatkan Bupati</t>
  </si>
  <si>
    <t>Program Implementasi Kerjasama Pemerintahan Daerah</t>
  </si>
  <si>
    <t>Persentase kerjasama pemerintah daerah yang diimplementasikan</t>
  </si>
  <si>
    <t>Dinas Kependudukan dan Catatan Sipil</t>
  </si>
  <si>
    <t>1.657.934.000 </t>
  </si>
  <si>
    <t>Program Peningkatan Profesionalisme Tenaga Pemeriksa dan Aparatur Pengawasan</t>
  </si>
  <si>
    <t>Sekretariat DPRD</t>
  </si>
  <si>
    <t>Bagian Hukum dan PerUndang-undangan Sekretariat Daerah</t>
  </si>
  <si>
    <t>Bagian Protokol dan Kehumasan Sekretariat Daerah</t>
  </si>
  <si>
    <t>3.975.000.000 </t>
  </si>
  <si>
    <t>11.598.712.500 </t>
  </si>
  <si>
    <t>Bagian Layanan Pengadaan Barang/Jasa Sekretariat Daerah</t>
  </si>
  <si>
    <t>Bagian Perekonomian Pembangunan dan Tata Usaha Sekretariat Daerah</t>
  </si>
  <si>
    <t>568.125.000 </t>
  </si>
  <si>
    <t>Tingkat keselarasan  terhadap dokumen perencanaan</t>
  </si>
  <si>
    <t>Program Perencanaan Pembangunan Daerah</t>
  </si>
  <si>
    <t>Persentase capaian kinerja Perangkat Daerah</t>
  </si>
  <si>
    <t>Persentase capaian kinerja hasil perencanaan pembangunan daerah</t>
  </si>
  <si>
    <t>Program Perencanaan Pembangunan Sektoral</t>
  </si>
  <si>
    <t>Persentase rekomendasi hasil perencanaan pembangunan sektoral yang ditindaklanjuti untuk kebijakan daerah</t>
  </si>
  <si>
    <t>Program Penelitian dan Pengembangan</t>
  </si>
  <si>
    <t>Persentase rekomendasi hasil penelitian dan pengembangan yang ditindaklanjuti untuk kebijakan daerah</t>
  </si>
  <si>
    <t>Program Perencanaan dan Pengendalian Tata Ruang</t>
  </si>
  <si>
    <t>Tingkat kesesuaian RTRW dengan pelaksanaan pembangunan</t>
  </si>
  <si>
    <t>Persentase Laporan Keuangan Daerah yang memenuhi aspek Kualitas</t>
  </si>
  <si>
    <t>Program Peningkatan Penatausahaan Barang Milik Daerah</t>
  </si>
  <si>
    <t>Kesesuaian Data Total Neraca BMD dengan Neraca Keuangan</t>
  </si>
  <si>
    <t>Persentase Penurunan Temuan Bersifat Keuangan Hasil Pemeriksaan Inspektorat Kab. HSS</t>
  </si>
  <si>
    <t>persentase penurunan temuan pihak eksternal yang menimbulkan kerugikan keuangan negara/daerah</t>
  </si>
  <si>
    <t xml:space="preserve">Persentase Penyelesaian Rekomendasi Hasil Pemeriksaan Inspektorat Dalam Periode Tertentu </t>
  </si>
  <si>
    <t>Persentase Penyelesaian Rekomendasi Hasil Pemeriksaan Inspektorat Dalam Periode Tertentu</t>
  </si>
  <si>
    <t>Badan Perencanaan Pembangunan, Penelitian dan Pengembangan Daerah</t>
  </si>
  <si>
    <t>Inspektorat Kabupaten</t>
  </si>
  <si>
    <t>Program Pengelolaan Anggaran Keuangan Daerah</t>
  </si>
  <si>
    <t>Lama Waktu Penyusunan RAPBD</t>
  </si>
  <si>
    <t>Bulan</t>
  </si>
  <si>
    <t>Persentase Penyelesaian SP2D yang dinyatakan lengkap dan sah sesuai dengan ketentuan yang Berlaku</t>
  </si>
  <si>
    <t>Persentase JPT (Jabatan Pimpinan Tinggi)  yg melakukan kebijakan promosi  terbuka untuk JPT sesuai dengan undang-undang ASN</t>
  </si>
  <si>
    <t>Badan Kepegawaian Daerah, Pendidikan dan Pelatihan</t>
  </si>
  <si>
    <t>Program Pengelolaan Adm. dan Penatausahaan Keu. Daerah</t>
  </si>
  <si>
    <t>Program Peningkatan Kapasitas Sumber Daya Aparatur</t>
  </si>
  <si>
    <t>Persentase pegawai yang memiliki sertifikat diklat peningkatan kompetensi teknis</t>
  </si>
  <si>
    <t>Program  Pembinaan Disiplin Aparatur</t>
  </si>
  <si>
    <t>Persentase tingkat penurunan pelanggaran displin PNS</t>
  </si>
  <si>
    <t>Persentase formasi jabatan pelaksana yang terisi sesuai kompetensi dan kualifikasi</t>
  </si>
  <si>
    <t>Persentase Database PNS pada SAPK dan SIMPEG yang Update</t>
  </si>
  <si>
    <t>Program Perumusan Kebijakan Penyelenggaraan Organisasi dan Aparatur Daerah</t>
  </si>
  <si>
    <t>Persentase PD yang tepat fungsi dan tepat ukuran</t>
  </si>
  <si>
    <t>Jumlah SKPD yang terkoneksi dengan intranet ke Server Center Diskominfo</t>
  </si>
  <si>
    <t>SKPD</t>
  </si>
  <si>
    <t>Jumlah Aplikasi e-Government yang berfungsi dengan baik</t>
  </si>
  <si>
    <t>Aplikasi</t>
  </si>
  <si>
    <t xml:space="preserve">Program Pelayanan Informasi dan Media Massa </t>
  </si>
  <si>
    <t>Persentase kegiatan pemerintah kabupaten HSS yang terpublikasi</t>
  </si>
  <si>
    <t xml:space="preserve">Program Pelayanan Statistik dan Sandi Daerah </t>
  </si>
  <si>
    <t xml:space="preserve">Persentase Pengamanan dan Layanan Informasi yang dilaksanakan dengan baik </t>
  </si>
  <si>
    <t> 500.725.000</t>
  </si>
  <si>
    <t>Persentase Perangkat Daerah yang melaksanakan Keterbukaan Informasi Publik (KIP)</t>
  </si>
  <si>
    <t>Persentase Pemerintahan Desa/kel yang berkinerja  baik</t>
  </si>
  <si>
    <t>Dinas Komunikasi dan Informatika</t>
  </si>
  <si>
    <t>Bagian Kesejahteraan Rakyat Sekretariat Daerah</t>
  </si>
  <si>
    <t>Capaian Sasaran 12</t>
  </si>
  <si>
    <t>Capaian Sasaran 13</t>
  </si>
  <si>
    <t>Capaian Sasaran 14</t>
  </si>
  <si>
    <t>Capaian Sasaran 15</t>
  </si>
  <si>
    <t>Capaian Sasaran 16</t>
  </si>
  <si>
    <t>Capaian Sasaran 17</t>
  </si>
  <si>
    <t>Capaian Sasaran 18</t>
  </si>
  <si>
    <t>Capaian Sasaran 19</t>
  </si>
  <si>
    <t>31). Predikat AKIP</t>
  </si>
  <si>
    <t>32). Kategori nilai kinerja Unit Pelayanan Publik (UPP)</t>
  </si>
  <si>
    <t>33). Kualitas aspek perencanaan</t>
  </si>
  <si>
    <t>34). Opini WTP BPK terhadap LKPD</t>
  </si>
  <si>
    <t>35). Indeks profesionalisme ASN</t>
  </si>
  <si>
    <t>36). Persentase perangkat daerah yang mengimplementasikan teknologi informasi dengan baik</t>
  </si>
  <si>
    <t>37). Persentase pemerintah desa yang menggunakan teknologi informasi dalam pemberian layanan</t>
  </si>
  <si>
    <t>38). Persentase peningkatan penerimaan zakat</t>
  </si>
  <si>
    <t>Persentase pegawai yang memiliki sertifikat diklat peningkatan kompetensi  manajerial</t>
  </si>
  <si>
    <t>RS Pratama Daha Sejahtera</t>
  </si>
  <si>
    <t>Program Peningkatan Pelayanan Administrasi Kepegawaian</t>
  </si>
  <si>
    <t>≤ 15</t>
  </si>
  <si>
    <t>Ket : LHI RB 2019 dari keMenpan blm keluar</t>
  </si>
  <si>
    <t>Ket : LHI AKIP 2019 dari keMenpan blm keluar</t>
  </si>
  <si>
    <t>Bagian umum Sekretariat Daerah</t>
  </si>
  <si>
    <t>15.740.000</t>
  </si>
  <si>
    <t>No.</t>
  </si>
  <si>
    <t xml:space="preserve">INTERVAL NILAI REALISASI KINERJA </t>
  </si>
  <si>
    <t xml:space="preserve">KRITERIA PENILAIAN REALISASI KINERJA </t>
  </si>
  <si>
    <r>
      <t>(1)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</si>
  <si>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 xml:space="preserve">91% </t>
    </r>
    <r>
      <rPr>
        <sz val="12"/>
        <color rgb="FF000000"/>
        <rFont val="Arial Narrow"/>
        <family val="2"/>
      </rPr>
      <t>≤</t>
    </r>
    <r>
      <rPr>
        <sz val="10"/>
        <color rgb="FF000000"/>
        <rFont val="Arial Narrow"/>
        <family val="2"/>
      </rPr>
      <t xml:space="preserve"> 100%</t>
    </r>
  </si>
  <si>
    <t>Sangat tinggi</t>
  </si>
  <si>
    <r>
      <t>(2)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</si>
  <si>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 xml:space="preserve">76% </t>
    </r>
    <r>
      <rPr>
        <sz val="12"/>
        <color rgb="FF000000"/>
        <rFont val="Arial Narrow"/>
        <family val="2"/>
      </rPr>
      <t xml:space="preserve">≤ </t>
    </r>
    <r>
      <rPr>
        <sz val="10"/>
        <color rgb="FF000000"/>
        <rFont val="Arial Narrow"/>
        <family val="2"/>
      </rPr>
      <t xml:space="preserve">90% </t>
    </r>
  </si>
  <si>
    <t>Tinggi</t>
  </si>
  <si>
    <r>
      <t>(3)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</si>
  <si>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 xml:space="preserve">66% </t>
    </r>
    <r>
      <rPr>
        <sz val="12"/>
        <color rgb="FF000000"/>
        <rFont val="Arial Narrow"/>
        <family val="2"/>
      </rPr>
      <t xml:space="preserve">≤ </t>
    </r>
    <r>
      <rPr>
        <sz val="10"/>
        <color rgb="FF000000"/>
        <rFont val="Arial Narrow"/>
        <family val="2"/>
      </rPr>
      <t>75%</t>
    </r>
  </si>
  <si>
    <r>
      <t>(4)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</si>
  <si>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 xml:space="preserve">51% </t>
    </r>
    <r>
      <rPr>
        <sz val="12"/>
        <color rgb="FF000000"/>
        <rFont val="Arial Narrow"/>
        <family val="2"/>
      </rPr>
      <t xml:space="preserve">≤ </t>
    </r>
    <r>
      <rPr>
        <sz val="10"/>
        <color rgb="FF000000"/>
        <rFont val="Arial Narrow"/>
        <family val="2"/>
      </rPr>
      <t>65%</t>
    </r>
  </si>
  <si>
    <t>Rendah</t>
  </si>
  <si>
    <r>
      <t>(5)</t>
    </r>
    <r>
      <rPr>
        <sz val="7"/>
        <color rgb="FF000000"/>
        <rFont val="Arial Narrow"/>
        <family val="2"/>
      </rPr>
      <t xml:space="preserve">             </t>
    </r>
    <r>
      <rPr>
        <sz val="10"/>
        <color rgb="FF000000"/>
        <rFont val="Arial Narrow"/>
        <family val="2"/>
      </rPr>
      <t> </t>
    </r>
  </si>
  <si>
    <r>
      <t>≤</t>
    </r>
    <r>
      <rPr>
        <sz val="10"/>
        <color rgb="FF000000"/>
        <rFont val="Arial Narrow"/>
        <family val="2"/>
      </rPr>
      <t xml:space="preserve"> 50%</t>
    </r>
  </si>
  <si>
    <t>Sangat Rendah</t>
  </si>
  <si>
    <t>Tahun</t>
  </si>
  <si>
    <t>Persentase pelaku usaha pengolahan dan pemasaran hasil perikanan yang aktif</t>
  </si>
  <si>
    <t>Persentase SKPD yang menerapkan anggaran yang responsif gender</t>
  </si>
  <si>
    <t>Persentase kasus kekerasan terhadap anak yang terselesaikan</t>
  </si>
  <si>
    <t>4.758.098.000</t>
  </si>
  <si>
    <t>Dinas Penanaman Modal, Pelayanan Terpadu Satu Pintu, RSUD Brigjend H. Hasan Basry, Dinas Kependudukan dan Catatan Sipil</t>
  </si>
  <si>
    <t>BB (76,23)</t>
  </si>
  <si>
    <t>A  (80,01)</t>
  </si>
  <si>
    <t>A (4,51)</t>
  </si>
  <si>
    <t>38.000.000</t>
  </si>
  <si>
    <t>247.335</t>
  </si>
  <si>
    <t>3.015.781</t>
  </si>
  <si>
    <t>600.000.000.000</t>
  </si>
  <si>
    <t>5.374.026.000</t>
  </si>
  <si>
    <t>A (80,01)</t>
  </si>
  <si>
    <t>3.019.791</t>
  </si>
  <si>
    <t>Semua SKPD (Sekretariat) / Inspektorat</t>
  </si>
  <si>
    <t>Semua SKPD (Sekretariat)</t>
  </si>
  <si>
    <t>102,092</t>
  </si>
  <si>
    <t>≤ 17</t>
  </si>
  <si>
    <t>35.000.000</t>
  </si>
  <si>
    <t>242.707</t>
  </si>
  <si>
    <t>3.014.446</t>
  </si>
  <si>
    <t>580.000.000.000</t>
  </si>
  <si>
    <t>4.224.480.000</t>
  </si>
  <si>
    <t>BB (70,01)</t>
  </si>
  <si>
    <t>I (2019)</t>
  </si>
  <si>
    <t>II (2020)</t>
  </si>
  <si>
    <t>Target RPJMD pada RKPD Tahun</t>
  </si>
  <si>
    <t>Capaian Target RPJMD Melalui Pelaksanaan RKPD Tahun</t>
  </si>
  <si>
    <t>Tingkat Capaian Target RPJMD  Hasil Pelaksanaan RKPD Tahun (%)</t>
  </si>
  <si>
    <t>Persentase kelompok ketahanan keluarga yang aktif</t>
  </si>
  <si>
    <t>AA (80,01)</t>
  </si>
  <si>
    <t>AA (83,60)</t>
  </si>
  <si>
    <t>Persentase  Pemenuhan Tingkat Kesehatan RSUD</t>
  </si>
  <si>
    <t>Persentase  Pemenuhan Aspek IPP RSUD</t>
  </si>
  <si>
    <t>Persentase  Pemenuhan Akreditasi RSUD, Kategori &gt; B</t>
  </si>
  <si>
    <t xml:space="preserve">Persentase pemenuhan Kualitas Sarana Kesehatan  </t>
  </si>
  <si>
    <t>Persentase pengurangan kehilangan hasil-hasil pertanian</t>
  </si>
  <si>
    <t>Realisasi Investasi PMDN</t>
  </si>
  <si>
    <t>Indeks kualitas Udara titik pantau yang memenuhi standar</t>
  </si>
  <si>
    <t>Indeks kualitas air titik pantau yang memenuhi standar</t>
  </si>
  <si>
    <t>Indeks tutupan lahan pada areal bekas pertambangan</t>
  </si>
  <si>
    <t>BB (3,97)</t>
  </si>
  <si>
    <t>Program Peningkatan Kualitas Usaha Mikro dan Usaha Kecil</t>
  </si>
  <si>
    <t>Persentase Usaha Mikro dan Usaha Kecil</t>
  </si>
  <si>
    <t>Persentase Lembaga Kemasyarakatan Desa Yang dibina</t>
  </si>
  <si>
    <t>AAA = &gt;95</t>
  </si>
  <si>
    <t>AA = 80,01-95</t>
  </si>
  <si>
    <t>A= 65,01-80</t>
  </si>
  <si>
    <t>Program Layanan Penanganan Kebakaran dan Perlindungan Masyarakat</t>
  </si>
  <si>
    <t>11.193.500</t>
  </si>
  <si>
    <t>176.730.000.000</t>
  </si>
  <si>
    <t>PERIODE PELAKSANAAN TAHUN 2020</t>
  </si>
  <si>
    <t>7.337.250.000</t>
  </si>
  <si>
    <t>1.479.140.000.000</t>
  </si>
  <si>
    <t>976.090.000.000</t>
  </si>
  <si>
    <t>Persentase penanganan sumber air berupa bendung dan sungai</t>
  </si>
  <si>
    <t>A (77,13)</t>
  </si>
  <si>
    <t>BB (70,03)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</si>
</sst>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00"/>
    <numFmt numFmtId="169" formatCode="#,##0.0"/>
    <numFmt numFmtId="170" formatCode="0.0000"/>
    <numFmt numFmtId="171" formatCode="#,##0.00_ ;\-#,##0.00\ "/>
    <numFmt numFmtId="172" formatCode="0.0"/>
    <numFmt numFmtId="173" formatCode="#,##0_ ;\-#,##0\ "/>
    <numFmt numFmtId="174" formatCode="_(* #,##0.00_);_(* \(#,##0.00\);_(* &quot;-&quot;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11"/>
      <color indexed="81"/>
      <name val="Tahoma"/>
      <family val="2"/>
    </font>
    <font>
      <sz val="12"/>
      <color indexed="81"/>
      <name val="Tahoma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rgb="FF000000"/>
      <name val="Arial Narrow"/>
      <family val="2"/>
    </font>
    <font>
      <sz val="7"/>
      <color rgb="FF000000"/>
      <name val="Arial Narrow"/>
      <family val="2"/>
    </font>
    <font>
      <sz val="12"/>
      <color rgb="FF000000"/>
      <name val="Arial Narrow"/>
      <family val="2"/>
    </font>
    <font>
      <b/>
      <sz val="14"/>
      <color indexed="81"/>
      <name val="Tahoma"/>
      <family val="2"/>
    </font>
    <font>
      <b/>
      <sz val="16"/>
      <color indexed="81"/>
      <name val="Tahoma"/>
      <family val="2"/>
    </font>
    <font>
      <b/>
      <sz val="12"/>
      <color indexed="81"/>
      <name val="Tahoma"/>
      <family val="2"/>
    </font>
    <font>
      <b/>
      <sz val="11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" fillId="9" borderId="0" applyNumberFormat="0" applyBorder="0" applyAlignment="0" applyProtection="0"/>
    <xf numFmtId="164" fontId="1" fillId="0" borderId="0" applyFont="0" applyFill="0" applyBorder="0" applyAlignment="0" applyProtection="0"/>
  </cellStyleXfs>
  <cellXfs count="470">
    <xf numFmtId="0" fontId="0" fillId="0" borderId="0" xfId="0"/>
    <xf numFmtId="0" fontId="7" fillId="0" borderId="1" xfId="0" applyFont="1" applyFill="1" applyBorder="1" applyAlignment="1">
      <alignment horizontal="left" vertical="top" wrapText="1"/>
    </xf>
    <xf numFmtId="0" fontId="9" fillId="0" borderId="0" xfId="0" applyFont="1" applyFill="1"/>
    <xf numFmtId="0" fontId="11" fillId="0" borderId="3" xfId="0" applyFont="1" applyFill="1" applyBorder="1"/>
    <xf numFmtId="0" fontId="11" fillId="0" borderId="5" xfId="0" applyFont="1" applyFill="1" applyBorder="1"/>
    <xf numFmtId="0" fontId="11" fillId="0" borderId="4" xfId="0" applyFont="1" applyFill="1" applyBorder="1"/>
    <xf numFmtId="0" fontId="12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/>
    <xf numFmtId="166" fontId="11" fillId="0" borderId="1" xfId="1" applyNumberFormat="1" applyFont="1" applyFill="1" applyBorder="1" applyAlignment="1">
      <alignment vertical="top"/>
    </xf>
    <xf numFmtId="166" fontId="11" fillId="0" borderId="1" xfId="1" quotePrefix="1" applyNumberFormat="1" applyFont="1" applyFill="1" applyBorder="1" applyAlignment="1">
      <alignment vertical="top"/>
    </xf>
    <xf numFmtId="3" fontId="11" fillId="0" borderId="1" xfId="0" applyNumberFormat="1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1" fillId="0" borderId="5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top"/>
    </xf>
    <xf numFmtId="167" fontId="11" fillId="0" borderId="1" xfId="0" applyNumberFormat="1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left" vertical="top" wrapText="1"/>
    </xf>
    <xf numFmtId="164" fontId="11" fillId="0" borderId="1" xfId="3" applyFont="1" applyFill="1" applyBorder="1" applyAlignment="1">
      <alignment horizontal="center" vertical="top"/>
    </xf>
    <xf numFmtId="2" fontId="11" fillId="0" borderId="1" xfId="1" applyNumberFormat="1" applyFont="1" applyFill="1" applyBorder="1" applyAlignment="1">
      <alignment vertical="top"/>
    </xf>
    <xf numFmtId="164" fontId="11" fillId="0" borderId="1" xfId="3" applyFont="1" applyFill="1" applyBorder="1" applyAlignment="1">
      <alignment vertical="top"/>
    </xf>
    <xf numFmtId="166" fontId="11" fillId="0" borderId="1" xfId="1" applyNumberFormat="1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right" vertical="top"/>
    </xf>
    <xf numFmtId="0" fontId="11" fillId="0" borderId="4" xfId="0" applyFont="1" applyFill="1" applyBorder="1" applyAlignment="1">
      <alignment horizontal="right" vertical="top"/>
    </xf>
    <xf numFmtId="0" fontId="11" fillId="0" borderId="4" xfId="0" applyFont="1" applyFill="1" applyBorder="1" applyAlignment="1">
      <alignment vertical="top"/>
    </xf>
    <xf numFmtId="3" fontId="11" fillId="0" borderId="1" xfId="0" applyNumberFormat="1" applyFont="1" applyFill="1" applyBorder="1" applyAlignment="1">
      <alignment horizontal="right" vertical="top"/>
    </xf>
    <xf numFmtId="3" fontId="11" fillId="0" borderId="4" xfId="0" applyNumberFormat="1" applyFont="1" applyFill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top" wrapText="1"/>
    </xf>
    <xf numFmtId="165" fontId="11" fillId="0" borderId="1" xfId="1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9" fontId="11" fillId="0" borderId="1" xfId="0" applyNumberFormat="1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164" fontId="14" fillId="0" borderId="1" xfId="0" applyNumberFormat="1" applyFont="1" applyFill="1" applyBorder="1" applyAlignment="1">
      <alignment horizontal="center" vertical="top" wrapText="1"/>
    </xf>
    <xf numFmtId="0" fontId="14" fillId="0" borderId="1" xfId="2" applyFont="1" applyFill="1" applyBorder="1" applyAlignment="1">
      <alignment horizontal="left" vertical="top" wrapText="1"/>
    </xf>
    <xf numFmtId="164" fontId="15" fillId="0" borderId="1" xfId="8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164" fontId="14" fillId="0" borderId="1" xfId="8" applyNumberFormat="1" applyFont="1" applyFill="1" applyBorder="1" applyAlignment="1">
      <alignment horizontal="center" vertical="top" wrapText="1"/>
    </xf>
    <xf numFmtId="0" fontId="14" fillId="0" borderId="3" xfId="2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165" fontId="11" fillId="0" borderId="3" xfId="1" applyFont="1" applyFill="1" applyBorder="1" applyAlignment="1">
      <alignment vertical="top"/>
    </xf>
    <xf numFmtId="164" fontId="14" fillId="0" borderId="3" xfId="0" applyNumberFormat="1" applyFont="1" applyFill="1" applyBorder="1" applyAlignment="1">
      <alignment horizontal="center" vertical="top" wrapText="1"/>
    </xf>
    <xf numFmtId="164" fontId="14" fillId="0" borderId="3" xfId="8" applyNumberFormat="1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left" vertical="top" wrapText="1"/>
    </xf>
    <xf numFmtId="9" fontId="11" fillId="0" borderId="4" xfId="0" applyNumberFormat="1" applyFont="1" applyFill="1" applyBorder="1" applyAlignment="1">
      <alignment horizontal="center" vertical="top"/>
    </xf>
    <xf numFmtId="166" fontId="11" fillId="0" borderId="4" xfId="1" applyNumberFormat="1" applyFont="1" applyFill="1" applyBorder="1" applyAlignment="1">
      <alignment vertical="top"/>
    </xf>
    <xf numFmtId="0" fontId="14" fillId="0" borderId="1" xfId="10" applyFont="1" applyFill="1" applyBorder="1" applyAlignment="1">
      <alignment horizontal="left" vertical="top" wrapText="1"/>
    </xf>
    <xf numFmtId="165" fontId="11" fillId="0" borderId="1" xfId="0" applyNumberFormat="1" applyFont="1" applyFill="1" applyBorder="1" applyAlignment="1">
      <alignment horizontal="center" vertical="top" wrapText="1"/>
    </xf>
    <xf numFmtId="0" fontId="12" fillId="0" borderId="1" xfId="5" applyFont="1" applyFill="1" applyBorder="1" applyAlignment="1">
      <alignment horizontal="left" vertical="top" wrapText="1"/>
    </xf>
    <xf numFmtId="0" fontId="11" fillId="0" borderId="1" xfId="5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top"/>
    </xf>
    <xf numFmtId="167" fontId="11" fillId="0" borderId="1" xfId="0" applyNumberFormat="1" applyFont="1" applyFill="1" applyBorder="1" applyAlignment="1">
      <alignment vertical="top"/>
    </xf>
    <xf numFmtId="3" fontId="11" fillId="0" borderId="1" xfId="0" applyNumberFormat="1" applyFont="1" applyFill="1" applyBorder="1" applyAlignment="1">
      <alignment horizontal="center" vertical="top"/>
    </xf>
    <xf numFmtId="2" fontId="11" fillId="0" borderId="1" xfId="0" applyNumberFormat="1" applyFont="1" applyFill="1" applyBorder="1" applyAlignment="1">
      <alignment horizontal="center" vertical="top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66" fontId="11" fillId="0" borderId="1" xfId="1" quotePrefix="1" applyNumberFormat="1" applyFont="1" applyBorder="1" applyAlignment="1">
      <alignment vertical="top"/>
    </xf>
    <xf numFmtId="0" fontId="11" fillId="0" borderId="5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166" fontId="11" fillId="0" borderId="1" xfId="0" applyNumberFormat="1" applyFont="1" applyFill="1" applyBorder="1" applyAlignment="1">
      <alignment vertical="top"/>
    </xf>
    <xf numFmtId="0" fontId="12" fillId="0" borderId="3" xfId="0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top" wrapText="1"/>
    </xf>
    <xf numFmtId="0" fontId="17" fillId="0" borderId="4" xfId="0" applyFont="1" applyFill="1" applyBorder="1" applyAlignment="1">
      <alignment horizontal="left" vertical="top" wrapText="1"/>
    </xf>
    <xf numFmtId="2" fontId="11" fillId="0" borderId="1" xfId="0" applyNumberFormat="1" applyFont="1" applyFill="1" applyBorder="1" applyAlignment="1">
      <alignment vertical="top" wrapText="1"/>
    </xf>
    <xf numFmtId="2" fontId="11" fillId="0" borderId="1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 vertical="top"/>
    </xf>
    <xf numFmtId="2" fontId="11" fillId="0" borderId="4" xfId="0" applyNumberFormat="1" applyFont="1" applyFill="1" applyBorder="1" applyAlignment="1">
      <alignment horizontal="center" vertical="top"/>
    </xf>
    <xf numFmtId="2" fontId="15" fillId="0" borderId="4" xfId="0" applyNumberFormat="1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vertical="top"/>
    </xf>
    <xf numFmtId="164" fontId="11" fillId="0" borderId="4" xfId="0" applyNumberFormat="1" applyFont="1" applyFill="1" applyBorder="1" applyAlignment="1">
      <alignment vertical="top"/>
    </xf>
    <xf numFmtId="166" fontId="11" fillId="0" borderId="1" xfId="1" quotePrefix="1" applyNumberFormat="1" applyFont="1" applyFill="1" applyBorder="1" applyAlignment="1">
      <alignment horizontal="center" vertical="top"/>
    </xf>
    <xf numFmtId="165" fontId="11" fillId="0" borderId="4" xfId="1" applyFont="1" applyFill="1" applyBorder="1" applyAlignment="1">
      <alignment vertical="top"/>
    </xf>
    <xf numFmtId="37" fontId="11" fillId="0" borderId="1" xfId="0" applyNumberFormat="1" applyFont="1" applyFill="1" applyBorder="1" applyAlignment="1">
      <alignment vertical="top"/>
    </xf>
    <xf numFmtId="37" fontId="11" fillId="0" borderId="1" xfId="1" applyNumberFormat="1" applyFont="1" applyFill="1" applyBorder="1" applyAlignment="1">
      <alignment vertical="top"/>
    </xf>
    <xf numFmtId="164" fontId="11" fillId="0" borderId="1" xfId="1" applyNumberFormat="1" applyFont="1" applyFill="1" applyBorder="1" applyAlignment="1">
      <alignment vertical="top"/>
    </xf>
    <xf numFmtId="166" fontId="11" fillId="0" borderId="1" xfId="0" applyNumberFormat="1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horizontal="right" vertical="top"/>
    </xf>
    <xf numFmtId="0" fontId="9" fillId="0" borderId="0" xfId="0" applyFont="1" applyFill="1" applyAlignment="1">
      <alignment vertical="top"/>
    </xf>
    <xf numFmtId="1" fontId="11" fillId="0" borderId="1" xfId="0" applyNumberFormat="1" applyFont="1" applyFill="1" applyBorder="1" applyAlignment="1">
      <alignment horizontal="center" vertical="top"/>
    </xf>
    <xf numFmtId="2" fontId="11" fillId="0" borderId="1" xfId="0" applyNumberFormat="1" applyFont="1" applyBorder="1" applyAlignment="1">
      <alignment horizontal="center" vertical="top"/>
    </xf>
    <xf numFmtId="166" fontId="11" fillId="0" borderId="1" xfId="1" quotePrefix="1" applyNumberFormat="1" applyFont="1" applyBorder="1" applyAlignment="1">
      <alignment horizontal="center" vertical="top"/>
    </xf>
    <xf numFmtId="1" fontId="11" fillId="0" borderId="1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167" fontId="11" fillId="0" borderId="1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9" fillId="2" borderId="0" xfId="0" applyFont="1" applyFill="1"/>
    <xf numFmtId="3" fontId="11" fillId="0" borderId="1" xfId="0" quotePrefix="1" applyNumberFormat="1" applyFont="1" applyFill="1" applyBorder="1" applyAlignment="1">
      <alignment vertical="top" wrapText="1"/>
    </xf>
    <xf numFmtId="165" fontId="11" fillId="0" borderId="1" xfId="1" quotePrefix="1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/>
    </xf>
    <xf numFmtId="0" fontId="12" fillId="4" borderId="5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166" fontId="11" fillId="0" borderId="0" xfId="1" quotePrefix="1" applyNumberFormat="1" applyFont="1" applyFill="1" applyBorder="1" applyAlignment="1">
      <alignment vertical="top"/>
    </xf>
    <xf numFmtId="166" fontId="11" fillId="0" borderId="0" xfId="0" applyNumberFormat="1" applyFont="1" applyFill="1" applyAlignment="1">
      <alignment vertical="top"/>
    </xf>
    <xf numFmtId="0" fontId="12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left" vertical="top" wrapText="1"/>
    </xf>
    <xf numFmtId="166" fontId="11" fillId="0" borderId="1" xfId="1" quotePrefix="1" applyNumberFormat="1" applyFont="1" applyFill="1" applyBorder="1" applyAlignment="1">
      <alignment horizontal="center" vertical="top" wrapText="1"/>
    </xf>
    <xf numFmtId="164" fontId="11" fillId="0" borderId="1" xfId="3" quotePrefix="1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2" fillId="0" borderId="2" xfId="0" applyFont="1" applyFill="1" applyBorder="1"/>
    <xf numFmtId="0" fontId="11" fillId="0" borderId="2" xfId="0" applyFont="1" applyFill="1" applyBorder="1"/>
    <xf numFmtId="2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/>
    </xf>
    <xf numFmtId="0" fontId="9" fillId="0" borderId="5" xfId="0" applyFont="1" applyFill="1" applyBorder="1"/>
    <xf numFmtId="0" fontId="9" fillId="0" borderId="4" xfId="0" applyFont="1" applyFill="1" applyBorder="1"/>
    <xf numFmtId="0" fontId="12" fillId="3" borderId="4" xfId="0" applyFont="1" applyFill="1" applyBorder="1" applyAlignment="1">
      <alignment vertical="top" wrapText="1"/>
    </xf>
    <xf numFmtId="0" fontId="9" fillId="2" borderId="3" xfId="0" applyFont="1" applyFill="1" applyBorder="1"/>
    <xf numFmtId="0" fontId="9" fillId="2" borderId="5" xfId="0" applyFont="1" applyFill="1" applyBorder="1"/>
    <xf numFmtId="0" fontId="9" fillId="4" borderId="5" xfId="0" applyFont="1" applyFill="1" applyBorder="1"/>
    <xf numFmtId="0" fontId="9" fillId="0" borderId="5" xfId="0" applyFont="1" applyFill="1" applyBorder="1" applyAlignment="1">
      <alignment horizontal="center" vertical="top" wrapText="1"/>
    </xf>
    <xf numFmtId="0" fontId="9" fillId="3" borderId="0" xfId="0" applyFont="1" applyFill="1"/>
    <xf numFmtId="166" fontId="11" fillId="2" borderId="0" xfId="0" applyNumberFormat="1" applyFont="1" applyFill="1" applyAlignment="1">
      <alignment vertical="top"/>
    </xf>
    <xf numFmtId="2" fontId="11" fillId="0" borderId="1" xfId="0" quotePrefix="1" applyNumberFormat="1" applyFont="1" applyFill="1" applyBorder="1" applyAlignment="1">
      <alignment horizontal="center" vertical="top" wrapText="1"/>
    </xf>
    <xf numFmtId="4" fontId="11" fillId="0" borderId="1" xfId="0" quotePrefix="1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/>
    </xf>
    <xf numFmtId="0" fontId="11" fillId="5" borderId="13" xfId="0" applyFont="1" applyFill="1" applyBorder="1"/>
    <xf numFmtId="0" fontId="9" fillId="5" borderId="14" xfId="0" applyFont="1" applyFill="1" applyBorder="1"/>
    <xf numFmtId="2" fontId="11" fillId="5" borderId="1" xfId="0" applyNumberFormat="1" applyFont="1" applyFill="1" applyBorder="1"/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/>
    <xf numFmtId="2" fontId="11" fillId="5" borderId="1" xfId="0" applyNumberFormat="1" applyFont="1" applyFill="1" applyBorder="1" applyAlignment="1">
      <alignment horizontal="right"/>
    </xf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/>
    <xf numFmtId="0" fontId="9" fillId="0" borderId="1" xfId="0" applyFont="1" applyFill="1" applyBorder="1"/>
    <xf numFmtId="0" fontId="9" fillId="0" borderId="0" xfId="0" applyFont="1" applyFill="1" applyBorder="1"/>
    <xf numFmtId="0" fontId="9" fillId="0" borderId="11" xfId="0" applyFont="1" applyFill="1" applyBorder="1"/>
    <xf numFmtId="0" fontId="11" fillId="0" borderId="4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/>
    </xf>
    <xf numFmtId="1" fontId="15" fillId="0" borderId="4" xfId="0" applyNumberFormat="1" applyFont="1" applyFill="1" applyBorder="1" applyAlignment="1">
      <alignment horizontal="center" vertical="top" wrapText="1"/>
    </xf>
    <xf numFmtId="0" fontId="9" fillId="6" borderId="0" xfId="0" applyFont="1" applyFill="1"/>
    <xf numFmtId="1" fontId="11" fillId="0" borderId="4" xfId="0" applyNumberFormat="1" applyFont="1" applyFill="1" applyBorder="1" applyAlignment="1">
      <alignment horizontal="center" vertical="top"/>
    </xf>
    <xf numFmtId="0" fontId="12" fillId="0" borderId="5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164" fontId="14" fillId="0" borderId="1" xfId="8" applyNumberFormat="1" applyFont="1" applyFill="1" applyBorder="1" applyAlignment="1">
      <alignment vertical="top"/>
    </xf>
    <xf numFmtId="166" fontId="11" fillId="0" borderId="1" xfId="0" applyNumberFormat="1" applyFont="1" applyFill="1" applyBorder="1" applyAlignment="1">
      <alignment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20" fillId="0" borderId="4" xfId="0" applyFont="1" applyFill="1" applyBorder="1" applyAlignment="1">
      <alignment horizontal="left" vertical="top"/>
    </xf>
    <xf numFmtId="0" fontId="20" fillId="0" borderId="4" xfId="0" applyFont="1" applyFill="1" applyBorder="1" applyAlignment="1">
      <alignment horizontal="left" vertical="top" wrapText="1"/>
    </xf>
    <xf numFmtId="2" fontId="14" fillId="0" borderId="4" xfId="0" applyNumberFormat="1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/>
    <xf numFmtId="0" fontId="21" fillId="0" borderId="0" xfId="0" applyFont="1" applyFill="1"/>
    <xf numFmtId="0" fontId="11" fillId="0" borderId="4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top" wrapText="1"/>
    </xf>
    <xf numFmtId="4" fontId="9" fillId="0" borderId="0" xfId="0" applyNumberFormat="1" applyFont="1" applyFill="1"/>
    <xf numFmtId="0" fontId="11" fillId="0" borderId="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top" wrapText="1"/>
    </xf>
    <xf numFmtId="0" fontId="11" fillId="0" borderId="0" xfId="0" applyFont="1" applyFill="1" applyAlignment="1">
      <alignment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9" fillId="7" borderId="0" xfId="0" applyFont="1" applyFill="1"/>
    <xf numFmtId="166" fontId="9" fillId="0" borderId="0" xfId="0" applyNumberFormat="1" applyFont="1" applyFill="1"/>
    <xf numFmtId="166" fontId="9" fillId="7" borderId="0" xfId="0" applyNumberFormat="1" applyFont="1" applyFill="1"/>
    <xf numFmtId="164" fontId="9" fillId="0" borderId="0" xfId="0" applyNumberFormat="1" applyFont="1" applyFill="1"/>
    <xf numFmtId="0" fontId="22" fillId="8" borderId="16" xfId="2" applyFont="1" applyFill="1" applyBorder="1" applyAlignment="1">
      <alignment horizontal="center" vertical="center" wrapText="1"/>
    </xf>
    <xf numFmtId="0" fontId="22" fillId="0" borderId="16" xfId="2" applyFont="1" applyFill="1" applyBorder="1" applyAlignment="1">
      <alignment horizontal="center" vertical="center" wrapText="1"/>
    </xf>
    <xf numFmtId="0" fontId="24" fillId="0" borderId="16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3" fontId="16" fillId="0" borderId="0" xfId="0" applyNumberFormat="1" applyFont="1" applyFill="1"/>
    <xf numFmtId="0" fontId="11" fillId="0" borderId="3" xfId="0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vertical="top" wrapText="1"/>
    </xf>
    <xf numFmtId="3" fontId="11" fillId="0" borderId="1" xfId="0" quotePrefix="1" applyNumberFormat="1" applyFont="1" applyFill="1" applyBorder="1" applyAlignment="1">
      <alignment horizontal="center" vertical="top" wrapText="1"/>
    </xf>
    <xf numFmtId="164" fontId="11" fillId="0" borderId="1" xfId="3" quotePrefix="1" applyFont="1" applyFill="1" applyBorder="1" applyAlignment="1">
      <alignment vertical="top" wrapText="1"/>
    </xf>
    <xf numFmtId="164" fontId="11" fillId="0" borderId="1" xfId="3" quotePrefix="1" applyNumberFormat="1" applyFont="1" applyFill="1" applyBorder="1" applyAlignment="1">
      <alignment vertical="top" wrapText="1"/>
    </xf>
    <xf numFmtId="3" fontId="11" fillId="0" borderId="1" xfId="0" applyNumberFormat="1" applyFont="1" applyFill="1" applyBorder="1" applyAlignment="1">
      <alignment horizontal="center" vertical="top" wrapText="1"/>
    </xf>
    <xf numFmtId="169" fontId="11" fillId="0" borderId="1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1" fontId="14" fillId="0" borderId="1" xfId="8" applyNumberFormat="1" applyFont="1" applyFill="1" applyBorder="1" applyAlignment="1">
      <alignment horizontal="center" vertical="top"/>
    </xf>
    <xf numFmtId="1" fontId="14" fillId="0" borderId="1" xfId="8" applyNumberFormat="1" applyFont="1" applyFill="1" applyBorder="1" applyAlignment="1">
      <alignment horizontal="center" vertical="top" wrapText="1"/>
    </xf>
    <xf numFmtId="1" fontId="14" fillId="0" borderId="4" xfId="8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170" fontId="11" fillId="0" borderId="1" xfId="0" applyNumberFormat="1" applyFont="1" applyFill="1" applyBorder="1" applyAlignment="1">
      <alignment horizontal="center" vertical="top"/>
    </xf>
    <xf numFmtId="43" fontId="11" fillId="0" borderId="0" xfId="0" applyNumberFormat="1" applyFont="1" applyFill="1"/>
    <xf numFmtId="0" fontId="11" fillId="0" borderId="3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vertical="top"/>
    </xf>
    <xf numFmtId="0" fontId="11" fillId="0" borderId="3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3" fontId="14" fillId="0" borderId="1" xfId="0" applyNumberFormat="1" applyFont="1" applyFill="1" applyBorder="1" applyAlignment="1">
      <alignment horizontal="center" vertical="top" wrapText="1"/>
    </xf>
    <xf numFmtId="4" fontId="11" fillId="0" borderId="1" xfId="1" quotePrefix="1" applyNumberFormat="1" applyFont="1" applyFill="1" applyBorder="1" applyAlignment="1">
      <alignment horizontal="center" vertical="top" wrapText="1"/>
    </xf>
    <xf numFmtId="171" fontId="11" fillId="0" borderId="1" xfId="0" applyNumberFormat="1" applyFont="1" applyFill="1" applyBorder="1" applyAlignment="1">
      <alignment horizontal="center" vertical="top"/>
    </xf>
    <xf numFmtId="2" fontId="11" fillId="0" borderId="4" xfId="0" applyNumberFormat="1" applyFont="1" applyFill="1" applyBorder="1" applyAlignment="1">
      <alignment horizontal="center" vertical="top" wrapText="1"/>
    </xf>
    <xf numFmtId="4" fontId="15" fillId="0" borderId="4" xfId="0" applyNumberFormat="1" applyFont="1" applyFill="1" applyBorder="1" applyAlignment="1">
      <alignment horizontal="center" vertical="top" wrapText="1"/>
    </xf>
    <xf numFmtId="4" fontId="11" fillId="0" borderId="4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top" wrapText="1"/>
    </xf>
    <xf numFmtId="167" fontId="11" fillId="0" borderId="1" xfId="0" quotePrefix="1" applyNumberFormat="1" applyFont="1" applyFill="1" applyBorder="1" applyAlignment="1">
      <alignment horizontal="center" vertical="top" wrapText="1"/>
    </xf>
    <xf numFmtId="166" fontId="11" fillId="0" borderId="5" xfId="1" applyNumberFormat="1" applyFont="1" applyFill="1" applyBorder="1" applyAlignment="1">
      <alignment vertical="top"/>
    </xf>
    <xf numFmtId="166" fontId="11" fillId="0" borderId="3" xfId="1" quotePrefix="1" applyNumberFormat="1" applyFont="1" applyFill="1" applyBorder="1" applyAlignment="1">
      <alignment vertical="top"/>
    </xf>
    <xf numFmtId="166" fontId="11" fillId="0" borderId="5" xfId="1" quotePrefix="1" applyNumberFormat="1" applyFont="1" applyFill="1" applyBorder="1" applyAlignment="1">
      <alignment vertical="top"/>
    </xf>
    <xf numFmtId="166" fontId="11" fillId="0" borderId="4" xfId="1" quotePrefix="1" applyNumberFormat="1" applyFont="1" applyFill="1" applyBorder="1" applyAlignment="1">
      <alignment vertical="top"/>
    </xf>
    <xf numFmtId="166" fontId="11" fillId="0" borderId="3" xfId="1" applyNumberFormat="1" applyFont="1" applyFill="1" applyBorder="1" applyAlignment="1">
      <alignment vertical="top"/>
    </xf>
    <xf numFmtId="166" fontId="9" fillId="0" borderId="4" xfId="1" applyNumberFormat="1" applyFont="1" applyFill="1" applyBorder="1" applyAlignment="1">
      <alignment vertical="top"/>
    </xf>
    <xf numFmtId="166" fontId="16" fillId="0" borderId="5" xfId="1" applyNumberFormat="1" applyFont="1" applyFill="1" applyBorder="1" applyAlignment="1">
      <alignment vertical="top"/>
    </xf>
    <xf numFmtId="166" fontId="16" fillId="0" borderId="4" xfId="1" applyNumberFormat="1" applyFont="1" applyFill="1" applyBorder="1" applyAlignment="1">
      <alignment vertical="top"/>
    </xf>
    <xf numFmtId="164" fontId="14" fillId="0" borderId="4" xfId="0" applyNumberFormat="1" applyFont="1" applyFill="1" applyBorder="1" applyAlignment="1">
      <alignment horizontal="center" vertical="top" wrapText="1"/>
    </xf>
    <xf numFmtId="164" fontId="14" fillId="0" borderId="5" xfId="0" applyNumberFormat="1" applyFont="1" applyFill="1" applyBorder="1" applyAlignment="1">
      <alignment horizontal="center" vertical="top" wrapText="1"/>
    </xf>
    <xf numFmtId="164" fontId="14" fillId="0" borderId="4" xfId="7" applyNumberFormat="1" applyFont="1" applyFill="1" applyBorder="1" applyAlignment="1">
      <alignment vertical="top" wrapText="1"/>
    </xf>
    <xf numFmtId="164" fontId="15" fillId="0" borderId="4" xfId="8" applyNumberFormat="1" applyFont="1" applyFill="1" applyBorder="1" applyAlignment="1">
      <alignment horizontal="center" vertical="top" wrapText="1"/>
    </xf>
    <xf numFmtId="164" fontId="14" fillId="0" borderId="4" xfId="8" applyNumberFormat="1" applyFont="1" applyFill="1" applyBorder="1" applyAlignment="1">
      <alignment horizontal="center" vertical="top" wrapText="1"/>
    </xf>
    <xf numFmtId="0" fontId="11" fillId="4" borderId="4" xfId="0" applyFont="1" applyFill="1" applyBorder="1"/>
    <xf numFmtId="0" fontId="9" fillId="0" borderId="7" xfId="0" applyFont="1" applyFill="1" applyBorder="1"/>
    <xf numFmtId="3" fontId="11" fillId="0" borderId="1" xfId="1" quotePrefix="1" applyNumberFormat="1" applyFont="1" applyFill="1" applyBorder="1" applyAlignment="1">
      <alignment horizontal="center" vertical="top" wrapText="1"/>
    </xf>
    <xf numFmtId="3" fontId="11" fillId="0" borderId="3" xfId="0" applyNumberFormat="1" applyFont="1" applyFill="1" applyBorder="1" applyAlignment="1">
      <alignment vertical="top"/>
    </xf>
    <xf numFmtId="164" fontId="11" fillId="0" borderId="4" xfId="3" applyFont="1" applyFill="1" applyBorder="1" applyAlignment="1">
      <alignment vertical="top"/>
    </xf>
    <xf numFmtId="164" fontId="11" fillId="0" borderId="3" xfId="3" applyFont="1" applyFill="1" applyBorder="1" applyAlignment="1">
      <alignment vertical="top"/>
    </xf>
    <xf numFmtId="3" fontId="11" fillId="0" borderId="3" xfId="0" applyNumberFormat="1" applyFont="1" applyFill="1" applyBorder="1" applyAlignment="1">
      <alignment horizontal="right" vertical="top"/>
    </xf>
    <xf numFmtId="0" fontId="14" fillId="0" borderId="5" xfId="2" applyFont="1" applyFill="1" applyBorder="1" applyAlignment="1">
      <alignment horizontal="left" vertical="top" wrapText="1"/>
    </xf>
    <xf numFmtId="0" fontId="14" fillId="0" borderId="4" xfId="2" applyFont="1" applyFill="1" applyBorder="1" applyAlignment="1">
      <alignment horizontal="left" vertical="top" wrapText="1"/>
    </xf>
    <xf numFmtId="164" fontId="14" fillId="0" borderId="3" xfId="7" applyNumberFormat="1" applyFont="1" applyFill="1" applyBorder="1" applyAlignment="1">
      <alignment vertical="top" wrapText="1"/>
    </xf>
    <xf numFmtId="164" fontId="14" fillId="0" borderId="5" xfId="7" applyNumberFormat="1" applyFont="1" applyFill="1" applyBorder="1" applyAlignment="1">
      <alignment vertical="top" wrapText="1"/>
    </xf>
    <xf numFmtId="164" fontId="15" fillId="0" borderId="3" xfId="8" applyNumberFormat="1" applyFont="1" applyFill="1" applyBorder="1" applyAlignment="1">
      <alignment horizontal="center" vertical="top" wrapText="1"/>
    </xf>
    <xf numFmtId="164" fontId="15" fillId="0" borderId="5" xfId="8" applyNumberFormat="1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166" fontId="14" fillId="0" borderId="3" xfId="1" applyNumberFormat="1" applyFont="1" applyFill="1" applyBorder="1" applyAlignment="1">
      <alignment vertical="top"/>
    </xf>
    <xf numFmtId="0" fontId="11" fillId="0" borderId="3" xfId="0" applyFont="1" applyFill="1" applyBorder="1" applyAlignment="1">
      <alignment horizontal="center" vertical="top" wrapText="1"/>
    </xf>
    <xf numFmtId="166" fontId="11" fillId="0" borderId="3" xfId="1" applyNumberFormat="1" applyFont="1" applyFill="1" applyBorder="1" applyAlignment="1">
      <alignment horizontal="center" vertical="top"/>
    </xf>
    <xf numFmtId="166" fontId="11" fillId="0" borderId="4" xfId="1" applyNumberFormat="1" applyFont="1" applyFill="1" applyBorder="1" applyAlignment="1">
      <alignment horizontal="center" vertical="top"/>
    </xf>
    <xf numFmtId="166" fontId="11" fillId="0" borderId="3" xfId="1" quotePrefix="1" applyNumberFormat="1" applyFont="1" applyBorder="1" applyAlignment="1">
      <alignment vertical="top"/>
    </xf>
    <xf numFmtId="166" fontId="11" fillId="0" borderId="4" xfId="1" quotePrefix="1" applyNumberFormat="1" applyFont="1" applyBorder="1" applyAlignment="1">
      <alignment vertical="top"/>
    </xf>
    <xf numFmtId="172" fontId="11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/>
    <xf numFmtId="0" fontId="11" fillId="10" borderId="1" xfId="0" applyFont="1" applyFill="1" applyBorder="1" applyAlignment="1">
      <alignment horizontal="left" vertical="top" wrapText="1"/>
    </xf>
    <xf numFmtId="2" fontId="12" fillId="4" borderId="1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3" fontId="12" fillId="4" borderId="4" xfId="0" applyNumberFormat="1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/>
    </xf>
    <xf numFmtId="0" fontId="12" fillId="4" borderId="4" xfId="0" applyFont="1" applyFill="1" applyBorder="1"/>
    <xf numFmtId="0" fontId="12" fillId="0" borderId="1" xfId="0" applyFont="1" applyFill="1" applyBorder="1" applyAlignment="1">
      <alignment horizontal="center" vertical="top" wrapText="1"/>
    </xf>
    <xf numFmtId="9" fontId="12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/>
    <xf numFmtId="166" fontId="12" fillId="0" borderId="1" xfId="1" applyNumberFormat="1" applyFont="1" applyFill="1" applyBorder="1" applyAlignment="1">
      <alignment vertical="top"/>
    </xf>
    <xf numFmtId="2" fontId="12" fillId="0" borderId="1" xfId="0" applyNumberFormat="1" applyFont="1" applyFill="1" applyBorder="1" applyAlignment="1">
      <alignment horizontal="center" vertical="top" wrapText="1"/>
    </xf>
    <xf numFmtId="166" fontId="12" fillId="0" borderId="1" xfId="1" quotePrefix="1" applyNumberFormat="1" applyFont="1" applyFill="1" applyBorder="1" applyAlignment="1">
      <alignment vertical="top"/>
    </xf>
    <xf numFmtId="2" fontId="12" fillId="0" borderId="1" xfId="0" applyNumberFormat="1" applyFont="1" applyBorder="1" applyAlignment="1">
      <alignment horizontal="center" vertical="top"/>
    </xf>
    <xf numFmtId="9" fontId="12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2" fontId="12" fillId="0" borderId="1" xfId="1" applyNumberFormat="1" applyFont="1" applyFill="1" applyBorder="1" applyAlignment="1">
      <alignment vertical="top"/>
    </xf>
    <xf numFmtId="2" fontId="12" fillId="0" borderId="1" xfId="0" applyNumberFormat="1" applyFont="1" applyFill="1" applyBorder="1" applyAlignment="1">
      <alignment vertical="top" wrapText="1"/>
    </xf>
    <xf numFmtId="166" fontId="12" fillId="0" borderId="1" xfId="1" quotePrefix="1" applyNumberFormat="1" applyFont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166" fontId="12" fillId="0" borderId="1" xfId="0" applyNumberFormat="1" applyFont="1" applyFill="1" applyBorder="1" applyAlignment="1">
      <alignment vertical="top"/>
    </xf>
    <xf numFmtId="2" fontId="12" fillId="0" borderId="1" xfId="0" applyNumberFormat="1" applyFont="1" applyFill="1" applyBorder="1" applyAlignment="1">
      <alignment horizontal="center" vertical="top"/>
    </xf>
    <xf numFmtId="2" fontId="11" fillId="0" borderId="1" xfId="1" applyNumberFormat="1" applyFont="1" applyFill="1" applyBorder="1" applyAlignment="1">
      <alignment horizontal="center" vertical="top"/>
    </xf>
    <xf numFmtId="0" fontId="11" fillId="0" borderId="3" xfId="0" applyFont="1" applyFill="1" applyBorder="1" applyAlignment="1">
      <alignment vertical="top"/>
    </xf>
    <xf numFmtId="2" fontId="11" fillId="0" borderId="3" xfId="1" applyNumberFormat="1" applyFont="1" applyFill="1" applyBorder="1" applyAlignment="1">
      <alignment horizontal="center" vertical="top"/>
    </xf>
    <xf numFmtId="2" fontId="11" fillId="0" borderId="4" xfId="1" applyNumberFormat="1" applyFont="1" applyFill="1" applyBorder="1" applyAlignment="1">
      <alignment horizontal="center" vertical="top"/>
    </xf>
    <xf numFmtId="2" fontId="12" fillId="4" borderId="4" xfId="0" applyNumberFormat="1" applyFont="1" applyFill="1" applyBorder="1" applyAlignment="1">
      <alignment horizontal="center" vertical="top"/>
    </xf>
    <xf numFmtId="2" fontId="12" fillId="0" borderId="1" xfId="1" applyNumberFormat="1" applyFont="1" applyFill="1" applyBorder="1" applyAlignment="1">
      <alignment horizontal="center" vertical="top"/>
    </xf>
    <xf numFmtId="167" fontId="12" fillId="0" borderId="1" xfId="0" applyNumberFormat="1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vertical="top"/>
    </xf>
    <xf numFmtId="2" fontId="11" fillId="0" borderId="5" xfId="1" applyNumberFormat="1" applyFont="1" applyFill="1" applyBorder="1" applyAlignment="1">
      <alignment horizontal="center" vertical="top"/>
    </xf>
    <xf numFmtId="164" fontId="11" fillId="0" borderId="3" xfId="3" applyFont="1" applyFill="1" applyBorder="1" applyAlignment="1">
      <alignment horizontal="center" vertical="top"/>
    </xf>
    <xf numFmtId="164" fontId="11" fillId="0" borderId="5" xfId="3" applyFont="1" applyFill="1" applyBorder="1" applyAlignment="1">
      <alignment horizontal="center" vertical="top"/>
    </xf>
    <xf numFmtId="164" fontId="11" fillId="0" borderId="4" xfId="3" applyFont="1" applyFill="1" applyBorder="1" applyAlignment="1">
      <alignment horizontal="center" vertical="top"/>
    </xf>
    <xf numFmtId="164" fontId="11" fillId="0" borderId="5" xfId="3" applyFont="1" applyFill="1" applyBorder="1" applyAlignment="1">
      <alignment vertical="top"/>
    </xf>
    <xf numFmtId="165" fontId="12" fillId="0" borderId="1" xfId="1" quotePrefix="1" applyNumberFormat="1" applyFont="1" applyFill="1" applyBorder="1" applyAlignment="1">
      <alignment horizontal="center" vertical="top" wrapText="1"/>
    </xf>
    <xf numFmtId="166" fontId="12" fillId="0" borderId="1" xfId="1" quotePrefix="1" applyNumberFormat="1" applyFont="1" applyFill="1" applyBorder="1" applyAlignment="1">
      <alignment horizontal="center" vertical="top"/>
    </xf>
    <xf numFmtId="165" fontId="12" fillId="0" borderId="1" xfId="1" quotePrefix="1" applyNumberFormat="1" applyFont="1" applyFill="1" applyBorder="1" applyAlignment="1">
      <alignment horizontal="center" vertical="top"/>
    </xf>
    <xf numFmtId="164" fontId="12" fillId="0" borderId="1" xfId="3" applyFont="1" applyFill="1" applyBorder="1" applyAlignment="1">
      <alignment horizontal="center" vertical="top"/>
    </xf>
    <xf numFmtId="2" fontId="12" fillId="0" borderId="1" xfId="3" applyNumberFormat="1" applyFont="1" applyFill="1" applyBorder="1" applyAlignment="1">
      <alignment horizontal="center" vertical="top" wrapText="1"/>
    </xf>
    <xf numFmtId="0" fontId="12" fillId="0" borderId="1" xfId="3" applyNumberFormat="1" applyFont="1" applyFill="1" applyBorder="1" applyAlignment="1">
      <alignment horizontal="center" vertical="top" wrapText="1"/>
    </xf>
    <xf numFmtId="166" fontId="11" fillId="0" borderId="5" xfId="1" applyNumberFormat="1" applyFont="1" applyFill="1" applyBorder="1" applyAlignment="1">
      <alignment horizontal="center" vertical="top"/>
    </xf>
    <xf numFmtId="166" fontId="11" fillId="0" borderId="5" xfId="1" quotePrefix="1" applyNumberFormat="1" applyFont="1" applyFill="1" applyBorder="1" applyAlignment="1">
      <alignment horizontal="center" vertical="top"/>
    </xf>
    <xf numFmtId="166" fontId="11" fillId="0" borderId="4" xfId="1" quotePrefix="1" applyNumberFormat="1" applyFont="1" applyFill="1" applyBorder="1" applyAlignment="1">
      <alignment horizontal="center" vertical="top"/>
    </xf>
    <xf numFmtId="1" fontId="12" fillId="0" borderId="1" xfId="0" applyNumberFormat="1" applyFont="1" applyFill="1" applyBorder="1" applyAlignment="1">
      <alignment horizontal="center" vertical="top"/>
    </xf>
    <xf numFmtId="171" fontId="12" fillId="0" borderId="1" xfId="0" applyNumberFormat="1" applyFont="1" applyFill="1" applyBorder="1" applyAlignment="1">
      <alignment horizontal="center" vertical="top"/>
    </xf>
    <xf numFmtId="166" fontId="12" fillId="0" borderId="1" xfId="1" quotePrefix="1" applyNumberFormat="1" applyFont="1" applyFill="1" applyBorder="1" applyAlignment="1">
      <alignment vertical="top" wrapText="1"/>
    </xf>
    <xf numFmtId="4" fontId="12" fillId="0" borderId="1" xfId="1" quotePrefix="1" applyNumberFormat="1" applyFont="1" applyFill="1" applyBorder="1" applyAlignment="1">
      <alignment vertical="top" wrapText="1"/>
    </xf>
    <xf numFmtId="164" fontId="12" fillId="4" borderId="4" xfId="3" applyFont="1" applyFill="1" applyBorder="1" applyAlignment="1">
      <alignment horizontal="center" vertical="top"/>
    </xf>
    <xf numFmtId="166" fontId="12" fillId="4" borderId="1" xfId="1" quotePrefix="1" applyNumberFormat="1" applyFont="1" applyFill="1" applyBorder="1" applyAlignment="1">
      <alignment vertical="top"/>
    </xf>
    <xf numFmtId="0" fontId="20" fillId="4" borderId="1" xfId="0" applyFont="1" applyFill="1" applyBorder="1" applyAlignment="1">
      <alignment horizontal="center" vertical="top"/>
    </xf>
    <xf numFmtId="2" fontId="13" fillId="0" borderId="1" xfId="0" applyNumberFormat="1" applyFont="1" applyFill="1" applyBorder="1" applyAlignment="1">
      <alignment horizontal="center" vertical="top"/>
    </xf>
    <xf numFmtId="164" fontId="12" fillId="0" borderId="1" xfId="3" applyFont="1" applyFill="1" applyBorder="1" applyAlignment="1">
      <alignment vertical="top"/>
    </xf>
    <xf numFmtId="171" fontId="20" fillId="4" borderId="1" xfId="0" applyNumberFormat="1" applyFont="1" applyFill="1" applyBorder="1" applyAlignment="1">
      <alignment horizontal="center" vertical="top"/>
    </xf>
    <xf numFmtId="2" fontId="20" fillId="4" borderId="1" xfId="1" applyNumberFormat="1" applyFont="1" applyFill="1" applyBorder="1" applyAlignment="1">
      <alignment horizontal="center" vertical="top"/>
    </xf>
    <xf numFmtId="1" fontId="13" fillId="0" borderId="1" xfId="0" applyNumberFormat="1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 wrapText="1"/>
    </xf>
    <xf numFmtId="4" fontId="12" fillId="0" borderId="1" xfId="0" applyNumberFormat="1" applyFont="1" applyFill="1" applyBorder="1" applyAlignment="1">
      <alignment horizontal="center" vertical="top" wrapText="1"/>
    </xf>
    <xf numFmtId="3" fontId="12" fillId="4" borderId="4" xfId="0" applyNumberFormat="1" applyFont="1" applyFill="1" applyBorder="1" applyAlignment="1">
      <alignment horizontal="center" vertical="top"/>
    </xf>
    <xf numFmtId="9" fontId="12" fillId="0" borderId="1" xfId="0" applyNumberFormat="1" applyFont="1" applyFill="1" applyBorder="1" applyAlignment="1">
      <alignment vertical="top"/>
    </xf>
    <xf numFmtId="173" fontId="11" fillId="0" borderId="1" xfId="0" applyNumberFormat="1" applyFont="1" applyFill="1" applyBorder="1" applyAlignment="1">
      <alignment horizontal="center" vertical="top"/>
    </xf>
    <xf numFmtId="164" fontId="11" fillId="0" borderId="3" xfId="0" applyNumberFormat="1" applyFont="1" applyFill="1" applyBorder="1" applyAlignment="1">
      <alignment vertical="top"/>
    </xf>
    <xf numFmtId="41" fontId="11" fillId="0" borderId="3" xfId="0" applyNumberFormat="1" applyFont="1" applyFill="1" applyBorder="1" applyAlignment="1">
      <alignment vertical="top"/>
    </xf>
    <xf numFmtId="0" fontId="11" fillId="0" borderId="10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right" vertical="top"/>
    </xf>
    <xf numFmtId="0" fontId="12" fillId="0" borderId="1" xfId="0" applyNumberFormat="1" applyFont="1" applyFill="1" applyBorder="1" applyAlignment="1">
      <alignment horizontal="center" vertical="top" wrapText="1"/>
    </xf>
    <xf numFmtId="3" fontId="12" fillId="0" borderId="1" xfId="0" applyNumberFormat="1" applyFont="1" applyFill="1" applyBorder="1" applyAlignment="1">
      <alignment horizontal="right" vertical="top"/>
    </xf>
    <xf numFmtId="0" fontId="11" fillId="0" borderId="3" xfId="0" applyFont="1" applyFill="1" applyBorder="1" applyAlignment="1">
      <alignment horizontal="right" vertical="top"/>
    </xf>
    <xf numFmtId="166" fontId="11" fillId="0" borderId="3" xfId="1" quotePrefix="1" applyNumberFormat="1" applyFont="1" applyFill="1" applyBorder="1" applyAlignment="1">
      <alignment horizontal="center" vertical="top"/>
    </xf>
    <xf numFmtId="3" fontId="11" fillId="0" borderId="4" xfId="0" applyNumberFormat="1" applyFont="1" applyFill="1" applyBorder="1" applyAlignment="1">
      <alignment vertical="top"/>
    </xf>
    <xf numFmtId="3" fontId="15" fillId="0" borderId="4" xfId="0" applyNumberFormat="1" applyFont="1" applyFill="1" applyBorder="1" applyAlignment="1">
      <alignment horizontal="center" vertical="top" wrapText="1"/>
    </xf>
    <xf numFmtId="0" fontId="7" fillId="10" borderId="1" xfId="0" applyFont="1" applyFill="1" applyBorder="1" applyAlignment="1">
      <alignment horizontal="left" vertical="top" wrapText="1"/>
    </xf>
    <xf numFmtId="2" fontId="12" fillId="0" borderId="4" xfId="0" applyNumberFormat="1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166" fontId="12" fillId="0" borderId="1" xfId="1" applyNumberFormat="1" applyFont="1" applyFill="1" applyBorder="1" applyAlignment="1">
      <alignment horizontal="center" vertical="top"/>
    </xf>
    <xf numFmtId="164" fontId="20" fillId="0" borderId="1" xfId="0" applyNumberFormat="1" applyFont="1" applyFill="1" applyBorder="1" applyAlignment="1">
      <alignment horizontal="center" vertical="top" wrapText="1"/>
    </xf>
    <xf numFmtId="2" fontId="17" fillId="0" borderId="4" xfId="0" applyNumberFormat="1" applyFont="1" applyFill="1" applyBorder="1" applyAlignment="1">
      <alignment horizontal="center" vertical="top" wrapText="1"/>
    </xf>
    <xf numFmtId="9" fontId="12" fillId="0" borderId="4" xfId="0" applyNumberFormat="1" applyFont="1" applyFill="1" applyBorder="1" applyAlignment="1">
      <alignment horizontal="center" vertical="top"/>
    </xf>
    <xf numFmtId="166" fontId="12" fillId="0" borderId="4" xfId="1" applyNumberFormat="1" applyFont="1" applyFill="1" applyBorder="1" applyAlignment="1">
      <alignment vertical="top"/>
    </xf>
    <xf numFmtId="164" fontId="20" fillId="0" borderId="4" xfId="0" applyNumberFormat="1" applyFont="1" applyFill="1" applyBorder="1" applyAlignment="1">
      <alignment vertical="top" wrapText="1"/>
    </xf>
    <xf numFmtId="2" fontId="14" fillId="0" borderId="3" xfId="1" applyNumberFormat="1" applyFont="1" applyFill="1" applyBorder="1" applyAlignment="1">
      <alignment horizontal="center" vertical="top"/>
    </xf>
    <xf numFmtId="1" fontId="17" fillId="0" borderId="4" xfId="0" applyNumberFormat="1" applyFont="1" applyFill="1" applyBorder="1" applyAlignment="1">
      <alignment horizontal="center" vertical="top" wrapText="1"/>
    </xf>
    <xf numFmtId="164" fontId="17" fillId="0" borderId="1" xfId="8" applyNumberFormat="1" applyFont="1" applyFill="1" applyBorder="1" applyAlignment="1">
      <alignment horizontal="center" vertical="top" wrapText="1"/>
    </xf>
    <xf numFmtId="3" fontId="14" fillId="0" borderId="1" xfId="8" applyNumberFormat="1" applyFont="1" applyFill="1" applyBorder="1" applyAlignment="1">
      <alignment horizontal="center" vertical="top"/>
    </xf>
    <xf numFmtId="2" fontId="14" fillId="0" borderId="1" xfId="8" applyNumberFormat="1" applyFont="1" applyFill="1" applyBorder="1" applyAlignment="1">
      <alignment horizontal="center" vertical="top"/>
    </xf>
    <xf numFmtId="165" fontId="12" fillId="0" borderId="1" xfId="0" applyNumberFormat="1" applyFont="1" applyFill="1" applyBorder="1" applyAlignment="1">
      <alignment vertical="top" wrapText="1"/>
    </xf>
    <xf numFmtId="166" fontId="12" fillId="0" borderId="1" xfId="0" applyNumberFormat="1" applyFont="1" applyFill="1" applyBorder="1" applyAlignment="1">
      <alignment vertical="top" wrapText="1"/>
    </xf>
    <xf numFmtId="3" fontId="12" fillId="0" borderId="1" xfId="0" applyNumberFormat="1" applyFont="1" applyFill="1" applyBorder="1" applyAlignment="1">
      <alignment vertical="top"/>
    </xf>
    <xf numFmtId="0" fontId="12" fillId="0" borderId="3" xfId="0" applyFont="1" applyFill="1" applyBorder="1"/>
    <xf numFmtId="0" fontId="12" fillId="0" borderId="5" xfId="0" applyFont="1" applyFill="1" applyBorder="1"/>
    <xf numFmtId="0" fontId="12" fillId="0" borderId="4" xfId="0" applyFont="1" applyFill="1" applyBorder="1"/>
    <xf numFmtId="166" fontId="12" fillId="0" borderId="3" xfId="1" applyNumberFormat="1" applyFont="1" applyFill="1" applyBorder="1" applyAlignment="1">
      <alignment vertical="top"/>
    </xf>
    <xf numFmtId="166" fontId="12" fillId="0" borderId="5" xfId="1" applyNumberFormat="1" applyFont="1" applyFill="1" applyBorder="1" applyAlignment="1">
      <alignment vertical="top"/>
    </xf>
    <xf numFmtId="166" fontId="12" fillId="0" borderId="5" xfId="1" quotePrefix="1" applyNumberFormat="1" applyFont="1" applyFill="1" applyBorder="1" applyAlignment="1">
      <alignment vertical="top"/>
    </xf>
    <xf numFmtId="166" fontId="12" fillId="0" borderId="4" xfId="1" quotePrefix="1" applyNumberFormat="1" applyFont="1" applyFill="1" applyBorder="1" applyAlignment="1">
      <alignment vertical="top"/>
    </xf>
    <xf numFmtId="2" fontId="12" fillId="0" borderId="3" xfId="1" applyNumberFormat="1" applyFont="1" applyFill="1" applyBorder="1" applyAlignment="1">
      <alignment horizontal="center" vertical="top"/>
    </xf>
    <xf numFmtId="2" fontId="12" fillId="0" borderId="5" xfId="1" applyNumberFormat="1" applyFont="1" applyFill="1" applyBorder="1" applyAlignment="1">
      <alignment horizontal="center" vertical="top"/>
    </xf>
    <xf numFmtId="2" fontId="12" fillId="0" borderId="4" xfId="1" applyNumberFormat="1" applyFont="1" applyFill="1" applyBorder="1" applyAlignment="1">
      <alignment horizontal="center" vertical="top"/>
    </xf>
    <xf numFmtId="0" fontId="11" fillId="10" borderId="3" xfId="0" applyFont="1" applyFill="1" applyBorder="1" applyAlignment="1">
      <alignment horizontal="left" vertical="top" wrapText="1"/>
    </xf>
    <xf numFmtId="0" fontId="11" fillId="10" borderId="5" xfId="0" applyFont="1" applyFill="1" applyBorder="1" applyAlignment="1">
      <alignment horizontal="left" vertical="top" wrapText="1"/>
    </xf>
    <xf numFmtId="0" fontId="11" fillId="10" borderId="4" xfId="0" applyFont="1" applyFill="1" applyBorder="1" applyAlignment="1">
      <alignment horizontal="left" vertical="top" wrapText="1"/>
    </xf>
    <xf numFmtId="167" fontId="12" fillId="0" borderId="1" xfId="0" applyNumberFormat="1" applyFont="1" applyFill="1" applyBorder="1" applyAlignment="1">
      <alignment horizontal="center" vertical="top"/>
    </xf>
    <xf numFmtId="3" fontId="12" fillId="4" borderId="4" xfId="0" applyNumberFormat="1" applyFont="1" applyFill="1" applyBorder="1" applyAlignment="1">
      <alignment vertical="top"/>
    </xf>
    <xf numFmtId="0" fontId="12" fillId="0" borderId="10" xfId="0" applyFont="1" applyFill="1" applyBorder="1" applyAlignment="1">
      <alignment horizontal="center" vertical="top" wrapText="1"/>
    </xf>
    <xf numFmtId="3" fontId="12" fillId="0" borderId="4" xfId="0" applyNumberFormat="1" applyFont="1" applyFill="1" applyBorder="1" applyAlignment="1">
      <alignment vertical="top"/>
    </xf>
    <xf numFmtId="3" fontId="12" fillId="0" borderId="3" xfId="0" applyNumberFormat="1" applyFont="1" applyFill="1" applyBorder="1" applyAlignment="1">
      <alignment vertical="top"/>
    </xf>
    <xf numFmtId="3" fontId="12" fillId="0" borderId="5" xfId="0" applyNumberFormat="1" applyFont="1" applyFill="1" applyBorder="1" applyAlignment="1">
      <alignment vertical="top"/>
    </xf>
    <xf numFmtId="3" fontId="11" fillId="0" borderId="5" xfId="0" applyNumberFormat="1" applyFont="1" applyFill="1" applyBorder="1" applyAlignment="1">
      <alignment vertical="top"/>
    </xf>
    <xf numFmtId="0" fontId="12" fillId="0" borderId="4" xfId="0" applyFont="1" applyFill="1" applyBorder="1" applyAlignment="1">
      <alignment horizontal="center" vertical="top"/>
    </xf>
    <xf numFmtId="166" fontId="12" fillId="0" borderId="4" xfId="1" quotePrefix="1" applyNumberFormat="1" applyFont="1" applyBorder="1" applyAlignment="1">
      <alignment vertical="top"/>
    </xf>
    <xf numFmtId="164" fontId="11" fillId="0" borderId="1" xfId="3" applyFont="1" applyFill="1" applyBorder="1" applyAlignment="1">
      <alignment horizontal="center" vertical="top" wrapText="1"/>
    </xf>
    <xf numFmtId="1" fontId="11" fillId="0" borderId="1" xfId="3" applyNumberFormat="1" applyFont="1" applyFill="1" applyBorder="1" applyAlignment="1">
      <alignment horizontal="center" vertical="top"/>
    </xf>
    <xf numFmtId="2" fontId="11" fillId="0" borderId="1" xfId="3" applyNumberFormat="1" applyFont="1" applyFill="1" applyBorder="1" applyAlignment="1">
      <alignment horizontal="center" vertical="top"/>
    </xf>
    <xf numFmtId="174" fontId="11" fillId="0" borderId="1" xfId="3" applyNumberFormat="1" applyFont="1" applyFill="1" applyBorder="1" applyAlignment="1">
      <alignment horizontal="center" vertical="top"/>
    </xf>
    <xf numFmtId="2" fontId="12" fillId="0" borderId="1" xfId="3" applyNumberFormat="1" applyFont="1" applyFill="1" applyBorder="1" applyAlignment="1">
      <alignment horizontal="center" vertical="top"/>
    </xf>
    <xf numFmtId="2" fontId="11" fillId="0" borderId="1" xfId="3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/>
    </xf>
    <xf numFmtId="1" fontId="12" fillId="0" borderId="1" xfId="0" applyNumberFormat="1" applyFont="1" applyFill="1" applyBorder="1" applyAlignment="1">
      <alignment horizontal="center" vertical="top" wrapText="1"/>
    </xf>
    <xf numFmtId="164" fontId="12" fillId="0" borderId="3" xfId="3" applyFont="1" applyFill="1" applyBorder="1" applyAlignment="1">
      <alignment vertical="top"/>
    </xf>
    <xf numFmtId="0" fontId="20" fillId="0" borderId="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/>
    </xf>
    <xf numFmtId="174" fontId="12" fillId="0" borderId="1" xfId="3" applyNumberFormat="1" applyFont="1" applyFill="1" applyBorder="1" applyAlignment="1">
      <alignment horizontal="center" vertical="top"/>
    </xf>
    <xf numFmtId="164" fontId="12" fillId="0" borderId="1" xfId="3" applyFont="1" applyFill="1" applyBorder="1" applyAlignment="1">
      <alignment horizontal="center" vertical="top" wrapText="1"/>
    </xf>
    <xf numFmtId="1" fontId="12" fillId="0" borderId="1" xfId="3" quotePrefix="1" applyNumberFormat="1" applyFont="1" applyFill="1" applyBorder="1" applyAlignment="1">
      <alignment horizontal="left" vertical="top" wrapText="1"/>
    </xf>
    <xf numFmtId="1" fontId="12" fillId="0" borderId="1" xfId="1" quotePrefix="1" applyNumberFormat="1" applyFont="1" applyFill="1" applyBorder="1" applyAlignment="1">
      <alignment vertical="top" wrapText="1"/>
    </xf>
    <xf numFmtId="0" fontId="12" fillId="2" borderId="13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2" fillId="2" borderId="15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/>
    </xf>
    <xf numFmtId="0" fontId="12" fillId="2" borderId="5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/>
    </xf>
    <xf numFmtId="0" fontId="11" fillId="5" borderId="1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0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/>
    </xf>
    <xf numFmtId="0" fontId="10" fillId="0" borderId="0" xfId="0" applyFont="1" applyFill="1" applyAlignment="1">
      <alignment horizontal="left" vertical="top"/>
    </xf>
    <xf numFmtId="0" fontId="11" fillId="0" borderId="2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1" fillId="0" borderId="11" xfId="0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</cellXfs>
  <cellStyles count="15">
    <cellStyle name="20% - Accent3 2 2 2" xfId="13"/>
    <cellStyle name="Comma" xfId="1" builtinId="3"/>
    <cellStyle name="Comma [0]" xfId="3" builtinId="6"/>
    <cellStyle name="Comma [0] 2" xfId="4"/>
    <cellStyle name="Comma [0] 2 2" xfId="14"/>
    <cellStyle name="Comma [0] 3" xfId="11"/>
    <cellStyle name="Comma 2" xfId="8"/>
    <cellStyle name="Comma 3" xfId="6"/>
    <cellStyle name="Normal" xfId="0" builtinId="0"/>
    <cellStyle name="Normal 2" xfId="2"/>
    <cellStyle name="Normal 2 2" xfId="12"/>
    <cellStyle name="Normal 2 3" xfId="5"/>
    <cellStyle name="Normal 3" xfId="9"/>
    <cellStyle name="Normal 4" xfId="10"/>
    <cellStyle name="Percent 2" xfId="7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Q171"/>
  <sheetViews>
    <sheetView tabSelected="1" showRuler="0" view="pageBreakPreview" zoomScale="70" zoomScaleNormal="40" zoomScaleSheetLayoutView="70" zoomScalePageLayoutView="55" workbookViewId="0">
      <selection activeCell="Z113" sqref="Z113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5" width="8.5703125" style="2" customWidth="1"/>
    <col min="6" max="6" width="9.85546875" style="2" customWidth="1"/>
    <col min="7" max="7" width="18.42578125" style="2" customWidth="1"/>
    <col min="8" max="8" width="7.28515625" style="2" customWidth="1"/>
    <col min="9" max="9" width="9.5703125" style="2" customWidth="1"/>
    <col min="10" max="10" width="21.42578125" style="2" customWidth="1"/>
    <col min="11" max="11" width="9" style="2" customWidth="1"/>
    <col min="12" max="12" width="9.140625" style="2" customWidth="1"/>
    <col min="13" max="13" width="19.28515625" style="2" customWidth="1"/>
    <col min="14" max="14" width="9" style="2" customWidth="1"/>
    <col min="15" max="15" width="9.140625" style="2" customWidth="1"/>
    <col min="16" max="16" width="19.28515625" style="2" customWidth="1"/>
    <col min="17" max="17" width="9.28515625" style="2" customWidth="1"/>
    <col min="18" max="18" width="9.140625" style="2" customWidth="1"/>
    <col min="19" max="19" width="20.7109375" style="2" customWidth="1"/>
    <col min="20" max="20" width="9.28515625" style="2" customWidth="1"/>
    <col min="21" max="21" width="9.5703125" style="2" customWidth="1"/>
    <col min="22" max="22" width="19.7109375" style="2" customWidth="1"/>
    <col min="23" max="23" width="8" style="2" customWidth="1"/>
    <col min="24" max="24" width="6.5703125" style="62" customWidth="1"/>
    <col min="25" max="25" width="9.5703125" style="2" customWidth="1"/>
    <col min="26" max="26" width="9" style="2" customWidth="1"/>
    <col min="27" max="27" width="8.5703125" style="2" customWidth="1"/>
    <col min="28" max="28" width="9.7109375" style="2" customWidth="1"/>
    <col min="29" max="30" width="9.5703125" style="2" customWidth="1"/>
    <col min="31" max="31" width="17.85546875" style="2" customWidth="1"/>
    <col min="32" max="32" width="8.5703125" style="2" customWidth="1"/>
    <col min="33" max="33" width="10.140625" style="2" customWidth="1"/>
    <col min="34" max="34" width="11.5703125" style="2" customWidth="1"/>
    <col min="35" max="35" width="15.140625" style="2" customWidth="1"/>
    <col min="36" max="36" width="15" style="2" customWidth="1"/>
    <col min="37" max="37" width="9.140625" style="2"/>
    <col min="38" max="42" width="19.5703125" style="2" customWidth="1"/>
    <col min="43" max="16384" width="9.140625" style="2"/>
  </cols>
  <sheetData>
    <row r="1" spans="1:42" ht="23.25" x14ac:dyDescent="0.35">
      <c r="A1" s="410" t="s">
        <v>24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0"/>
      <c r="AG1" s="410"/>
      <c r="AH1" s="410"/>
      <c r="AI1" s="410"/>
      <c r="AJ1" s="410"/>
    </row>
    <row r="2" spans="1:42" ht="23.25" x14ac:dyDescent="0.35">
      <c r="A2" s="410" t="s">
        <v>25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</row>
    <row r="3" spans="1:42" ht="23.25" x14ac:dyDescent="0.2">
      <c r="A3" s="418" t="s">
        <v>607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</row>
    <row r="4" spans="1:42" ht="18" x14ac:dyDescent="0.2">
      <c r="A4" s="447" t="s">
        <v>12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</row>
    <row r="5" spans="1:42" ht="18" customHeight="1" x14ac:dyDescent="0.2">
      <c r="A5" s="447" t="s">
        <v>146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</row>
    <row r="6" spans="1:42" ht="18" x14ac:dyDescent="0.2">
      <c r="A6" s="447" t="s">
        <v>147</v>
      </c>
      <c r="B6" s="447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  <c r="AH6" s="447"/>
      <c r="AI6" s="447"/>
    </row>
    <row r="7" spans="1:42" ht="18" x14ac:dyDescent="0.2">
      <c r="A7" s="447" t="s">
        <v>148</v>
      </c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47"/>
    </row>
    <row r="8" spans="1:42" ht="18" x14ac:dyDescent="0.2">
      <c r="A8" s="447" t="s">
        <v>149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7"/>
      <c r="AH8" s="447"/>
      <c r="AI8" s="447"/>
    </row>
    <row r="9" spans="1:42" ht="18" x14ac:dyDescent="0.2">
      <c r="A9" s="447" t="s">
        <v>150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  <c r="T9" s="447"/>
      <c r="U9" s="447"/>
      <c r="V9" s="447"/>
      <c r="W9" s="447"/>
      <c r="X9" s="447"/>
      <c r="Y9" s="447"/>
      <c r="Z9" s="447"/>
      <c r="AA9" s="447"/>
      <c r="AB9" s="447"/>
      <c r="AC9" s="447"/>
      <c r="AD9" s="447"/>
      <c r="AE9" s="447"/>
      <c r="AF9" s="447"/>
      <c r="AG9" s="447"/>
      <c r="AH9" s="447"/>
      <c r="AI9" s="447"/>
    </row>
    <row r="10" spans="1:42" ht="15" x14ac:dyDescent="0.2">
      <c r="A10" s="448"/>
      <c r="B10" s="448"/>
      <c r="C10" s="448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448"/>
      <c r="AE10" s="448"/>
      <c r="AF10" s="448"/>
      <c r="AG10" s="448"/>
      <c r="AH10" s="448"/>
      <c r="AI10" s="448"/>
    </row>
    <row r="11" spans="1:42" ht="68.25" customHeight="1" x14ac:dyDescent="0.2">
      <c r="A11" s="444" t="s">
        <v>0</v>
      </c>
      <c r="B11" s="444" t="s">
        <v>272</v>
      </c>
      <c r="C11" s="445" t="s">
        <v>1</v>
      </c>
      <c r="D11" s="445" t="s">
        <v>327</v>
      </c>
      <c r="E11" s="435" t="s">
        <v>21</v>
      </c>
      <c r="F11" s="436"/>
      <c r="G11" s="437"/>
      <c r="H11" s="435" t="s">
        <v>20</v>
      </c>
      <c r="I11" s="436"/>
      <c r="J11" s="437"/>
      <c r="K11" s="412" t="s">
        <v>582</v>
      </c>
      <c r="L11" s="413"/>
      <c r="M11" s="413"/>
      <c r="N11" s="413"/>
      <c r="O11" s="413"/>
      <c r="P11" s="414"/>
      <c r="Q11" s="412" t="s">
        <v>583</v>
      </c>
      <c r="R11" s="413"/>
      <c r="S11" s="413"/>
      <c r="T11" s="413"/>
      <c r="U11" s="413"/>
      <c r="V11" s="413"/>
      <c r="W11" s="412" t="s">
        <v>584</v>
      </c>
      <c r="X11" s="413"/>
      <c r="Y11" s="413"/>
      <c r="Z11" s="413"/>
      <c r="AA11" s="413"/>
      <c r="AB11" s="413"/>
      <c r="AC11" s="412" t="s">
        <v>19</v>
      </c>
      <c r="AD11" s="413"/>
      <c r="AE11" s="414"/>
      <c r="AF11" s="412" t="s">
        <v>4</v>
      </c>
      <c r="AG11" s="413"/>
      <c r="AH11" s="413"/>
      <c r="AI11" s="414"/>
      <c r="AJ11" s="433" t="s">
        <v>294</v>
      </c>
      <c r="AL11" s="62"/>
      <c r="AM11" s="62"/>
      <c r="AN11" s="62"/>
      <c r="AO11" s="62"/>
      <c r="AP11" s="62"/>
    </row>
    <row r="12" spans="1:42" ht="18" customHeight="1" x14ac:dyDescent="0.2">
      <c r="A12" s="444"/>
      <c r="B12" s="444"/>
      <c r="C12" s="445"/>
      <c r="D12" s="445"/>
      <c r="E12" s="438"/>
      <c r="F12" s="439"/>
      <c r="G12" s="440"/>
      <c r="H12" s="438"/>
      <c r="I12" s="439"/>
      <c r="J12" s="440"/>
      <c r="K12" s="415"/>
      <c r="L12" s="416"/>
      <c r="M12" s="416"/>
      <c r="N12" s="416"/>
      <c r="O12" s="416"/>
      <c r="P12" s="417"/>
      <c r="Q12" s="415"/>
      <c r="R12" s="416"/>
      <c r="S12" s="416"/>
      <c r="T12" s="416"/>
      <c r="U12" s="416"/>
      <c r="V12" s="416"/>
      <c r="W12" s="415"/>
      <c r="X12" s="416"/>
      <c r="Y12" s="416"/>
      <c r="Z12" s="416"/>
      <c r="AA12" s="416"/>
      <c r="AB12" s="416"/>
      <c r="AC12" s="430"/>
      <c r="AD12" s="431"/>
      <c r="AE12" s="432"/>
      <c r="AF12" s="430"/>
      <c r="AG12" s="431"/>
      <c r="AH12" s="431"/>
      <c r="AI12" s="432"/>
      <c r="AJ12" s="434"/>
    </row>
    <row r="13" spans="1:42" ht="15.75" x14ac:dyDescent="0.2">
      <c r="A13" s="444"/>
      <c r="B13" s="444"/>
      <c r="C13" s="445"/>
      <c r="D13" s="445"/>
      <c r="E13" s="441"/>
      <c r="F13" s="442"/>
      <c r="G13" s="443"/>
      <c r="H13" s="441"/>
      <c r="I13" s="442"/>
      <c r="J13" s="443"/>
      <c r="K13" s="398" t="s">
        <v>580</v>
      </c>
      <c r="L13" s="399"/>
      <c r="M13" s="400"/>
      <c r="N13" s="398" t="s">
        <v>581</v>
      </c>
      <c r="O13" s="399"/>
      <c r="P13" s="400"/>
      <c r="Q13" s="398" t="s">
        <v>580</v>
      </c>
      <c r="R13" s="399"/>
      <c r="S13" s="400"/>
      <c r="T13" s="398" t="s">
        <v>581</v>
      </c>
      <c r="U13" s="399"/>
      <c r="V13" s="400"/>
      <c r="W13" s="398" t="s">
        <v>580</v>
      </c>
      <c r="X13" s="399"/>
      <c r="Y13" s="400"/>
      <c r="Z13" s="398" t="s">
        <v>581</v>
      </c>
      <c r="AA13" s="399"/>
      <c r="AB13" s="400"/>
      <c r="AC13" s="415"/>
      <c r="AD13" s="416"/>
      <c r="AE13" s="417"/>
      <c r="AF13" s="415"/>
      <c r="AG13" s="416"/>
      <c r="AH13" s="416"/>
      <c r="AI13" s="417"/>
      <c r="AJ13" s="128"/>
    </row>
    <row r="14" spans="1:42" ht="15.75" x14ac:dyDescent="0.25">
      <c r="A14" s="411">
        <v>1</v>
      </c>
      <c r="B14" s="411">
        <v>2</v>
      </c>
      <c r="C14" s="411">
        <v>3</v>
      </c>
      <c r="D14" s="411">
        <v>4</v>
      </c>
      <c r="E14" s="420">
        <v>5</v>
      </c>
      <c r="F14" s="421"/>
      <c r="G14" s="422"/>
      <c r="H14" s="420">
        <v>6</v>
      </c>
      <c r="I14" s="421"/>
      <c r="J14" s="422"/>
      <c r="K14" s="401">
        <v>7</v>
      </c>
      <c r="L14" s="402"/>
      <c r="M14" s="403"/>
      <c r="N14" s="401">
        <v>8</v>
      </c>
      <c r="O14" s="402"/>
      <c r="P14" s="403"/>
      <c r="Q14" s="401">
        <v>12</v>
      </c>
      <c r="R14" s="402"/>
      <c r="S14" s="403"/>
      <c r="T14" s="401">
        <v>13</v>
      </c>
      <c r="U14" s="402"/>
      <c r="V14" s="403"/>
      <c r="W14" s="395">
        <v>17</v>
      </c>
      <c r="X14" s="396"/>
      <c r="Y14" s="397"/>
      <c r="Z14" s="395">
        <v>18</v>
      </c>
      <c r="AA14" s="396"/>
      <c r="AB14" s="397"/>
      <c r="AC14" s="395">
        <v>22</v>
      </c>
      <c r="AD14" s="396"/>
      <c r="AE14" s="397"/>
      <c r="AF14" s="395">
        <v>23</v>
      </c>
      <c r="AG14" s="396"/>
      <c r="AH14" s="396"/>
      <c r="AI14" s="397"/>
      <c r="AJ14" s="129"/>
    </row>
    <row r="15" spans="1:42" ht="87" customHeight="1" x14ac:dyDescent="0.2">
      <c r="A15" s="419"/>
      <c r="B15" s="419"/>
      <c r="C15" s="419"/>
      <c r="D15" s="419"/>
      <c r="E15" s="404" t="s">
        <v>2</v>
      </c>
      <c r="F15" s="405"/>
      <c r="G15" s="408" t="s">
        <v>3</v>
      </c>
      <c r="H15" s="404" t="s">
        <v>2</v>
      </c>
      <c r="I15" s="405"/>
      <c r="J15" s="408" t="s">
        <v>3</v>
      </c>
      <c r="K15" s="404" t="s">
        <v>2</v>
      </c>
      <c r="L15" s="405"/>
      <c r="M15" s="411" t="s">
        <v>3</v>
      </c>
      <c r="N15" s="404" t="s">
        <v>2</v>
      </c>
      <c r="O15" s="405"/>
      <c r="P15" s="411" t="s">
        <v>3</v>
      </c>
      <c r="Q15" s="404" t="s">
        <v>2</v>
      </c>
      <c r="R15" s="405"/>
      <c r="S15" s="411" t="s">
        <v>3</v>
      </c>
      <c r="T15" s="404" t="s">
        <v>2</v>
      </c>
      <c r="U15" s="405"/>
      <c r="V15" s="411" t="s">
        <v>3</v>
      </c>
      <c r="W15" s="420" t="s">
        <v>13</v>
      </c>
      <c r="X15" s="422"/>
      <c r="Y15" s="106" t="s">
        <v>14</v>
      </c>
      <c r="Z15" s="420" t="s">
        <v>15</v>
      </c>
      <c r="AA15" s="422"/>
      <c r="AB15" s="106" t="s">
        <v>16</v>
      </c>
      <c r="AC15" s="404" t="s">
        <v>2</v>
      </c>
      <c r="AD15" s="405"/>
      <c r="AE15" s="405" t="s">
        <v>3</v>
      </c>
      <c r="AF15" s="420" t="s">
        <v>18</v>
      </c>
      <c r="AG15" s="422"/>
      <c r="AH15" s="425" t="s">
        <v>22</v>
      </c>
      <c r="AI15" s="106" t="s">
        <v>17</v>
      </c>
      <c r="AJ15" s="130"/>
    </row>
    <row r="16" spans="1:42" ht="30.75" customHeight="1" x14ac:dyDescent="0.2">
      <c r="A16" s="408"/>
      <c r="B16" s="408"/>
      <c r="C16" s="408"/>
      <c r="D16" s="408"/>
      <c r="E16" s="406"/>
      <c r="F16" s="407"/>
      <c r="G16" s="409"/>
      <c r="H16" s="406"/>
      <c r="I16" s="407"/>
      <c r="J16" s="409"/>
      <c r="K16" s="406"/>
      <c r="L16" s="407"/>
      <c r="M16" s="408"/>
      <c r="N16" s="406"/>
      <c r="O16" s="407"/>
      <c r="P16" s="408"/>
      <c r="Q16" s="406"/>
      <c r="R16" s="407"/>
      <c r="S16" s="408"/>
      <c r="T16" s="406"/>
      <c r="U16" s="407"/>
      <c r="V16" s="408"/>
      <c r="W16" s="406" t="s">
        <v>2</v>
      </c>
      <c r="X16" s="407"/>
      <c r="Y16" s="107" t="s">
        <v>3</v>
      </c>
      <c r="Z16" s="427" t="s">
        <v>2</v>
      </c>
      <c r="AA16" s="428"/>
      <c r="AB16" s="226" t="s">
        <v>3</v>
      </c>
      <c r="AC16" s="406"/>
      <c r="AD16" s="407"/>
      <c r="AE16" s="407"/>
      <c r="AF16" s="406" t="s">
        <v>2</v>
      </c>
      <c r="AG16" s="407"/>
      <c r="AH16" s="426"/>
      <c r="AI16" s="226" t="s">
        <v>3</v>
      </c>
      <c r="AJ16" s="130"/>
    </row>
    <row r="17" spans="1:42" ht="94.5" x14ac:dyDescent="0.25">
      <c r="A17" s="109" t="s">
        <v>274</v>
      </c>
      <c r="B17" s="110" t="s">
        <v>273</v>
      </c>
      <c r="C17" s="110"/>
      <c r="D17" s="111" t="s">
        <v>291</v>
      </c>
      <c r="E17" s="266">
        <v>67.8</v>
      </c>
      <c r="F17" s="267" t="s">
        <v>26</v>
      </c>
      <c r="G17" s="268"/>
      <c r="H17" s="269">
        <v>72.569999999999993</v>
      </c>
      <c r="I17" s="267" t="s">
        <v>26</v>
      </c>
      <c r="J17" s="270">
        <f>J18+J48+J58+J63+J65</f>
        <v>1146423024793</v>
      </c>
      <c r="K17" s="269">
        <v>69.41</v>
      </c>
      <c r="L17" s="267" t="s">
        <v>26</v>
      </c>
      <c r="M17" s="270">
        <f>M18+M48+M58+M63+M65</f>
        <v>231797440303</v>
      </c>
      <c r="N17" s="269">
        <v>70.25</v>
      </c>
      <c r="O17" s="267" t="s">
        <v>26</v>
      </c>
      <c r="P17" s="270">
        <f>P18+P48+P58+P63+P65</f>
        <v>232118718819</v>
      </c>
      <c r="Q17" s="266">
        <v>68.8</v>
      </c>
      <c r="R17" s="267" t="s">
        <v>26</v>
      </c>
      <c r="S17" s="270">
        <f>S18+S48+S58+S63+S65</f>
        <v>219330710607</v>
      </c>
      <c r="T17" s="266">
        <v>68.849999999999994</v>
      </c>
      <c r="U17" s="267" t="s">
        <v>26</v>
      </c>
      <c r="V17" s="270">
        <f>V18+V48+V58+V63+V65</f>
        <v>214355315148</v>
      </c>
      <c r="W17" s="271">
        <f>Q17/K17*100</f>
        <v>99.12116409739231</v>
      </c>
      <c r="X17" s="271" t="s">
        <v>28</v>
      </c>
      <c r="Y17" s="293">
        <f>S17/M17*100</f>
        <v>94.621713820608292</v>
      </c>
      <c r="Z17" s="271">
        <f>T17/N17*100</f>
        <v>98.007117437722414</v>
      </c>
      <c r="AA17" s="271" t="s">
        <v>28</v>
      </c>
      <c r="AB17" s="293">
        <f>V17/P17*100</f>
        <v>92.347276531001611</v>
      </c>
      <c r="AC17" s="266">
        <f t="shared" ref="AC17:AC22" si="0">Q17+T17</f>
        <v>137.64999999999998</v>
      </c>
      <c r="AD17" s="267" t="s">
        <v>26</v>
      </c>
      <c r="AE17" s="372">
        <f>S17+V17</f>
        <v>433686025755</v>
      </c>
      <c r="AF17" s="272"/>
      <c r="AG17" s="272"/>
      <c r="AH17" s="272"/>
      <c r="AI17" s="272"/>
      <c r="AJ17" s="131"/>
      <c r="AM17" s="112">
        <f t="shared" ref="AM17:AM32" si="1">S17</f>
        <v>219330710607</v>
      </c>
    </row>
    <row r="18" spans="1:42" ht="78.75" x14ac:dyDescent="0.25">
      <c r="A18" s="69">
        <v>1</v>
      </c>
      <c r="B18" s="6" t="s">
        <v>145</v>
      </c>
      <c r="C18" s="101"/>
      <c r="D18" s="66" t="s">
        <v>275</v>
      </c>
      <c r="E18" s="273">
        <v>12.05</v>
      </c>
      <c r="F18" s="274" t="s">
        <v>135</v>
      </c>
      <c r="G18" s="358"/>
      <c r="H18" s="273">
        <v>13.52</v>
      </c>
      <c r="I18" s="274" t="s">
        <v>135</v>
      </c>
      <c r="J18" s="361">
        <f>SUM(J22:J29)</f>
        <v>17420750000</v>
      </c>
      <c r="K18" s="277">
        <v>12.7</v>
      </c>
      <c r="L18" s="274" t="s">
        <v>135</v>
      </c>
      <c r="M18" s="361">
        <f>SUM(M22:M29)</f>
        <v>660112825</v>
      </c>
      <c r="N18" s="277">
        <v>12.89</v>
      </c>
      <c r="O18" s="274" t="s">
        <v>135</v>
      </c>
      <c r="P18" s="361">
        <f>SUM(P22:P29)</f>
        <v>726683000</v>
      </c>
      <c r="Q18" s="279">
        <v>12.1</v>
      </c>
      <c r="R18" s="280" t="s">
        <v>135</v>
      </c>
      <c r="S18" s="361">
        <f>SUM(S22:S29)</f>
        <v>646952485</v>
      </c>
      <c r="T18" s="279">
        <v>12.17</v>
      </c>
      <c r="U18" s="280" t="s">
        <v>135</v>
      </c>
      <c r="V18" s="361">
        <f>SUM(V22:V29)</f>
        <v>710595000</v>
      </c>
      <c r="W18" s="282">
        <f>Q18/K18*100</f>
        <v>95.275590551181097</v>
      </c>
      <c r="X18" s="282" t="s">
        <v>28</v>
      </c>
      <c r="Y18" s="365">
        <f>S18/M18*100</f>
        <v>98.006349899352429</v>
      </c>
      <c r="Z18" s="282">
        <f>T18/N18*100</f>
        <v>94.414274631497278</v>
      </c>
      <c r="AA18" s="282" t="s">
        <v>28</v>
      </c>
      <c r="AB18" s="365">
        <f>V18/P18*100</f>
        <v>97.786104807735967</v>
      </c>
      <c r="AC18" s="277">
        <f t="shared" si="0"/>
        <v>24.27</v>
      </c>
      <c r="AD18" s="373" t="s">
        <v>135</v>
      </c>
      <c r="AE18" s="375">
        <f>S18+V18</f>
        <v>1357547485</v>
      </c>
      <c r="AF18" s="275"/>
      <c r="AG18" s="275"/>
      <c r="AH18" s="275"/>
      <c r="AI18" s="275"/>
      <c r="AJ18" s="157" t="s">
        <v>295</v>
      </c>
      <c r="AM18" s="112">
        <f t="shared" si="1"/>
        <v>646952485</v>
      </c>
    </row>
    <row r="19" spans="1:42" ht="47.25" x14ac:dyDescent="0.25">
      <c r="A19" s="70"/>
      <c r="B19" s="65"/>
      <c r="C19" s="25"/>
      <c r="D19" s="66" t="s">
        <v>276</v>
      </c>
      <c r="E19" s="273">
        <v>7.71</v>
      </c>
      <c r="F19" s="274" t="s">
        <v>135</v>
      </c>
      <c r="G19" s="359"/>
      <c r="H19" s="273">
        <v>8.5299999999999994</v>
      </c>
      <c r="I19" s="274" t="s">
        <v>135</v>
      </c>
      <c r="J19" s="362"/>
      <c r="K19" s="277">
        <v>8</v>
      </c>
      <c r="L19" s="274" t="s">
        <v>135</v>
      </c>
      <c r="M19" s="363"/>
      <c r="N19" s="277">
        <v>8.17</v>
      </c>
      <c r="O19" s="274" t="s">
        <v>135</v>
      </c>
      <c r="P19" s="363"/>
      <c r="Q19" s="273">
        <v>7.74</v>
      </c>
      <c r="R19" s="274" t="s">
        <v>135</v>
      </c>
      <c r="S19" s="363"/>
      <c r="T19" s="277">
        <v>7.75</v>
      </c>
      <c r="U19" s="274" t="s">
        <v>135</v>
      </c>
      <c r="V19" s="363"/>
      <c r="W19" s="282">
        <f t="shared" ref="W19:W31" si="2">Q19/K19*100</f>
        <v>96.75</v>
      </c>
      <c r="X19" s="282" t="s">
        <v>28</v>
      </c>
      <c r="Y19" s="366"/>
      <c r="Z19" s="282">
        <f t="shared" ref="Z19:Z29" si="3">T19/N19*100</f>
        <v>94.859241126070998</v>
      </c>
      <c r="AA19" s="282" t="s">
        <v>28</v>
      </c>
      <c r="AB19" s="366"/>
      <c r="AC19" s="277">
        <f t="shared" si="0"/>
        <v>15.49</v>
      </c>
      <c r="AD19" s="373" t="s">
        <v>135</v>
      </c>
      <c r="AE19" s="376"/>
      <c r="AF19" s="275"/>
      <c r="AG19" s="275"/>
      <c r="AH19" s="275"/>
      <c r="AI19" s="275"/>
      <c r="AJ19" s="126"/>
      <c r="AM19" s="112">
        <f t="shared" si="1"/>
        <v>0</v>
      </c>
    </row>
    <row r="20" spans="1:42" ht="82.5" customHeight="1" x14ac:dyDescent="0.25">
      <c r="A20" s="70"/>
      <c r="B20" s="65"/>
      <c r="C20" s="25"/>
      <c r="D20" s="26" t="s">
        <v>277</v>
      </c>
      <c r="E20" s="273">
        <v>1.25</v>
      </c>
      <c r="F20" s="274" t="s">
        <v>28</v>
      </c>
      <c r="G20" s="359"/>
      <c r="H20" s="277">
        <v>12.5</v>
      </c>
      <c r="I20" s="274" t="s">
        <v>28</v>
      </c>
      <c r="J20" s="362"/>
      <c r="K20" s="277">
        <v>2.5</v>
      </c>
      <c r="L20" s="274" t="s">
        <v>28</v>
      </c>
      <c r="M20" s="363"/>
      <c r="N20" s="277">
        <v>4.37</v>
      </c>
      <c r="O20" s="274" t="s">
        <v>28</v>
      </c>
      <c r="P20" s="363"/>
      <c r="Q20" s="273">
        <v>1.25</v>
      </c>
      <c r="R20" s="274" t="s">
        <v>28</v>
      </c>
      <c r="S20" s="363"/>
      <c r="T20" s="277">
        <v>3.75</v>
      </c>
      <c r="U20" s="274" t="s">
        <v>28</v>
      </c>
      <c r="V20" s="363"/>
      <c r="W20" s="288">
        <f t="shared" si="2"/>
        <v>50</v>
      </c>
      <c r="X20" s="282" t="s">
        <v>28</v>
      </c>
      <c r="Y20" s="366"/>
      <c r="Z20" s="288">
        <f t="shared" si="3"/>
        <v>85.812356979405038</v>
      </c>
      <c r="AA20" s="282" t="s">
        <v>28</v>
      </c>
      <c r="AB20" s="366"/>
      <c r="AC20" s="277">
        <f t="shared" si="0"/>
        <v>5</v>
      </c>
      <c r="AD20" s="373" t="s">
        <v>135</v>
      </c>
      <c r="AE20" s="376"/>
      <c r="AF20" s="275"/>
      <c r="AG20" s="275"/>
      <c r="AH20" s="275"/>
      <c r="AI20" s="275"/>
      <c r="AJ20" s="126"/>
      <c r="AM20" s="112">
        <f t="shared" si="1"/>
        <v>0</v>
      </c>
    </row>
    <row r="21" spans="1:42" ht="96.75" customHeight="1" x14ac:dyDescent="0.25">
      <c r="A21" s="70"/>
      <c r="B21" s="65"/>
      <c r="C21" s="20"/>
      <c r="D21" s="66" t="s">
        <v>278</v>
      </c>
      <c r="E21" s="273">
        <v>4.76</v>
      </c>
      <c r="F21" s="274" t="s">
        <v>28</v>
      </c>
      <c r="G21" s="360"/>
      <c r="H21" s="277">
        <v>15.02</v>
      </c>
      <c r="I21" s="274" t="s">
        <v>28</v>
      </c>
      <c r="J21" s="348"/>
      <c r="K21" s="273">
        <v>6.59</v>
      </c>
      <c r="L21" s="274" t="s">
        <v>28</v>
      </c>
      <c r="M21" s="364"/>
      <c r="N21" s="273">
        <v>8.7899999999999991</v>
      </c>
      <c r="O21" s="274" t="s">
        <v>28</v>
      </c>
      <c r="P21" s="364"/>
      <c r="Q21" s="273">
        <v>6.88</v>
      </c>
      <c r="R21" s="274" t="s">
        <v>28</v>
      </c>
      <c r="S21" s="364"/>
      <c r="T21" s="277">
        <f>(29+8)/(243+37)*100</f>
        <v>13.214285714285715</v>
      </c>
      <c r="U21" s="274" t="s">
        <v>28</v>
      </c>
      <c r="V21" s="364"/>
      <c r="W21" s="288">
        <f t="shared" si="2"/>
        <v>104.40060698027314</v>
      </c>
      <c r="X21" s="282" t="s">
        <v>28</v>
      </c>
      <c r="Y21" s="367"/>
      <c r="Z21" s="288">
        <f t="shared" si="3"/>
        <v>150.33317081098653</v>
      </c>
      <c r="AA21" s="282" t="s">
        <v>28</v>
      </c>
      <c r="AB21" s="367"/>
      <c r="AC21" s="277">
        <f t="shared" si="0"/>
        <v>20.094285714285714</v>
      </c>
      <c r="AD21" s="373" t="s">
        <v>135</v>
      </c>
      <c r="AE21" s="374"/>
      <c r="AF21" s="275"/>
      <c r="AG21" s="275"/>
      <c r="AH21" s="275"/>
      <c r="AI21" s="275"/>
      <c r="AJ21" s="126"/>
      <c r="AM21" s="112">
        <f t="shared" si="1"/>
        <v>0</v>
      </c>
    </row>
    <row r="22" spans="1:42" ht="90" x14ac:dyDescent="0.2">
      <c r="A22" s="64"/>
      <c r="B22" s="64"/>
      <c r="C22" s="14" t="s">
        <v>42</v>
      </c>
      <c r="D22" s="14" t="s">
        <v>152</v>
      </c>
      <c r="E22" s="32">
        <v>73.56</v>
      </c>
      <c r="F22" s="36" t="s">
        <v>28</v>
      </c>
      <c r="G22" s="8"/>
      <c r="H22" s="78">
        <v>81.55</v>
      </c>
      <c r="I22" s="36" t="s">
        <v>28</v>
      </c>
      <c r="J22" s="9">
        <v>4794000000</v>
      </c>
      <c r="K22" s="78">
        <v>76.55</v>
      </c>
      <c r="L22" s="36" t="s">
        <v>28</v>
      </c>
      <c r="M22" s="10">
        <v>660112825</v>
      </c>
      <c r="N22" s="78">
        <v>77.8</v>
      </c>
      <c r="O22" s="36" t="s">
        <v>28</v>
      </c>
      <c r="P22" s="10">
        <v>726683000</v>
      </c>
      <c r="Q22" s="32">
        <f>6439/8189*100</f>
        <v>78.629869336915377</v>
      </c>
      <c r="R22" s="36" t="s">
        <v>28</v>
      </c>
      <c r="S22" s="10">
        <v>646952485</v>
      </c>
      <c r="T22" s="78">
        <f>7256/8604*100</f>
        <v>84.332868433286848</v>
      </c>
      <c r="U22" s="36" t="s">
        <v>28</v>
      </c>
      <c r="V22" s="10">
        <v>710595000</v>
      </c>
      <c r="W22" s="58">
        <f t="shared" si="2"/>
        <v>102.71700762497112</v>
      </c>
      <c r="X22" s="18" t="s">
        <v>28</v>
      </c>
      <c r="Y22" s="289">
        <f>S22/M22*100</f>
        <v>98.006349899352429</v>
      </c>
      <c r="Z22" s="58">
        <f>T22/N22*100</f>
        <v>108.39700312761806</v>
      </c>
      <c r="AA22" s="18" t="s">
        <v>28</v>
      </c>
      <c r="AB22" s="289">
        <f>V22/P22*100</f>
        <v>97.786104807735967</v>
      </c>
      <c r="AC22" s="58">
        <f t="shared" si="0"/>
        <v>162.96273777020224</v>
      </c>
      <c r="AD22" s="18" t="s">
        <v>28</v>
      </c>
      <c r="AE22" s="21">
        <f>S22+V22</f>
        <v>1357547485</v>
      </c>
      <c r="AF22" s="8"/>
      <c r="AG22" s="8"/>
      <c r="AH22" s="8"/>
      <c r="AI22" s="8"/>
      <c r="AJ22" s="132"/>
      <c r="AL22" s="112"/>
      <c r="AM22" s="112">
        <f t="shared" si="1"/>
        <v>646952485</v>
      </c>
      <c r="AN22" s="112"/>
      <c r="AO22" s="112"/>
      <c r="AP22" s="112"/>
    </row>
    <row r="23" spans="1:42" ht="90" x14ac:dyDescent="0.2">
      <c r="A23" s="64"/>
      <c r="B23" s="64"/>
      <c r="C23" s="368" t="s">
        <v>97</v>
      </c>
      <c r="D23" s="265" t="s">
        <v>153</v>
      </c>
      <c r="E23" s="78">
        <v>100.91</v>
      </c>
      <c r="F23" s="36" t="s">
        <v>28</v>
      </c>
      <c r="G23" s="3"/>
      <c r="H23" s="32">
        <v>100</v>
      </c>
      <c r="I23" s="36" t="s">
        <v>28</v>
      </c>
      <c r="J23" s="233">
        <v>5026750000</v>
      </c>
      <c r="K23" s="32">
        <v>100</v>
      </c>
      <c r="L23" s="36" t="s">
        <v>28</v>
      </c>
      <c r="M23" s="230">
        <v>0</v>
      </c>
      <c r="N23" s="32">
        <v>100</v>
      </c>
      <c r="O23" s="36" t="s">
        <v>28</v>
      </c>
      <c r="P23" s="230">
        <v>0</v>
      </c>
      <c r="Q23" s="78">
        <v>106.3</v>
      </c>
      <c r="R23" s="36" t="s">
        <v>28</v>
      </c>
      <c r="S23" s="230">
        <v>0</v>
      </c>
      <c r="T23" s="78">
        <v>105.63</v>
      </c>
      <c r="U23" s="36" t="s">
        <v>28</v>
      </c>
      <c r="V23" s="230">
        <v>0</v>
      </c>
      <c r="W23" s="58">
        <f t="shared" si="2"/>
        <v>106.3</v>
      </c>
      <c r="X23" s="18" t="s">
        <v>28</v>
      </c>
      <c r="Y23" s="291">
        <v>0</v>
      </c>
      <c r="Z23" s="58">
        <f t="shared" si="3"/>
        <v>105.63</v>
      </c>
      <c r="AA23" s="18" t="s">
        <v>28</v>
      </c>
      <c r="AB23" s="291">
        <v>0</v>
      </c>
      <c r="AC23" s="58">
        <f t="shared" ref="AC23:AC32" si="4">Q23+T23</f>
        <v>211.93</v>
      </c>
      <c r="AD23" s="18" t="s">
        <v>28</v>
      </c>
      <c r="AE23" s="18"/>
      <c r="AF23" s="8"/>
      <c r="AG23" s="8"/>
      <c r="AH23" s="8"/>
      <c r="AI23" s="8"/>
      <c r="AJ23" s="126"/>
      <c r="AM23" s="112">
        <f t="shared" si="1"/>
        <v>0</v>
      </c>
    </row>
    <row r="24" spans="1:42" ht="60" x14ac:dyDescent="0.2">
      <c r="A24" s="64"/>
      <c r="B24" s="64"/>
      <c r="C24" s="369"/>
      <c r="D24" s="265" t="s">
        <v>154</v>
      </c>
      <c r="E24" s="32">
        <v>94.29</v>
      </c>
      <c r="F24" s="36" t="s">
        <v>28</v>
      </c>
      <c r="G24" s="4"/>
      <c r="H24" s="78">
        <v>99.5</v>
      </c>
      <c r="I24" s="36" t="s">
        <v>28</v>
      </c>
      <c r="J24" s="231"/>
      <c r="K24" s="78">
        <v>97.45</v>
      </c>
      <c r="L24" s="36" t="s">
        <v>28</v>
      </c>
      <c r="M24" s="231"/>
      <c r="N24" s="78">
        <v>98</v>
      </c>
      <c r="O24" s="36" t="s">
        <v>28</v>
      </c>
      <c r="P24" s="231"/>
      <c r="Q24" s="32">
        <v>98.19</v>
      </c>
      <c r="R24" s="36" t="s">
        <v>28</v>
      </c>
      <c r="S24" s="231"/>
      <c r="T24" s="78">
        <v>98.75</v>
      </c>
      <c r="U24" s="36" t="s">
        <v>28</v>
      </c>
      <c r="V24" s="231"/>
      <c r="W24" s="58">
        <f t="shared" si="2"/>
        <v>100.75936377629553</v>
      </c>
      <c r="X24" s="18" t="s">
        <v>28</v>
      </c>
      <c r="Y24" s="308"/>
      <c r="Z24" s="58">
        <f t="shared" si="3"/>
        <v>100.76530612244898</v>
      </c>
      <c r="AA24" s="18" t="s">
        <v>28</v>
      </c>
      <c r="AB24" s="308"/>
      <c r="AC24" s="58">
        <f t="shared" si="4"/>
        <v>196.94</v>
      </c>
      <c r="AD24" s="18" t="s">
        <v>28</v>
      </c>
      <c r="AE24" s="18"/>
      <c r="AF24" s="8"/>
      <c r="AG24" s="8"/>
      <c r="AH24" s="8"/>
      <c r="AI24" s="8"/>
      <c r="AJ24" s="126"/>
      <c r="AM24" s="112">
        <f t="shared" si="1"/>
        <v>0</v>
      </c>
    </row>
    <row r="25" spans="1:42" ht="45" x14ac:dyDescent="0.2">
      <c r="A25" s="64"/>
      <c r="B25" s="64"/>
      <c r="C25" s="370"/>
      <c r="D25" s="265" t="s">
        <v>155</v>
      </c>
      <c r="E25" s="78">
        <f>36/24611*100</f>
        <v>0.14627605542237213</v>
      </c>
      <c r="F25" s="36" t="s">
        <v>28</v>
      </c>
      <c r="G25" s="5"/>
      <c r="H25" s="78">
        <v>15</v>
      </c>
      <c r="I25" s="36" t="s">
        <v>28</v>
      </c>
      <c r="J25" s="234"/>
      <c r="K25" s="78">
        <v>28</v>
      </c>
      <c r="L25" s="36" t="s">
        <v>28</v>
      </c>
      <c r="M25" s="232"/>
      <c r="N25" s="78">
        <v>25</v>
      </c>
      <c r="O25" s="36" t="s">
        <v>28</v>
      </c>
      <c r="P25" s="232"/>
      <c r="Q25" s="78">
        <f>25/25540*100</f>
        <v>9.7885669537979642E-2</v>
      </c>
      <c r="R25" s="36" t="s">
        <v>28</v>
      </c>
      <c r="S25" s="232"/>
      <c r="T25" s="78">
        <f>28/23994*100</f>
        <v>0.11669584062682338</v>
      </c>
      <c r="U25" s="36" t="s">
        <v>28</v>
      </c>
      <c r="V25" s="232"/>
      <c r="W25" s="58">
        <f>(K25-(Q25-K25))/K25*100</f>
        <v>199.65040832307864</v>
      </c>
      <c r="X25" s="36" t="s">
        <v>28</v>
      </c>
      <c r="Y25" s="260"/>
      <c r="Z25" s="58">
        <f>(N25-(T25-N25))/N25*100</f>
        <v>199.5332166374927</v>
      </c>
      <c r="AA25" s="36" t="s">
        <v>28</v>
      </c>
      <c r="AB25" s="260"/>
      <c r="AC25" s="58">
        <f>Q25+T25</f>
        <v>0.21458151016480304</v>
      </c>
      <c r="AD25" s="36" t="s">
        <v>28</v>
      </c>
      <c r="AE25" s="18"/>
      <c r="AF25" s="8"/>
      <c r="AG25" s="8"/>
      <c r="AH25" s="8"/>
      <c r="AI25" s="8"/>
      <c r="AJ25" s="126"/>
      <c r="AM25" s="112">
        <f t="shared" si="1"/>
        <v>0</v>
      </c>
    </row>
    <row r="26" spans="1:42" ht="105" x14ac:dyDescent="0.2">
      <c r="A26" s="64"/>
      <c r="B26" s="64"/>
      <c r="C26" s="368" t="s">
        <v>151</v>
      </c>
      <c r="D26" s="265" t="s">
        <v>156</v>
      </c>
      <c r="E26" s="32">
        <v>93.14</v>
      </c>
      <c r="F26" s="36" t="s">
        <v>28</v>
      </c>
      <c r="G26" s="3"/>
      <c r="H26" s="78">
        <v>93.13</v>
      </c>
      <c r="I26" s="36" t="s">
        <v>28</v>
      </c>
      <c r="J26" s="233">
        <v>1800000000</v>
      </c>
      <c r="K26" s="78">
        <v>89.17</v>
      </c>
      <c r="L26" s="36" t="s">
        <v>28</v>
      </c>
      <c r="M26" s="230">
        <v>0</v>
      </c>
      <c r="N26" s="78">
        <v>90.49</v>
      </c>
      <c r="O26" s="36" t="s">
        <v>28</v>
      </c>
      <c r="P26" s="230">
        <v>0</v>
      </c>
      <c r="Q26" s="32">
        <v>81.430000000000007</v>
      </c>
      <c r="R26" s="36" t="s">
        <v>28</v>
      </c>
      <c r="S26" s="230">
        <v>0</v>
      </c>
      <c r="T26" s="32">
        <v>87.79</v>
      </c>
      <c r="U26" s="36" t="s">
        <v>28</v>
      </c>
      <c r="V26" s="230">
        <v>0</v>
      </c>
      <c r="W26" s="18">
        <f t="shared" si="2"/>
        <v>91.319950656050239</v>
      </c>
      <c r="X26" s="18" t="s">
        <v>28</v>
      </c>
      <c r="Y26" s="291">
        <v>0</v>
      </c>
      <c r="Z26" s="58">
        <f t="shared" si="3"/>
        <v>97.016244888938019</v>
      </c>
      <c r="AA26" s="18" t="s">
        <v>28</v>
      </c>
      <c r="AB26" s="291">
        <v>0</v>
      </c>
      <c r="AC26" s="58">
        <f t="shared" si="4"/>
        <v>169.22000000000003</v>
      </c>
      <c r="AD26" s="18" t="s">
        <v>28</v>
      </c>
      <c r="AE26" s="18"/>
      <c r="AF26" s="8"/>
      <c r="AG26" s="8"/>
      <c r="AH26" s="8"/>
      <c r="AI26" s="8"/>
      <c r="AJ26" s="126"/>
      <c r="AM26" s="112">
        <f t="shared" si="1"/>
        <v>0</v>
      </c>
    </row>
    <row r="27" spans="1:42" ht="60" x14ac:dyDescent="0.2">
      <c r="A27" s="64"/>
      <c r="B27" s="64"/>
      <c r="C27" s="369"/>
      <c r="D27" s="265" t="s">
        <v>157</v>
      </c>
      <c r="E27" s="78">
        <v>76.290000000000006</v>
      </c>
      <c r="F27" s="36" t="s">
        <v>28</v>
      </c>
      <c r="G27" s="4"/>
      <c r="H27" s="78">
        <v>85</v>
      </c>
      <c r="I27" s="36" t="s">
        <v>28</v>
      </c>
      <c r="J27" s="235"/>
      <c r="K27" s="78">
        <v>79.45</v>
      </c>
      <c r="L27" s="36" t="s">
        <v>28</v>
      </c>
      <c r="M27" s="231"/>
      <c r="N27" s="78">
        <v>79.900000000000006</v>
      </c>
      <c r="O27" s="36" t="s">
        <v>28</v>
      </c>
      <c r="P27" s="231"/>
      <c r="Q27" s="78">
        <v>74.680000000000007</v>
      </c>
      <c r="R27" s="36" t="s">
        <v>28</v>
      </c>
      <c r="S27" s="231"/>
      <c r="T27" s="78">
        <v>74.739999999999995</v>
      </c>
      <c r="U27" s="36" t="s">
        <v>28</v>
      </c>
      <c r="V27" s="231"/>
      <c r="W27" s="18">
        <f t="shared" si="2"/>
        <v>93.996224040276914</v>
      </c>
      <c r="X27" s="18" t="s">
        <v>28</v>
      </c>
      <c r="Y27" s="309"/>
      <c r="Z27" s="18">
        <f t="shared" si="3"/>
        <v>93.541927409261561</v>
      </c>
      <c r="AA27" s="18" t="s">
        <v>28</v>
      </c>
      <c r="AB27" s="309"/>
      <c r="AC27" s="58">
        <f t="shared" si="4"/>
        <v>149.42000000000002</v>
      </c>
      <c r="AD27" s="18" t="s">
        <v>28</v>
      </c>
      <c r="AE27" s="18"/>
      <c r="AF27" s="8"/>
      <c r="AG27" s="8"/>
      <c r="AH27" s="8"/>
      <c r="AI27" s="8"/>
      <c r="AJ27" s="126"/>
      <c r="AM27" s="112">
        <f t="shared" si="1"/>
        <v>0</v>
      </c>
    </row>
    <row r="28" spans="1:42" ht="45" x14ac:dyDescent="0.2">
      <c r="A28" s="64"/>
      <c r="B28" s="64"/>
      <c r="C28" s="370"/>
      <c r="D28" s="265" t="s">
        <v>158</v>
      </c>
      <c r="E28" s="78">
        <v>43</v>
      </c>
      <c r="F28" s="36" t="s">
        <v>28</v>
      </c>
      <c r="G28" s="5"/>
      <c r="H28" s="78">
        <v>4</v>
      </c>
      <c r="I28" s="36" t="s">
        <v>28</v>
      </c>
      <c r="J28" s="236"/>
      <c r="K28" s="78">
        <v>10</v>
      </c>
      <c r="L28" s="36" t="s">
        <v>28</v>
      </c>
      <c r="M28" s="232"/>
      <c r="N28" s="78">
        <v>7</v>
      </c>
      <c r="O28" s="36" t="s">
        <v>28</v>
      </c>
      <c r="P28" s="232"/>
      <c r="Q28" s="78">
        <v>20</v>
      </c>
      <c r="R28" s="36" t="s">
        <v>28</v>
      </c>
      <c r="S28" s="232"/>
      <c r="T28" s="78">
        <v>0</v>
      </c>
      <c r="U28" s="36" t="s">
        <v>28</v>
      </c>
      <c r="V28" s="232"/>
      <c r="W28" s="18">
        <f>(K28-(Q28-K28))/K28*100</f>
        <v>0</v>
      </c>
      <c r="X28" s="18" t="s">
        <v>28</v>
      </c>
      <c r="Y28" s="310"/>
      <c r="Z28" s="58">
        <f t="shared" si="3"/>
        <v>0</v>
      </c>
      <c r="AA28" s="18" t="s">
        <v>28</v>
      </c>
      <c r="AB28" s="310"/>
      <c r="AC28" s="58">
        <f t="shared" si="4"/>
        <v>20</v>
      </c>
      <c r="AD28" s="18" t="s">
        <v>28</v>
      </c>
      <c r="AE28" s="18"/>
      <c r="AF28" s="8"/>
      <c r="AG28" s="8"/>
      <c r="AH28" s="8"/>
      <c r="AI28" s="8"/>
      <c r="AJ28" s="126"/>
      <c r="AM28" s="112">
        <f t="shared" si="1"/>
        <v>0</v>
      </c>
    </row>
    <row r="29" spans="1:42" ht="75" x14ac:dyDescent="0.2">
      <c r="A29" s="64"/>
      <c r="B29" s="64"/>
      <c r="C29" s="265" t="s">
        <v>159</v>
      </c>
      <c r="D29" s="265" t="s">
        <v>160</v>
      </c>
      <c r="E29" s="32">
        <v>85.38</v>
      </c>
      <c r="F29" s="36" t="s">
        <v>28</v>
      </c>
      <c r="G29" s="8"/>
      <c r="H29" s="78">
        <v>96.14</v>
      </c>
      <c r="I29" s="36" t="s">
        <v>28</v>
      </c>
      <c r="J29" s="9">
        <v>5800000000</v>
      </c>
      <c r="K29" s="78">
        <v>89.23</v>
      </c>
      <c r="L29" s="36" t="s">
        <v>28</v>
      </c>
      <c r="M29" s="10">
        <v>0</v>
      </c>
      <c r="N29" s="78">
        <v>91.15</v>
      </c>
      <c r="O29" s="36" t="s">
        <v>28</v>
      </c>
      <c r="P29" s="10">
        <v>0</v>
      </c>
      <c r="Q29" s="32">
        <v>86.72</v>
      </c>
      <c r="R29" s="36" t="s">
        <v>28</v>
      </c>
      <c r="S29" s="10"/>
      <c r="T29" s="32">
        <v>0</v>
      </c>
      <c r="U29" s="36" t="s">
        <v>28</v>
      </c>
      <c r="V29" s="10"/>
      <c r="W29" s="18">
        <f t="shared" si="2"/>
        <v>97.187044715902715</v>
      </c>
      <c r="X29" s="18" t="s">
        <v>28</v>
      </c>
      <c r="Y29" s="289">
        <v>0</v>
      </c>
      <c r="Z29" s="18">
        <f t="shared" si="3"/>
        <v>0</v>
      </c>
      <c r="AA29" s="18" t="s">
        <v>28</v>
      </c>
      <c r="AB29" s="289">
        <v>0</v>
      </c>
      <c r="AC29" s="58">
        <f t="shared" si="4"/>
        <v>86.72</v>
      </c>
      <c r="AD29" s="18" t="s">
        <v>28</v>
      </c>
      <c r="AE29" s="18"/>
      <c r="AF29" s="8"/>
      <c r="AG29" s="8"/>
      <c r="AH29" s="8"/>
      <c r="AI29" s="8"/>
      <c r="AJ29" s="126"/>
      <c r="AM29" s="112">
        <f t="shared" si="1"/>
        <v>0</v>
      </c>
    </row>
    <row r="30" spans="1:42" ht="60" x14ac:dyDescent="0.2">
      <c r="A30" s="15"/>
      <c r="B30" s="15"/>
      <c r="C30" s="265" t="s">
        <v>71</v>
      </c>
      <c r="D30" s="265" t="s">
        <v>161</v>
      </c>
      <c r="E30" s="32">
        <v>0</v>
      </c>
      <c r="F30" s="36" t="s">
        <v>28</v>
      </c>
      <c r="G30" s="8"/>
      <c r="H30" s="32">
        <v>20</v>
      </c>
      <c r="I30" s="36" t="s">
        <v>28</v>
      </c>
      <c r="J30" s="9">
        <v>510025000</v>
      </c>
      <c r="K30" s="32">
        <v>20</v>
      </c>
      <c r="L30" s="36" t="s">
        <v>28</v>
      </c>
      <c r="M30" s="10">
        <v>502850000</v>
      </c>
      <c r="N30" s="32"/>
      <c r="O30" s="36"/>
      <c r="P30" s="10"/>
      <c r="Q30" s="78">
        <v>28.27</v>
      </c>
      <c r="R30" s="36" t="s">
        <v>28</v>
      </c>
      <c r="S30" s="63">
        <v>483538940</v>
      </c>
      <c r="T30" s="78"/>
      <c r="U30" s="36"/>
      <c r="V30" s="24"/>
      <c r="W30" s="58">
        <f>Q30/K30*100</f>
        <v>141.35</v>
      </c>
      <c r="X30" s="18" t="s">
        <v>28</v>
      </c>
      <c r="Y30" s="289">
        <f>S30/M30*100</f>
        <v>96.159677836332904</v>
      </c>
      <c r="Z30" s="58"/>
      <c r="AA30" s="18"/>
      <c r="AB30" s="289"/>
      <c r="AC30" s="58">
        <f t="shared" si="4"/>
        <v>28.27</v>
      </c>
      <c r="AD30" s="18" t="s">
        <v>28</v>
      </c>
      <c r="AE30" s="18"/>
      <c r="AF30" s="8"/>
      <c r="AG30" s="8"/>
      <c r="AH30" s="8"/>
      <c r="AI30" s="8"/>
      <c r="AJ30" s="108" t="s">
        <v>296</v>
      </c>
      <c r="AM30" s="112">
        <f t="shared" si="1"/>
        <v>483538940</v>
      </c>
    </row>
    <row r="31" spans="1:42" ht="90" x14ac:dyDescent="0.2">
      <c r="A31" s="16"/>
      <c r="B31" s="16"/>
      <c r="C31" s="101" t="s">
        <v>129</v>
      </c>
      <c r="D31" s="14" t="s">
        <v>162</v>
      </c>
      <c r="E31" s="78">
        <v>93.2</v>
      </c>
      <c r="F31" s="36" t="s">
        <v>28</v>
      </c>
      <c r="G31" s="3"/>
      <c r="H31" s="96">
        <v>100</v>
      </c>
      <c r="I31" s="36" t="s">
        <v>28</v>
      </c>
      <c r="J31" s="233">
        <v>2721725000</v>
      </c>
      <c r="K31" s="78">
        <v>93.2</v>
      </c>
      <c r="L31" s="36" t="s">
        <v>28</v>
      </c>
      <c r="M31" s="230">
        <v>222536250</v>
      </c>
      <c r="N31" s="78">
        <v>94.11</v>
      </c>
      <c r="O31" s="36" t="s">
        <v>28</v>
      </c>
      <c r="P31" s="230">
        <v>3796290000</v>
      </c>
      <c r="Q31" s="78">
        <v>95.27</v>
      </c>
      <c r="R31" s="36" t="s">
        <v>28</v>
      </c>
      <c r="S31" s="261">
        <v>200486250</v>
      </c>
      <c r="T31" s="78">
        <f>140/148*100</f>
        <v>94.594594594594597</v>
      </c>
      <c r="U31" s="36" t="s">
        <v>28</v>
      </c>
      <c r="V31" s="259">
        <v>3768775000</v>
      </c>
      <c r="W31" s="58">
        <f t="shared" si="2"/>
        <v>102.22103004291844</v>
      </c>
      <c r="X31" s="18" t="s">
        <v>28</v>
      </c>
      <c r="Y31" s="291">
        <f t="shared" ref="Y31" si="5">S31/M31*100</f>
        <v>90.091501946312107</v>
      </c>
      <c r="Z31" s="58">
        <f>T31/N31*100</f>
        <v>100.51492359429879</v>
      </c>
      <c r="AA31" s="18" t="s">
        <v>28</v>
      </c>
      <c r="AB31" s="291">
        <f t="shared" ref="AB31" si="6">V31/P31*100</f>
        <v>99.275213432061307</v>
      </c>
      <c r="AC31" s="58">
        <f t="shared" si="4"/>
        <v>189.86459459459459</v>
      </c>
      <c r="AD31" s="18" t="s">
        <v>28</v>
      </c>
      <c r="AE31" s="18"/>
      <c r="AF31" s="8"/>
      <c r="AG31" s="8"/>
      <c r="AH31" s="8"/>
      <c r="AI31" s="8"/>
      <c r="AJ31" s="126"/>
      <c r="AM31" s="112">
        <f t="shared" si="1"/>
        <v>200486250</v>
      </c>
    </row>
    <row r="32" spans="1:42" ht="75" x14ac:dyDescent="0.2">
      <c r="A32" s="15"/>
      <c r="B32" s="15"/>
      <c r="C32" s="20"/>
      <c r="D32" s="14" t="s">
        <v>163</v>
      </c>
      <c r="E32" s="32">
        <v>27.39</v>
      </c>
      <c r="F32" s="36" t="s">
        <v>28</v>
      </c>
      <c r="G32" s="5"/>
      <c r="H32" s="78">
        <v>54.79</v>
      </c>
      <c r="I32" s="36" t="s">
        <v>28</v>
      </c>
      <c r="J32" s="50"/>
      <c r="K32" s="78">
        <v>27.39</v>
      </c>
      <c r="L32" s="36" t="s">
        <v>28</v>
      </c>
      <c r="M32" s="232"/>
      <c r="N32" s="78">
        <v>34.24</v>
      </c>
      <c r="O32" s="36" t="s">
        <v>28</v>
      </c>
      <c r="P32" s="232"/>
      <c r="Q32" s="32">
        <v>29.41</v>
      </c>
      <c r="R32" s="36" t="s">
        <v>28</v>
      </c>
      <c r="S32" s="262"/>
      <c r="T32" s="32">
        <v>0</v>
      </c>
      <c r="U32" s="36" t="s">
        <v>28</v>
      </c>
      <c r="V32" s="84"/>
      <c r="W32" s="58">
        <f>Q32/K32*100</f>
        <v>107.37495436290617</v>
      </c>
      <c r="X32" s="36" t="s">
        <v>28</v>
      </c>
      <c r="Y32" s="292"/>
      <c r="Z32" s="58">
        <f>T32/N32*100</f>
        <v>0</v>
      </c>
      <c r="AA32" s="36" t="s">
        <v>28</v>
      </c>
      <c r="AB32" s="292"/>
      <c r="AC32" s="58">
        <f t="shared" si="4"/>
        <v>29.41</v>
      </c>
      <c r="AD32" s="36" t="s">
        <v>28</v>
      </c>
      <c r="AE32" s="18"/>
      <c r="AF32" s="8"/>
      <c r="AG32" s="8"/>
      <c r="AH32" s="8"/>
      <c r="AI32" s="8"/>
      <c r="AJ32" s="126"/>
      <c r="AM32" s="112">
        <f t="shared" si="1"/>
        <v>0</v>
      </c>
    </row>
    <row r="33" spans="1:42" ht="15" x14ac:dyDescent="0.2">
      <c r="A33" s="446" t="s">
        <v>5</v>
      </c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  <c r="Q33" s="446"/>
      <c r="R33" s="446"/>
      <c r="S33" s="446"/>
      <c r="T33" s="446"/>
      <c r="U33" s="446"/>
      <c r="V33" s="446"/>
      <c r="W33" s="121">
        <f>AVERAGE(W17:W32)</f>
        <v>99.276459073202901</v>
      </c>
      <c r="X33" s="122"/>
      <c r="Y33" s="121"/>
      <c r="Z33" s="121">
        <f>AVERAGE(Z17:Z32)</f>
        <v>88.588318851049337</v>
      </c>
      <c r="AA33" s="102"/>
      <c r="AB33" s="102"/>
      <c r="AC33" s="102"/>
      <c r="AD33" s="102"/>
      <c r="AE33" s="102"/>
      <c r="AF33" s="102"/>
      <c r="AG33" s="102"/>
      <c r="AH33" s="102"/>
      <c r="AI33" s="102"/>
      <c r="AJ33" s="126"/>
      <c r="AM33" s="112"/>
    </row>
    <row r="34" spans="1:42" ht="15" x14ac:dyDescent="0.2">
      <c r="A34" s="446" t="s">
        <v>6</v>
      </c>
      <c r="B34" s="446"/>
      <c r="C34" s="446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6"/>
      <c r="T34" s="446"/>
      <c r="U34" s="446"/>
      <c r="V34" s="446"/>
      <c r="W34" s="195" t="str">
        <f>IF(W33&gt;=91,"Sangat Tinggi",IF(W33&gt;=76,"Tinggi",IF(W33&gt;=66,"Sedang",IF(W33&gt;=51,"Rendah",IF(W33&lt;=50,"Sangat Rendah")))))</f>
        <v>Sangat Tinggi</v>
      </c>
      <c r="X34" s="122"/>
      <c r="Y34" s="102"/>
      <c r="Z34" s="195" t="str">
        <f>IF(Z33&gt;=91,"Sangat Tinggi",IF(Z33&gt;=76,"Tinggi",IF(Z33&gt;=66,"Sedang",IF(Z33&gt;=51,"Rendah",IF(Z33&lt;=50,"Sangat Rendah")))))</f>
        <v>Tinggi</v>
      </c>
      <c r="AA34" s="102"/>
      <c r="AB34" s="102"/>
      <c r="AC34" s="102"/>
      <c r="AD34" s="102"/>
      <c r="AE34" s="102"/>
      <c r="AF34" s="102"/>
      <c r="AG34" s="102"/>
      <c r="AH34" s="102"/>
      <c r="AI34" s="102"/>
      <c r="AJ34" s="126"/>
      <c r="AM34" s="112"/>
    </row>
    <row r="35" spans="1:42" ht="15" x14ac:dyDescent="0.2">
      <c r="A35" s="429" t="s">
        <v>7</v>
      </c>
      <c r="B35" s="429"/>
      <c r="C35" s="429"/>
      <c r="D35" s="429"/>
      <c r="E35" s="429"/>
      <c r="F35" s="429"/>
      <c r="G35" s="42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126"/>
      <c r="AM35" s="112"/>
    </row>
    <row r="36" spans="1:42" ht="15" x14ac:dyDescent="0.2">
      <c r="A36" s="429" t="s">
        <v>8</v>
      </c>
      <c r="B36" s="429"/>
      <c r="C36" s="429"/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126"/>
      <c r="AM36" s="112"/>
    </row>
    <row r="37" spans="1:42" ht="15" x14ac:dyDescent="0.2">
      <c r="A37" s="429" t="s">
        <v>9</v>
      </c>
      <c r="B37" s="429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429"/>
      <c r="O37" s="429"/>
      <c r="P37" s="429"/>
      <c r="Q37" s="429"/>
      <c r="R37" s="429"/>
      <c r="S37" s="429"/>
      <c r="T37" s="429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29"/>
      <c r="AJ37" s="126"/>
      <c r="AM37" s="112"/>
    </row>
    <row r="38" spans="1:42" ht="15" x14ac:dyDescent="0.2">
      <c r="A38" s="429" t="s">
        <v>10</v>
      </c>
      <c r="B38" s="429"/>
      <c r="C38" s="429"/>
      <c r="D38" s="429"/>
      <c r="E38" s="429"/>
      <c r="F38" s="429"/>
      <c r="G38" s="429"/>
      <c r="H38" s="429"/>
      <c r="I38" s="429"/>
      <c r="J38" s="429"/>
      <c r="K38" s="429"/>
      <c r="L38" s="429"/>
      <c r="M38" s="429"/>
      <c r="N38" s="429"/>
      <c r="O38" s="429"/>
      <c r="P38" s="429"/>
      <c r="Q38" s="429"/>
      <c r="R38" s="429"/>
      <c r="S38" s="429"/>
      <c r="T38" s="429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9"/>
      <c r="AJ38" s="127"/>
      <c r="AM38" s="112"/>
    </row>
    <row r="39" spans="1:42" ht="15" x14ac:dyDescent="0.2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61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M39" s="112"/>
    </row>
    <row r="40" spans="1:42" ht="15" x14ac:dyDescent="0.2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61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M40" s="112"/>
    </row>
    <row r="41" spans="1:42" ht="15.75" x14ac:dyDescent="0.25">
      <c r="A41" s="119"/>
      <c r="B41" s="120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61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M41" s="112"/>
    </row>
    <row r="42" spans="1:42" ht="68.25" customHeight="1" x14ac:dyDescent="0.2">
      <c r="A42" s="444" t="s">
        <v>0</v>
      </c>
      <c r="B42" s="444" t="s">
        <v>272</v>
      </c>
      <c r="C42" s="445" t="s">
        <v>1</v>
      </c>
      <c r="D42" s="445" t="s">
        <v>327</v>
      </c>
      <c r="E42" s="435" t="s">
        <v>21</v>
      </c>
      <c r="F42" s="436"/>
      <c r="G42" s="437"/>
      <c r="H42" s="435" t="s">
        <v>20</v>
      </c>
      <c r="I42" s="436"/>
      <c r="J42" s="437"/>
      <c r="K42" s="412" t="s">
        <v>582</v>
      </c>
      <c r="L42" s="413"/>
      <c r="M42" s="413"/>
      <c r="N42" s="413"/>
      <c r="O42" s="413"/>
      <c r="P42" s="414"/>
      <c r="Q42" s="412" t="s">
        <v>583</v>
      </c>
      <c r="R42" s="413"/>
      <c r="S42" s="413"/>
      <c r="T42" s="413"/>
      <c r="U42" s="413"/>
      <c r="V42" s="413"/>
      <c r="W42" s="412" t="s">
        <v>584</v>
      </c>
      <c r="X42" s="413"/>
      <c r="Y42" s="413"/>
      <c r="Z42" s="413"/>
      <c r="AA42" s="413"/>
      <c r="AB42" s="413"/>
      <c r="AC42" s="412" t="s">
        <v>19</v>
      </c>
      <c r="AD42" s="413"/>
      <c r="AE42" s="414"/>
      <c r="AF42" s="412" t="s">
        <v>4</v>
      </c>
      <c r="AG42" s="413"/>
      <c r="AH42" s="413"/>
      <c r="AI42" s="414"/>
      <c r="AJ42" s="433" t="s">
        <v>294</v>
      </c>
      <c r="AL42" s="62"/>
      <c r="AM42" s="112"/>
      <c r="AN42" s="62"/>
      <c r="AO42" s="62"/>
      <c r="AP42" s="62"/>
    </row>
    <row r="43" spans="1:42" ht="18" customHeight="1" x14ac:dyDescent="0.2">
      <c r="A43" s="444"/>
      <c r="B43" s="444"/>
      <c r="C43" s="445"/>
      <c r="D43" s="445"/>
      <c r="E43" s="438"/>
      <c r="F43" s="439"/>
      <c r="G43" s="440"/>
      <c r="H43" s="438"/>
      <c r="I43" s="439"/>
      <c r="J43" s="440"/>
      <c r="K43" s="415"/>
      <c r="L43" s="416"/>
      <c r="M43" s="416"/>
      <c r="N43" s="416"/>
      <c r="O43" s="416"/>
      <c r="P43" s="417"/>
      <c r="Q43" s="415"/>
      <c r="R43" s="416"/>
      <c r="S43" s="416"/>
      <c r="T43" s="416"/>
      <c r="U43" s="416"/>
      <c r="V43" s="416"/>
      <c r="W43" s="415"/>
      <c r="X43" s="416"/>
      <c r="Y43" s="416"/>
      <c r="Z43" s="416"/>
      <c r="AA43" s="416"/>
      <c r="AB43" s="416"/>
      <c r="AC43" s="430"/>
      <c r="AD43" s="431"/>
      <c r="AE43" s="432"/>
      <c r="AF43" s="430"/>
      <c r="AG43" s="431"/>
      <c r="AH43" s="431"/>
      <c r="AI43" s="432"/>
      <c r="AJ43" s="434"/>
      <c r="AM43" s="112"/>
    </row>
    <row r="44" spans="1:42" ht="15.75" customHeight="1" x14ac:dyDescent="0.2">
      <c r="A44" s="444"/>
      <c r="B44" s="444"/>
      <c r="C44" s="445"/>
      <c r="D44" s="445"/>
      <c r="E44" s="441"/>
      <c r="F44" s="442"/>
      <c r="G44" s="443"/>
      <c r="H44" s="441"/>
      <c r="I44" s="442"/>
      <c r="J44" s="443"/>
      <c r="K44" s="398" t="s">
        <v>580</v>
      </c>
      <c r="L44" s="399"/>
      <c r="M44" s="400"/>
      <c r="N44" s="398" t="s">
        <v>581</v>
      </c>
      <c r="O44" s="399"/>
      <c r="P44" s="400"/>
      <c r="Q44" s="398" t="s">
        <v>580</v>
      </c>
      <c r="R44" s="399"/>
      <c r="S44" s="400"/>
      <c r="T44" s="398" t="s">
        <v>581</v>
      </c>
      <c r="U44" s="399"/>
      <c r="V44" s="400"/>
      <c r="W44" s="398" t="s">
        <v>580</v>
      </c>
      <c r="X44" s="399"/>
      <c r="Y44" s="400"/>
      <c r="Z44" s="398" t="s">
        <v>581</v>
      </c>
      <c r="AA44" s="399"/>
      <c r="AB44" s="400"/>
      <c r="AC44" s="415"/>
      <c r="AD44" s="416"/>
      <c r="AE44" s="417"/>
      <c r="AF44" s="415"/>
      <c r="AG44" s="416"/>
      <c r="AH44" s="416"/>
      <c r="AI44" s="417"/>
      <c r="AJ44" s="128"/>
      <c r="AM44" s="112"/>
    </row>
    <row r="45" spans="1:42" ht="15.75" x14ac:dyDescent="0.25">
      <c r="A45" s="411">
        <v>1</v>
      </c>
      <c r="B45" s="411">
        <v>2</v>
      </c>
      <c r="C45" s="411">
        <v>3</v>
      </c>
      <c r="D45" s="411">
        <v>4</v>
      </c>
      <c r="E45" s="420">
        <v>5</v>
      </c>
      <c r="F45" s="421"/>
      <c r="G45" s="422"/>
      <c r="H45" s="420">
        <v>6</v>
      </c>
      <c r="I45" s="421"/>
      <c r="J45" s="422"/>
      <c r="K45" s="401">
        <v>7</v>
      </c>
      <c r="L45" s="402"/>
      <c r="M45" s="403"/>
      <c r="N45" s="401">
        <v>8</v>
      </c>
      <c r="O45" s="402"/>
      <c r="P45" s="403"/>
      <c r="Q45" s="401">
        <v>12</v>
      </c>
      <c r="R45" s="402"/>
      <c r="S45" s="403"/>
      <c r="T45" s="401">
        <v>13</v>
      </c>
      <c r="U45" s="402"/>
      <c r="V45" s="403"/>
      <c r="W45" s="395">
        <v>17</v>
      </c>
      <c r="X45" s="396"/>
      <c r="Y45" s="397"/>
      <c r="Z45" s="395">
        <v>18</v>
      </c>
      <c r="AA45" s="396"/>
      <c r="AB45" s="397"/>
      <c r="AC45" s="395">
        <v>22</v>
      </c>
      <c r="AD45" s="396"/>
      <c r="AE45" s="397"/>
      <c r="AF45" s="395">
        <v>23</v>
      </c>
      <c r="AG45" s="396"/>
      <c r="AH45" s="396"/>
      <c r="AI45" s="397"/>
      <c r="AJ45" s="129"/>
      <c r="AM45" s="112"/>
    </row>
    <row r="46" spans="1:42" ht="87" customHeight="1" x14ac:dyDescent="0.2">
      <c r="A46" s="419"/>
      <c r="B46" s="419"/>
      <c r="C46" s="419"/>
      <c r="D46" s="419"/>
      <c r="E46" s="404" t="s">
        <v>2</v>
      </c>
      <c r="F46" s="405"/>
      <c r="G46" s="408" t="s">
        <v>3</v>
      </c>
      <c r="H46" s="404" t="s">
        <v>2</v>
      </c>
      <c r="I46" s="405"/>
      <c r="J46" s="408" t="s">
        <v>3</v>
      </c>
      <c r="K46" s="404" t="s">
        <v>2</v>
      </c>
      <c r="L46" s="405"/>
      <c r="M46" s="411" t="s">
        <v>3</v>
      </c>
      <c r="N46" s="404" t="s">
        <v>2</v>
      </c>
      <c r="O46" s="405"/>
      <c r="P46" s="411" t="s">
        <v>3</v>
      </c>
      <c r="Q46" s="404" t="s">
        <v>2</v>
      </c>
      <c r="R46" s="405"/>
      <c r="S46" s="411" t="s">
        <v>3</v>
      </c>
      <c r="T46" s="404" t="s">
        <v>2</v>
      </c>
      <c r="U46" s="405"/>
      <c r="V46" s="411" t="s">
        <v>3</v>
      </c>
      <c r="W46" s="420" t="s">
        <v>13</v>
      </c>
      <c r="X46" s="422"/>
      <c r="Y46" s="106" t="s">
        <v>14</v>
      </c>
      <c r="Z46" s="420" t="s">
        <v>15</v>
      </c>
      <c r="AA46" s="422"/>
      <c r="AB46" s="106" t="s">
        <v>16</v>
      </c>
      <c r="AC46" s="404" t="s">
        <v>2</v>
      </c>
      <c r="AD46" s="405"/>
      <c r="AE46" s="405" t="s">
        <v>3</v>
      </c>
      <c r="AF46" s="420" t="s">
        <v>18</v>
      </c>
      <c r="AG46" s="422"/>
      <c r="AH46" s="425" t="s">
        <v>22</v>
      </c>
      <c r="AI46" s="106" t="s">
        <v>17</v>
      </c>
      <c r="AJ46" s="130"/>
      <c r="AM46" s="112"/>
    </row>
    <row r="47" spans="1:42" ht="15.75" x14ac:dyDescent="0.2">
      <c r="A47" s="408"/>
      <c r="B47" s="408"/>
      <c r="C47" s="408"/>
      <c r="D47" s="408"/>
      <c r="E47" s="406"/>
      <c r="F47" s="407"/>
      <c r="G47" s="409"/>
      <c r="H47" s="406"/>
      <c r="I47" s="407"/>
      <c r="J47" s="409"/>
      <c r="K47" s="406"/>
      <c r="L47" s="407"/>
      <c r="M47" s="408"/>
      <c r="N47" s="406"/>
      <c r="O47" s="407"/>
      <c r="P47" s="408"/>
      <c r="Q47" s="406"/>
      <c r="R47" s="407"/>
      <c r="S47" s="408"/>
      <c r="T47" s="406"/>
      <c r="U47" s="407"/>
      <c r="V47" s="408"/>
      <c r="W47" s="406" t="s">
        <v>2</v>
      </c>
      <c r="X47" s="407"/>
      <c r="Y47" s="226" t="s">
        <v>3</v>
      </c>
      <c r="Z47" s="427" t="s">
        <v>2</v>
      </c>
      <c r="AA47" s="428"/>
      <c r="AB47" s="226" t="s">
        <v>3</v>
      </c>
      <c r="AC47" s="406"/>
      <c r="AD47" s="407"/>
      <c r="AE47" s="407"/>
      <c r="AF47" s="406" t="s">
        <v>2</v>
      </c>
      <c r="AG47" s="407"/>
      <c r="AH47" s="426"/>
      <c r="AI47" s="226" t="s">
        <v>3</v>
      </c>
      <c r="AJ47" s="130"/>
      <c r="AM47" s="112"/>
    </row>
    <row r="48" spans="1:42" ht="78.75" x14ac:dyDescent="0.25">
      <c r="A48" s="70">
        <v>2</v>
      </c>
      <c r="B48" s="65" t="s">
        <v>95</v>
      </c>
      <c r="C48" s="14"/>
      <c r="D48" s="66" t="s">
        <v>283</v>
      </c>
      <c r="E48" s="273">
        <v>68.41</v>
      </c>
      <c r="F48" s="274" t="s">
        <v>554</v>
      </c>
      <c r="G48" s="278">
        <f>SUM(G49:G62)</f>
        <v>3824280300</v>
      </c>
      <c r="H48" s="284">
        <v>67.87</v>
      </c>
      <c r="I48" s="274" t="s">
        <v>554</v>
      </c>
      <c r="J48" s="278">
        <f>SUM(J49:J62)</f>
        <v>218108993300</v>
      </c>
      <c r="K48" s="277">
        <v>66.05</v>
      </c>
      <c r="L48" s="274" t="s">
        <v>554</v>
      </c>
      <c r="M48" s="278">
        <f>SUM(M49:M62)</f>
        <v>45120939485</v>
      </c>
      <c r="N48" s="277">
        <v>66.540000000000006</v>
      </c>
      <c r="O48" s="274" t="s">
        <v>554</v>
      </c>
      <c r="P48" s="278">
        <f>SUM(P49:P62)</f>
        <v>75556828657</v>
      </c>
      <c r="Q48" s="273">
        <v>65.819999999999993</v>
      </c>
      <c r="R48" s="274" t="s">
        <v>554</v>
      </c>
      <c r="S48" s="278">
        <f>SUM(S49:S62)</f>
        <v>38571285999</v>
      </c>
      <c r="T48" s="277">
        <v>65.97</v>
      </c>
      <c r="U48" s="274" t="s">
        <v>554</v>
      </c>
      <c r="V48" s="278">
        <f>SUM(V49:V62)</f>
        <v>68912010660</v>
      </c>
      <c r="W48" s="288">
        <f>Q48/K48*100</f>
        <v>99.651778955336852</v>
      </c>
      <c r="X48" s="282" t="s">
        <v>28</v>
      </c>
      <c r="Y48" s="294">
        <f>S48/M48*100</f>
        <v>85.484226257794631</v>
      </c>
      <c r="Z48" s="288">
        <f>T48/N48*100</f>
        <v>99.143372407574375</v>
      </c>
      <c r="AA48" s="282" t="s">
        <v>28</v>
      </c>
      <c r="AB48" s="294">
        <f>V48/P48*100</f>
        <v>91.205536130738082</v>
      </c>
      <c r="AC48" s="277">
        <f>Q48+T48</f>
        <v>131.79</v>
      </c>
      <c r="AD48" s="274" t="s">
        <v>554</v>
      </c>
      <c r="AE48" s="374">
        <f>S48+V48</f>
        <v>107483296659</v>
      </c>
      <c r="AF48" s="275"/>
      <c r="AG48" s="275"/>
      <c r="AH48" s="275"/>
      <c r="AI48" s="275"/>
      <c r="AJ48" s="157" t="s">
        <v>297</v>
      </c>
      <c r="AM48" s="112">
        <f t="shared" ref="AM48:AM72" si="7">S48</f>
        <v>38571285999</v>
      </c>
    </row>
    <row r="49" spans="1:43" ht="180" x14ac:dyDescent="0.2">
      <c r="A49" s="64"/>
      <c r="B49" s="64"/>
      <c r="C49" s="14" t="s">
        <v>93</v>
      </c>
      <c r="D49" s="14" t="s">
        <v>141</v>
      </c>
      <c r="E49" s="78">
        <v>61.55</v>
      </c>
      <c r="F49" s="18" t="s">
        <v>28</v>
      </c>
      <c r="G49" s="9">
        <v>242950000</v>
      </c>
      <c r="H49" s="77">
        <v>84</v>
      </c>
      <c r="I49" s="18" t="s">
        <v>28</v>
      </c>
      <c r="J49" s="9">
        <v>314051000</v>
      </c>
      <c r="K49" s="78">
        <v>79</v>
      </c>
      <c r="L49" s="18" t="s">
        <v>28</v>
      </c>
      <c r="M49" s="10">
        <v>314051000</v>
      </c>
      <c r="N49" s="78"/>
      <c r="O49" s="18"/>
      <c r="P49" s="10"/>
      <c r="Q49" s="78">
        <v>82.82</v>
      </c>
      <c r="R49" s="18" t="s">
        <v>28</v>
      </c>
      <c r="S49" s="63">
        <v>303249980</v>
      </c>
      <c r="T49" s="78"/>
      <c r="U49" s="18"/>
      <c r="V49" s="63"/>
      <c r="W49" s="58">
        <f>Q49/K49*100</f>
        <v>104.83544303797467</v>
      </c>
      <c r="X49" s="18" t="s">
        <v>28</v>
      </c>
      <c r="Y49" s="289">
        <f>S49/M49*100</f>
        <v>96.560743318760331</v>
      </c>
      <c r="Z49" s="58"/>
      <c r="AA49" s="18"/>
      <c r="AB49" s="289"/>
      <c r="AC49" s="78">
        <f>Q49+T49</f>
        <v>82.82</v>
      </c>
      <c r="AD49" s="18" t="s">
        <v>28</v>
      </c>
      <c r="AE49" s="338">
        <f>S49+V49</f>
        <v>303249980</v>
      </c>
      <c r="AF49" s="8"/>
      <c r="AG49" s="8"/>
      <c r="AH49" s="8"/>
      <c r="AI49" s="8"/>
      <c r="AJ49" s="126"/>
      <c r="AM49" s="112">
        <f t="shared" si="7"/>
        <v>303249980</v>
      </c>
    </row>
    <row r="50" spans="1:43" ht="180" x14ac:dyDescent="0.2">
      <c r="A50" s="64"/>
      <c r="B50" s="64"/>
      <c r="C50" s="14" t="s">
        <v>91</v>
      </c>
      <c r="D50" s="14" t="s">
        <v>141</v>
      </c>
      <c r="E50" s="78">
        <v>61.55</v>
      </c>
      <c r="F50" s="18" t="s">
        <v>28</v>
      </c>
      <c r="G50" s="24">
        <v>2962850600</v>
      </c>
      <c r="H50" s="78">
        <v>79</v>
      </c>
      <c r="I50" s="18" t="s">
        <v>28</v>
      </c>
      <c r="J50" s="24">
        <v>2195000000</v>
      </c>
      <c r="K50" s="78"/>
      <c r="L50" s="18"/>
      <c r="M50" s="10"/>
      <c r="N50" s="78"/>
      <c r="O50" s="18"/>
      <c r="P50" s="10"/>
      <c r="Q50" s="78"/>
      <c r="R50" s="18"/>
      <c r="S50" s="10"/>
      <c r="T50" s="78"/>
      <c r="U50" s="18"/>
      <c r="V50" s="10"/>
      <c r="W50" s="58"/>
      <c r="X50" s="18"/>
      <c r="Y50" s="289"/>
      <c r="Z50" s="58"/>
      <c r="AA50" s="18"/>
      <c r="AB50" s="289"/>
      <c r="AC50" s="78">
        <f>Q50+T50</f>
        <v>0</v>
      </c>
      <c r="AD50" s="18" t="s">
        <v>28</v>
      </c>
      <c r="AE50" s="338">
        <f>S50+V50</f>
        <v>0</v>
      </c>
      <c r="AF50" s="8"/>
      <c r="AG50" s="8"/>
      <c r="AH50" s="8"/>
      <c r="AI50" s="8"/>
      <c r="AJ50" s="126"/>
      <c r="AM50" s="112">
        <f t="shared" si="7"/>
        <v>0</v>
      </c>
    </row>
    <row r="51" spans="1:43" ht="180" x14ac:dyDescent="0.2">
      <c r="A51" s="13"/>
      <c r="B51" s="13"/>
      <c r="C51" s="14" t="s">
        <v>165</v>
      </c>
      <c r="D51" s="14" t="s">
        <v>141</v>
      </c>
      <c r="E51" s="32">
        <v>61.55</v>
      </c>
      <c r="F51" s="18" t="s">
        <v>28</v>
      </c>
      <c r="G51" s="9">
        <v>0</v>
      </c>
      <c r="H51" s="78">
        <v>84</v>
      </c>
      <c r="I51" s="18" t="s">
        <v>28</v>
      </c>
      <c r="J51" s="9">
        <v>10036204000</v>
      </c>
      <c r="K51" s="78">
        <v>79</v>
      </c>
      <c r="L51" s="18" t="s">
        <v>28</v>
      </c>
      <c r="M51" s="10">
        <v>2195000000</v>
      </c>
      <c r="N51" s="78">
        <v>81</v>
      </c>
      <c r="O51" s="18" t="s">
        <v>28</v>
      </c>
      <c r="P51" s="10">
        <v>828424000</v>
      </c>
      <c r="Q51" s="94">
        <v>82.82</v>
      </c>
      <c r="R51" s="18" t="s">
        <v>28</v>
      </c>
      <c r="S51" s="63">
        <v>41804900</v>
      </c>
      <c r="T51" s="18">
        <v>76.37</v>
      </c>
      <c r="U51" s="18" t="s">
        <v>28</v>
      </c>
      <c r="V51" s="63">
        <v>293691000</v>
      </c>
      <c r="W51" s="58">
        <f>Q51/K51*100</f>
        <v>104.83544303797467</v>
      </c>
      <c r="X51" s="18" t="s">
        <v>28</v>
      </c>
      <c r="Y51" s="289">
        <f>S51/M51*100</f>
        <v>1.9045512528473802</v>
      </c>
      <c r="Z51" s="58">
        <f>T51/N51*100</f>
        <v>94.283950617283949</v>
      </c>
      <c r="AA51" s="18" t="s">
        <v>28</v>
      </c>
      <c r="AB51" s="289">
        <f>V51/P51*100</f>
        <v>35.451773487972346</v>
      </c>
      <c r="AC51" s="78">
        <f>Q51+T51</f>
        <v>159.19</v>
      </c>
      <c r="AD51" s="18" t="s">
        <v>28</v>
      </c>
      <c r="AE51" s="338">
        <f>S51+V51</f>
        <v>335495900</v>
      </c>
      <c r="AF51" s="8"/>
      <c r="AG51" s="8"/>
      <c r="AH51" s="8"/>
      <c r="AI51" s="8"/>
      <c r="AJ51" s="169"/>
      <c r="AM51" s="112">
        <f>S51</f>
        <v>41804900</v>
      </c>
    </row>
    <row r="52" spans="1:43" ht="90" x14ac:dyDescent="0.2">
      <c r="A52" s="64"/>
      <c r="B52" s="64"/>
      <c r="C52" s="101" t="s">
        <v>90</v>
      </c>
      <c r="D52" s="14" t="s">
        <v>139</v>
      </c>
      <c r="E52" s="78">
        <v>77.083333333333343</v>
      </c>
      <c r="F52" s="18" t="s">
        <v>28</v>
      </c>
      <c r="G52" s="259">
        <v>0</v>
      </c>
      <c r="H52" s="78">
        <v>89</v>
      </c>
      <c r="I52" s="18" t="s">
        <v>28</v>
      </c>
      <c r="J52" s="233">
        <v>7200000000</v>
      </c>
      <c r="K52" s="78">
        <v>80</v>
      </c>
      <c r="L52" s="18" t="s">
        <v>28</v>
      </c>
      <c r="M52" s="259">
        <v>1480290735</v>
      </c>
      <c r="N52" s="78">
        <v>83</v>
      </c>
      <c r="O52" s="18" t="s">
        <v>28</v>
      </c>
      <c r="P52" s="259">
        <v>4914240000</v>
      </c>
      <c r="Q52" s="78">
        <f>111/144*100</f>
        <v>77.083333333333343</v>
      </c>
      <c r="R52" s="18" t="s">
        <v>28</v>
      </c>
      <c r="S52" s="261">
        <v>1316229448</v>
      </c>
      <c r="T52" s="78">
        <f>113/144*100</f>
        <v>78.472222222222214</v>
      </c>
      <c r="U52" s="18" t="s">
        <v>28</v>
      </c>
      <c r="V52" s="261">
        <v>4498747419</v>
      </c>
      <c r="W52" s="58">
        <f>Q52/K52*100</f>
        <v>96.354166666666671</v>
      </c>
      <c r="X52" s="18" t="s">
        <v>28</v>
      </c>
      <c r="Y52" s="291">
        <f>S52/M52*100</f>
        <v>88.916955087204542</v>
      </c>
      <c r="Z52" s="58">
        <f>T52/N52*100</f>
        <v>94.544846050870134</v>
      </c>
      <c r="AA52" s="18" t="s">
        <v>28</v>
      </c>
      <c r="AB52" s="291">
        <f>V52/P52*100</f>
        <v>91.545130457608906</v>
      </c>
      <c r="AC52" s="78">
        <f t="shared" ref="AC52:AC62" si="8">Q52+T52</f>
        <v>155.55555555555554</v>
      </c>
      <c r="AD52" s="18" t="s">
        <v>28</v>
      </c>
      <c r="AE52" s="245">
        <f t="shared" ref="AE52:AE68" si="9">S52+V52</f>
        <v>5814976867</v>
      </c>
      <c r="AF52" s="8"/>
      <c r="AG52" s="8"/>
      <c r="AH52" s="8"/>
      <c r="AI52" s="8"/>
      <c r="AJ52" s="126"/>
      <c r="AM52" s="112">
        <f t="shared" si="7"/>
        <v>1316229448</v>
      </c>
    </row>
    <row r="53" spans="1:43" ht="60" x14ac:dyDescent="0.2">
      <c r="A53" s="64"/>
      <c r="B53" s="64"/>
      <c r="C53" s="20"/>
      <c r="D53" s="14" t="s">
        <v>164</v>
      </c>
      <c r="E53" s="32">
        <v>17.64</v>
      </c>
      <c r="F53" s="18" t="s">
        <v>28</v>
      </c>
      <c r="G53" s="260"/>
      <c r="H53" s="78">
        <v>24.785510009532889</v>
      </c>
      <c r="I53" s="18" t="s">
        <v>28</v>
      </c>
      <c r="J53" s="50"/>
      <c r="K53" s="78">
        <v>20.495710200190658</v>
      </c>
      <c r="L53" s="18" t="s">
        <v>28</v>
      </c>
      <c r="M53" s="232"/>
      <c r="N53" s="78">
        <v>21.45</v>
      </c>
      <c r="O53" s="18" t="s">
        <v>28</v>
      </c>
      <c r="P53" s="232"/>
      <c r="Q53" s="78">
        <f>224/1049*100</f>
        <v>21.353670162059103</v>
      </c>
      <c r="R53" s="18" t="s">
        <v>28</v>
      </c>
      <c r="S53" s="262"/>
      <c r="T53" s="78">
        <f>285/1049*100</f>
        <v>27.168732125834126</v>
      </c>
      <c r="U53" s="18" t="s">
        <v>28</v>
      </c>
      <c r="V53" s="262"/>
      <c r="W53" s="58">
        <f>Q53/K53*100</f>
        <v>104.18604651162791</v>
      </c>
      <c r="X53" s="18" t="s">
        <v>28</v>
      </c>
      <c r="Y53" s="292"/>
      <c r="Z53" s="58">
        <f>T53/N53*100</f>
        <v>126.66075583139454</v>
      </c>
      <c r="AA53" s="18" t="s">
        <v>28</v>
      </c>
      <c r="AB53" s="292"/>
      <c r="AC53" s="78">
        <f t="shared" si="8"/>
        <v>48.522402287893229</v>
      </c>
      <c r="AD53" s="18" t="s">
        <v>28</v>
      </c>
      <c r="AE53" s="338"/>
      <c r="AF53" s="8"/>
      <c r="AG53" s="8"/>
      <c r="AH53" s="8"/>
      <c r="AI53" s="8"/>
      <c r="AJ53" s="126"/>
      <c r="AM53" s="112">
        <f t="shared" si="7"/>
        <v>0</v>
      </c>
    </row>
    <row r="54" spans="1:43" ht="75" x14ac:dyDescent="0.2">
      <c r="A54" s="13"/>
      <c r="B54" s="13"/>
      <c r="C54" s="14" t="s">
        <v>44</v>
      </c>
      <c r="D54" s="14" t="s">
        <v>138</v>
      </c>
      <c r="E54" s="32">
        <v>100</v>
      </c>
      <c r="F54" s="18" t="s">
        <v>28</v>
      </c>
      <c r="G54" s="24">
        <v>0</v>
      </c>
      <c r="H54" s="32">
        <v>100</v>
      </c>
      <c r="I54" s="18" t="s">
        <v>28</v>
      </c>
      <c r="J54" s="24">
        <v>151633072000</v>
      </c>
      <c r="K54" s="32">
        <v>100</v>
      </c>
      <c r="L54" s="18" t="s">
        <v>28</v>
      </c>
      <c r="M54" s="10">
        <v>31643791000</v>
      </c>
      <c r="N54" s="32">
        <v>100</v>
      </c>
      <c r="O54" s="18" t="s">
        <v>28</v>
      </c>
      <c r="P54" s="10">
        <v>48674000000</v>
      </c>
      <c r="Q54" s="32">
        <v>100</v>
      </c>
      <c r="R54" s="18" t="s">
        <v>28</v>
      </c>
      <c r="S54" s="63">
        <v>31607222699</v>
      </c>
      <c r="T54" s="32">
        <v>100</v>
      </c>
      <c r="U54" s="18" t="s">
        <v>28</v>
      </c>
      <c r="V54" s="63">
        <v>47199934951</v>
      </c>
      <c r="W54" s="58">
        <f t="shared" ref="W54:W69" si="10">Q54/K54*100</f>
        <v>100</v>
      </c>
      <c r="X54" s="18" t="s">
        <v>28</v>
      </c>
      <c r="Y54" s="289">
        <f>S54/M54*100</f>
        <v>99.884437673728783</v>
      </c>
      <c r="Z54" s="93">
        <f>T54/N54*100</f>
        <v>100</v>
      </c>
      <c r="AA54" s="18" t="s">
        <v>28</v>
      </c>
      <c r="AB54" s="289">
        <f>V54/P54*100</f>
        <v>96.971555555327285</v>
      </c>
      <c r="AC54" s="78">
        <f t="shared" si="8"/>
        <v>200</v>
      </c>
      <c r="AD54" s="18" t="s">
        <v>28</v>
      </c>
      <c r="AE54" s="338">
        <f t="shared" si="9"/>
        <v>78807157650</v>
      </c>
      <c r="AF54" s="8"/>
      <c r="AG54" s="8"/>
      <c r="AH54" s="8"/>
      <c r="AI54" s="8"/>
      <c r="AJ54" s="126"/>
      <c r="AM54" s="112">
        <f t="shared" si="7"/>
        <v>31607222699</v>
      </c>
    </row>
    <row r="55" spans="1:43" ht="75" x14ac:dyDescent="0.2">
      <c r="A55" s="64"/>
      <c r="B55" s="64"/>
      <c r="C55" s="14" t="s">
        <v>137</v>
      </c>
      <c r="D55" s="14" t="s">
        <v>140</v>
      </c>
      <c r="E55" s="32">
        <v>17.190000000000001</v>
      </c>
      <c r="F55" s="18" t="s">
        <v>28</v>
      </c>
      <c r="G55" s="24">
        <v>260252200</v>
      </c>
      <c r="H55" s="96">
        <v>100</v>
      </c>
      <c r="I55" s="18" t="s">
        <v>28</v>
      </c>
      <c r="J55" s="24">
        <v>581162500</v>
      </c>
      <c r="K55" s="78">
        <v>20.64</v>
      </c>
      <c r="L55" s="18" t="s">
        <v>28</v>
      </c>
      <c r="M55" s="85">
        <v>116232500</v>
      </c>
      <c r="N55" s="78"/>
      <c r="O55" s="18"/>
      <c r="P55" s="85"/>
      <c r="Q55" s="78">
        <v>22.17</v>
      </c>
      <c r="R55" s="18" t="s">
        <v>28</v>
      </c>
      <c r="S55" s="95">
        <v>95711000</v>
      </c>
      <c r="T55" s="78"/>
      <c r="U55" s="18"/>
      <c r="V55" s="95"/>
      <c r="W55" s="58">
        <f>Q55/K55*100</f>
        <v>107.41279069767442</v>
      </c>
      <c r="X55" s="18" t="s">
        <v>28</v>
      </c>
      <c r="Y55" s="289">
        <f>S55/M55*100</f>
        <v>82.344438947798594</v>
      </c>
      <c r="Z55" s="58"/>
      <c r="AA55" s="18"/>
      <c r="AB55" s="289"/>
      <c r="AC55" s="78">
        <f t="shared" si="8"/>
        <v>22.17</v>
      </c>
      <c r="AD55" s="18" t="s">
        <v>28</v>
      </c>
      <c r="AE55" s="338">
        <f t="shared" si="9"/>
        <v>95711000</v>
      </c>
      <c r="AF55" s="8"/>
      <c r="AG55" s="8"/>
      <c r="AH55" s="8"/>
      <c r="AI55" s="8"/>
      <c r="AJ55" s="126"/>
      <c r="AM55" s="112">
        <f t="shared" si="7"/>
        <v>95711000</v>
      </c>
    </row>
    <row r="56" spans="1:43" ht="150" x14ac:dyDescent="0.2">
      <c r="A56" s="64"/>
      <c r="B56" s="64"/>
      <c r="C56" s="101" t="s">
        <v>92</v>
      </c>
      <c r="D56" s="14" t="s">
        <v>143</v>
      </c>
      <c r="E56" s="78">
        <v>60.95</v>
      </c>
      <c r="F56" s="18" t="s">
        <v>28</v>
      </c>
      <c r="G56" s="259">
        <v>358227500</v>
      </c>
      <c r="H56" s="78">
        <v>60.67</v>
      </c>
      <c r="I56" s="18" t="s">
        <v>28</v>
      </c>
      <c r="J56" s="259">
        <v>722385800</v>
      </c>
      <c r="K56" s="78">
        <v>48.52</v>
      </c>
      <c r="L56" s="18" t="s">
        <v>28</v>
      </c>
      <c r="M56" s="230">
        <v>265140600</v>
      </c>
      <c r="N56" s="78">
        <v>52.38</v>
      </c>
      <c r="O56" s="18" t="s">
        <v>28</v>
      </c>
      <c r="P56" s="230">
        <v>12392193657</v>
      </c>
      <c r="Q56" s="78">
        <f>AVERAGE(56.25,53.29,121.05,141.87,61.41,110.72)</f>
        <v>90.765000000000001</v>
      </c>
      <c r="R56" s="18" t="s">
        <v>28</v>
      </c>
      <c r="S56" s="261">
        <v>157403800</v>
      </c>
      <c r="T56" s="32">
        <v>75.209999999999994</v>
      </c>
      <c r="U56" s="18" t="s">
        <v>28</v>
      </c>
      <c r="V56" s="261">
        <v>10202810360</v>
      </c>
      <c r="W56" s="58">
        <f t="shared" si="10"/>
        <v>187.06718878812859</v>
      </c>
      <c r="X56" s="18" t="s">
        <v>28</v>
      </c>
      <c r="Y56" s="291">
        <f>S56/M56*100</f>
        <v>59.366162707635119</v>
      </c>
      <c r="Z56" s="58">
        <f t="shared" ref="Z56" si="11">T56/N56*100</f>
        <v>143.58533791523479</v>
      </c>
      <c r="AA56" s="18" t="s">
        <v>28</v>
      </c>
      <c r="AB56" s="291">
        <f>V56/P56*100</f>
        <v>82.332560661983536</v>
      </c>
      <c r="AC56" s="78">
        <f t="shared" si="8"/>
        <v>165.97499999999999</v>
      </c>
      <c r="AD56" s="18" t="s">
        <v>28</v>
      </c>
      <c r="AE56" s="245">
        <f t="shared" si="9"/>
        <v>10360214160</v>
      </c>
      <c r="AF56" s="8"/>
      <c r="AG56" s="8"/>
      <c r="AH56" s="8"/>
      <c r="AI56" s="8"/>
      <c r="AJ56" s="126"/>
      <c r="AM56" s="112">
        <f t="shared" si="7"/>
        <v>157403800</v>
      </c>
    </row>
    <row r="57" spans="1:43" ht="105" x14ac:dyDescent="0.2">
      <c r="A57" s="64"/>
      <c r="B57" s="64"/>
      <c r="C57" s="20"/>
      <c r="D57" s="14" t="s">
        <v>144</v>
      </c>
      <c r="E57" s="78">
        <v>20.059999999999999</v>
      </c>
      <c r="F57" s="18" t="s">
        <v>28</v>
      </c>
      <c r="G57" s="260"/>
      <c r="H57" s="78">
        <v>65.97</v>
      </c>
      <c r="I57" s="18" t="s">
        <v>28</v>
      </c>
      <c r="J57" s="260"/>
      <c r="K57" s="78">
        <v>55.33</v>
      </c>
      <c r="L57" s="18" t="s">
        <v>28</v>
      </c>
      <c r="M57" s="232"/>
      <c r="N57" s="78">
        <v>57.21</v>
      </c>
      <c r="O57" s="18" t="s">
        <v>28</v>
      </c>
      <c r="P57" s="232"/>
      <c r="Q57" s="78">
        <f>AVERAGE(87.63,74.29,42,131.6,35.86)</f>
        <v>74.275999999999996</v>
      </c>
      <c r="R57" s="18" t="s">
        <v>28</v>
      </c>
      <c r="S57" s="262"/>
      <c r="T57" s="32">
        <v>26.36</v>
      </c>
      <c r="U57" s="18" t="s">
        <v>28</v>
      </c>
      <c r="V57" s="262"/>
      <c r="W57" s="58">
        <f t="shared" ref="W57:W62" si="12">Q57/K57*100</f>
        <v>134.24182179649375</v>
      </c>
      <c r="X57" s="18" t="s">
        <v>28</v>
      </c>
      <c r="Y57" s="292"/>
      <c r="Z57" s="58">
        <f t="shared" ref="Z57:Z62" si="13">T57/N57*100</f>
        <v>46.075860863485403</v>
      </c>
      <c r="AA57" s="18" t="s">
        <v>28</v>
      </c>
      <c r="AB57" s="292"/>
      <c r="AC57" s="78">
        <f t="shared" si="8"/>
        <v>100.636</v>
      </c>
      <c r="AD57" s="18" t="s">
        <v>28</v>
      </c>
      <c r="AE57" s="338"/>
      <c r="AF57" s="8"/>
      <c r="AG57" s="8"/>
      <c r="AH57" s="8"/>
      <c r="AI57" s="8"/>
      <c r="AJ57" s="126"/>
      <c r="AM57" s="112">
        <f t="shared" si="7"/>
        <v>0</v>
      </c>
    </row>
    <row r="58" spans="1:43" ht="178.5" customHeight="1" x14ac:dyDescent="0.25">
      <c r="A58" s="13"/>
      <c r="B58" s="13"/>
      <c r="C58" s="14"/>
      <c r="D58" s="66" t="s">
        <v>284</v>
      </c>
      <c r="E58" s="273">
        <v>75.81</v>
      </c>
      <c r="F58" s="282" t="s">
        <v>28</v>
      </c>
      <c r="G58" s="275"/>
      <c r="H58" s="284">
        <v>69.680000000000007</v>
      </c>
      <c r="I58" s="282" t="s">
        <v>28</v>
      </c>
      <c r="J58" s="276">
        <f>J59</f>
        <v>22613612500</v>
      </c>
      <c r="K58" s="273">
        <v>73.02</v>
      </c>
      <c r="L58" s="282" t="s">
        <v>28</v>
      </c>
      <c r="M58" s="276">
        <f>M59</f>
        <v>4521712500</v>
      </c>
      <c r="N58" s="273">
        <v>72.180000000000007</v>
      </c>
      <c r="O58" s="282" t="s">
        <v>28</v>
      </c>
      <c r="P58" s="276">
        <f>P59</f>
        <v>4344925000</v>
      </c>
      <c r="Q58" s="277">
        <v>72.900000000000006</v>
      </c>
      <c r="R58" s="282" t="s">
        <v>28</v>
      </c>
      <c r="S58" s="276">
        <f>S59</f>
        <v>2493720761</v>
      </c>
      <c r="T58" s="277">
        <v>66.150000000000006</v>
      </c>
      <c r="U58" s="282" t="s">
        <v>28</v>
      </c>
      <c r="V58" s="276">
        <f>V59</f>
        <v>3333688965</v>
      </c>
      <c r="W58" s="288">
        <f>(K58-(Q58-K58))/K58*100</f>
        <v>100.164338537387</v>
      </c>
      <c r="X58" s="282" t="s">
        <v>28</v>
      </c>
      <c r="Y58" s="294">
        <f>S58/M58*100</f>
        <v>55.149918554087641</v>
      </c>
      <c r="Z58" s="288">
        <f>(N58-(T58-N58))/N58*100</f>
        <v>108.35411471321696</v>
      </c>
      <c r="AA58" s="282" t="s">
        <v>28</v>
      </c>
      <c r="AB58" s="294">
        <f>V58/P58*100</f>
        <v>76.726041646288493</v>
      </c>
      <c r="AC58" s="277">
        <f t="shared" si="8"/>
        <v>139.05000000000001</v>
      </c>
      <c r="AD58" s="282" t="s">
        <v>28</v>
      </c>
      <c r="AE58" s="374">
        <f t="shared" si="9"/>
        <v>5827409726</v>
      </c>
      <c r="AF58" s="275"/>
      <c r="AG58" s="275"/>
      <c r="AH58" s="275"/>
      <c r="AI58" s="275"/>
      <c r="AJ58" s="168" t="s">
        <v>298</v>
      </c>
      <c r="AM58" s="112">
        <f t="shared" si="7"/>
        <v>2493720761</v>
      </c>
    </row>
    <row r="59" spans="1:43" ht="135" x14ac:dyDescent="0.2">
      <c r="A59" s="13"/>
      <c r="B59" s="13"/>
      <c r="C59" s="101" t="s">
        <v>79</v>
      </c>
      <c r="D59" s="14" t="s">
        <v>166</v>
      </c>
      <c r="E59" s="32">
        <v>8.33</v>
      </c>
      <c r="F59" s="18" t="s">
        <v>28</v>
      </c>
      <c r="G59" s="3"/>
      <c r="H59" s="78">
        <v>87.5</v>
      </c>
      <c r="I59" s="18" t="s">
        <v>28</v>
      </c>
      <c r="J59" s="233">
        <v>22613612500</v>
      </c>
      <c r="K59" s="32">
        <v>10</v>
      </c>
      <c r="L59" s="18" t="s">
        <v>28</v>
      </c>
      <c r="M59" s="230">
        <v>4521712500</v>
      </c>
      <c r="N59" s="32">
        <v>29.17</v>
      </c>
      <c r="O59" s="18" t="s">
        <v>28</v>
      </c>
      <c r="P59" s="230">
        <v>4344925000</v>
      </c>
      <c r="Q59" s="78">
        <f>12/120*100</f>
        <v>10</v>
      </c>
      <c r="R59" s="18" t="s">
        <v>28</v>
      </c>
      <c r="S59" s="261">
        <v>2493720761</v>
      </c>
      <c r="T59" s="78">
        <f>35/120*100</f>
        <v>29.166666666666668</v>
      </c>
      <c r="U59" s="18" t="s">
        <v>28</v>
      </c>
      <c r="V59" s="261">
        <v>3333688965</v>
      </c>
      <c r="W59" s="58">
        <f t="shared" si="12"/>
        <v>100</v>
      </c>
      <c r="X59" s="18" t="s">
        <v>28</v>
      </c>
      <c r="Y59" s="291">
        <f>S59/M59*100</f>
        <v>55.149918554087641</v>
      </c>
      <c r="Z59" s="58">
        <f t="shared" si="13"/>
        <v>99.988572734544618</v>
      </c>
      <c r="AA59" s="18" t="s">
        <v>28</v>
      </c>
      <c r="AB59" s="291">
        <f>V59/P59*100</f>
        <v>76.726041646288493</v>
      </c>
      <c r="AC59" s="78">
        <f>Q59+T59</f>
        <v>39.166666666666671</v>
      </c>
      <c r="AD59" s="18" t="s">
        <v>28</v>
      </c>
      <c r="AE59" s="245">
        <f t="shared" si="9"/>
        <v>5827409726</v>
      </c>
      <c r="AF59" s="8"/>
      <c r="AG59" s="8"/>
      <c r="AH59" s="8"/>
      <c r="AI59" s="8"/>
      <c r="AJ59" s="126"/>
      <c r="AM59" s="112">
        <f t="shared" si="7"/>
        <v>2493720761</v>
      </c>
    </row>
    <row r="60" spans="1:43" ht="90" x14ac:dyDescent="0.2">
      <c r="A60" s="64"/>
      <c r="B60" s="64"/>
      <c r="C60" s="20"/>
      <c r="D60" s="14" t="s">
        <v>167</v>
      </c>
      <c r="E60" s="32">
        <v>78.69</v>
      </c>
      <c r="F60" s="18" t="s">
        <v>28</v>
      </c>
      <c r="G60" s="5"/>
      <c r="H60" s="78">
        <v>80.19</v>
      </c>
      <c r="I60" s="18" t="s">
        <v>28</v>
      </c>
      <c r="J60" s="50"/>
      <c r="K60" s="32">
        <v>78.989999999999995</v>
      </c>
      <c r="L60" s="18" t="s">
        <v>28</v>
      </c>
      <c r="M60" s="232"/>
      <c r="N60" s="32">
        <v>79.290000000000006</v>
      </c>
      <c r="O60" s="18" t="s">
        <v>28</v>
      </c>
      <c r="P60" s="232"/>
      <c r="Q60" s="78">
        <f>38877/50839*100</f>
        <v>76.470819646334505</v>
      </c>
      <c r="R60" s="18" t="s">
        <v>28</v>
      </c>
      <c r="S60" s="262"/>
      <c r="T60" s="78">
        <f>30988/39232*100</f>
        <v>78.986541598694942</v>
      </c>
      <c r="U60" s="18" t="s">
        <v>28</v>
      </c>
      <c r="V60" s="262"/>
      <c r="W60" s="58">
        <f t="shared" si="12"/>
        <v>96.810760408070024</v>
      </c>
      <c r="X60" s="18" t="s">
        <v>28</v>
      </c>
      <c r="Y60" s="292"/>
      <c r="Z60" s="58">
        <f t="shared" si="13"/>
        <v>99.61728036157767</v>
      </c>
      <c r="AA60" s="18" t="s">
        <v>28</v>
      </c>
      <c r="AB60" s="292"/>
      <c r="AC60" s="78">
        <f>T60</f>
        <v>78.986541598694942</v>
      </c>
      <c r="AD60" s="18" t="s">
        <v>28</v>
      </c>
      <c r="AE60" s="338"/>
      <c r="AF60" s="8"/>
      <c r="AG60" s="8"/>
      <c r="AH60" s="8"/>
      <c r="AI60" s="8"/>
      <c r="AJ60" s="126"/>
      <c r="AM60" s="112">
        <f t="shared" si="7"/>
        <v>0</v>
      </c>
    </row>
    <row r="61" spans="1:43" ht="165" x14ac:dyDescent="0.2">
      <c r="A61" s="64"/>
      <c r="B61" s="64"/>
      <c r="C61" s="101" t="s">
        <v>202</v>
      </c>
      <c r="D61" s="14" t="s">
        <v>203</v>
      </c>
      <c r="E61" s="32"/>
      <c r="F61" s="18" t="s">
        <v>28</v>
      </c>
      <c r="G61" s="3"/>
      <c r="H61" s="96">
        <v>100</v>
      </c>
      <c r="I61" s="18" t="s">
        <v>28</v>
      </c>
      <c r="J61" s="233">
        <v>199893000</v>
      </c>
      <c r="K61" s="78">
        <f>2/11*100</f>
        <v>18.181818181818183</v>
      </c>
      <c r="L61" s="18" t="s">
        <v>28</v>
      </c>
      <c r="M61" s="230">
        <v>63008650</v>
      </c>
      <c r="N61" s="78">
        <f>4/11*100</f>
        <v>36.363636363636367</v>
      </c>
      <c r="O61" s="18" t="s">
        <v>28</v>
      </c>
      <c r="P61" s="230">
        <v>58121000</v>
      </c>
      <c r="Q61" s="78">
        <f>2/11*100</f>
        <v>18.181818181818183</v>
      </c>
      <c r="R61" s="18" t="s">
        <v>28</v>
      </c>
      <c r="S61" s="261">
        <v>62222650</v>
      </c>
      <c r="T61" s="78">
        <f>4/11*100</f>
        <v>36.363636363636367</v>
      </c>
      <c r="U61" s="18" t="s">
        <v>28</v>
      </c>
      <c r="V61" s="261">
        <v>49449000</v>
      </c>
      <c r="W61" s="58">
        <f t="shared" si="12"/>
        <v>100</v>
      </c>
      <c r="X61" s="18" t="s">
        <v>28</v>
      </c>
      <c r="Y61" s="291">
        <f>S61/M61*100</f>
        <v>98.75255222893999</v>
      </c>
      <c r="Z61" s="58">
        <f t="shared" si="13"/>
        <v>100</v>
      </c>
      <c r="AA61" s="18" t="s">
        <v>28</v>
      </c>
      <c r="AB61" s="291">
        <f>V61/P61*100</f>
        <v>85.079403313776439</v>
      </c>
      <c r="AC61" s="78">
        <f t="shared" si="8"/>
        <v>54.545454545454547</v>
      </c>
      <c r="AD61" s="18" t="s">
        <v>28</v>
      </c>
      <c r="AE61" s="245">
        <f t="shared" si="9"/>
        <v>111671650</v>
      </c>
      <c r="AF61" s="8"/>
      <c r="AG61" s="8"/>
      <c r="AH61" s="8"/>
      <c r="AI61" s="8"/>
      <c r="AJ61" s="126"/>
      <c r="AM61" s="112">
        <f t="shared" si="7"/>
        <v>62222650</v>
      </c>
    </row>
    <row r="62" spans="1:43" ht="75" x14ac:dyDescent="0.2">
      <c r="A62" s="64"/>
      <c r="B62" s="64"/>
      <c r="C62" s="20"/>
      <c r="D62" s="14" t="s">
        <v>585</v>
      </c>
      <c r="E62" s="32"/>
      <c r="F62" s="18" t="s">
        <v>28</v>
      </c>
      <c r="G62" s="5"/>
      <c r="H62" s="78">
        <v>80.27</v>
      </c>
      <c r="I62" s="18" t="s">
        <v>28</v>
      </c>
      <c r="J62" s="50"/>
      <c r="K62" s="78">
        <v>60.2</v>
      </c>
      <c r="L62" s="18" t="s">
        <v>28</v>
      </c>
      <c r="M62" s="232"/>
      <c r="N62" s="32">
        <v>65.22</v>
      </c>
      <c r="O62" s="18" t="s">
        <v>28</v>
      </c>
      <c r="P62" s="232"/>
      <c r="Q62" s="78">
        <v>57.14</v>
      </c>
      <c r="R62" s="18" t="s">
        <v>28</v>
      </c>
      <c r="S62" s="262"/>
      <c r="T62" s="78">
        <f>195/322*100</f>
        <v>60.559006211180119</v>
      </c>
      <c r="U62" s="18" t="s">
        <v>28</v>
      </c>
      <c r="V62" s="262"/>
      <c r="W62" s="58">
        <f t="shared" si="12"/>
        <v>94.916943521594675</v>
      </c>
      <c r="X62" s="18" t="s">
        <v>28</v>
      </c>
      <c r="Y62" s="292"/>
      <c r="Z62" s="58">
        <f t="shared" si="13"/>
        <v>92.853428719994042</v>
      </c>
      <c r="AA62" s="18" t="s">
        <v>28</v>
      </c>
      <c r="AB62" s="292"/>
      <c r="AC62" s="78">
        <f t="shared" si="8"/>
        <v>117.69900621118012</v>
      </c>
      <c r="AD62" s="18" t="s">
        <v>28</v>
      </c>
      <c r="AE62" s="338"/>
      <c r="AF62" s="8"/>
      <c r="AG62" s="8"/>
      <c r="AH62" s="8"/>
      <c r="AI62" s="8"/>
      <c r="AJ62" s="126"/>
      <c r="AM62" s="112">
        <f t="shared" si="7"/>
        <v>0</v>
      </c>
    </row>
    <row r="63" spans="1:43" ht="63" x14ac:dyDescent="0.25">
      <c r="A63" s="16"/>
      <c r="B63" s="16"/>
      <c r="C63" s="14"/>
      <c r="D63" s="66" t="s">
        <v>285</v>
      </c>
      <c r="E63" s="273" t="s">
        <v>27</v>
      </c>
      <c r="F63" s="286" t="s">
        <v>126</v>
      </c>
      <c r="G63" s="275"/>
      <c r="H63" s="286" t="s">
        <v>168</v>
      </c>
      <c r="I63" s="286" t="s">
        <v>126</v>
      </c>
      <c r="J63" s="276">
        <f>J64</f>
        <v>212025477000</v>
      </c>
      <c r="K63" s="273" t="s">
        <v>586</v>
      </c>
      <c r="L63" s="286" t="s">
        <v>126</v>
      </c>
      <c r="M63" s="278">
        <f>M64</f>
        <v>41205095400</v>
      </c>
      <c r="N63" s="273" t="s">
        <v>586</v>
      </c>
      <c r="O63" s="286" t="s">
        <v>126</v>
      </c>
      <c r="P63" s="278">
        <f>P64</f>
        <v>6066839660</v>
      </c>
      <c r="Q63" s="273" t="s">
        <v>587</v>
      </c>
      <c r="R63" s="286" t="s">
        <v>126</v>
      </c>
      <c r="S63" s="285">
        <f>S64</f>
        <v>40501178002</v>
      </c>
      <c r="T63" s="273" t="s">
        <v>612</v>
      </c>
      <c r="U63" s="286" t="s">
        <v>126</v>
      </c>
      <c r="V63" s="287">
        <f>V64</f>
        <v>5983165335</v>
      </c>
      <c r="W63" s="288">
        <f>83.6/80.01*100</f>
        <v>104.4869391326084</v>
      </c>
      <c r="X63" s="282" t="s">
        <v>28</v>
      </c>
      <c r="Y63" s="294">
        <f>S63/M63*100</f>
        <v>98.291673903028993</v>
      </c>
      <c r="Z63" s="288">
        <f>77.13/80.01*100</f>
        <v>96.40044994375701</v>
      </c>
      <c r="AA63" s="282" t="s">
        <v>28</v>
      </c>
      <c r="AB63" s="294">
        <f>V63/P63*100</f>
        <v>98.620792213255896</v>
      </c>
      <c r="AC63" s="277" t="str">
        <f>T63</f>
        <v>A (77,13)</v>
      </c>
      <c r="AD63" s="282" t="s">
        <v>126</v>
      </c>
      <c r="AE63" s="374">
        <f t="shared" si="9"/>
        <v>46484343337</v>
      </c>
      <c r="AF63" s="275"/>
      <c r="AG63" s="275"/>
      <c r="AH63" s="275"/>
      <c r="AI63" s="275"/>
      <c r="AJ63" s="108" t="s">
        <v>299</v>
      </c>
      <c r="AM63" s="112">
        <f t="shared" si="7"/>
        <v>40501178002</v>
      </c>
      <c r="AO63" s="390" t="s">
        <v>601</v>
      </c>
      <c r="AP63" s="390" t="s">
        <v>602</v>
      </c>
      <c r="AQ63" s="92" t="s">
        <v>603</v>
      </c>
    </row>
    <row r="64" spans="1:43" ht="135" x14ac:dyDescent="0.2">
      <c r="A64" s="13"/>
      <c r="B64" s="13"/>
      <c r="C64" s="14" t="s">
        <v>169</v>
      </c>
      <c r="D64" s="14" t="s">
        <v>170</v>
      </c>
      <c r="E64" s="32">
        <v>2.86</v>
      </c>
      <c r="F64" s="18" t="s">
        <v>28</v>
      </c>
      <c r="G64" s="8"/>
      <c r="H64" s="32">
        <v>5.71</v>
      </c>
      <c r="I64" s="18" t="s">
        <v>28</v>
      </c>
      <c r="J64" s="9">
        <v>212025477000</v>
      </c>
      <c r="K64" s="32">
        <v>3.57</v>
      </c>
      <c r="L64" s="18" t="s">
        <v>28</v>
      </c>
      <c r="M64" s="10">
        <v>41205095400</v>
      </c>
      <c r="N64" s="32">
        <v>3.93</v>
      </c>
      <c r="O64" s="18" t="s">
        <v>28</v>
      </c>
      <c r="P64" s="10">
        <v>6066839660</v>
      </c>
      <c r="Q64" s="32">
        <v>3.56</v>
      </c>
      <c r="R64" s="18" t="s">
        <v>28</v>
      </c>
      <c r="S64" s="63">
        <v>40501178002</v>
      </c>
      <c r="T64" s="78">
        <f>V64/P64*N64</f>
        <v>3.8757971339809569</v>
      </c>
      <c r="U64" s="18" t="s">
        <v>28</v>
      </c>
      <c r="V64" s="10">
        <v>5983165335</v>
      </c>
      <c r="W64" s="58">
        <f>Q64/K64*100</f>
        <v>99.719887955182074</v>
      </c>
      <c r="X64" s="18" t="s">
        <v>28</v>
      </c>
      <c r="Y64" s="289">
        <f>S64/M64*100</f>
        <v>98.291673903028993</v>
      </c>
      <c r="Z64" s="58">
        <f>T64/N64*100</f>
        <v>98.620792213255896</v>
      </c>
      <c r="AA64" s="18" t="s">
        <v>28</v>
      </c>
      <c r="AB64" s="289">
        <f t="shared" ref="AB64:AB65" si="14">V64/P64*100</f>
        <v>98.620792213255896</v>
      </c>
      <c r="AC64" s="78">
        <f>T64</f>
        <v>3.8757971339809569</v>
      </c>
      <c r="AD64" s="18" t="s">
        <v>28</v>
      </c>
      <c r="AE64" s="338">
        <f t="shared" si="9"/>
        <v>46484343337</v>
      </c>
      <c r="AF64" s="8"/>
      <c r="AG64" s="8"/>
      <c r="AH64" s="8"/>
      <c r="AI64" s="8"/>
      <c r="AJ64" s="126"/>
      <c r="AL64" s="92"/>
      <c r="AM64" s="112">
        <f t="shared" si="7"/>
        <v>40501178002</v>
      </c>
    </row>
    <row r="65" spans="1:39" ht="110.25" x14ac:dyDescent="0.25">
      <c r="A65" s="13"/>
      <c r="B65" s="13"/>
      <c r="C65" s="14"/>
      <c r="D65" s="66" t="s">
        <v>286</v>
      </c>
      <c r="E65" s="273">
        <v>4.3499999999999996</v>
      </c>
      <c r="F65" s="282" t="s">
        <v>28</v>
      </c>
      <c r="G65" s="275"/>
      <c r="H65" s="277">
        <v>17.39</v>
      </c>
      <c r="I65" s="282" t="s">
        <v>28</v>
      </c>
      <c r="J65" s="278">
        <f>SUM(J66:J72)</f>
        <v>676254191993</v>
      </c>
      <c r="K65" s="277">
        <f>1/23*100</f>
        <v>4.3478260869565215</v>
      </c>
      <c r="L65" s="282" t="s">
        <v>28</v>
      </c>
      <c r="M65" s="278">
        <f>SUM(M66:M72)</f>
        <v>140289580093</v>
      </c>
      <c r="N65" s="277">
        <f>1/23*100</f>
        <v>4.3478260869565215</v>
      </c>
      <c r="O65" s="282" t="s">
        <v>28</v>
      </c>
      <c r="P65" s="278">
        <f>SUM(P66:P72)</f>
        <v>145423442502</v>
      </c>
      <c r="Q65" s="277">
        <f>1/23*100</f>
        <v>4.3478260869565215</v>
      </c>
      <c r="R65" s="282" t="s">
        <v>28</v>
      </c>
      <c r="S65" s="278">
        <f>SUM(S66:S72)</f>
        <v>137117573360</v>
      </c>
      <c r="T65" s="277">
        <f>0/23*100</f>
        <v>0</v>
      </c>
      <c r="U65" s="282" t="s">
        <v>28</v>
      </c>
      <c r="V65" s="278">
        <f>SUM(V66:V72)</f>
        <v>135415855188</v>
      </c>
      <c r="W65" s="288">
        <f>Q65/K65*100</f>
        <v>100</v>
      </c>
      <c r="X65" s="282" t="s">
        <v>28</v>
      </c>
      <c r="Y65" s="294">
        <f t="shared" ref="Y65" si="15">S65/M65*100</f>
        <v>97.738957710973807</v>
      </c>
      <c r="Z65" s="311">
        <f>T65/N65*100</f>
        <v>0</v>
      </c>
      <c r="AA65" s="282" t="s">
        <v>28</v>
      </c>
      <c r="AB65" s="294">
        <f t="shared" si="14"/>
        <v>93.118312191060696</v>
      </c>
      <c r="AC65" s="277">
        <f t="shared" ref="AC65:AC71" si="16">T65</f>
        <v>0</v>
      </c>
      <c r="AD65" s="282" t="s">
        <v>28</v>
      </c>
      <c r="AE65" s="374">
        <f t="shared" si="9"/>
        <v>272533428548</v>
      </c>
      <c r="AF65" s="275"/>
      <c r="AG65" s="275"/>
      <c r="AH65" s="275"/>
      <c r="AI65" s="275"/>
      <c r="AJ65" s="126"/>
      <c r="AM65" s="112">
        <f t="shared" si="7"/>
        <v>137117573360</v>
      </c>
    </row>
    <row r="66" spans="1:39" ht="75" x14ac:dyDescent="0.2">
      <c r="A66" s="64"/>
      <c r="B66" s="64"/>
      <c r="C66" s="101" t="s">
        <v>99</v>
      </c>
      <c r="D66" s="14" t="s">
        <v>142</v>
      </c>
      <c r="E66" s="32">
        <v>4.3499999999999996</v>
      </c>
      <c r="F66" s="18" t="s">
        <v>28</v>
      </c>
      <c r="G66" s="3"/>
      <c r="H66" s="78">
        <v>17.39</v>
      </c>
      <c r="I66" s="18" t="s">
        <v>28</v>
      </c>
      <c r="J66" s="233">
        <v>76793868565</v>
      </c>
      <c r="K66" s="78">
        <f>1/23*100</f>
        <v>4.3478260869565215</v>
      </c>
      <c r="L66" s="18" t="s">
        <v>28</v>
      </c>
      <c r="M66" s="230">
        <v>15705754663</v>
      </c>
      <c r="N66" s="78">
        <f>1/23*100</f>
        <v>4.3478260869565215</v>
      </c>
      <c r="O66" s="18" t="s">
        <v>28</v>
      </c>
      <c r="P66" s="230">
        <v>11408010846</v>
      </c>
      <c r="Q66" s="78">
        <f>1/23*100</f>
        <v>4.3478260869565215</v>
      </c>
      <c r="R66" s="18" t="s">
        <v>28</v>
      </c>
      <c r="S66" s="230">
        <v>14642159364</v>
      </c>
      <c r="T66" s="78">
        <f>0/23*100</f>
        <v>0</v>
      </c>
      <c r="U66" s="18" t="s">
        <v>28</v>
      </c>
      <c r="V66" s="230">
        <v>7205230315</v>
      </c>
      <c r="W66" s="58">
        <f>Q66/K66*100</f>
        <v>100</v>
      </c>
      <c r="X66" s="18" t="s">
        <v>28</v>
      </c>
      <c r="Y66" s="291">
        <f>S66/M66*100</f>
        <v>93.22798985580971</v>
      </c>
      <c r="Z66" s="93">
        <f>T66/N66*100</f>
        <v>0</v>
      </c>
      <c r="AA66" s="18" t="s">
        <v>28</v>
      </c>
      <c r="AB66" s="291">
        <f>V66/P66*100</f>
        <v>63.15939222240813</v>
      </c>
      <c r="AC66" s="78">
        <f t="shared" si="16"/>
        <v>0</v>
      </c>
      <c r="AD66" s="18" t="s">
        <v>28</v>
      </c>
      <c r="AE66" s="245">
        <f t="shared" si="9"/>
        <v>21847389679</v>
      </c>
      <c r="AF66" s="8"/>
      <c r="AG66" s="8"/>
      <c r="AH66" s="8"/>
      <c r="AI66" s="8"/>
      <c r="AJ66" s="108" t="s">
        <v>530</v>
      </c>
      <c r="AM66" s="112">
        <f t="shared" si="7"/>
        <v>14642159364</v>
      </c>
    </row>
    <row r="67" spans="1:39" ht="45" x14ac:dyDescent="0.2">
      <c r="A67" s="64"/>
      <c r="B67" s="64"/>
      <c r="C67" s="20"/>
      <c r="D67" s="14" t="s">
        <v>171</v>
      </c>
      <c r="E67" s="32">
        <v>79.87</v>
      </c>
      <c r="F67" s="18" t="s">
        <v>26</v>
      </c>
      <c r="G67" s="5"/>
      <c r="H67" s="96">
        <v>82</v>
      </c>
      <c r="I67" s="18" t="s">
        <v>26</v>
      </c>
      <c r="J67" s="50"/>
      <c r="K67" s="96">
        <v>82</v>
      </c>
      <c r="L67" s="18" t="s">
        <v>26</v>
      </c>
      <c r="M67" s="232"/>
      <c r="N67" s="96">
        <v>82</v>
      </c>
      <c r="O67" s="18" t="s">
        <v>26</v>
      </c>
      <c r="P67" s="232"/>
      <c r="Q67" s="32">
        <v>80.92</v>
      </c>
      <c r="R67" s="18" t="s">
        <v>26</v>
      </c>
      <c r="S67" s="232"/>
      <c r="T67" s="78">
        <v>90.995000000000005</v>
      </c>
      <c r="U67" s="18" t="s">
        <v>26</v>
      </c>
      <c r="V67" s="232"/>
      <c r="W67" s="58">
        <f>Q67/K67*100</f>
        <v>98.682926829268297</v>
      </c>
      <c r="X67" s="18" t="s">
        <v>28</v>
      </c>
      <c r="Y67" s="292"/>
      <c r="Z67" s="93">
        <f>T67/N67*100</f>
        <v>110.96951219512196</v>
      </c>
      <c r="AA67" s="18" t="s">
        <v>28</v>
      </c>
      <c r="AB67" s="292"/>
      <c r="AC67" s="78">
        <f t="shared" si="16"/>
        <v>90.995000000000005</v>
      </c>
      <c r="AD67" s="18" t="s">
        <v>26</v>
      </c>
      <c r="AE67" s="338"/>
      <c r="AF67" s="8"/>
      <c r="AG67" s="8"/>
      <c r="AH67" s="8"/>
      <c r="AI67" s="8"/>
      <c r="AJ67" s="126"/>
      <c r="AM67" s="112">
        <f t="shared" si="7"/>
        <v>0</v>
      </c>
    </row>
    <row r="68" spans="1:39" ht="105" x14ac:dyDescent="0.2">
      <c r="A68" s="64"/>
      <c r="B68" s="64"/>
      <c r="C68" s="101" t="s">
        <v>100</v>
      </c>
      <c r="D68" s="14" t="s">
        <v>172</v>
      </c>
      <c r="E68" s="32">
        <v>4.3499999999999996</v>
      </c>
      <c r="F68" s="18" t="s">
        <v>28</v>
      </c>
      <c r="G68" s="3"/>
      <c r="H68" s="78">
        <v>17.79</v>
      </c>
      <c r="I68" s="18" t="s">
        <v>28</v>
      </c>
      <c r="J68" s="233">
        <v>163953776220</v>
      </c>
      <c r="K68" s="32">
        <v>4.3499999999999996</v>
      </c>
      <c r="L68" s="18" t="s">
        <v>28</v>
      </c>
      <c r="M68" s="230">
        <v>27962802888</v>
      </c>
      <c r="N68" s="32">
        <v>4.3499999999999996</v>
      </c>
      <c r="O68" s="18" t="s">
        <v>28</v>
      </c>
      <c r="P68" s="230">
        <v>31919037475</v>
      </c>
      <c r="Q68" s="32">
        <v>4.3499999999999996</v>
      </c>
      <c r="R68" s="18" t="s">
        <v>28</v>
      </c>
      <c r="S68" s="261">
        <v>27556920372</v>
      </c>
      <c r="T68" s="32">
        <v>0</v>
      </c>
      <c r="U68" s="18" t="s">
        <v>28</v>
      </c>
      <c r="V68" s="230">
        <v>26114230692</v>
      </c>
      <c r="W68" s="58">
        <f>Q68/K68*100</f>
        <v>100</v>
      </c>
      <c r="X68" s="18" t="s">
        <v>28</v>
      </c>
      <c r="Y68" s="291">
        <f>S68/M68*100</f>
        <v>98.548491302443139</v>
      </c>
      <c r="Z68" s="93">
        <f>T68/N68*100</f>
        <v>0</v>
      </c>
      <c r="AA68" s="18" t="s">
        <v>28</v>
      </c>
      <c r="AB68" s="291">
        <f>V68/P68*100</f>
        <v>81.813966703894152</v>
      </c>
      <c r="AC68" s="78">
        <f t="shared" si="16"/>
        <v>0</v>
      </c>
      <c r="AD68" s="18" t="s">
        <v>28</v>
      </c>
      <c r="AE68" s="245">
        <f t="shared" si="9"/>
        <v>53671151064</v>
      </c>
      <c r="AF68" s="8"/>
      <c r="AG68" s="8"/>
      <c r="AH68" s="8"/>
      <c r="AI68" s="8"/>
      <c r="AJ68" s="181" t="s">
        <v>297</v>
      </c>
      <c r="AM68" s="112">
        <f t="shared" si="7"/>
        <v>27556920372</v>
      </c>
    </row>
    <row r="69" spans="1:39" ht="45" x14ac:dyDescent="0.2">
      <c r="A69" s="64"/>
      <c r="B69" s="64"/>
      <c r="C69" s="20"/>
      <c r="D69" s="14" t="s">
        <v>171</v>
      </c>
      <c r="E69" s="32">
        <v>79.87</v>
      </c>
      <c r="F69" s="18" t="s">
        <v>26</v>
      </c>
      <c r="G69" s="5"/>
      <c r="H69" s="78">
        <v>82</v>
      </c>
      <c r="I69" s="18" t="s">
        <v>26</v>
      </c>
      <c r="J69" s="50"/>
      <c r="K69" s="78">
        <v>82</v>
      </c>
      <c r="L69" s="18" t="s">
        <v>26</v>
      </c>
      <c r="M69" s="232"/>
      <c r="N69" s="78">
        <v>82</v>
      </c>
      <c r="O69" s="18" t="s">
        <v>26</v>
      </c>
      <c r="P69" s="232"/>
      <c r="Q69" s="32">
        <v>80.92</v>
      </c>
      <c r="R69" s="18" t="s">
        <v>26</v>
      </c>
      <c r="S69" s="232"/>
      <c r="T69" s="32">
        <v>81.22</v>
      </c>
      <c r="U69" s="18" t="s">
        <v>26</v>
      </c>
      <c r="V69" s="232"/>
      <c r="W69" s="58">
        <f t="shared" si="10"/>
        <v>98.682926829268297</v>
      </c>
      <c r="X69" s="18" t="s">
        <v>28</v>
      </c>
      <c r="Y69" s="292"/>
      <c r="Z69" s="58">
        <f t="shared" ref="Z69" si="17">T69/N69*100</f>
        <v>99.048780487804876</v>
      </c>
      <c r="AA69" s="18" t="s">
        <v>28</v>
      </c>
      <c r="AB69" s="292"/>
      <c r="AC69" s="78">
        <f t="shared" si="16"/>
        <v>81.22</v>
      </c>
      <c r="AD69" s="18" t="s">
        <v>26</v>
      </c>
      <c r="AE69" s="338"/>
      <c r="AF69" s="8"/>
      <c r="AG69" s="8"/>
      <c r="AH69" s="8"/>
      <c r="AI69" s="8"/>
      <c r="AJ69" s="126"/>
      <c r="AM69" s="112">
        <f t="shared" si="7"/>
        <v>0</v>
      </c>
    </row>
    <row r="70" spans="1:39" ht="75" x14ac:dyDescent="0.2">
      <c r="A70" s="13"/>
      <c r="B70" s="13"/>
      <c r="C70" s="101" t="s">
        <v>80</v>
      </c>
      <c r="D70" s="14" t="s">
        <v>588</v>
      </c>
      <c r="E70" s="78">
        <v>55</v>
      </c>
      <c r="F70" s="18" t="s">
        <v>28</v>
      </c>
      <c r="G70" s="3"/>
      <c r="H70" s="78">
        <v>85</v>
      </c>
      <c r="I70" s="18" t="s">
        <v>28</v>
      </c>
      <c r="J70" s="233">
        <v>435506547208</v>
      </c>
      <c r="K70" s="78">
        <v>66.900000000000006</v>
      </c>
      <c r="L70" s="18" t="s">
        <v>28</v>
      </c>
      <c r="M70" s="230">
        <v>96621022542</v>
      </c>
      <c r="N70" s="78">
        <v>75.599999999999994</v>
      </c>
      <c r="O70" s="18" t="s">
        <v>28</v>
      </c>
      <c r="P70" s="230">
        <v>102096394181</v>
      </c>
      <c r="Q70" s="78">
        <v>83.6</v>
      </c>
      <c r="R70" s="18" t="s">
        <v>28</v>
      </c>
      <c r="S70" s="230">
        <v>94918493624</v>
      </c>
      <c r="T70" s="78">
        <v>77.13</v>
      </c>
      <c r="U70" s="18" t="s">
        <v>28</v>
      </c>
      <c r="V70" s="230">
        <v>102096394181</v>
      </c>
      <c r="W70" s="58">
        <f>Q70/K70*100</f>
        <v>124.96263079222717</v>
      </c>
      <c r="X70" s="18" t="s">
        <v>28</v>
      </c>
      <c r="Y70" s="291">
        <f>S70/M70*100</f>
        <v>98.237931173560156</v>
      </c>
      <c r="Z70" s="58">
        <f>T70/N70*100</f>
        <v>102.02380952380952</v>
      </c>
      <c r="AA70" s="18" t="s">
        <v>28</v>
      </c>
      <c r="AB70" s="291">
        <f>V70/P70*100</f>
        <v>100</v>
      </c>
      <c r="AC70" s="78">
        <f t="shared" si="16"/>
        <v>77.13</v>
      </c>
      <c r="AD70" s="18" t="s">
        <v>28</v>
      </c>
      <c r="AE70" s="245">
        <f>S70+V70</f>
        <v>197014887805</v>
      </c>
      <c r="AF70" s="8"/>
      <c r="AG70" s="8"/>
      <c r="AH70" s="8"/>
      <c r="AI70" s="8"/>
      <c r="AJ70" s="181" t="s">
        <v>299</v>
      </c>
      <c r="AM70" s="112">
        <f t="shared" si="7"/>
        <v>94918493624</v>
      </c>
    </row>
    <row r="71" spans="1:39" ht="60" x14ac:dyDescent="0.2">
      <c r="A71" s="64"/>
      <c r="B71" s="64"/>
      <c r="C71" s="25"/>
      <c r="D71" s="265" t="s">
        <v>589</v>
      </c>
      <c r="E71" s="78">
        <v>68</v>
      </c>
      <c r="F71" s="18" t="s">
        <v>28</v>
      </c>
      <c r="G71" s="4"/>
      <c r="H71" s="78">
        <v>78.930000000000007</v>
      </c>
      <c r="I71" s="18" t="s">
        <v>28</v>
      </c>
      <c r="J71" s="229"/>
      <c r="K71" s="78">
        <v>72.03</v>
      </c>
      <c r="L71" s="18" t="s">
        <v>28</v>
      </c>
      <c r="M71" s="231"/>
      <c r="N71" s="78"/>
      <c r="O71" s="18"/>
      <c r="P71" s="231"/>
      <c r="Q71" s="184">
        <v>65.400000000000006</v>
      </c>
      <c r="R71" s="18" t="s">
        <v>28</v>
      </c>
      <c r="S71" s="231"/>
      <c r="T71" s="184"/>
      <c r="U71" s="18"/>
      <c r="V71" s="231"/>
      <c r="W71" s="58">
        <f>Q71/K71*100</f>
        <v>90.795501874219084</v>
      </c>
      <c r="X71" s="18" t="s">
        <v>28</v>
      </c>
      <c r="Y71" s="297"/>
      <c r="Z71" s="58"/>
      <c r="AA71" s="18"/>
      <c r="AB71" s="297"/>
      <c r="AC71" s="78">
        <f t="shared" si="16"/>
        <v>0</v>
      </c>
      <c r="AD71" s="18" t="s">
        <v>28</v>
      </c>
      <c r="AE71" s="377"/>
      <c r="AF71" s="8"/>
      <c r="AG71" s="8"/>
      <c r="AH71" s="8"/>
      <c r="AI71" s="8"/>
      <c r="AJ71" s="126"/>
      <c r="AM71" s="112">
        <f t="shared" si="7"/>
        <v>0</v>
      </c>
    </row>
    <row r="72" spans="1:39" ht="75" x14ac:dyDescent="0.2">
      <c r="A72" s="64"/>
      <c r="B72" s="64"/>
      <c r="C72" s="20"/>
      <c r="D72" s="14" t="s">
        <v>590</v>
      </c>
      <c r="E72" s="78">
        <v>80</v>
      </c>
      <c r="F72" s="18" t="s">
        <v>28</v>
      </c>
      <c r="G72" s="5"/>
      <c r="H72" s="78">
        <v>82</v>
      </c>
      <c r="I72" s="18" t="s">
        <v>28</v>
      </c>
      <c r="J72" s="50"/>
      <c r="K72" s="78">
        <v>80.5</v>
      </c>
      <c r="L72" s="18" t="s">
        <v>28</v>
      </c>
      <c r="M72" s="232"/>
      <c r="N72" s="78">
        <v>80.75</v>
      </c>
      <c r="O72" s="18" t="s">
        <v>28</v>
      </c>
      <c r="P72" s="232"/>
      <c r="Q72" s="184">
        <v>75</v>
      </c>
      <c r="R72" s="18" t="s">
        <v>28</v>
      </c>
      <c r="S72" s="232"/>
      <c r="T72" s="184">
        <v>0</v>
      </c>
      <c r="U72" s="18" t="s">
        <v>28</v>
      </c>
      <c r="V72" s="232"/>
      <c r="W72" s="58">
        <f>Q72/K72*100</f>
        <v>93.16770186335404</v>
      </c>
      <c r="X72" s="18" t="s">
        <v>28</v>
      </c>
      <c r="Y72" s="292"/>
      <c r="Z72" s="58">
        <f>T72/N72*100</f>
        <v>0</v>
      </c>
      <c r="AA72" s="18" t="s">
        <v>28</v>
      </c>
      <c r="AB72" s="292"/>
      <c r="AC72" s="78">
        <f>T72</f>
        <v>0</v>
      </c>
      <c r="AD72" s="18" t="s">
        <v>28</v>
      </c>
      <c r="AE72" s="338"/>
      <c r="AF72" s="8"/>
      <c r="AG72" s="8"/>
      <c r="AH72" s="8"/>
      <c r="AI72" s="8"/>
      <c r="AJ72" s="126"/>
      <c r="AM72" s="112">
        <f t="shared" si="7"/>
        <v>0</v>
      </c>
    </row>
    <row r="73" spans="1:39" ht="15" x14ac:dyDescent="0.2">
      <c r="A73" s="446" t="s">
        <v>5</v>
      </c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121">
        <f>AVERAGE(W48:W72)</f>
        <v>105.87396821812735</v>
      </c>
      <c r="X73" s="122"/>
      <c r="Y73" s="121"/>
      <c r="Z73" s="121">
        <f>AVERAGE(Z48:Z72)</f>
        <v>81.531945932329805</v>
      </c>
      <c r="AA73" s="102"/>
      <c r="AB73" s="102"/>
      <c r="AC73" s="102"/>
      <c r="AD73" s="102"/>
      <c r="AE73" s="102"/>
      <c r="AF73" s="102"/>
      <c r="AG73" s="102"/>
      <c r="AH73" s="102"/>
      <c r="AI73" s="102"/>
      <c r="AJ73" s="126"/>
      <c r="AM73" s="112"/>
    </row>
    <row r="74" spans="1:39" ht="15" x14ac:dyDescent="0.2">
      <c r="A74" s="446" t="s">
        <v>6</v>
      </c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195" t="str">
        <f>IF(W73&gt;=91,"Sangat Tinggi",IF(W73&gt;=76,"Tinggi",IF(W73&gt;=66,"Sedang",IF(W73&gt;=51,"Rendah",IF(W73&lt;=50,"Sangat Rendah")))))</f>
        <v>Sangat Tinggi</v>
      </c>
      <c r="X74" s="122"/>
      <c r="Y74" s="102"/>
      <c r="Z74" s="195" t="str">
        <f>IF(Z73&gt;=91,"Sangat Tinggi",IF(Z73&gt;=76,"Tinggi",IF(Z73&gt;=66,"Sedang",IF(Z73&gt;=51,"Rendah",IF(Z73&lt;=50,"Sangat Rendah")))))</f>
        <v>Tinggi</v>
      </c>
      <c r="AA74" s="102"/>
      <c r="AB74" s="102"/>
      <c r="AC74" s="102"/>
      <c r="AD74" s="102"/>
      <c r="AE74" s="102"/>
      <c r="AF74" s="102"/>
      <c r="AG74" s="102"/>
      <c r="AH74" s="102"/>
      <c r="AI74" s="102"/>
      <c r="AJ74" s="126"/>
      <c r="AM74" s="112"/>
    </row>
    <row r="75" spans="1:39" ht="15" x14ac:dyDescent="0.2">
      <c r="A75" s="429" t="s">
        <v>7</v>
      </c>
      <c r="B75" s="429"/>
      <c r="C75" s="429"/>
      <c r="D75" s="429"/>
      <c r="E75" s="429"/>
      <c r="F75" s="429"/>
      <c r="G75" s="429"/>
      <c r="H75" s="429"/>
      <c r="I75" s="429"/>
      <c r="J75" s="429"/>
      <c r="K75" s="429"/>
      <c r="L75" s="429"/>
      <c r="M75" s="429"/>
      <c r="N75" s="429"/>
      <c r="O75" s="429"/>
      <c r="P75" s="429"/>
      <c r="Q75" s="429"/>
      <c r="R75" s="429"/>
      <c r="S75" s="429"/>
      <c r="T75" s="429"/>
      <c r="U75" s="429"/>
      <c r="V75" s="429"/>
      <c r="W75" s="429"/>
      <c r="X75" s="429"/>
      <c r="Y75" s="429"/>
      <c r="Z75" s="429"/>
      <c r="AA75" s="429"/>
      <c r="AB75" s="429"/>
      <c r="AC75" s="429"/>
      <c r="AD75" s="429"/>
      <c r="AE75" s="429"/>
      <c r="AF75" s="429"/>
      <c r="AG75" s="429"/>
      <c r="AH75" s="429"/>
      <c r="AI75" s="429"/>
      <c r="AJ75" s="126"/>
      <c r="AM75" s="112"/>
    </row>
    <row r="76" spans="1:39" ht="15" x14ac:dyDescent="0.2">
      <c r="A76" s="429" t="s">
        <v>8</v>
      </c>
      <c r="B76" s="429"/>
      <c r="C76" s="429"/>
      <c r="D76" s="429"/>
      <c r="E76" s="429"/>
      <c r="F76" s="429"/>
      <c r="G76" s="429"/>
      <c r="H76" s="429"/>
      <c r="I76" s="429"/>
      <c r="J76" s="429"/>
      <c r="K76" s="429"/>
      <c r="L76" s="429"/>
      <c r="M76" s="429"/>
      <c r="N76" s="429"/>
      <c r="O76" s="429"/>
      <c r="P76" s="429"/>
      <c r="Q76" s="429"/>
      <c r="R76" s="429"/>
      <c r="S76" s="429"/>
      <c r="T76" s="429"/>
      <c r="U76" s="429"/>
      <c r="V76" s="429"/>
      <c r="W76" s="429"/>
      <c r="X76" s="429"/>
      <c r="Y76" s="429"/>
      <c r="Z76" s="429"/>
      <c r="AA76" s="429"/>
      <c r="AB76" s="429"/>
      <c r="AC76" s="429"/>
      <c r="AD76" s="429"/>
      <c r="AE76" s="429"/>
      <c r="AF76" s="429"/>
      <c r="AG76" s="429"/>
      <c r="AH76" s="429"/>
      <c r="AI76" s="429"/>
      <c r="AJ76" s="126"/>
      <c r="AM76" s="112"/>
    </row>
    <row r="77" spans="1:39" ht="15" x14ac:dyDescent="0.2">
      <c r="A77" s="429" t="s">
        <v>9</v>
      </c>
      <c r="B77" s="429"/>
      <c r="C77" s="429"/>
      <c r="D77" s="429"/>
      <c r="E77" s="429"/>
      <c r="F77" s="429"/>
      <c r="G77" s="429"/>
      <c r="H77" s="429"/>
      <c r="I77" s="429"/>
      <c r="J77" s="429"/>
      <c r="K77" s="429"/>
      <c r="L77" s="429"/>
      <c r="M77" s="429"/>
      <c r="N77" s="429"/>
      <c r="O77" s="429"/>
      <c r="P77" s="429"/>
      <c r="Q77" s="429"/>
      <c r="R77" s="429"/>
      <c r="S77" s="429"/>
      <c r="T77" s="429"/>
      <c r="U77" s="429"/>
      <c r="V77" s="429"/>
      <c r="W77" s="429"/>
      <c r="X77" s="429"/>
      <c r="Y77" s="429"/>
      <c r="Z77" s="429"/>
      <c r="AA77" s="429"/>
      <c r="AB77" s="429"/>
      <c r="AC77" s="429"/>
      <c r="AD77" s="429"/>
      <c r="AE77" s="429"/>
      <c r="AF77" s="429"/>
      <c r="AG77" s="429"/>
      <c r="AH77" s="429"/>
      <c r="AI77" s="429"/>
      <c r="AJ77" s="126"/>
      <c r="AM77" s="112"/>
    </row>
    <row r="78" spans="1:39" ht="15" x14ac:dyDescent="0.2">
      <c r="A78" s="429" t="s">
        <v>10</v>
      </c>
      <c r="B78" s="429"/>
      <c r="C78" s="429"/>
      <c r="D78" s="429"/>
      <c r="E78" s="429"/>
      <c r="F78" s="429"/>
      <c r="G78" s="429"/>
      <c r="H78" s="429"/>
      <c r="I78" s="429"/>
      <c r="J78" s="429"/>
      <c r="K78" s="429"/>
      <c r="L78" s="429"/>
      <c r="M78" s="429"/>
      <c r="N78" s="429"/>
      <c r="O78" s="429"/>
      <c r="P78" s="429"/>
      <c r="Q78" s="429"/>
      <c r="R78" s="429"/>
      <c r="S78" s="429"/>
      <c r="T78" s="429"/>
      <c r="U78" s="429"/>
      <c r="V78" s="429"/>
      <c r="W78" s="429"/>
      <c r="X78" s="429"/>
      <c r="Y78" s="429"/>
      <c r="Z78" s="429"/>
      <c r="AA78" s="429"/>
      <c r="AB78" s="429"/>
      <c r="AC78" s="429"/>
      <c r="AD78" s="429"/>
      <c r="AE78" s="429"/>
      <c r="AF78" s="429"/>
      <c r="AG78" s="429"/>
      <c r="AH78" s="429"/>
      <c r="AI78" s="429"/>
      <c r="AJ78" s="127"/>
      <c r="AM78" s="112"/>
    </row>
    <row r="79" spans="1:39" ht="15" x14ac:dyDescent="0.2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243"/>
      <c r="AM79" s="112"/>
    </row>
    <row r="80" spans="1:39" ht="15" x14ac:dyDescent="0.2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M80" s="112"/>
    </row>
    <row r="81" spans="1:42" ht="15" x14ac:dyDescent="0.2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M81" s="112"/>
    </row>
    <row r="82" spans="1:42" ht="68.25" customHeight="1" x14ac:dyDescent="0.2">
      <c r="A82" s="444" t="s">
        <v>0</v>
      </c>
      <c r="B82" s="444" t="s">
        <v>272</v>
      </c>
      <c r="C82" s="445" t="s">
        <v>1</v>
      </c>
      <c r="D82" s="445" t="s">
        <v>327</v>
      </c>
      <c r="E82" s="435" t="s">
        <v>21</v>
      </c>
      <c r="F82" s="436"/>
      <c r="G82" s="437"/>
      <c r="H82" s="435" t="s">
        <v>20</v>
      </c>
      <c r="I82" s="436"/>
      <c r="J82" s="437"/>
      <c r="K82" s="412" t="s">
        <v>582</v>
      </c>
      <c r="L82" s="413"/>
      <c r="M82" s="413"/>
      <c r="N82" s="413"/>
      <c r="O82" s="413"/>
      <c r="P82" s="414"/>
      <c r="Q82" s="412" t="s">
        <v>583</v>
      </c>
      <c r="R82" s="413"/>
      <c r="S82" s="413"/>
      <c r="T82" s="413"/>
      <c r="U82" s="413"/>
      <c r="V82" s="413"/>
      <c r="W82" s="412" t="s">
        <v>584</v>
      </c>
      <c r="X82" s="413"/>
      <c r="Y82" s="413"/>
      <c r="Z82" s="413"/>
      <c r="AA82" s="413"/>
      <c r="AB82" s="413"/>
      <c r="AC82" s="412" t="s">
        <v>19</v>
      </c>
      <c r="AD82" s="413"/>
      <c r="AE82" s="414"/>
      <c r="AF82" s="412" t="s">
        <v>4</v>
      </c>
      <c r="AG82" s="413"/>
      <c r="AH82" s="413"/>
      <c r="AI82" s="414"/>
      <c r="AJ82" s="433" t="s">
        <v>294</v>
      </c>
      <c r="AL82" s="62"/>
      <c r="AM82" s="112"/>
      <c r="AN82" s="62"/>
      <c r="AO82" s="62"/>
      <c r="AP82" s="62"/>
    </row>
    <row r="83" spans="1:42" ht="18" customHeight="1" x14ac:dyDescent="0.2">
      <c r="A83" s="444"/>
      <c r="B83" s="444"/>
      <c r="C83" s="445"/>
      <c r="D83" s="445"/>
      <c r="E83" s="438"/>
      <c r="F83" s="439"/>
      <c r="G83" s="440"/>
      <c r="H83" s="438"/>
      <c r="I83" s="439"/>
      <c r="J83" s="440"/>
      <c r="K83" s="415"/>
      <c r="L83" s="416"/>
      <c r="M83" s="416"/>
      <c r="N83" s="416"/>
      <c r="O83" s="416"/>
      <c r="P83" s="417"/>
      <c r="Q83" s="415"/>
      <c r="R83" s="416"/>
      <c r="S83" s="416"/>
      <c r="T83" s="416"/>
      <c r="U83" s="416"/>
      <c r="V83" s="416"/>
      <c r="W83" s="415"/>
      <c r="X83" s="416"/>
      <c r="Y83" s="416"/>
      <c r="Z83" s="416"/>
      <c r="AA83" s="416"/>
      <c r="AB83" s="416"/>
      <c r="AC83" s="430"/>
      <c r="AD83" s="431"/>
      <c r="AE83" s="432"/>
      <c r="AF83" s="430"/>
      <c r="AG83" s="431"/>
      <c r="AH83" s="431"/>
      <c r="AI83" s="432"/>
      <c r="AJ83" s="434"/>
      <c r="AM83" s="112"/>
    </row>
    <row r="84" spans="1:42" ht="15.75" customHeight="1" x14ac:dyDescent="0.2">
      <c r="A84" s="444"/>
      <c r="B84" s="444"/>
      <c r="C84" s="445"/>
      <c r="D84" s="445"/>
      <c r="E84" s="441"/>
      <c r="F84" s="442"/>
      <c r="G84" s="443"/>
      <c r="H84" s="441"/>
      <c r="I84" s="442"/>
      <c r="J84" s="443"/>
      <c r="K84" s="398" t="s">
        <v>580</v>
      </c>
      <c r="L84" s="399"/>
      <c r="M84" s="400"/>
      <c r="N84" s="398" t="s">
        <v>581</v>
      </c>
      <c r="O84" s="399"/>
      <c r="P84" s="400"/>
      <c r="Q84" s="398" t="s">
        <v>580</v>
      </c>
      <c r="R84" s="399"/>
      <c r="S84" s="400"/>
      <c r="T84" s="398" t="s">
        <v>581</v>
      </c>
      <c r="U84" s="399"/>
      <c r="V84" s="400"/>
      <c r="W84" s="398" t="s">
        <v>580</v>
      </c>
      <c r="X84" s="399"/>
      <c r="Y84" s="400"/>
      <c r="Z84" s="398" t="s">
        <v>581</v>
      </c>
      <c r="AA84" s="399"/>
      <c r="AB84" s="400"/>
      <c r="AC84" s="415"/>
      <c r="AD84" s="416"/>
      <c r="AE84" s="417"/>
      <c r="AF84" s="415"/>
      <c r="AG84" s="416"/>
      <c r="AH84" s="416"/>
      <c r="AI84" s="417"/>
      <c r="AJ84" s="128"/>
      <c r="AM84" s="112"/>
    </row>
    <row r="85" spans="1:42" ht="15.75" x14ac:dyDescent="0.25">
      <c r="A85" s="411">
        <v>1</v>
      </c>
      <c r="B85" s="411">
        <v>2</v>
      </c>
      <c r="C85" s="411">
        <v>3</v>
      </c>
      <c r="D85" s="411">
        <v>4</v>
      </c>
      <c r="E85" s="420">
        <v>5</v>
      </c>
      <c r="F85" s="421"/>
      <c r="G85" s="422"/>
      <c r="H85" s="420">
        <v>6</v>
      </c>
      <c r="I85" s="421"/>
      <c r="J85" s="422"/>
      <c r="K85" s="401">
        <v>7</v>
      </c>
      <c r="L85" s="402"/>
      <c r="M85" s="403"/>
      <c r="N85" s="401">
        <v>8</v>
      </c>
      <c r="O85" s="402"/>
      <c r="P85" s="403"/>
      <c r="Q85" s="401">
        <v>12</v>
      </c>
      <c r="R85" s="402"/>
      <c r="S85" s="403"/>
      <c r="T85" s="401">
        <v>13</v>
      </c>
      <c r="U85" s="402"/>
      <c r="V85" s="403"/>
      <c r="W85" s="395">
        <v>17</v>
      </c>
      <c r="X85" s="396"/>
      <c r="Y85" s="397"/>
      <c r="Z85" s="395">
        <v>18</v>
      </c>
      <c r="AA85" s="396"/>
      <c r="AB85" s="397"/>
      <c r="AC85" s="395">
        <v>22</v>
      </c>
      <c r="AD85" s="396"/>
      <c r="AE85" s="397"/>
      <c r="AF85" s="395">
        <v>23</v>
      </c>
      <c r="AG85" s="396"/>
      <c r="AH85" s="396"/>
      <c r="AI85" s="397"/>
      <c r="AJ85" s="129"/>
      <c r="AM85" s="112"/>
    </row>
    <row r="86" spans="1:42" ht="87" customHeight="1" x14ac:dyDescent="0.2">
      <c r="A86" s="419"/>
      <c r="B86" s="419"/>
      <c r="C86" s="419"/>
      <c r="D86" s="419"/>
      <c r="E86" s="404" t="s">
        <v>2</v>
      </c>
      <c r="F86" s="405"/>
      <c r="G86" s="408" t="s">
        <v>3</v>
      </c>
      <c r="H86" s="404" t="s">
        <v>2</v>
      </c>
      <c r="I86" s="405"/>
      <c r="J86" s="408" t="s">
        <v>3</v>
      </c>
      <c r="K86" s="404" t="s">
        <v>2</v>
      </c>
      <c r="L86" s="405"/>
      <c r="M86" s="411" t="s">
        <v>3</v>
      </c>
      <c r="N86" s="404" t="s">
        <v>2</v>
      </c>
      <c r="O86" s="405"/>
      <c r="P86" s="411" t="s">
        <v>3</v>
      </c>
      <c r="Q86" s="404" t="s">
        <v>2</v>
      </c>
      <c r="R86" s="405"/>
      <c r="S86" s="411" t="s">
        <v>3</v>
      </c>
      <c r="T86" s="404" t="s">
        <v>2</v>
      </c>
      <c r="U86" s="405"/>
      <c r="V86" s="411" t="s">
        <v>3</v>
      </c>
      <c r="W86" s="420" t="s">
        <v>13</v>
      </c>
      <c r="X86" s="422"/>
      <c r="Y86" s="106" t="s">
        <v>14</v>
      </c>
      <c r="Z86" s="420" t="s">
        <v>15</v>
      </c>
      <c r="AA86" s="422"/>
      <c r="AB86" s="106" t="s">
        <v>16</v>
      </c>
      <c r="AC86" s="404" t="s">
        <v>2</v>
      </c>
      <c r="AD86" s="405"/>
      <c r="AE86" s="405" t="s">
        <v>3</v>
      </c>
      <c r="AF86" s="420" t="s">
        <v>18</v>
      </c>
      <c r="AG86" s="422"/>
      <c r="AH86" s="425" t="s">
        <v>22</v>
      </c>
      <c r="AI86" s="106" t="s">
        <v>17</v>
      </c>
      <c r="AJ86" s="130"/>
      <c r="AM86" s="112"/>
    </row>
    <row r="87" spans="1:42" ht="15.75" x14ac:dyDescent="0.2">
      <c r="A87" s="408"/>
      <c r="B87" s="408"/>
      <c r="C87" s="408"/>
      <c r="D87" s="408"/>
      <c r="E87" s="406"/>
      <c r="F87" s="407"/>
      <c r="G87" s="409"/>
      <c r="H87" s="406"/>
      <c r="I87" s="407"/>
      <c r="J87" s="409"/>
      <c r="K87" s="406"/>
      <c r="L87" s="407"/>
      <c r="M87" s="408"/>
      <c r="N87" s="406"/>
      <c r="O87" s="407"/>
      <c r="P87" s="408"/>
      <c r="Q87" s="406"/>
      <c r="R87" s="407"/>
      <c r="S87" s="408"/>
      <c r="T87" s="406"/>
      <c r="U87" s="407"/>
      <c r="V87" s="408"/>
      <c r="W87" s="406" t="s">
        <v>2</v>
      </c>
      <c r="X87" s="407"/>
      <c r="Y87" s="226" t="s">
        <v>3</v>
      </c>
      <c r="Z87" s="427" t="s">
        <v>2</v>
      </c>
      <c r="AA87" s="428"/>
      <c r="AB87" s="226" t="s">
        <v>3</v>
      </c>
      <c r="AC87" s="406"/>
      <c r="AD87" s="407"/>
      <c r="AE87" s="407"/>
      <c r="AF87" s="406" t="s">
        <v>2</v>
      </c>
      <c r="AG87" s="407"/>
      <c r="AH87" s="426"/>
      <c r="AI87" s="226" t="s">
        <v>3</v>
      </c>
      <c r="AJ87" s="130"/>
      <c r="AM87" s="112"/>
    </row>
    <row r="88" spans="1:42" ht="78.75" x14ac:dyDescent="0.25">
      <c r="A88" s="70">
        <v>3</v>
      </c>
      <c r="B88" s="65" t="s">
        <v>96</v>
      </c>
      <c r="C88" s="14"/>
      <c r="D88" s="66" t="s">
        <v>287</v>
      </c>
      <c r="E88" s="273">
        <v>83.19</v>
      </c>
      <c r="F88" s="273" t="s">
        <v>58</v>
      </c>
      <c r="G88" s="275"/>
      <c r="H88" s="273">
        <v>88.04</v>
      </c>
      <c r="I88" s="273" t="s">
        <v>58</v>
      </c>
      <c r="J88" s="276">
        <f>SUM(J89:J93)</f>
        <v>3319636500</v>
      </c>
      <c r="K88" s="273">
        <v>84.61</v>
      </c>
      <c r="L88" s="273" t="s">
        <v>58</v>
      </c>
      <c r="M88" s="276">
        <f>SUM(M89:M93)</f>
        <v>968608000</v>
      </c>
      <c r="N88" s="273">
        <v>85.46</v>
      </c>
      <c r="O88" s="273" t="s">
        <v>58</v>
      </c>
      <c r="P88" s="278">
        <f>SUM(P89:P93)</f>
        <v>603955000</v>
      </c>
      <c r="Q88" s="273">
        <v>83.95</v>
      </c>
      <c r="R88" s="273" t="s">
        <v>58</v>
      </c>
      <c r="S88" s="278">
        <f>SUM(S89:S93)</f>
        <v>864410972</v>
      </c>
      <c r="T88" s="273">
        <v>85.48</v>
      </c>
      <c r="U88" s="273" t="s">
        <v>58</v>
      </c>
      <c r="V88" s="278">
        <f>SUM(V89:V93)</f>
        <v>590707150</v>
      </c>
      <c r="W88" s="282">
        <f>Q88/K88*100</f>
        <v>99.219950360477497</v>
      </c>
      <c r="X88" s="282" t="s">
        <v>28</v>
      </c>
      <c r="Y88" s="294">
        <f>S88/M88*100</f>
        <v>89.242600928342526</v>
      </c>
      <c r="Z88" s="288">
        <f>T88/N88*100</f>
        <v>100.02340276152589</v>
      </c>
      <c r="AA88" s="282" t="s">
        <v>28</v>
      </c>
      <c r="AB88" s="294">
        <f>V88/P88*100</f>
        <v>97.806483926782633</v>
      </c>
      <c r="AC88" s="277">
        <f>Q88+T88</f>
        <v>169.43</v>
      </c>
      <c r="AD88" s="282" t="s">
        <v>58</v>
      </c>
      <c r="AE88" s="374">
        <f t="shared" ref="AE88:AE89" si="18">S88+V88</f>
        <v>1455118122</v>
      </c>
      <c r="AF88" s="275"/>
      <c r="AG88" s="275"/>
      <c r="AH88" s="275"/>
      <c r="AI88" s="275"/>
      <c r="AJ88" s="157" t="s">
        <v>300</v>
      </c>
      <c r="AM88" s="112">
        <f t="shared" ref="AM88:AM93" si="19">S88</f>
        <v>864410972</v>
      </c>
    </row>
    <row r="89" spans="1:42" ht="90" x14ac:dyDescent="0.2">
      <c r="A89" s="64"/>
      <c r="B89" s="64"/>
      <c r="C89" s="14" t="s">
        <v>59</v>
      </c>
      <c r="D89" s="14" t="s">
        <v>173</v>
      </c>
      <c r="E89" s="100">
        <v>59.652999999999999</v>
      </c>
      <c r="F89" s="32" t="s">
        <v>174</v>
      </c>
      <c r="G89" s="8"/>
      <c r="H89" s="228" t="s">
        <v>572</v>
      </c>
      <c r="I89" s="32" t="s">
        <v>174</v>
      </c>
      <c r="J89" s="10">
        <v>814022500</v>
      </c>
      <c r="K89" s="100">
        <v>102.092</v>
      </c>
      <c r="L89" s="32" t="s">
        <v>174</v>
      </c>
      <c r="M89" s="10">
        <v>814022500</v>
      </c>
      <c r="N89" s="100"/>
      <c r="O89" s="32"/>
      <c r="P89" s="10"/>
      <c r="Q89" s="100">
        <v>102.092</v>
      </c>
      <c r="R89" s="32" t="s">
        <v>174</v>
      </c>
      <c r="S89" s="63">
        <v>742053472</v>
      </c>
      <c r="T89" s="100"/>
      <c r="U89" s="32"/>
      <c r="V89" s="63"/>
      <c r="W89" s="18">
        <f t="shared" ref="W89" si="20">Q89/K89*100</f>
        <v>100</v>
      </c>
      <c r="X89" s="18" t="s">
        <v>28</v>
      </c>
      <c r="Y89" s="289">
        <f>S89/M89*100</f>
        <v>91.158840449741874</v>
      </c>
      <c r="Z89" s="18"/>
      <c r="AA89" s="18"/>
      <c r="AB89" s="289"/>
      <c r="AC89" s="100">
        <f>Q89</f>
        <v>102.092</v>
      </c>
      <c r="AD89" s="18" t="s">
        <v>174</v>
      </c>
      <c r="AE89" s="338">
        <f t="shared" si="18"/>
        <v>742053472</v>
      </c>
      <c r="AF89" s="8"/>
      <c r="AG89" s="8"/>
      <c r="AH89" s="8"/>
      <c r="AI89" s="8"/>
      <c r="AJ89" s="126"/>
      <c r="AM89" s="112">
        <f t="shared" si="19"/>
        <v>742053472</v>
      </c>
    </row>
    <row r="90" spans="1:42" ht="75" x14ac:dyDescent="0.2">
      <c r="A90" s="64"/>
      <c r="B90" s="64"/>
      <c r="C90" s="101" t="s">
        <v>175</v>
      </c>
      <c r="D90" s="14" t="s">
        <v>176</v>
      </c>
      <c r="E90" s="78">
        <v>5.87</v>
      </c>
      <c r="F90" s="18" t="s">
        <v>28</v>
      </c>
      <c r="G90" s="3"/>
      <c r="H90" s="78">
        <v>5.35</v>
      </c>
      <c r="I90" s="18" t="s">
        <v>28</v>
      </c>
      <c r="J90" s="233">
        <v>1449908500</v>
      </c>
      <c r="K90" s="78"/>
      <c r="L90" s="18"/>
      <c r="M90" s="261"/>
      <c r="N90" s="78">
        <v>5.47</v>
      </c>
      <c r="O90" s="18" t="s">
        <v>28</v>
      </c>
      <c r="P90" s="261">
        <v>554270000</v>
      </c>
      <c r="Q90" s="94"/>
      <c r="R90" s="18"/>
      <c r="S90" s="261"/>
      <c r="T90" s="32">
        <v>0</v>
      </c>
      <c r="U90" s="18" t="s">
        <v>28</v>
      </c>
      <c r="V90" s="261">
        <v>544082150</v>
      </c>
      <c r="W90" s="18"/>
      <c r="X90" s="18"/>
      <c r="Y90" s="291"/>
      <c r="Z90" s="18">
        <f>T90/N90*100</f>
        <v>0</v>
      </c>
      <c r="AA90" s="18" t="s">
        <v>28</v>
      </c>
      <c r="AB90" s="291">
        <f>V90/P90*100</f>
        <v>98.161933714615628</v>
      </c>
      <c r="AC90" s="78">
        <f>T90</f>
        <v>0</v>
      </c>
      <c r="AD90" s="18" t="s">
        <v>28</v>
      </c>
      <c r="AE90" s="245">
        <f>S90+V90</f>
        <v>544082150</v>
      </c>
      <c r="AF90" s="8"/>
      <c r="AG90" s="8"/>
      <c r="AH90" s="8"/>
      <c r="AI90" s="8"/>
      <c r="AJ90" s="126"/>
      <c r="AM90" s="112">
        <f t="shared" si="19"/>
        <v>0</v>
      </c>
    </row>
    <row r="91" spans="1:42" ht="75" x14ac:dyDescent="0.2">
      <c r="A91" s="64"/>
      <c r="B91" s="64"/>
      <c r="C91" s="20"/>
      <c r="D91" s="14" t="s">
        <v>173</v>
      </c>
      <c r="E91" s="100">
        <v>59.652999999999999</v>
      </c>
      <c r="F91" s="32" t="s">
        <v>174</v>
      </c>
      <c r="G91" s="5"/>
      <c r="H91" s="18">
        <v>0</v>
      </c>
      <c r="I91" s="32" t="s">
        <v>174</v>
      </c>
      <c r="J91" s="232"/>
      <c r="K91" s="100"/>
      <c r="L91" s="32"/>
      <c r="M91" s="232"/>
      <c r="N91" s="100">
        <v>117.092</v>
      </c>
      <c r="O91" s="32" t="s">
        <v>174</v>
      </c>
      <c r="P91" s="232"/>
      <c r="Q91" s="100"/>
      <c r="R91" s="32"/>
      <c r="S91" s="262"/>
      <c r="T91" s="100">
        <v>117.092</v>
      </c>
      <c r="U91" s="32" t="s">
        <v>174</v>
      </c>
      <c r="V91" s="262"/>
      <c r="W91" s="18"/>
      <c r="X91" s="18"/>
      <c r="Y91" s="292"/>
      <c r="Z91" s="18">
        <f t="shared" ref="Z91" si="21">T91/N91*100</f>
        <v>100</v>
      </c>
      <c r="AA91" s="18" t="s">
        <v>28</v>
      </c>
      <c r="AB91" s="292"/>
      <c r="AC91" s="19">
        <f>T91</f>
        <v>117.092</v>
      </c>
      <c r="AD91" s="32" t="s">
        <v>174</v>
      </c>
      <c r="AE91" s="5"/>
      <c r="AF91" s="8"/>
      <c r="AG91" s="8"/>
      <c r="AH91" s="8"/>
      <c r="AI91" s="8"/>
      <c r="AJ91" s="126"/>
      <c r="AM91" s="112">
        <f t="shared" si="19"/>
        <v>0</v>
      </c>
    </row>
    <row r="92" spans="1:42" ht="75" x14ac:dyDescent="0.2">
      <c r="A92" s="13"/>
      <c r="B92" s="13"/>
      <c r="C92" s="101" t="s">
        <v>57</v>
      </c>
      <c r="D92" s="14" t="s">
        <v>177</v>
      </c>
      <c r="E92" s="32" t="s">
        <v>179</v>
      </c>
      <c r="F92" s="18" t="s">
        <v>28</v>
      </c>
      <c r="G92" s="264"/>
      <c r="H92" s="32" t="s">
        <v>180</v>
      </c>
      <c r="I92" s="18" t="s">
        <v>28</v>
      </c>
      <c r="J92" s="233">
        <v>1055705500</v>
      </c>
      <c r="K92" s="32" t="s">
        <v>573</v>
      </c>
      <c r="L92" s="18" t="s">
        <v>28</v>
      </c>
      <c r="M92" s="230">
        <v>154585500</v>
      </c>
      <c r="N92" s="32" t="s">
        <v>532</v>
      </c>
      <c r="O92" s="18" t="s">
        <v>28</v>
      </c>
      <c r="P92" s="230">
        <v>49685000</v>
      </c>
      <c r="Q92" s="32" t="s">
        <v>532</v>
      </c>
      <c r="R92" s="18" t="s">
        <v>28</v>
      </c>
      <c r="S92" s="261">
        <v>122357500</v>
      </c>
      <c r="T92" s="32" t="s">
        <v>532</v>
      </c>
      <c r="U92" s="18" t="s">
        <v>28</v>
      </c>
      <c r="V92" s="261">
        <v>46625000</v>
      </c>
      <c r="W92" s="58">
        <f>(17-(15-17))/17*100</f>
        <v>111.76470588235294</v>
      </c>
      <c r="X92" s="18" t="s">
        <v>28</v>
      </c>
      <c r="Y92" s="291">
        <f>S92/M92*100</f>
        <v>79.151990322507601</v>
      </c>
      <c r="Z92" s="58">
        <f>(15-(15-15))/15*100</f>
        <v>100</v>
      </c>
      <c r="AA92" s="18" t="s">
        <v>28</v>
      </c>
      <c r="AB92" s="291">
        <f>V92/P92*100</f>
        <v>93.84119955721043</v>
      </c>
      <c r="AC92" s="78" t="str">
        <f>T92</f>
        <v>≤ 15</v>
      </c>
      <c r="AD92" s="18" t="s">
        <v>28</v>
      </c>
      <c r="AE92" s="245">
        <f>S92+V92</f>
        <v>168982500</v>
      </c>
      <c r="AF92" s="8"/>
      <c r="AG92" s="8"/>
      <c r="AH92" s="8"/>
      <c r="AI92" s="8"/>
      <c r="AJ92" s="126"/>
      <c r="AM92" s="112">
        <f t="shared" si="19"/>
        <v>122357500</v>
      </c>
    </row>
    <row r="93" spans="1:42" ht="30" x14ac:dyDescent="0.2">
      <c r="A93" s="64"/>
      <c r="B93" s="64"/>
      <c r="C93" s="20"/>
      <c r="D93" s="14" t="s">
        <v>178</v>
      </c>
      <c r="E93" s="78">
        <v>80.900000000000006</v>
      </c>
      <c r="F93" s="32" t="s">
        <v>58</v>
      </c>
      <c r="G93" s="5"/>
      <c r="H93" s="78">
        <v>86.17</v>
      </c>
      <c r="I93" s="32" t="s">
        <v>58</v>
      </c>
      <c r="J93" s="50"/>
      <c r="K93" s="78">
        <v>82.82</v>
      </c>
      <c r="L93" s="32" t="s">
        <v>58</v>
      </c>
      <c r="M93" s="232"/>
      <c r="N93" s="78">
        <v>83.65</v>
      </c>
      <c r="O93" s="32" t="s">
        <v>58</v>
      </c>
      <c r="P93" s="232"/>
      <c r="Q93" s="78">
        <v>82.82</v>
      </c>
      <c r="R93" s="32" t="s">
        <v>58</v>
      </c>
      <c r="S93" s="262"/>
      <c r="T93" s="78">
        <v>84.9</v>
      </c>
      <c r="U93" s="32" t="s">
        <v>58</v>
      </c>
      <c r="V93" s="262"/>
      <c r="W93" s="18">
        <f>Q93/K93*100</f>
        <v>100</v>
      </c>
      <c r="X93" s="18" t="s">
        <v>28</v>
      </c>
      <c r="Y93" s="292"/>
      <c r="Z93" s="18">
        <f>T93/N93*100</f>
        <v>101.49432157800358</v>
      </c>
      <c r="AA93" s="18" t="s">
        <v>28</v>
      </c>
      <c r="AB93" s="292"/>
      <c r="AC93" s="18">
        <f>Q93+T93</f>
        <v>167.72</v>
      </c>
      <c r="AD93" s="32" t="s">
        <v>58</v>
      </c>
      <c r="AE93" s="5"/>
      <c r="AF93" s="8"/>
      <c r="AG93" s="8"/>
      <c r="AH93" s="8"/>
      <c r="AI93" s="8"/>
      <c r="AJ93" s="126"/>
      <c r="AM93" s="112">
        <f t="shared" si="19"/>
        <v>0</v>
      </c>
    </row>
    <row r="94" spans="1:42" ht="15" x14ac:dyDescent="0.2">
      <c r="A94" s="446" t="s">
        <v>5</v>
      </c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121">
        <f>AVERAGE(W88:W93)</f>
        <v>102.74616406070761</v>
      </c>
      <c r="X94" s="122"/>
      <c r="Y94" s="121"/>
      <c r="Z94" s="121">
        <f>AVERAGE(Z88:Z93)</f>
        <v>80.303544867905885</v>
      </c>
      <c r="AA94" s="102"/>
      <c r="AB94" s="102"/>
      <c r="AC94" s="102"/>
      <c r="AD94" s="102"/>
      <c r="AE94" s="102"/>
      <c r="AF94" s="102"/>
      <c r="AG94" s="102"/>
      <c r="AH94" s="102"/>
      <c r="AI94" s="102"/>
      <c r="AJ94" s="126"/>
      <c r="AM94" s="112"/>
    </row>
    <row r="95" spans="1:42" ht="15" x14ac:dyDescent="0.2">
      <c r="A95" s="446" t="s">
        <v>6</v>
      </c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195" t="str">
        <f>IF(W94&gt;=91,"Sangat Tinggi",IF(W94&gt;=76,"Tinggi",IF(W94&gt;=66,"Sedang",IF(W94&gt;=51,"Rendah",IF(W94&lt;=50,"Sangat Rendah")))))</f>
        <v>Sangat Tinggi</v>
      </c>
      <c r="X95" s="122"/>
      <c r="Y95" s="102"/>
      <c r="Z95" s="195" t="str">
        <f>IF(Z94&gt;=91,"Sangat Tinggi",IF(Z94&gt;=76,"Tinggi",IF(Z94&gt;=66,"Sedang",IF(Z94&gt;=51,"Rendah",IF(Z94&lt;=50,"Sangat Rendah")))))</f>
        <v>Tinggi</v>
      </c>
      <c r="AA95" s="102"/>
      <c r="AB95" s="102"/>
      <c r="AC95" s="102"/>
      <c r="AD95" s="102"/>
      <c r="AE95" s="102"/>
      <c r="AF95" s="102"/>
      <c r="AG95" s="102"/>
      <c r="AH95" s="102"/>
      <c r="AI95" s="102"/>
      <c r="AJ95" s="126"/>
      <c r="AM95" s="112"/>
    </row>
    <row r="96" spans="1:42" ht="15" x14ac:dyDescent="0.2">
      <c r="A96" s="429" t="s">
        <v>7</v>
      </c>
      <c r="B96" s="429"/>
      <c r="C96" s="429"/>
      <c r="D96" s="429"/>
      <c r="E96" s="429"/>
      <c r="F96" s="429"/>
      <c r="G96" s="429"/>
      <c r="H96" s="429"/>
      <c r="I96" s="429"/>
      <c r="J96" s="429"/>
      <c r="K96" s="429"/>
      <c r="L96" s="429"/>
      <c r="M96" s="429"/>
      <c r="N96" s="429"/>
      <c r="O96" s="429"/>
      <c r="P96" s="429"/>
      <c r="Q96" s="429"/>
      <c r="R96" s="429"/>
      <c r="S96" s="429"/>
      <c r="T96" s="429"/>
      <c r="U96" s="429"/>
      <c r="V96" s="429"/>
      <c r="W96" s="429"/>
      <c r="X96" s="429"/>
      <c r="Y96" s="429"/>
      <c r="Z96" s="429"/>
      <c r="AA96" s="429"/>
      <c r="AB96" s="429"/>
      <c r="AC96" s="429"/>
      <c r="AD96" s="429"/>
      <c r="AE96" s="429"/>
      <c r="AF96" s="429"/>
      <c r="AG96" s="429"/>
      <c r="AH96" s="429"/>
      <c r="AI96" s="429"/>
      <c r="AJ96" s="126"/>
      <c r="AM96" s="112"/>
    </row>
    <row r="97" spans="1:42" ht="15" x14ac:dyDescent="0.2">
      <c r="A97" s="429" t="s">
        <v>8</v>
      </c>
      <c r="B97" s="429"/>
      <c r="C97" s="429"/>
      <c r="D97" s="429"/>
      <c r="E97" s="429"/>
      <c r="F97" s="429"/>
      <c r="G97" s="429"/>
      <c r="H97" s="429"/>
      <c r="I97" s="429"/>
      <c r="J97" s="429"/>
      <c r="K97" s="429"/>
      <c r="L97" s="429"/>
      <c r="M97" s="429"/>
      <c r="N97" s="429"/>
      <c r="O97" s="429"/>
      <c r="P97" s="429"/>
      <c r="Q97" s="429"/>
      <c r="R97" s="429"/>
      <c r="S97" s="429"/>
      <c r="T97" s="429"/>
      <c r="U97" s="429"/>
      <c r="V97" s="429"/>
      <c r="W97" s="429"/>
      <c r="X97" s="429"/>
      <c r="Y97" s="429"/>
      <c r="Z97" s="429"/>
      <c r="AA97" s="429"/>
      <c r="AB97" s="429"/>
      <c r="AC97" s="429"/>
      <c r="AD97" s="429"/>
      <c r="AE97" s="429"/>
      <c r="AF97" s="429"/>
      <c r="AG97" s="429"/>
      <c r="AH97" s="429"/>
      <c r="AI97" s="429"/>
      <c r="AJ97" s="126"/>
      <c r="AM97" s="112"/>
    </row>
    <row r="98" spans="1:42" ht="15" x14ac:dyDescent="0.2">
      <c r="A98" s="429" t="s">
        <v>9</v>
      </c>
      <c r="B98" s="429"/>
      <c r="C98" s="429"/>
      <c r="D98" s="429"/>
      <c r="E98" s="429"/>
      <c r="F98" s="429"/>
      <c r="G98" s="429"/>
      <c r="H98" s="429"/>
      <c r="I98" s="429"/>
      <c r="J98" s="429"/>
      <c r="K98" s="429"/>
      <c r="L98" s="429"/>
      <c r="M98" s="429"/>
      <c r="N98" s="429"/>
      <c r="O98" s="429"/>
      <c r="P98" s="429"/>
      <c r="Q98" s="429"/>
      <c r="R98" s="429"/>
      <c r="S98" s="429"/>
      <c r="T98" s="429"/>
      <c r="U98" s="429"/>
      <c r="V98" s="429"/>
      <c r="W98" s="429"/>
      <c r="X98" s="429"/>
      <c r="Y98" s="429"/>
      <c r="Z98" s="429"/>
      <c r="AA98" s="429"/>
      <c r="AB98" s="429"/>
      <c r="AC98" s="429"/>
      <c r="AD98" s="429"/>
      <c r="AE98" s="429"/>
      <c r="AF98" s="429"/>
      <c r="AG98" s="429"/>
      <c r="AH98" s="429"/>
      <c r="AI98" s="429"/>
      <c r="AJ98" s="126"/>
      <c r="AM98" s="112"/>
    </row>
    <row r="99" spans="1:42" ht="15" x14ac:dyDescent="0.2">
      <c r="A99" s="429" t="s">
        <v>10</v>
      </c>
      <c r="B99" s="429"/>
      <c r="C99" s="429"/>
      <c r="D99" s="429"/>
      <c r="E99" s="429"/>
      <c r="F99" s="429"/>
      <c r="G99" s="429"/>
      <c r="H99" s="429"/>
      <c r="I99" s="429"/>
      <c r="J99" s="429"/>
      <c r="K99" s="429"/>
      <c r="L99" s="429"/>
      <c r="M99" s="429"/>
      <c r="N99" s="429"/>
      <c r="O99" s="429"/>
      <c r="P99" s="429"/>
      <c r="Q99" s="429"/>
      <c r="R99" s="429"/>
      <c r="S99" s="429"/>
      <c r="T99" s="429"/>
      <c r="U99" s="429"/>
      <c r="V99" s="429"/>
      <c r="W99" s="429"/>
      <c r="X99" s="429"/>
      <c r="Y99" s="429"/>
      <c r="Z99" s="429"/>
      <c r="AA99" s="429"/>
      <c r="AB99" s="429"/>
      <c r="AC99" s="429"/>
      <c r="AD99" s="429"/>
      <c r="AE99" s="429"/>
      <c r="AF99" s="429"/>
      <c r="AG99" s="429"/>
      <c r="AH99" s="429"/>
      <c r="AI99" s="429"/>
      <c r="AJ99" s="127"/>
      <c r="AM99" s="112"/>
    </row>
    <row r="100" spans="1:42" ht="15" x14ac:dyDescent="0.2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M100" s="112"/>
    </row>
    <row r="101" spans="1:42" ht="15" x14ac:dyDescent="0.2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M101" s="112"/>
    </row>
    <row r="102" spans="1:42" ht="15" x14ac:dyDescent="0.2">
      <c r="A102" s="125"/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M102" s="112"/>
    </row>
    <row r="103" spans="1:42" ht="68.25" customHeight="1" x14ac:dyDescent="0.2">
      <c r="A103" s="444" t="s">
        <v>0</v>
      </c>
      <c r="B103" s="444" t="s">
        <v>272</v>
      </c>
      <c r="C103" s="445" t="s">
        <v>1</v>
      </c>
      <c r="D103" s="445" t="s">
        <v>327</v>
      </c>
      <c r="E103" s="435" t="s">
        <v>21</v>
      </c>
      <c r="F103" s="436"/>
      <c r="G103" s="437"/>
      <c r="H103" s="435" t="s">
        <v>20</v>
      </c>
      <c r="I103" s="436"/>
      <c r="J103" s="437"/>
      <c r="K103" s="412" t="s">
        <v>582</v>
      </c>
      <c r="L103" s="413"/>
      <c r="M103" s="413"/>
      <c r="N103" s="413"/>
      <c r="O103" s="413"/>
      <c r="P103" s="414"/>
      <c r="Q103" s="412" t="s">
        <v>583</v>
      </c>
      <c r="R103" s="413"/>
      <c r="S103" s="413"/>
      <c r="T103" s="413"/>
      <c r="U103" s="413"/>
      <c r="V103" s="413"/>
      <c r="W103" s="412" t="s">
        <v>584</v>
      </c>
      <c r="X103" s="413"/>
      <c r="Y103" s="413"/>
      <c r="Z103" s="413"/>
      <c r="AA103" s="413"/>
      <c r="AB103" s="413"/>
      <c r="AC103" s="412" t="s">
        <v>19</v>
      </c>
      <c r="AD103" s="413"/>
      <c r="AE103" s="414"/>
      <c r="AF103" s="412" t="s">
        <v>4</v>
      </c>
      <c r="AG103" s="413"/>
      <c r="AH103" s="413"/>
      <c r="AI103" s="414"/>
      <c r="AJ103" s="433" t="s">
        <v>294</v>
      </c>
      <c r="AL103" s="62"/>
      <c r="AM103" s="112"/>
      <c r="AN103" s="62"/>
      <c r="AO103" s="62"/>
      <c r="AP103" s="62"/>
    </row>
    <row r="104" spans="1:42" ht="18" customHeight="1" x14ac:dyDescent="0.2">
      <c r="A104" s="444"/>
      <c r="B104" s="444"/>
      <c r="C104" s="445"/>
      <c r="D104" s="445"/>
      <c r="E104" s="438"/>
      <c r="F104" s="439"/>
      <c r="G104" s="440"/>
      <c r="H104" s="438"/>
      <c r="I104" s="439"/>
      <c r="J104" s="440"/>
      <c r="K104" s="415"/>
      <c r="L104" s="416"/>
      <c r="M104" s="416"/>
      <c r="N104" s="416"/>
      <c r="O104" s="416"/>
      <c r="P104" s="417"/>
      <c r="Q104" s="415"/>
      <c r="R104" s="416"/>
      <c r="S104" s="416"/>
      <c r="T104" s="416"/>
      <c r="U104" s="416"/>
      <c r="V104" s="416"/>
      <c r="W104" s="415"/>
      <c r="X104" s="416"/>
      <c r="Y104" s="416"/>
      <c r="Z104" s="416"/>
      <c r="AA104" s="416"/>
      <c r="AB104" s="416"/>
      <c r="AC104" s="430"/>
      <c r="AD104" s="431"/>
      <c r="AE104" s="432"/>
      <c r="AF104" s="430"/>
      <c r="AG104" s="431"/>
      <c r="AH104" s="431"/>
      <c r="AI104" s="432"/>
      <c r="AJ104" s="434"/>
      <c r="AM104" s="112"/>
    </row>
    <row r="105" spans="1:42" ht="15.75" customHeight="1" x14ac:dyDescent="0.2">
      <c r="A105" s="444"/>
      <c r="B105" s="444"/>
      <c r="C105" s="445"/>
      <c r="D105" s="445"/>
      <c r="E105" s="441"/>
      <c r="F105" s="442"/>
      <c r="G105" s="443"/>
      <c r="H105" s="441"/>
      <c r="I105" s="442"/>
      <c r="J105" s="443"/>
      <c r="K105" s="398" t="s">
        <v>580</v>
      </c>
      <c r="L105" s="399"/>
      <c r="M105" s="400"/>
      <c r="N105" s="398" t="s">
        <v>581</v>
      </c>
      <c r="O105" s="399"/>
      <c r="P105" s="400"/>
      <c r="Q105" s="398" t="s">
        <v>580</v>
      </c>
      <c r="R105" s="399"/>
      <c r="S105" s="400"/>
      <c r="T105" s="398" t="s">
        <v>581</v>
      </c>
      <c r="U105" s="399"/>
      <c r="V105" s="400"/>
      <c r="W105" s="398" t="s">
        <v>580</v>
      </c>
      <c r="X105" s="399"/>
      <c r="Y105" s="400"/>
      <c r="Z105" s="398" t="s">
        <v>581</v>
      </c>
      <c r="AA105" s="399"/>
      <c r="AB105" s="400"/>
      <c r="AC105" s="415"/>
      <c r="AD105" s="416"/>
      <c r="AE105" s="417"/>
      <c r="AF105" s="415"/>
      <c r="AG105" s="416"/>
      <c r="AH105" s="416"/>
      <c r="AI105" s="417"/>
      <c r="AJ105" s="128"/>
      <c r="AM105" s="112"/>
    </row>
    <row r="106" spans="1:42" ht="15.75" x14ac:dyDescent="0.25">
      <c r="A106" s="411">
        <v>1</v>
      </c>
      <c r="B106" s="411">
        <v>2</v>
      </c>
      <c r="C106" s="411">
        <v>3</v>
      </c>
      <c r="D106" s="411">
        <v>4</v>
      </c>
      <c r="E106" s="420">
        <v>5</v>
      </c>
      <c r="F106" s="421"/>
      <c r="G106" s="422"/>
      <c r="H106" s="420">
        <v>6</v>
      </c>
      <c r="I106" s="421"/>
      <c r="J106" s="422"/>
      <c r="K106" s="401">
        <v>7</v>
      </c>
      <c r="L106" s="402"/>
      <c r="M106" s="403"/>
      <c r="N106" s="401">
        <v>8</v>
      </c>
      <c r="O106" s="402"/>
      <c r="P106" s="403"/>
      <c r="Q106" s="401">
        <v>12</v>
      </c>
      <c r="R106" s="402"/>
      <c r="S106" s="403"/>
      <c r="T106" s="401">
        <v>13</v>
      </c>
      <c r="U106" s="402"/>
      <c r="V106" s="403"/>
      <c r="W106" s="395">
        <v>17</v>
      </c>
      <c r="X106" s="396"/>
      <c r="Y106" s="397"/>
      <c r="Z106" s="395">
        <v>18</v>
      </c>
      <c r="AA106" s="396"/>
      <c r="AB106" s="397"/>
      <c r="AC106" s="395">
        <v>22</v>
      </c>
      <c r="AD106" s="396"/>
      <c r="AE106" s="397"/>
      <c r="AF106" s="395">
        <v>23</v>
      </c>
      <c r="AG106" s="396"/>
      <c r="AH106" s="396"/>
      <c r="AI106" s="397"/>
      <c r="AJ106" s="129"/>
      <c r="AM106" s="112"/>
    </row>
    <row r="107" spans="1:42" ht="87" customHeight="1" x14ac:dyDescent="0.2">
      <c r="A107" s="419"/>
      <c r="B107" s="419"/>
      <c r="C107" s="419"/>
      <c r="D107" s="419"/>
      <c r="E107" s="404" t="s">
        <v>2</v>
      </c>
      <c r="F107" s="405"/>
      <c r="G107" s="408" t="s">
        <v>3</v>
      </c>
      <c r="H107" s="404" t="s">
        <v>2</v>
      </c>
      <c r="I107" s="405"/>
      <c r="J107" s="408" t="s">
        <v>3</v>
      </c>
      <c r="K107" s="404" t="s">
        <v>2</v>
      </c>
      <c r="L107" s="405"/>
      <c r="M107" s="411" t="s">
        <v>3</v>
      </c>
      <c r="N107" s="404" t="s">
        <v>2</v>
      </c>
      <c r="O107" s="405"/>
      <c r="P107" s="411" t="s">
        <v>3</v>
      </c>
      <c r="Q107" s="404" t="s">
        <v>2</v>
      </c>
      <c r="R107" s="405"/>
      <c r="S107" s="411" t="s">
        <v>3</v>
      </c>
      <c r="T107" s="404" t="s">
        <v>2</v>
      </c>
      <c r="U107" s="405"/>
      <c r="V107" s="411" t="s">
        <v>3</v>
      </c>
      <c r="W107" s="420" t="s">
        <v>13</v>
      </c>
      <c r="X107" s="422"/>
      <c r="Y107" s="106" t="s">
        <v>14</v>
      </c>
      <c r="Z107" s="420" t="s">
        <v>15</v>
      </c>
      <c r="AA107" s="422"/>
      <c r="AB107" s="106" t="s">
        <v>16</v>
      </c>
      <c r="AC107" s="404" t="s">
        <v>2</v>
      </c>
      <c r="AD107" s="405"/>
      <c r="AE107" s="405" t="s">
        <v>3</v>
      </c>
      <c r="AF107" s="420" t="s">
        <v>18</v>
      </c>
      <c r="AG107" s="422"/>
      <c r="AH107" s="425" t="s">
        <v>22</v>
      </c>
      <c r="AI107" s="106" t="s">
        <v>17</v>
      </c>
      <c r="AJ107" s="130"/>
      <c r="AM107" s="112"/>
    </row>
    <row r="108" spans="1:42" ht="15.75" x14ac:dyDescent="0.2">
      <c r="A108" s="408"/>
      <c r="B108" s="408"/>
      <c r="C108" s="408"/>
      <c r="D108" s="408"/>
      <c r="E108" s="406"/>
      <c r="F108" s="407"/>
      <c r="G108" s="409"/>
      <c r="H108" s="406"/>
      <c r="I108" s="407"/>
      <c r="J108" s="409"/>
      <c r="K108" s="406"/>
      <c r="L108" s="407"/>
      <c r="M108" s="408"/>
      <c r="N108" s="406"/>
      <c r="O108" s="407"/>
      <c r="P108" s="408"/>
      <c r="Q108" s="406"/>
      <c r="R108" s="407"/>
      <c r="S108" s="408"/>
      <c r="T108" s="406"/>
      <c r="U108" s="407"/>
      <c r="V108" s="408"/>
      <c r="W108" s="406" t="s">
        <v>2</v>
      </c>
      <c r="X108" s="407"/>
      <c r="Y108" s="226" t="s">
        <v>3</v>
      </c>
      <c r="Z108" s="427" t="s">
        <v>2</v>
      </c>
      <c r="AA108" s="428"/>
      <c r="AB108" s="226" t="s">
        <v>3</v>
      </c>
      <c r="AC108" s="406"/>
      <c r="AD108" s="407"/>
      <c r="AE108" s="407"/>
      <c r="AF108" s="406" t="s">
        <v>2</v>
      </c>
      <c r="AG108" s="407"/>
      <c r="AH108" s="426"/>
      <c r="AI108" s="226" t="s">
        <v>3</v>
      </c>
      <c r="AJ108" s="130"/>
      <c r="AM108" s="112"/>
    </row>
    <row r="109" spans="1:42" ht="126" x14ac:dyDescent="0.25">
      <c r="A109" s="70">
        <v>4</v>
      </c>
      <c r="B109" s="65" t="s">
        <v>81</v>
      </c>
      <c r="C109" s="14"/>
      <c r="D109" s="66" t="s">
        <v>288</v>
      </c>
      <c r="E109" s="277">
        <v>52</v>
      </c>
      <c r="F109" s="273" t="s">
        <v>28</v>
      </c>
      <c r="G109" s="275"/>
      <c r="H109" s="277">
        <v>75</v>
      </c>
      <c r="I109" s="273" t="s">
        <v>28</v>
      </c>
      <c r="J109" s="276">
        <f>SUM(J110:J116)</f>
        <v>126034161825</v>
      </c>
      <c r="K109" s="277">
        <v>57</v>
      </c>
      <c r="L109" s="273" t="s">
        <v>28</v>
      </c>
      <c r="M109" s="276">
        <f>SUM(M110:M116)</f>
        <v>44197398540</v>
      </c>
      <c r="N109" s="277">
        <v>61</v>
      </c>
      <c r="O109" s="273" t="s">
        <v>28</v>
      </c>
      <c r="P109" s="276">
        <f>SUM(P110:P116)</f>
        <v>45448312000</v>
      </c>
      <c r="Q109" s="277">
        <v>57</v>
      </c>
      <c r="R109" s="273" t="s">
        <v>28</v>
      </c>
      <c r="S109" s="276">
        <f>SUM(S110:S116)</f>
        <v>43131384744</v>
      </c>
      <c r="T109" s="277"/>
      <c r="U109" s="273"/>
      <c r="V109" s="276">
        <f>SUM(V110:V116)</f>
        <v>43538621347</v>
      </c>
      <c r="W109" s="288">
        <f t="shared" ref="W109" si="22">Q109/N109*100</f>
        <v>93.442622950819683</v>
      </c>
      <c r="X109" s="282" t="s">
        <v>28</v>
      </c>
      <c r="Y109" s="294">
        <f>S109/M109*100</f>
        <v>97.588062123078984</v>
      </c>
      <c r="Z109" s="288">
        <f t="shared" ref="Z109" si="23">T109/Q109*100</f>
        <v>0</v>
      </c>
      <c r="AA109" s="282" t="s">
        <v>28</v>
      </c>
      <c r="AB109" s="294">
        <f>V109/P109*100</f>
        <v>95.798104332235695</v>
      </c>
      <c r="AC109" s="277">
        <f t="shared" ref="AC109:AC116" si="24">Q109+T109</f>
        <v>57</v>
      </c>
      <c r="AD109" s="282" t="s">
        <v>28</v>
      </c>
      <c r="AE109" s="374">
        <f t="shared" ref="AE109" si="25">S109+V109</f>
        <v>86670006091</v>
      </c>
      <c r="AF109" s="275"/>
      <c r="AG109" s="275"/>
      <c r="AH109" s="275"/>
      <c r="AI109" s="275"/>
      <c r="AJ109" s="108" t="s">
        <v>301</v>
      </c>
      <c r="AM109" s="112">
        <f t="shared" ref="AM109:AM116" si="26">S109</f>
        <v>43131384744</v>
      </c>
    </row>
    <row r="110" spans="1:42" ht="90" x14ac:dyDescent="0.2">
      <c r="A110" s="70"/>
      <c r="B110" s="65"/>
      <c r="C110" s="14" t="s">
        <v>77</v>
      </c>
      <c r="D110" s="14" t="s">
        <v>181</v>
      </c>
      <c r="E110" s="78">
        <v>0.62</v>
      </c>
      <c r="F110" s="32" t="s">
        <v>28</v>
      </c>
      <c r="G110" s="8"/>
      <c r="H110" s="78">
        <v>3.75</v>
      </c>
      <c r="I110" s="32" t="s">
        <v>28</v>
      </c>
      <c r="J110" s="9">
        <v>2642895000</v>
      </c>
      <c r="K110" s="78">
        <v>1.25</v>
      </c>
      <c r="L110" s="32" t="s">
        <v>28</v>
      </c>
      <c r="M110" s="10">
        <v>2035039000</v>
      </c>
      <c r="N110" s="78">
        <v>1.87</v>
      </c>
      <c r="O110" s="32" t="s">
        <v>28</v>
      </c>
      <c r="P110" s="10">
        <v>2228746000</v>
      </c>
      <c r="Q110" s="78">
        <v>1.25</v>
      </c>
      <c r="R110" s="32" t="s">
        <v>28</v>
      </c>
      <c r="S110" s="10">
        <v>1796465236</v>
      </c>
      <c r="T110" s="78">
        <f>4/160*100</f>
        <v>2.5</v>
      </c>
      <c r="U110" s="32" t="s">
        <v>28</v>
      </c>
      <c r="V110" s="10">
        <v>2093864171</v>
      </c>
      <c r="W110" s="58">
        <f>Q110/K110*100</f>
        <v>100</v>
      </c>
      <c r="X110" s="18" t="s">
        <v>28</v>
      </c>
      <c r="Y110" s="289">
        <f>S110/M110*100</f>
        <v>88.276698186128129</v>
      </c>
      <c r="Z110" s="58">
        <f>T110/N110*100</f>
        <v>133.68983957219251</v>
      </c>
      <c r="AA110" s="18" t="s">
        <v>28</v>
      </c>
      <c r="AB110" s="289">
        <f>V110/P110*100</f>
        <v>93.948084303909013</v>
      </c>
      <c r="AC110" s="78">
        <f t="shared" si="24"/>
        <v>3.75</v>
      </c>
      <c r="AD110" s="18" t="s">
        <v>28</v>
      </c>
      <c r="AE110" s="338">
        <f t="shared" ref="AE110" si="27">S110+V110</f>
        <v>3890329407</v>
      </c>
      <c r="AF110" s="8"/>
      <c r="AG110" s="8"/>
      <c r="AH110" s="8"/>
      <c r="AI110" s="8"/>
      <c r="AJ110" s="218" t="s">
        <v>295</v>
      </c>
      <c r="AM110" s="112">
        <f t="shared" si="26"/>
        <v>1796465236</v>
      </c>
    </row>
    <row r="111" spans="1:42" ht="75" x14ac:dyDescent="0.2">
      <c r="A111" s="70"/>
      <c r="B111" s="65"/>
      <c r="C111" s="14" t="s">
        <v>78</v>
      </c>
      <c r="D111" s="14" t="s">
        <v>182</v>
      </c>
      <c r="E111" s="78">
        <v>18.510000000000002</v>
      </c>
      <c r="F111" s="32" t="s">
        <v>28</v>
      </c>
      <c r="G111" s="8"/>
      <c r="H111" s="78">
        <v>40.74</v>
      </c>
      <c r="I111" s="32" t="s">
        <v>28</v>
      </c>
      <c r="J111" s="9">
        <v>8618875000</v>
      </c>
      <c r="K111" s="78">
        <v>25.92</v>
      </c>
      <c r="L111" s="32" t="s">
        <v>28</v>
      </c>
      <c r="M111" s="10">
        <v>1727136175</v>
      </c>
      <c r="N111" s="78">
        <v>25.92</v>
      </c>
      <c r="O111" s="32" t="s">
        <v>28</v>
      </c>
      <c r="P111" s="10">
        <v>1593670000</v>
      </c>
      <c r="Q111" s="78">
        <v>26.67</v>
      </c>
      <c r="R111" s="32" t="s">
        <v>28</v>
      </c>
      <c r="S111" s="10">
        <v>1346489900</v>
      </c>
      <c r="T111" s="78">
        <v>0</v>
      </c>
      <c r="U111" s="32" t="s">
        <v>28</v>
      </c>
      <c r="V111" s="10">
        <v>1483866675</v>
      </c>
      <c r="W111" s="58">
        <f t="shared" ref="W111:W113" si="28">Q111/K111*100</f>
        <v>102.8935185185185</v>
      </c>
      <c r="X111" s="18" t="s">
        <v>28</v>
      </c>
      <c r="Y111" s="289">
        <f>S111/M111*100</f>
        <v>77.960841738492334</v>
      </c>
      <c r="Z111" s="58">
        <f t="shared" ref="Z111:Z113" si="29">T111/N111*100</f>
        <v>0</v>
      </c>
      <c r="AA111" s="18" t="s">
        <v>28</v>
      </c>
      <c r="AB111" s="289">
        <f>V111/P111*100</f>
        <v>93.110033758557293</v>
      </c>
      <c r="AC111" s="78">
        <f t="shared" si="24"/>
        <v>26.67</v>
      </c>
      <c r="AD111" s="18" t="s">
        <v>28</v>
      </c>
      <c r="AE111" s="338">
        <f t="shared" ref="AE111:AE114" si="30">S111+V111</f>
        <v>2830356575</v>
      </c>
      <c r="AF111" s="8"/>
      <c r="AG111" s="8"/>
      <c r="AH111" s="8"/>
      <c r="AI111" s="8"/>
      <c r="AJ111" s="126"/>
      <c r="AM111" s="112">
        <f t="shared" si="26"/>
        <v>1346489900</v>
      </c>
    </row>
    <row r="112" spans="1:42" ht="90" x14ac:dyDescent="0.2">
      <c r="A112" s="70"/>
      <c r="B112" s="65"/>
      <c r="C112" s="14" t="s">
        <v>43</v>
      </c>
      <c r="D112" s="14" t="s">
        <v>183</v>
      </c>
      <c r="E112" s="78">
        <v>2.9</v>
      </c>
      <c r="F112" s="32" t="s">
        <v>28</v>
      </c>
      <c r="G112" s="8"/>
      <c r="H112" s="78">
        <v>9.1300000000000008</v>
      </c>
      <c r="I112" s="32" t="s">
        <v>28</v>
      </c>
      <c r="J112" s="9">
        <v>39047873000</v>
      </c>
      <c r="K112" s="78">
        <v>4.1500000000000004</v>
      </c>
      <c r="L112" s="32" t="s">
        <v>28</v>
      </c>
      <c r="M112" s="10">
        <v>18164219600</v>
      </c>
      <c r="N112" s="78">
        <v>5.39</v>
      </c>
      <c r="O112" s="32" t="s">
        <v>28</v>
      </c>
      <c r="P112" s="10">
        <v>16779438000</v>
      </c>
      <c r="Q112" s="78">
        <v>7.21</v>
      </c>
      <c r="R112" s="32" t="s">
        <v>28</v>
      </c>
      <c r="S112" s="10">
        <v>18144840520</v>
      </c>
      <c r="T112" s="78">
        <v>93.69</v>
      </c>
      <c r="U112" s="32" t="s">
        <v>28</v>
      </c>
      <c r="V112" s="10">
        <v>16069900212</v>
      </c>
      <c r="W112" s="58">
        <f t="shared" si="28"/>
        <v>173.73493975903614</v>
      </c>
      <c r="X112" s="18" t="s">
        <v>28</v>
      </c>
      <c r="Y112" s="289">
        <f t="shared" ref="Y112:Y113" si="31">S112/M112*100</f>
        <v>99.893311794138413</v>
      </c>
      <c r="Z112" s="21">
        <f>T112/N112*100</f>
        <v>1738.2189239332097</v>
      </c>
      <c r="AA112" s="18" t="s">
        <v>28</v>
      </c>
      <c r="AB112" s="289">
        <f>V112/P112*100</f>
        <v>95.771385263320497</v>
      </c>
      <c r="AC112" s="78">
        <f t="shared" si="24"/>
        <v>100.89999999999999</v>
      </c>
      <c r="AD112" s="18" t="s">
        <v>28</v>
      </c>
      <c r="AE112" s="338">
        <f t="shared" si="30"/>
        <v>34214740732</v>
      </c>
      <c r="AF112" s="8"/>
      <c r="AG112" s="8"/>
      <c r="AH112" s="8"/>
      <c r="AI112" s="8"/>
      <c r="AJ112" s="126"/>
      <c r="AM112" s="112">
        <f t="shared" si="26"/>
        <v>18144840520</v>
      </c>
    </row>
    <row r="113" spans="1:42" ht="105" x14ac:dyDescent="0.2">
      <c r="A113" s="70"/>
      <c r="B113" s="65"/>
      <c r="C113" s="14" t="s">
        <v>98</v>
      </c>
      <c r="D113" s="14" t="s">
        <v>184</v>
      </c>
      <c r="E113" s="78">
        <v>31.25</v>
      </c>
      <c r="F113" s="32" t="s">
        <v>28</v>
      </c>
      <c r="G113" s="8"/>
      <c r="H113" s="78">
        <v>59.38</v>
      </c>
      <c r="I113" s="32" t="s">
        <v>28</v>
      </c>
      <c r="J113" s="9">
        <v>15386980000</v>
      </c>
      <c r="K113" s="78">
        <v>25</v>
      </c>
      <c r="L113" s="32" t="s">
        <v>28</v>
      </c>
      <c r="M113" s="10">
        <v>9324446000</v>
      </c>
      <c r="N113" s="78">
        <v>34</v>
      </c>
      <c r="O113" s="32" t="s">
        <v>28</v>
      </c>
      <c r="P113" s="10">
        <v>11117994000</v>
      </c>
      <c r="Q113" s="78">
        <v>81.97</v>
      </c>
      <c r="R113" s="32" t="s">
        <v>28</v>
      </c>
      <c r="S113" s="10">
        <v>9253839000</v>
      </c>
      <c r="T113" s="78">
        <v>93.69</v>
      </c>
      <c r="U113" s="32" t="s">
        <v>28</v>
      </c>
      <c r="V113" s="10">
        <v>10259663790</v>
      </c>
      <c r="W113" s="58">
        <f t="shared" si="28"/>
        <v>327.88</v>
      </c>
      <c r="X113" s="18" t="s">
        <v>28</v>
      </c>
      <c r="Y113" s="289">
        <f t="shared" si="31"/>
        <v>99.242775388478847</v>
      </c>
      <c r="Z113" s="58">
        <f t="shared" si="29"/>
        <v>275.55882352941177</v>
      </c>
      <c r="AA113" s="18" t="s">
        <v>28</v>
      </c>
      <c r="AB113" s="289">
        <f t="shared" ref="AB113" si="32">V113/P113*100</f>
        <v>92.279810458613312</v>
      </c>
      <c r="AC113" s="78">
        <f t="shared" si="24"/>
        <v>175.66</v>
      </c>
      <c r="AD113" s="18" t="s">
        <v>28</v>
      </c>
      <c r="AE113" s="338">
        <f t="shared" si="30"/>
        <v>19513502790</v>
      </c>
      <c r="AF113" s="8"/>
      <c r="AG113" s="8"/>
      <c r="AH113" s="8"/>
      <c r="AI113" s="8"/>
      <c r="AJ113" s="126"/>
      <c r="AM113" s="112">
        <f t="shared" si="26"/>
        <v>9253839000</v>
      </c>
    </row>
    <row r="114" spans="1:42" ht="90" x14ac:dyDescent="0.2">
      <c r="A114" s="13"/>
      <c r="B114" s="13"/>
      <c r="C114" s="101" t="s">
        <v>94</v>
      </c>
      <c r="D114" s="14" t="s">
        <v>185</v>
      </c>
      <c r="E114" s="32">
        <v>40.909999999999997</v>
      </c>
      <c r="F114" s="32" t="s">
        <v>28</v>
      </c>
      <c r="G114" s="3"/>
      <c r="H114" s="18">
        <v>90.91</v>
      </c>
      <c r="I114" s="32" t="s">
        <v>28</v>
      </c>
      <c r="J114" s="233">
        <v>24882571325</v>
      </c>
      <c r="K114" s="32">
        <v>98.18</v>
      </c>
      <c r="L114" s="32" t="s">
        <v>28</v>
      </c>
      <c r="M114" s="230">
        <v>5300764265</v>
      </c>
      <c r="N114" s="32">
        <v>72.73</v>
      </c>
      <c r="O114" s="32" t="s">
        <v>28</v>
      </c>
      <c r="P114" s="230">
        <v>3000925000</v>
      </c>
      <c r="Q114" s="78">
        <f>19/22*100</f>
        <v>86.36363636363636</v>
      </c>
      <c r="R114" s="32" t="s">
        <v>28</v>
      </c>
      <c r="S114" s="230">
        <v>5171513188</v>
      </c>
      <c r="T114" s="78">
        <f>22/22*100</f>
        <v>100</v>
      </c>
      <c r="U114" s="32" t="s">
        <v>28</v>
      </c>
      <c r="V114" s="261">
        <v>2903787499</v>
      </c>
      <c r="W114" s="58">
        <f>Q114/K114*100</f>
        <v>87.964591936887714</v>
      </c>
      <c r="X114" s="18" t="s">
        <v>28</v>
      </c>
      <c r="Y114" s="291">
        <f>S114/M114*100</f>
        <v>97.561652046037551</v>
      </c>
      <c r="Z114" s="58">
        <f>T114/N114*100</f>
        <v>137.49484394335212</v>
      </c>
      <c r="AA114" s="18" t="s">
        <v>28</v>
      </c>
      <c r="AB114" s="291">
        <f>V114/P114*100</f>
        <v>96.763081349917115</v>
      </c>
      <c r="AC114" s="78">
        <f t="shared" si="24"/>
        <v>186.36363636363637</v>
      </c>
      <c r="AD114" s="18" t="s">
        <v>28</v>
      </c>
      <c r="AE114" s="245">
        <f t="shared" si="30"/>
        <v>8075300687</v>
      </c>
      <c r="AF114" s="8"/>
      <c r="AG114" s="8"/>
      <c r="AH114" s="8"/>
      <c r="AI114" s="8"/>
      <c r="AJ114" s="157" t="s">
        <v>297</v>
      </c>
      <c r="AM114" s="112">
        <f t="shared" si="26"/>
        <v>5171513188</v>
      </c>
    </row>
    <row r="115" spans="1:42" ht="75" x14ac:dyDescent="0.2">
      <c r="A115" s="13"/>
      <c r="B115" s="13"/>
      <c r="C115" s="20"/>
      <c r="D115" s="14" t="s">
        <v>591</v>
      </c>
      <c r="E115" s="32">
        <v>14.29</v>
      </c>
      <c r="F115" s="32" t="s">
        <v>28</v>
      </c>
      <c r="G115" s="5"/>
      <c r="H115" s="18">
        <v>90.48</v>
      </c>
      <c r="I115" s="32" t="s">
        <v>28</v>
      </c>
      <c r="J115" s="50"/>
      <c r="K115" s="78">
        <v>38.1</v>
      </c>
      <c r="L115" s="32" t="s">
        <v>28</v>
      </c>
      <c r="M115" s="232"/>
      <c r="N115" s="78">
        <v>52.38</v>
      </c>
      <c r="O115" s="32" t="s">
        <v>28</v>
      </c>
      <c r="P115" s="232"/>
      <c r="Q115" s="78">
        <v>38.1</v>
      </c>
      <c r="R115" s="32" t="s">
        <v>28</v>
      </c>
      <c r="S115" s="232"/>
      <c r="T115" s="58">
        <f>12/21*100</f>
        <v>57.142857142857139</v>
      </c>
      <c r="U115" s="8"/>
      <c r="V115" s="262"/>
      <c r="W115" s="58">
        <f>Q115/K115*100</f>
        <v>100</v>
      </c>
      <c r="X115" s="18" t="s">
        <v>28</v>
      </c>
      <c r="Y115" s="292"/>
      <c r="Z115" s="58">
        <f>T115/N115*100</f>
        <v>109.09289259804721</v>
      </c>
      <c r="AA115" s="18" t="s">
        <v>28</v>
      </c>
      <c r="AB115" s="292"/>
      <c r="AC115" s="78">
        <f t="shared" si="24"/>
        <v>95.242857142857133</v>
      </c>
      <c r="AD115" s="18" t="s">
        <v>28</v>
      </c>
      <c r="AE115" s="5"/>
      <c r="AF115" s="8"/>
      <c r="AG115" s="8"/>
      <c r="AH115" s="8"/>
      <c r="AI115" s="8"/>
      <c r="AJ115" s="126"/>
      <c r="AM115" s="112">
        <f t="shared" si="26"/>
        <v>0</v>
      </c>
    </row>
    <row r="116" spans="1:42" ht="90" x14ac:dyDescent="0.2">
      <c r="A116" s="13"/>
      <c r="B116" s="13"/>
      <c r="C116" s="14" t="s">
        <v>186</v>
      </c>
      <c r="D116" s="14" t="s">
        <v>187</v>
      </c>
      <c r="E116" s="32">
        <v>76.94</v>
      </c>
      <c r="F116" s="32" t="s">
        <v>28</v>
      </c>
      <c r="G116" s="23">
        <v>20326858000</v>
      </c>
      <c r="H116" s="18">
        <v>80.040000000000006</v>
      </c>
      <c r="I116" s="32" t="s">
        <v>28</v>
      </c>
      <c r="J116" s="9">
        <v>35454967500</v>
      </c>
      <c r="K116" s="32">
        <v>77.62</v>
      </c>
      <c r="L116" s="32" t="s">
        <v>28</v>
      </c>
      <c r="M116" s="10">
        <v>7645793500</v>
      </c>
      <c r="N116" s="32">
        <v>78.27</v>
      </c>
      <c r="O116" s="32" t="s">
        <v>28</v>
      </c>
      <c r="P116" s="10">
        <v>10727539000</v>
      </c>
      <c r="Q116" s="78">
        <v>78.64</v>
      </c>
      <c r="R116" s="32" t="s">
        <v>28</v>
      </c>
      <c r="S116" s="63">
        <v>7418236900</v>
      </c>
      <c r="T116" s="32">
        <f>45228/56296*100</f>
        <v>80.339633366491398</v>
      </c>
      <c r="U116" s="32" t="s">
        <v>28</v>
      </c>
      <c r="V116" s="63">
        <v>10727539000</v>
      </c>
      <c r="W116" s="58">
        <f>Q116/K116*100</f>
        <v>101.31409430559133</v>
      </c>
      <c r="X116" s="18" t="s">
        <v>28</v>
      </c>
      <c r="Y116" s="291">
        <f>S116/M116*100</f>
        <v>97.023767382679111</v>
      </c>
      <c r="Z116" s="58">
        <f>T116/N116*100</f>
        <v>102.64422303116316</v>
      </c>
      <c r="AA116" s="18" t="s">
        <v>28</v>
      </c>
      <c r="AB116" s="289">
        <f>V116/P116*100</f>
        <v>100</v>
      </c>
      <c r="AC116" s="78">
        <f t="shared" si="24"/>
        <v>158.97963336649138</v>
      </c>
      <c r="AD116" s="18" t="s">
        <v>28</v>
      </c>
      <c r="AE116" s="338">
        <f t="shared" ref="AE116" si="33">S116+V116</f>
        <v>18145775900</v>
      </c>
      <c r="AF116" s="8"/>
      <c r="AG116" s="8"/>
      <c r="AH116" s="8"/>
      <c r="AI116" s="8"/>
      <c r="AJ116" s="157" t="s">
        <v>331</v>
      </c>
      <c r="AM116" s="112">
        <f t="shared" si="26"/>
        <v>7418236900</v>
      </c>
    </row>
    <row r="117" spans="1:42" ht="15" x14ac:dyDescent="0.2">
      <c r="A117" s="446" t="s">
        <v>5</v>
      </c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121">
        <f>AVERAGE(W109:W116)</f>
        <v>135.90372093385668</v>
      </c>
      <c r="X117" s="122"/>
      <c r="Y117" s="121"/>
      <c r="Z117" s="121">
        <f>AVERAGE(Z109:Z116)</f>
        <v>312.08744332592204</v>
      </c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26"/>
      <c r="AM117" s="112"/>
    </row>
    <row r="118" spans="1:42" ht="15" x14ac:dyDescent="0.2">
      <c r="A118" s="446" t="s">
        <v>6</v>
      </c>
      <c r="B118" s="446"/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195" t="str">
        <f>IF(W117&gt;=91,"Sangat Tinggi",IF(W117&gt;=76,"Tinggi",IF(W117&gt;=66,"Sedang",IF(W117&gt;=51,"Rendah",IF(W117&lt;=50,"Sangat Rendah")))))</f>
        <v>Sangat Tinggi</v>
      </c>
      <c r="X118" s="122"/>
      <c r="Y118" s="102"/>
      <c r="Z118" s="195" t="str">
        <f>IF(Z117&gt;=91,"Sangat Tinggi",IF(Z117&gt;=76,"Tinggi",IF(Z117&gt;=66,"Sedang",IF(Z117&gt;=51,"Rendah",IF(Z117&lt;=50,"Sangat Rendah")))))</f>
        <v>Sangat Tinggi</v>
      </c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26"/>
      <c r="AM118" s="112"/>
    </row>
    <row r="119" spans="1:42" ht="15" x14ac:dyDescent="0.2">
      <c r="A119" s="429" t="s">
        <v>7</v>
      </c>
      <c r="B119" s="429"/>
      <c r="C119" s="429"/>
      <c r="D119" s="429"/>
      <c r="E119" s="429"/>
      <c r="F119" s="429"/>
      <c r="G119" s="429"/>
      <c r="H119" s="429"/>
      <c r="I119" s="429"/>
      <c r="J119" s="429"/>
      <c r="K119" s="429"/>
      <c r="L119" s="429"/>
      <c r="M119" s="429"/>
      <c r="N119" s="429"/>
      <c r="O119" s="429"/>
      <c r="P119" s="429"/>
      <c r="Q119" s="429"/>
      <c r="R119" s="429"/>
      <c r="S119" s="429"/>
      <c r="T119" s="429"/>
      <c r="U119" s="429"/>
      <c r="V119" s="429"/>
      <c r="W119" s="429"/>
      <c r="X119" s="429"/>
      <c r="Y119" s="429"/>
      <c r="Z119" s="429"/>
      <c r="AA119" s="429"/>
      <c r="AB119" s="429"/>
      <c r="AC119" s="429"/>
      <c r="AD119" s="429"/>
      <c r="AE119" s="429"/>
      <c r="AF119" s="429"/>
      <c r="AG119" s="429"/>
      <c r="AH119" s="429"/>
      <c r="AI119" s="429"/>
      <c r="AJ119" s="126"/>
      <c r="AM119" s="112"/>
    </row>
    <row r="120" spans="1:42" ht="15" x14ac:dyDescent="0.2">
      <c r="A120" s="429" t="s">
        <v>8</v>
      </c>
      <c r="B120" s="429"/>
      <c r="C120" s="429"/>
      <c r="D120" s="429"/>
      <c r="E120" s="429"/>
      <c r="F120" s="429"/>
      <c r="G120" s="429"/>
      <c r="H120" s="429"/>
      <c r="I120" s="429"/>
      <c r="J120" s="429"/>
      <c r="K120" s="429"/>
      <c r="L120" s="429"/>
      <c r="M120" s="429"/>
      <c r="N120" s="429"/>
      <c r="O120" s="429"/>
      <c r="P120" s="429"/>
      <c r="Q120" s="429"/>
      <c r="R120" s="429"/>
      <c r="S120" s="429"/>
      <c r="T120" s="429"/>
      <c r="U120" s="429"/>
      <c r="V120" s="429"/>
      <c r="W120" s="429"/>
      <c r="X120" s="429"/>
      <c r="Y120" s="429"/>
      <c r="Z120" s="429"/>
      <c r="AA120" s="429"/>
      <c r="AB120" s="429"/>
      <c r="AC120" s="429"/>
      <c r="AD120" s="429"/>
      <c r="AE120" s="429"/>
      <c r="AF120" s="429"/>
      <c r="AG120" s="429"/>
      <c r="AH120" s="429"/>
      <c r="AI120" s="429"/>
      <c r="AJ120" s="126"/>
      <c r="AM120" s="112"/>
    </row>
    <row r="121" spans="1:42" ht="15" x14ac:dyDescent="0.2">
      <c r="A121" s="429" t="s">
        <v>9</v>
      </c>
      <c r="B121" s="429"/>
      <c r="C121" s="429"/>
      <c r="D121" s="429"/>
      <c r="E121" s="429"/>
      <c r="F121" s="429"/>
      <c r="G121" s="429"/>
      <c r="H121" s="429"/>
      <c r="I121" s="429"/>
      <c r="J121" s="429"/>
      <c r="K121" s="429"/>
      <c r="L121" s="429"/>
      <c r="M121" s="429"/>
      <c r="N121" s="429"/>
      <c r="O121" s="429"/>
      <c r="P121" s="429"/>
      <c r="Q121" s="429"/>
      <c r="R121" s="429"/>
      <c r="S121" s="429"/>
      <c r="T121" s="429"/>
      <c r="U121" s="429"/>
      <c r="V121" s="429"/>
      <c r="W121" s="429"/>
      <c r="X121" s="429"/>
      <c r="Y121" s="429"/>
      <c r="Z121" s="429"/>
      <c r="AA121" s="429"/>
      <c r="AB121" s="429"/>
      <c r="AC121" s="429"/>
      <c r="AD121" s="429"/>
      <c r="AE121" s="429"/>
      <c r="AF121" s="429"/>
      <c r="AG121" s="429"/>
      <c r="AH121" s="429"/>
      <c r="AI121" s="429"/>
      <c r="AJ121" s="126"/>
      <c r="AM121" s="112"/>
    </row>
    <row r="122" spans="1:42" ht="15" x14ac:dyDescent="0.2">
      <c r="A122" s="429" t="s">
        <v>10</v>
      </c>
      <c r="B122" s="429"/>
      <c r="C122" s="429"/>
      <c r="D122" s="429"/>
      <c r="E122" s="429"/>
      <c r="F122" s="429"/>
      <c r="G122" s="429"/>
      <c r="H122" s="429"/>
      <c r="I122" s="429"/>
      <c r="J122" s="429"/>
      <c r="K122" s="429"/>
      <c r="L122" s="429"/>
      <c r="M122" s="429"/>
      <c r="N122" s="429"/>
      <c r="O122" s="429"/>
      <c r="P122" s="429"/>
      <c r="Q122" s="429"/>
      <c r="R122" s="429"/>
      <c r="S122" s="429"/>
      <c r="T122" s="429"/>
      <c r="U122" s="429"/>
      <c r="V122" s="429"/>
      <c r="W122" s="429"/>
      <c r="X122" s="429"/>
      <c r="Y122" s="429"/>
      <c r="Z122" s="429"/>
      <c r="AA122" s="429"/>
      <c r="AB122" s="429"/>
      <c r="AC122" s="429"/>
      <c r="AD122" s="429"/>
      <c r="AE122" s="429"/>
      <c r="AF122" s="429"/>
      <c r="AG122" s="429"/>
      <c r="AH122" s="429"/>
      <c r="AI122" s="429"/>
      <c r="AJ122" s="127"/>
      <c r="AM122" s="112"/>
    </row>
    <row r="123" spans="1:42" ht="15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M123" s="112"/>
    </row>
    <row r="124" spans="1:42" ht="15" x14ac:dyDescent="0.2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M124" s="112"/>
    </row>
    <row r="125" spans="1:42" ht="15" x14ac:dyDescent="0.2">
      <c r="A125" s="125"/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M125" s="112"/>
    </row>
    <row r="126" spans="1:42" ht="68.25" customHeight="1" x14ac:dyDescent="0.2">
      <c r="A126" s="444" t="s">
        <v>0</v>
      </c>
      <c r="B126" s="444" t="s">
        <v>272</v>
      </c>
      <c r="C126" s="445" t="s">
        <v>1</v>
      </c>
      <c r="D126" s="445" t="s">
        <v>327</v>
      </c>
      <c r="E126" s="435" t="s">
        <v>21</v>
      </c>
      <c r="F126" s="436"/>
      <c r="G126" s="437"/>
      <c r="H126" s="435" t="s">
        <v>20</v>
      </c>
      <c r="I126" s="436"/>
      <c r="J126" s="437"/>
      <c r="K126" s="412" t="s">
        <v>582</v>
      </c>
      <c r="L126" s="413"/>
      <c r="M126" s="413"/>
      <c r="N126" s="413"/>
      <c r="O126" s="413"/>
      <c r="P126" s="414"/>
      <c r="Q126" s="412" t="s">
        <v>583</v>
      </c>
      <c r="R126" s="413"/>
      <c r="S126" s="413"/>
      <c r="T126" s="413"/>
      <c r="U126" s="413"/>
      <c r="V126" s="413"/>
      <c r="W126" s="412" t="s">
        <v>584</v>
      </c>
      <c r="X126" s="413"/>
      <c r="Y126" s="413"/>
      <c r="Z126" s="413"/>
      <c r="AA126" s="413"/>
      <c r="AB126" s="413"/>
      <c r="AC126" s="412" t="s">
        <v>19</v>
      </c>
      <c r="AD126" s="413"/>
      <c r="AE126" s="414"/>
      <c r="AF126" s="412" t="s">
        <v>4</v>
      </c>
      <c r="AG126" s="413"/>
      <c r="AH126" s="413"/>
      <c r="AI126" s="414"/>
      <c r="AJ126" s="433" t="s">
        <v>294</v>
      </c>
      <c r="AL126" s="62"/>
      <c r="AM126" s="112"/>
      <c r="AN126" s="62"/>
      <c r="AO126" s="62"/>
      <c r="AP126" s="62"/>
    </row>
    <row r="127" spans="1:42" ht="18" customHeight="1" x14ac:dyDescent="0.2">
      <c r="A127" s="444"/>
      <c r="B127" s="444"/>
      <c r="C127" s="445"/>
      <c r="D127" s="445"/>
      <c r="E127" s="438"/>
      <c r="F127" s="439"/>
      <c r="G127" s="440"/>
      <c r="H127" s="438"/>
      <c r="I127" s="439"/>
      <c r="J127" s="440"/>
      <c r="K127" s="415"/>
      <c r="L127" s="416"/>
      <c r="M127" s="416"/>
      <c r="N127" s="416"/>
      <c r="O127" s="416"/>
      <c r="P127" s="417"/>
      <c r="Q127" s="415"/>
      <c r="R127" s="416"/>
      <c r="S127" s="416"/>
      <c r="T127" s="416"/>
      <c r="U127" s="416"/>
      <c r="V127" s="416"/>
      <c r="W127" s="415"/>
      <c r="X127" s="416"/>
      <c r="Y127" s="416"/>
      <c r="Z127" s="416"/>
      <c r="AA127" s="416"/>
      <c r="AB127" s="416"/>
      <c r="AC127" s="430"/>
      <c r="AD127" s="431"/>
      <c r="AE127" s="432"/>
      <c r="AF127" s="430"/>
      <c r="AG127" s="431"/>
      <c r="AH127" s="431"/>
      <c r="AI127" s="432"/>
      <c r="AJ127" s="434"/>
      <c r="AM127" s="112"/>
    </row>
    <row r="128" spans="1:42" ht="15.75" customHeight="1" x14ac:dyDescent="0.2">
      <c r="A128" s="444"/>
      <c r="B128" s="444"/>
      <c r="C128" s="445"/>
      <c r="D128" s="445"/>
      <c r="E128" s="441"/>
      <c r="F128" s="442"/>
      <c r="G128" s="443"/>
      <c r="H128" s="441"/>
      <c r="I128" s="442"/>
      <c r="J128" s="443"/>
      <c r="K128" s="398" t="s">
        <v>580</v>
      </c>
      <c r="L128" s="399"/>
      <c r="M128" s="400"/>
      <c r="N128" s="398" t="s">
        <v>581</v>
      </c>
      <c r="O128" s="399"/>
      <c r="P128" s="400"/>
      <c r="Q128" s="398" t="s">
        <v>580</v>
      </c>
      <c r="R128" s="399"/>
      <c r="S128" s="400"/>
      <c r="T128" s="398" t="s">
        <v>581</v>
      </c>
      <c r="U128" s="399"/>
      <c r="V128" s="400"/>
      <c r="W128" s="398" t="s">
        <v>580</v>
      </c>
      <c r="X128" s="399"/>
      <c r="Y128" s="400"/>
      <c r="Z128" s="398" t="s">
        <v>581</v>
      </c>
      <c r="AA128" s="399"/>
      <c r="AB128" s="400"/>
      <c r="AC128" s="415"/>
      <c r="AD128" s="416"/>
      <c r="AE128" s="417"/>
      <c r="AF128" s="415"/>
      <c r="AG128" s="416"/>
      <c r="AH128" s="416"/>
      <c r="AI128" s="417"/>
      <c r="AJ128" s="128"/>
      <c r="AM128" s="112"/>
    </row>
    <row r="129" spans="1:39" ht="15.75" x14ac:dyDescent="0.25">
      <c r="A129" s="411">
        <v>1</v>
      </c>
      <c r="B129" s="411">
        <v>2</v>
      </c>
      <c r="C129" s="411">
        <v>3</v>
      </c>
      <c r="D129" s="411">
        <v>4</v>
      </c>
      <c r="E129" s="420">
        <v>5</v>
      </c>
      <c r="F129" s="421"/>
      <c r="G129" s="422"/>
      <c r="H129" s="420">
        <v>6</v>
      </c>
      <c r="I129" s="421"/>
      <c r="J129" s="422"/>
      <c r="K129" s="401">
        <v>7</v>
      </c>
      <c r="L129" s="402"/>
      <c r="M129" s="403"/>
      <c r="N129" s="401">
        <v>8</v>
      </c>
      <c r="O129" s="402"/>
      <c r="P129" s="403"/>
      <c r="Q129" s="401">
        <v>12</v>
      </c>
      <c r="R129" s="402"/>
      <c r="S129" s="403"/>
      <c r="T129" s="401">
        <v>13</v>
      </c>
      <c r="U129" s="402"/>
      <c r="V129" s="403"/>
      <c r="W129" s="395">
        <v>17</v>
      </c>
      <c r="X129" s="396"/>
      <c r="Y129" s="397"/>
      <c r="Z129" s="395">
        <v>18</v>
      </c>
      <c r="AA129" s="396"/>
      <c r="AB129" s="397"/>
      <c r="AC129" s="395">
        <v>22</v>
      </c>
      <c r="AD129" s="396"/>
      <c r="AE129" s="397"/>
      <c r="AF129" s="395">
        <v>23</v>
      </c>
      <c r="AG129" s="396"/>
      <c r="AH129" s="396"/>
      <c r="AI129" s="397"/>
      <c r="AJ129" s="129"/>
      <c r="AM129" s="112"/>
    </row>
    <row r="130" spans="1:39" ht="87" customHeight="1" x14ac:dyDescent="0.2">
      <c r="A130" s="419"/>
      <c r="B130" s="419"/>
      <c r="C130" s="419"/>
      <c r="D130" s="419"/>
      <c r="E130" s="404" t="s">
        <v>2</v>
      </c>
      <c r="F130" s="405"/>
      <c r="G130" s="408" t="s">
        <v>3</v>
      </c>
      <c r="H130" s="404" t="s">
        <v>2</v>
      </c>
      <c r="I130" s="405"/>
      <c r="J130" s="408" t="s">
        <v>3</v>
      </c>
      <c r="K130" s="404" t="s">
        <v>2</v>
      </c>
      <c r="L130" s="405"/>
      <c r="M130" s="411" t="s">
        <v>3</v>
      </c>
      <c r="N130" s="404" t="s">
        <v>2</v>
      </c>
      <c r="O130" s="405"/>
      <c r="P130" s="411" t="s">
        <v>3</v>
      </c>
      <c r="Q130" s="404" t="s">
        <v>2</v>
      </c>
      <c r="R130" s="405"/>
      <c r="S130" s="411" t="s">
        <v>3</v>
      </c>
      <c r="T130" s="404" t="s">
        <v>2</v>
      </c>
      <c r="U130" s="405"/>
      <c r="V130" s="411" t="s">
        <v>3</v>
      </c>
      <c r="W130" s="420" t="s">
        <v>13</v>
      </c>
      <c r="X130" s="422"/>
      <c r="Y130" s="106" t="s">
        <v>14</v>
      </c>
      <c r="Z130" s="420" t="s">
        <v>15</v>
      </c>
      <c r="AA130" s="422"/>
      <c r="AB130" s="106" t="s">
        <v>16</v>
      </c>
      <c r="AC130" s="404" t="s">
        <v>2</v>
      </c>
      <c r="AD130" s="405"/>
      <c r="AE130" s="405" t="s">
        <v>3</v>
      </c>
      <c r="AF130" s="420" t="s">
        <v>18</v>
      </c>
      <c r="AG130" s="422"/>
      <c r="AH130" s="425" t="s">
        <v>22</v>
      </c>
      <c r="AI130" s="106" t="s">
        <v>17</v>
      </c>
      <c r="AJ130" s="130"/>
      <c r="AM130" s="112"/>
    </row>
    <row r="131" spans="1:39" ht="15.75" x14ac:dyDescent="0.2">
      <c r="A131" s="408"/>
      <c r="B131" s="408"/>
      <c r="C131" s="408"/>
      <c r="D131" s="408"/>
      <c r="E131" s="406"/>
      <c r="F131" s="407"/>
      <c r="G131" s="409"/>
      <c r="H131" s="406"/>
      <c r="I131" s="407"/>
      <c r="J131" s="409"/>
      <c r="K131" s="406"/>
      <c r="L131" s="407"/>
      <c r="M131" s="408"/>
      <c r="N131" s="406"/>
      <c r="O131" s="407"/>
      <c r="P131" s="408"/>
      <c r="Q131" s="406"/>
      <c r="R131" s="407"/>
      <c r="S131" s="408"/>
      <c r="T131" s="406"/>
      <c r="U131" s="407"/>
      <c r="V131" s="408"/>
      <c r="W131" s="406" t="s">
        <v>2</v>
      </c>
      <c r="X131" s="407"/>
      <c r="Y131" s="226" t="s">
        <v>3</v>
      </c>
      <c r="Z131" s="427" t="s">
        <v>2</v>
      </c>
      <c r="AA131" s="428"/>
      <c r="AB131" s="226" t="s">
        <v>3</v>
      </c>
      <c r="AC131" s="406"/>
      <c r="AD131" s="407"/>
      <c r="AE131" s="407"/>
      <c r="AF131" s="406" t="s">
        <v>2</v>
      </c>
      <c r="AG131" s="407"/>
      <c r="AH131" s="426"/>
      <c r="AI131" s="226" t="s">
        <v>3</v>
      </c>
      <c r="AJ131" s="130"/>
      <c r="AM131" s="112"/>
    </row>
    <row r="132" spans="1:39" ht="87" customHeight="1" x14ac:dyDescent="0.25">
      <c r="A132" s="70">
        <v>5</v>
      </c>
      <c r="B132" s="65" t="s">
        <v>102</v>
      </c>
      <c r="C132" s="14"/>
      <c r="D132" s="66" t="s">
        <v>289</v>
      </c>
      <c r="E132" s="273">
        <v>54.97</v>
      </c>
      <c r="F132" s="273" t="s">
        <v>28</v>
      </c>
      <c r="G132" s="275"/>
      <c r="H132" s="288">
        <v>67.2</v>
      </c>
      <c r="I132" s="273" t="s">
        <v>28</v>
      </c>
      <c r="J132" s="276">
        <f>J133</f>
        <v>679850000</v>
      </c>
      <c r="K132" s="277">
        <v>56.58</v>
      </c>
      <c r="L132" s="273" t="s">
        <v>28</v>
      </c>
      <c r="M132" s="276">
        <f>M133</f>
        <v>474195000</v>
      </c>
      <c r="N132" s="277">
        <v>60</v>
      </c>
      <c r="O132" s="273" t="s">
        <v>28</v>
      </c>
      <c r="P132" s="276">
        <f>P133</f>
        <v>4373245000</v>
      </c>
      <c r="Q132" s="277">
        <v>61.4</v>
      </c>
      <c r="R132" s="273" t="s">
        <v>28</v>
      </c>
      <c r="S132" s="276">
        <f>S133</f>
        <v>452629700</v>
      </c>
      <c r="T132" s="277">
        <f>9736/17409*100</f>
        <v>55.925096214601645</v>
      </c>
      <c r="U132" s="273" t="s">
        <v>28</v>
      </c>
      <c r="V132" s="276">
        <f>V133</f>
        <v>4314695000</v>
      </c>
      <c r="W132" s="288">
        <f>Q132/K132*100</f>
        <v>108.51891127606928</v>
      </c>
      <c r="X132" s="282" t="s">
        <v>28</v>
      </c>
      <c r="Y132" s="294">
        <f>S132/M132*100</f>
        <v>95.452229568004725</v>
      </c>
      <c r="Z132" s="288">
        <f>T132/N132*100</f>
        <v>93.20849369100273</v>
      </c>
      <c r="AA132" s="282" t="s">
        <v>28</v>
      </c>
      <c r="AB132" s="294">
        <f>V132/P132*100</f>
        <v>98.66117722652173</v>
      </c>
      <c r="AC132" s="277">
        <f t="shared" ref="AC132:AC137" si="34">Q132+T132</f>
        <v>117.32509621460164</v>
      </c>
      <c r="AD132" s="282" t="s">
        <v>28</v>
      </c>
      <c r="AE132" s="374">
        <f t="shared" ref="AE132:AE133" si="35">S132+V132</f>
        <v>4767324700</v>
      </c>
      <c r="AF132" s="275"/>
      <c r="AG132" s="275"/>
      <c r="AH132" s="275"/>
      <c r="AI132" s="275"/>
      <c r="AJ132" s="208" t="s">
        <v>302</v>
      </c>
      <c r="AM132" s="112">
        <f t="shared" ref="AM132:AM140" si="36">S132</f>
        <v>452629700</v>
      </c>
    </row>
    <row r="133" spans="1:39" ht="120" x14ac:dyDescent="0.2">
      <c r="A133" s="70"/>
      <c r="B133" s="65"/>
      <c r="C133" s="14" t="s">
        <v>190</v>
      </c>
      <c r="D133" s="14" t="s">
        <v>191</v>
      </c>
      <c r="E133" s="32">
        <v>35.33</v>
      </c>
      <c r="F133" s="32" t="s">
        <v>28</v>
      </c>
      <c r="G133" s="8"/>
      <c r="H133" s="78">
        <v>66.319999999999993</v>
      </c>
      <c r="I133" s="32" t="s">
        <v>28</v>
      </c>
      <c r="J133" s="9">
        <v>679850000</v>
      </c>
      <c r="K133" s="78">
        <v>56.07</v>
      </c>
      <c r="L133" s="32" t="s">
        <v>28</v>
      </c>
      <c r="M133" s="10">
        <v>474195000</v>
      </c>
      <c r="N133" s="78">
        <v>58.63</v>
      </c>
      <c r="O133" s="32" t="s">
        <v>28</v>
      </c>
      <c r="P133" s="10">
        <v>4373245000</v>
      </c>
      <c r="Q133" s="78">
        <v>56.07</v>
      </c>
      <c r="R133" s="32" t="s">
        <v>28</v>
      </c>
      <c r="S133" s="63">
        <v>452629700</v>
      </c>
      <c r="T133" s="78">
        <f>200/427*100</f>
        <v>46.838407494145201</v>
      </c>
      <c r="U133" s="32" t="s">
        <v>28</v>
      </c>
      <c r="V133" s="63">
        <v>4314695000</v>
      </c>
      <c r="W133" s="58">
        <f>Q133/K133*100</f>
        <v>100</v>
      </c>
      <c r="X133" s="18" t="s">
        <v>28</v>
      </c>
      <c r="Y133" s="289">
        <f>S133/M133*100</f>
        <v>95.452229568004725</v>
      </c>
      <c r="Z133" s="58">
        <f>T133/N133*100</f>
        <v>79.888124670211837</v>
      </c>
      <c r="AA133" s="18" t="s">
        <v>28</v>
      </c>
      <c r="AB133" s="289">
        <f>V133/P133*100</f>
        <v>98.66117722652173</v>
      </c>
      <c r="AC133" s="78">
        <f t="shared" si="34"/>
        <v>102.90840749414519</v>
      </c>
      <c r="AD133" s="18" t="s">
        <v>28</v>
      </c>
      <c r="AE133" s="338">
        <f t="shared" si="35"/>
        <v>4767324700</v>
      </c>
      <c r="AF133" s="8"/>
      <c r="AG133" s="8"/>
      <c r="AH133" s="8"/>
      <c r="AI133" s="8"/>
      <c r="AJ133" s="126"/>
      <c r="AM133" s="112">
        <f t="shared" si="36"/>
        <v>452629700</v>
      </c>
    </row>
    <row r="134" spans="1:39" ht="105" x14ac:dyDescent="0.2">
      <c r="A134" s="70"/>
      <c r="B134" s="65"/>
      <c r="C134" s="14" t="s">
        <v>51</v>
      </c>
      <c r="D134" s="14" t="s">
        <v>192</v>
      </c>
      <c r="E134" s="32">
        <v>100</v>
      </c>
      <c r="F134" s="32" t="s">
        <v>28</v>
      </c>
      <c r="G134" s="8"/>
      <c r="H134" s="96">
        <v>100</v>
      </c>
      <c r="I134" s="32" t="s">
        <v>28</v>
      </c>
      <c r="J134" s="9">
        <v>383000000</v>
      </c>
      <c r="K134" s="96">
        <v>100</v>
      </c>
      <c r="L134" s="32" t="s">
        <v>28</v>
      </c>
      <c r="M134" s="10">
        <v>76600000</v>
      </c>
      <c r="N134" s="96">
        <v>100</v>
      </c>
      <c r="O134" s="32" t="s">
        <v>28</v>
      </c>
      <c r="P134" s="10">
        <v>110200000</v>
      </c>
      <c r="Q134" s="78">
        <v>100</v>
      </c>
      <c r="R134" s="32" t="s">
        <v>28</v>
      </c>
      <c r="S134" s="63">
        <v>76600000</v>
      </c>
      <c r="T134" s="32">
        <v>100</v>
      </c>
      <c r="U134" s="32" t="s">
        <v>28</v>
      </c>
      <c r="V134" s="63">
        <v>90000000</v>
      </c>
      <c r="W134" s="58">
        <f t="shared" ref="W134:W137" si="37">Q134/K134*100</f>
        <v>100</v>
      </c>
      <c r="X134" s="18" t="s">
        <v>28</v>
      </c>
      <c r="Y134" s="289">
        <f t="shared" ref="Y134:Y137" si="38">S134/M134*100</f>
        <v>100</v>
      </c>
      <c r="Z134" s="58">
        <f t="shared" ref="Z134:Z135" si="39">T134/N134*100</f>
        <v>100</v>
      </c>
      <c r="AA134" s="18" t="s">
        <v>28</v>
      </c>
      <c r="AB134" s="289">
        <f t="shared" ref="AB134:AB136" si="40">V134/P134*100</f>
        <v>81.669691470054445</v>
      </c>
      <c r="AC134" s="78">
        <f t="shared" si="34"/>
        <v>200</v>
      </c>
      <c r="AD134" s="18" t="s">
        <v>28</v>
      </c>
      <c r="AE134" s="338">
        <f t="shared" ref="AE134:AE138" si="41">S134+V134</f>
        <v>166600000</v>
      </c>
      <c r="AF134" s="8"/>
      <c r="AG134" s="8"/>
      <c r="AH134" s="8"/>
      <c r="AI134" s="8"/>
      <c r="AJ134" s="216" t="s">
        <v>303</v>
      </c>
      <c r="AM134" s="112">
        <f t="shared" si="36"/>
        <v>76600000</v>
      </c>
    </row>
    <row r="135" spans="1:39" ht="105" x14ac:dyDescent="0.2">
      <c r="A135" s="70"/>
      <c r="B135" s="65"/>
      <c r="C135" s="14" t="s">
        <v>604</v>
      </c>
      <c r="D135" s="14" t="s">
        <v>193</v>
      </c>
      <c r="E135" s="32">
        <v>100</v>
      </c>
      <c r="F135" s="32" t="s">
        <v>28</v>
      </c>
      <c r="G135" s="8"/>
      <c r="H135" s="96">
        <v>100</v>
      </c>
      <c r="I135" s="32" t="s">
        <v>28</v>
      </c>
      <c r="J135" s="9">
        <v>3601959750</v>
      </c>
      <c r="K135" s="96">
        <v>100</v>
      </c>
      <c r="L135" s="32" t="s">
        <v>28</v>
      </c>
      <c r="M135" s="10">
        <v>3279228200</v>
      </c>
      <c r="N135" s="96">
        <v>100</v>
      </c>
      <c r="O135" s="32" t="s">
        <v>28</v>
      </c>
      <c r="P135" s="10">
        <v>67650000</v>
      </c>
      <c r="Q135" s="78">
        <v>100</v>
      </c>
      <c r="R135" s="32" t="s">
        <v>28</v>
      </c>
      <c r="S135" s="63">
        <v>2129857800</v>
      </c>
      <c r="T135" s="32">
        <v>100</v>
      </c>
      <c r="U135" s="32" t="s">
        <v>28</v>
      </c>
      <c r="V135" s="63">
        <v>22777500</v>
      </c>
      <c r="W135" s="58">
        <f t="shared" si="37"/>
        <v>100</v>
      </c>
      <c r="X135" s="18" t="s">
        <v>28</v>
      </c>
      <c r="Y135" s="289">
        <f t="shared" si="38"/>
        <v>64.949972069647373</v>
      </c>
      <c r="Z135" s="58">
        <f t="shared" si="39"/>
        <v>100</v>
      </c>
      <c r="AA135" s="18" t="s">
        <v>28</v>
      </c>
      <c r="AB135" s="289">
        <f t="shared" si="40"/>
        <v>33.669623059866957</v>
      </c>
      <c r="AC135" s="78">
        <f t="shared" si="34"/>
        <v>200</v>
      </c>
      <c r="AD135" s="18" t="s">
        <v>28</v>
      </c>
      <c r="AE135" s="338">
        <f t="shared" si="41"/>
        <v>2152635300</v>
      </c>
      <c r="AF135" s="8"/>
      <c r="AG135" s="8"/>
      <c r="AH135" s="8"/>
      <c r="AI135" s="8"/>
      <c r="AJ135" s="126"/>
      <c r="AM135" s="112">
        <f t="shared" si="36"/>
        <v>2129857800</v>
      </c>
    </row>
    <row r="136" spans="1:39" ht="60" x14ac:dyDescent="0.2">
      <c r="A136" s="70"/>
      <c r="B136" s="65"/>
      <c r="C136" s="14" t="s">
        <v>194</v>
      </c>
      <c r="D136" s="14" t="s">
        <v>195</v>
      </c>
      <c r="E136" s="78">
        <v>25</v>
      </c>
      <c r="F136" s="32" t="s">
        <v>28</v>
      </c>
      <c r="G136" s="8"/>
      <c r="H136" s="96">
        <v>100</v>
      </c>
      <c r="I136" s="32" t="s">
        <v>28</v>
      </c>
      <c r="J136" s="9">
        <v>430150000</v>
      </c>
      <c r="K136" s="78">
        <v>37.5</v>
      </c>
      <c r="L136" s="32" t="s">
        <v>28</v>
      </c>
      <c r="M136" s="10">
        <v>86030000</v>
      </c>
      <c r="N136" s="78">
        <v>50</v>
      </c>
      <c r="O136" s="32" t="s">
        <v>28</v>
      </c>
      <c r="P136" s="10">
        <v>36727400</v>
      </c>
      <c r="Q136" s="78">
        <v>100</v>
      </c>
      <c r="R136" s="32" t="s">
        <v>28</v>
      </c>
      <c r="S136" s="63">
        <v>76734950</v>
      </c>
      <c r="T136" s="78">
        <v>100</v>
      </c>
      <c r="U136" s="32" t="s">
        <v>28</v>
      </c>
      <c r="V136" s="63">
        <v>14171750</v>
      </c>
      <c r="W136" s="58">
        <f>Q136/K136*100</f>
        <v>266.66666666666663</v>
      </c>
      <c r="X136" s="18" t="s">
        <v>28</v>
      </c>
      <c r="Y136" s="289">
        <f t="shared" si="38"/>
        <v>89.195571312332916</v>
      </c>
      <c r="Z136" s="58">
        <f>T136/N136*100</f>
        <v>200</v>
      </c>
      <c r="AA136" s="18" t="s">
        <v>28</v>
      </c>
      <c r="AB136" s="289">
        <f t="shared" si="40"/>
        <v>38.58631430485142</v>
      </c>
      <c r="AC136" s="78">
        <f t="shared" si="34"/>
        <v>200</v>
      </c>
      <c r="AD136" s="18" t="s">
        <v>28</v>
      </c>
      <c r="AE136" s="338">
        <f t="shared" si="41"/>
        <v>90906700</v>
      </c>
      <c r="AF136" s="8"/>
      <c r="AG136" s="8"/>
      <c r="AH136" s="8"/>
      <c r="AI136" s="8"/>
      <c r="AJ136" s="126"/>
      <c r="AM136" s="112">
        <f t="shared" si="36"/>
        <v>76734950</v>
      </c>
    </row>
    <row r="137" spans="1:39" ht="195" x14ac:dyDescent="0.2">
      <c r="A137" s="70"/>
      <c r="B137" s="65"/>
      <c r="C137" s="14" t="s">
        <v>279</v>
      </c>
      <c r="D137" s="14" t="s">
        <v>196</v>
      </c>
      <c r="E137" s="32">
        <v>100</v>
      </c>
      <c r="F137" s="32" t="s">
        <v>28</v>
      </c>
      <c r="G137" s="8"/>
      <c r="H137" s="96">
        <v>100</v>
      </c>
      <c r="I137" s="32" t="s">
        <v>28</v>
      </c>
      <c r="J137" s="9">
        <v>689400000</v>
      </c>
      <c r="K137" s="96">
        <v>100</v>
      </c>
      <c r="L137" s="32" t="s">
        <v>28</v>
      </c>
      <c r="M137" s="10">
        <v>137880000</v>
      </c>
      <c r="N137" s="96">
        <v>100</v>
      </c>
      <c r="O137" s="32" t="s">
        <v>28</v>
      </c>
      <c r="P137" s="10"/>
      <c r="Q137" s="78">
        <v>100</v>
      </c>
      <c r="R137" s="32" t="s">
        <v>28</v>
      </c>
      <c r="S137" s="10">
        <v>130405000</v>
      </c>
      <c r="T137" s="32">
        <v>100</v>
      </c>
      <c r="U137" s="32" t="s">
        <v>28</v>
      </c>
      <c r="V137" s="10"/>
      <c r="W137" s="58">
        <f t="shared" si="37"/>
        <v>100</v>
      </c>
      <c r="X137" s="18" t="s">
        <v>28</v>
      </c>
      <c r="Y137" s="289">
        <f t="shared" si="38"/>
        <v>94.578619089062954</v>
      </c>
      <c r="Z137" s="58">
        <f t="shared" ref="Z137" si="42">T137/N137*100</f>
        <v>100</v>
      </c>
      <c r="AA137" s="18" t="s">
        <v>28</v>
      </c>
      <c r="AB137" s="289"/>
      <c r="AC137" s="78">
        <f t="shared" si="34"/>
        <v>200</v>
      </c>
      <c r="AD137" s="18" t="s">
        <v>28</v>
      </c>
      <c r="AE137" s="338">
        <f t="shared" si="41"/>
        <v>130405000</v>
      </c>
      <c r="AF137" s="8"/>
      <c r="AG137" s="8"/>
      <c r="AH137" s="8"/>
      <c r="AI137" s="8"/>
      <c r="AJ137" s="218" t="s">
        <v>304</v>
      </c>
      <c r="AM137" s="112">
        <f t="shared" si="36"/>
        <v>130405000</v>
      </c>
    </row>
    <row r="138" spans="1:39" ht="90" x14ac:dyDescent="0.2">
      <c r="A138" s="70"/>
      <c r="B138" s="65"/>
      <c r="C138" s="14" t="s">
        <v>197</v>
      </c>
      <c r="D138" s="14" t="s">
        <v>198</v>
      </c>
      <c r="E138" s="32" t="s">
        <v>205</v>
      </c>
      <c r="F138" s="32" t="s">
        <v>204</v>
      </c>
      <c r="G138" s="8"/>
      <c r="H138" s="32" t="s">
        <v>205</v>
      </c>
      <c r="I138" s="32" t="s">
        <v>204</v>
      </c>
      <c r="J138" s="9">
        <v>101150000</v>
      </c>
      <c r="K138" s="32" t="s">
        <v>205</v>
      </c>
      <c r="L138" s="32" t="s">
        <v>204</v>
      </c>
      <c r="M138" s="10">
        <v>101150000</v>
      </c>
      <c r="N138" s="32" t="s">
        <v>205</v>
      </c>
      <c r="O138" s="32" t="s">
        <v>204</v>
      </c>
      <c r="P138" s="10">
        <v>6852789000</v>
      </c>
      <c r="Q138" s="32" t="s">
        <v>205</v>
      </c>
      <c r="R138" s="32" t="s">
        <v>204</v>
      </c>
      <c r="S138" s="10">
        <v>92414000</v>
      </c>
      <c r="T138" s="32" t="s">
        <v>205</v>
      </c>
      <c r="U138" s="32" t="s">
        <v>204</v>
      </c>
      <c r="V138" s="10">
        <v>5599176331</v>
      </c>
      <c r="W138" s="58">
        <v>100</v>
      </c>
      <c r="X138" s="18" t="s">
        <v>28</v>
      </c>
      <c r="Y138" s="289">
        <f>S138/M138*100</f>
        <v>91.363321799307968</v>
      </c>
      <c r="Z138" s="58">
        <v>100</v>
      </c>
      <c r="AA138" s="18" t="s">
        <v>28</v>
      </c>
      <c r="AB138" s="289">
        <f>V138/P138*100</f>
        <v>81.706533369114382</v>
      </c>
      <c r="AC138" s="78" t="str">
        <f>T138</f>
        <v>&lt;1 Jam</v>
      </c>
      <c r="AD138" s="32" t="s">
        <v>204</v>
      </c>
      <c r="AE138" s="338">
        <f t="shared" si="41"/>
        <v>5691590331</v>
      </c>
      <c r="AF138" s="8"/>
      <c r="AG138" s="8"/>
      <c r="AH138" s="8"/>
      <c r="AI138" s="8"/>
      <c r="AJ138" s="126"/>
      <c r="AM138" s="112">
        <f t="shared" si="36"/>
        <v>92414000</v>
      </c>
    </row>
    <row r="139" spans="1:39" ht="135" x14ac:dyDescent="0.2">
      <c r="A139" s="70"/>
      <c r="B139" s="65"/>
      <c r="C139" s="101" t="s">
        <v>199</v>
      </c>
      <c r="D139" s="14" t="s">
        <v>200</v>
      </c>
      <c r="E139" s="78">
        <v>5.63</v>
      </c>
      <c r="F139" s="32" t="s">
        <v>28</v>
      </c>
      <c r="G139" s="3"/>
      <c r="H139" s="78">
        <v>6.87</v>
      </c>
      <c r="I139" s="32" t="s">
        <v>28</v>
      </c>
      <c r="J139" s="233">
        <v>2950731000</v>
      </c>
      <c r="K139" s="78">
        <v>6.02</v>
      </c>
      <c r="L139" s="32" t="s">
        <v>28</v>
      </c>
      <c r="M139" s="230">
        <v>590146200</v>
      </c>
      <c r="N139" s="78">
        <v>6.74</v>
      </c>
      <c r="O139" s="32" t="s">
        <v>28</v>
      </c>
      <c r="P139" s="230">
        <v>472564000</v>
      </c>
      <c r="Q139" s="78">
        <v>7.19</v>
      </c>
      <c r="R139" s="32" t="s">
        <v>28</v>
      </c>
      <c r="S139" s="261">
        <v>496448600</v>
      </c>
      <c r="T139" s="78">
        <f>503/7518*100</f>
        <v>6.6906092045756855</v>
      </c>
      <c r="U139" s="32" t="s">
        <v>28</v>
      </c>
      <c r="V139" s="261">
        <v>422090000</v>
      </c>
      <c r="W139" s="58">
        <f>Q139/K139*100</f>
        <v>119.43521594684387</v>
      </c>
      <c r="X139" s="18" t="s">
        <v>28</v>
      </c>
      <c r="Y139" s="291">
        <f>S139/M139*100</f>
        <v>84.122985117925026</v>
      </c>
      <c r="Z139" s="58">
        <f>T139/N139*100</f>
        <v>99.267198880944889</v>
      </c>
      <c r="AA139" s="18" t="s">
        <v>28</v>
      </c>
      <c r="AB139" s="291">
        <f>V139/P139*100</f>
        <v>89.319118680221095</v>
      </c>
      <c r="AC139" s="78">
        <f>Q139+T139</f>
        <v>13.880609204575686</v>
      </c>
      <c r="AD139" s="18" t="s">
        <v>28</v>
      </c>
      <c r="AE139" s="245">
        <f t="shared" ref="AE139" si="43">S139+V139</f>
        <v>918538600</v>
      </c>
      <c r="AF139" s="8"/>
      <c r="AG139" s="8"/>
      <c r="AH139" s="8"/>
      <c r="AI139" s="8"/>
      <c r="AJ139" s="108" t="s">
        <v>302</v>
      </c>
      <c r="AL139" s="189"/>
      <c r="AM139" s="112">
        <f t="shared" si="36"/>
        <v>496448600</v>
      </c>
    </row>
    <row r="140" spans="1:39" ht="135" x14ac:dyDescent="0.2">
      <c r="A140" s="70"/>
      <c r="B140" s="65"/>
      <c r="C140" s="20"/>
      <c r="D140" s="14" t="s">
        <v>201</v>
      </c>
      <c r="E140" s="78">
        <v>1.1100000000000001</v>
      </c>
      <c r="F140" s="32" t="s">
        <v>28</v>
      </c>
      <c r="G140" s="5"/>
      <c r="H140" s="78">
        <v>4.26</v>
      </c>
      <c r="I140" s="32" t="s">
        <v>28</v>
      </c>
      <c r="J140" s="50"/>
      <c r="K140" s="78">
        <v>3.54</v>
      </c>
      <c r="L140" s="32" t="s">
        <v>28</v>
      </c>
      <c r="M140" s="232"/>
      <c r="N140" s="78">
        <v>3.85</v>
      </c>
      <c r="O140" s="32" t="s">
        <v>28</v>
      </c>
      <c r="P140" s="232"/>
      <c r="Q140" s="78">
        <v>3.25</v>
      </c>
      <c r="R140" s="32" t="s">
        <v>28</v>
      </c>
      <c r="S140" s="262"/>
      <c r="T140" s="78">
        <f>129/3149*100</f>
        <v>4.0965385836773578</v>
      </c>
      <c r="U140" s="32" t="s">
        <v>28</v>
      </c>
      <c r="V140" s="262"/>
      <c r="W140" s="58">
        <f>Q140/K140*100</f>
        <v>91.807909604519779</v>
      </c>
      <c r="X140" s="18" t="s">
        <v>28</v>
      </c>
      <c r="Y140" s="292"/>
      <c r="Z140" s="58">
        <f>T140/N140*100</f>
        <v>106.40359957603526</v>
      </c>
      <c r="AA140" s="18" t="s">
        <v>28</v>
      </c>
      <c r="AB140" s="292"/>
      <c r="AC140" s="78">
        <f>Q140+T140</f>
        <v>7.3465385836773578</v>
      </c>
      <c r="AD140" s="18" t="s">
        <v>28</v>
      </c>
      <c r="AE140" s="338"/>
      <c r="AF140" s="8"/>
      <c r="AG140" s="8"/>
      <c r="AH140" s="8"/>
      <c r="AI140" s="8"/>
      <c r="AJ140" s="126"/>
      <c r="AM140" s="112">
        <f t="shared" si="36"/>
        <v>0</v>
      </c>
    </row>
    <row r="141" spans="1:39" s="103" customFormat="1" ht="15" x14ac:dyDescent="0.2">
      <c r="A141" s="446" t="s">
        <v>5</v>
      </c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121">
        <f>AVERAGE(W132:W140)</f>
        <v>120.7143003882333</v>
      </c>
      <c r="X141" s="122"/>
      <c r="Y141" s="121"/>
      <c r="Z141" s="121">
        <f>AVERAGE(Z132:Z140)</f>
        <v>108.75193520202163</v>
      </c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26"/>
    </row>
    <row r="142" spans="1:39" s="103" customFormat="1" ht="15" x14ac:dyDescent="0.2">
      <c r="A142" s="446" t="s">
        <v>6</v>
      </c>
      <c r="B142" s="446"/>
      <c r="C142" s="446"/>
      <c r="D142" s="446"/>
      <c r="E142" s="446"/>
      <c r="F142" s="446"/>
      <c r="G142" s="446"/>
      <c r="H142" s="446"/>
      <c r="I142" s="446"/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195" t="str">
        <f>IF(W141&gt;=91,"Sangat Tinggi",IF(W141&gt;=76,"Tinggi",IF(W141&gt;=66,"Sedang",IF(W141&gt;=51,"Rendah",IF(W141&lt;=50,"Sangat Rendah")))))</f>
        <v>Sangat Tinggi</v>
      </c>
      <c r="X142" s="122"/>
      <c r="Y142" s="102"/>
      <c r="Z142" s="195" t="str">
        <f>IF(Z141&gt;=91,"Sangat Tinggi",IF(Z141&gt;=76,"Tinggi",IF(Z141&gt;=66,"Sedang",IF(Z141&gt;=51,"Rendah",IF(Z141&lt;=50,"Sangat Rendah")))))</f>
        <v>Sangat Tinggi</v>
      </c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26"/>
    </row>
    <row r="143" spans="1:39" s="103" customFormat="1" ht="15" x14ac:dyDescent="0.2">
      <c r="A143" s="429" t="s">
        <v>7</v>
      </c>
      <c r="B143" s="429"/>
      <c r="C143" s="429"/>
      <c r="D143" s="429"/>
      <c r="E143" s="429"/>
      <c r="F143" s="429"/>
      <c r="G143" s="429"/>
      <c r="H143" s="429"/>
      <c r="I143" s="429"/>
      <c r="J143" s="429"/>
      <c r="K143" s="429"/>
      <c r="L143" s="429"/>
      <c r="M143" s="429"/>
      <c r="N143" s="429"/>
      <c r="O143" s="429"/>
      <c r="P143" s="429"/>
      <c r="Q143" s="429"/>
      <c r="R143" s="429"/>
      <c r="S143" s="429"/>
      <c r="T143" s="429"/>
      <c r="U143" s="429"/>
      <c r="V143" s="429"/>
      <c r="W143" s="429"/>
      <c r="X143" s="429"/>
      <c r="Y143" s="429"/>
      <c r="Z143" s="429"/>
      <c r="AA143" s="429"/>
      <c r="AB143" s="429"/>
      <c r="AC143" s="429"/>
      <c r="AD143" s="429"/>
      <c r="AE143" s="429"/>
      <c r="AF143" s="429"/>
      <c r="AG143" s="429"/>
      <c r="AH143" s="429"/>
      <c r="AI143" s="429"/>
      <c r="AJ143" s="126"/>
    </row>
    <row r="144" spans="1:39" s="103" customFormat="1" ht="15" x14ac:dyDescent="0.2">
      <c r="A144" s="429" t="s">
        <v>8</v>
      </c>
      <c r="B144" s="429"/>
      <c r="C144" s="429"/>
      <c r="D144" s="429"/>
      <c r="E144" s="429"/>
      <c r="F144" s="429"/>
      <c r="G144" s="429"/>
      <c r="H144" s="429"/>
      <c r="I144" s="429"/>
      <c r="J144" s="429"/>
      <c r="K144" s="429"/>
      <c r="L144" s="429"/>
      <c r="M144" s="429"/>
      <c r="N144" s="429"/>
      <c r="O144" s="429"/>
      <c r="P144" s="429"/>
      <c r="Q144" s="429"/>
      <c r="R144" s="429"/>
      <c r="S144" s="429"/>
      <c r="T144" s="429"/>
      <c r="U144" s="429"/>
      <c r="V144" s="429"/>
      <c r="W144" s="429"/>
      <c r="X144" s="429"/>
      <c r="Y144" s="429"/>
      <c r="Z144" s="429"/>
      <c r="AA144" s="429"/>
      <c r="AB144" s="429"/>
      <c r="AC144" s="429"/>
      <c r="AD144" s="429"/>
      <c r="AE144" s="429"/>
      <c r="AF144" s="429"/>
      <c r="AG144" s="429"/>
      <c r="AH144" s="429"/>
      <c r="AI144" s="429"/>
      <c r="AJ144" s="126"/>
    </row>
    <row r="145" spans="1:36" s="103" customFormat="1" ht="15" x14ac:dyDescent="0.2">
      <c r="A145" s="429" t="s">
        <v>9</v>
      </c>
      <c r="B145" s="429"/>
      <c r="C145" s="429"/>
      <c r="D145" s="429"/>
      <c r="E145" s="429"/>
      <c r="F145" s="429"/>
      <c r="G145" s="429"/>
      <c r="H145" s="429"/>
      <c r="I145" s="429"/>
      <c r="J145" s="429"/>
      <c r="K145" s="429"/>
      <c r="L145" s="429"/>
      <c r="M145" s="429"/>
      <c r="N145" s="429"/>
      <c r="O145" s="429"/>
      <c r="P145" s="429"/>
      <c r="Q145" s="429"/>
      <c r="R145" s="429"/>
      <c r="S145" s="429"/>
      <c r="T145" s="429"/>
      <c r="U145" s="429"/>
      <c r="V145" s="429"/>
      <c r="W145" s="429"/>
      <c r="X145" s="429"/>
      <c r="Y145" s="429"/>
      <c r="Z145" s="429"/>
      <c r="AA145" s="429"/>
      <c r="AB145" s="429"/>
      <c r="AC145" s="429"/>
      <c r="AD145" s="429"/>
      <c r="AE145" s="429"/>
      <c r="AF145" s="429"/>
      <c r="AG145" s="429"/>
      <c r="AH145" s="429"/>
      <c r="AI145" s="429"/>
      <c r="AJ145" s="126"/>
    </row>
    <row r="146" spans="1:36" s="103" customFormat="1" ht="15" x14ac:dyDescent="0.2">
      <c r="A146" s="429" t="s">
        <v>10</v>
      </c>
      <c r="B146" s="429"/>
      <c r="C146" s="429"/>
      <c r="D146" s="429"/>
      <c r="E146" s="429"/>
      <c r="F146" s="429"/>
      <c r="G146" s="429"/>
      <c r="H146" s="429"/>
      <c r="I146" s="429"/>
      <c r="J146" s="429"/>
      <c r="K146" s="429"/>
      <c r="L146" s="429"/>
      <c r="M146" s="429"/>
      <c r="N146" s="429"/>
      <c r="O146" s="429"/>
      <c r="P146" s="429"/>
      <c r="Q146" s="429"/>
      <c r="R146" s="429"/>
      <c r="S146" s="429"/>
      <c r="T146" s="429"/>
      <c r="U146" s="429"/>
      <c r="V146" s="429"/>
      <c r="W146" s="429"/>
      <c r="X146" s="429"/>
      <c r="Y146" s="429"/>
      <c r="Z146" s="429"/>
      <c r="AA146" s="429"/>
      <c r="AB146" s="429"/>
      <c r="AC146" s="429"/>
      <c r="AD146" s="429"/>
      <c r="AE146" s="429"/>
      <c r="AF146" s="429"/>
      <c r="AG146" s="429"/>
      <c r="AH146" s="429"/>
      <c r="AI146" s="429"/>
      <c r="AJ146" s="127"/>
    </row>
    <row r="147" spans="1:36" ht="1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61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</row>
    <row r="148" spans="1:36" ht="15.75" x14ac:dyDescent="0.25">
      <c r="A148" s="60" t="s">
        <v>11</v>
      </c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61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</row>
    <row r="149" spans="1:36" ht="1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61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</row>
    <row r="150" spans="1:36" ht="1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61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</row>
    <row r="151" spans="1:36" ht="1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61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</row>
    <row r="152" spans="1:36" ht="1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61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</row>
    <row r="153" spans="1:36" s="103" customFormat="1" ht="15" x14ac:dyDescent="0.2">
      <c r="A153" s="138" t="s">
        <v>315</v>
      </c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40">
        <f>W33</f>
        <v>99.276459073202901</v>
      </c>
      <c r="X153" s="141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7"/>
    </row>
    <row r="154" spans="1:36" s="103" customFormat="1" ht="15" x14ac:dyDescent="0.2">
      <c r="A154" s="138" t="s">
        <v>316</v>
      </c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40">
        <f>W73</f>
        <v>105.87396821812735</v>
      </c>
      <c r="X154" s="141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7"/>
    </row>
    <row r="155" spans="1:36" s="103" customFormat="1" ht="15" x14ac:dyDescent="0.2">
      <c r="A155" s="138" t="s">
        <v>317</v>
      </c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40">
        <f>W94</f>
        <v>102.74616406070761</v>
      </c>
      <c r="X155" s="141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7"/>
    </row>
    <row r="156" spans="1:36" s="103" customFormat="1" ht="15" x14ac:dyDescent="0.2">
      <c r="A156" s="138" t="s">
        <v>318</v>
      </c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40">
        <f>W117</f>
        <v>135.90372093385668</v>
      </c>
      <c r="X156" s="141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7"/>
    </row>
    <row r="157" spans="1:36" s="103" customFormat="1" ht="15" x14ac:dyDescent="0.2">
      <c r="A157" s="138" t="s">
        <v>319</v>
      </c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40">
        <f>W141</f>
        <v>120.7143003882333</v>
      </c>
      <c r="X157" s="141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2"/>
      <c r="AJ157" s="147"/>
    </row>
    <row r="158" spans="1:36" s="103" customFormat="1" ht="15" x14ac:dyDescent="0.2">
      <c r="A158" s="424" t="s">
        <v>5</v>
      </c>
      <c r="B158" s="424"/>
      <c r="C158" s="424"/>
      <c r="D158" s="424"/>
      <c r="E158" s="424"/>
      <c r="F158" s="424"/>
      <c r="G158" s="424"/>
      <c r="H158" s="424"/>
      <c r="I158" s="424"/>
      <c r="J158" s="424"/>
      <c r="K158" s="424"/>
      <c r="L158" s="424"/>
      <c r="M158" s="424"/>
      <c r="N158" s="424"/>
      <c r="O158" s="424"/>
      <c r="P158" s="424"/>
      <c r="Q158" s="424"/>
      <c r="R158" s="424"/>
      <c r="S158" s="424"/>
      <c r="T158" s="424"/>
      <c r="U158" s="424"/>
      <c r="V158" s="424"/>
      <c r="W158" s="143">
        <f>AVERAGE(W153:W157)</f>
        <v>112.90292253482555</v>
      </c>
      <c r="X158" s="144"/>
      <c r="Y158" s="143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8"/>
    </row>
    <row r="159" spans="1:36" s="103" customFormat="1" ht="15" x14ac:dyDescent="0.2">
      <c r="A159" s="424" t="s">
        <v>6</v>
      </c>
      <c r="B159" s="424"/>
      <c r="C159" s="424"/>
      <c r="D159" s="424"/>
      <c r="E159" s="424"/>
      <c r="F159" s="424"/>
      <c r="G159" s="424"/>
      <c r="H159" s="424"/>
      <c r="I159" s="424"/>
      <c r="J159" s="424"/>
      <c r="K159" s="424"/>
      <c r="L159" s="424"/>
      <c r="M159" s="424"/>
      <c r="N159" s="424"/>
      <c r="O159" s="424"/>
      <c r="P159" s="424"/>
      <c r="Q159" s="424"/>
      <c r="R159" s="424"/>
      <c r="S159" s="424"/>
      <c r="T159" s="424"/>
      <c r="U159" s="424"/>
      <c r="V159" s="424"/>
      <c r="W159" s="196" t="str">
        <f>IF(W158&gt;=91,"Sangat Tinggi",IF(W158&gt;=76,"Tinggi",IF(W158&gt;=66,"Sedang",IF(W158&gt;=51,"Rendah",IF(W158&lt;=50,"Sangat Rendah")))))</f>
        <v>Sangat Tinggi</v>
      </c>
      <c r="X159" s="144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8"/>
    </row>
    <row r="160" spans="1:36" s="103" customFormat="1" ht="15" x14ac:dyDescent="0.2">
      <c r="A160" s="423" t="s">
        <v>7</v>
      </c>
      <c r="B160" s="423"/>
      <c r="C160" s="423"/>
      <c r="D160" s="423"/>
      <c r="E160" s="423"/>
      <c r="F160" s="423"/>
      <c r="G160" s="423"/>
      <c r="H160" s="423"/>
      <c r="I160" s="423"/>
      <c r="J160" s="423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  <c r="AC160" s="423"/>
      <c r="AD160" s="423"/>
      <c r="AE160" s="423"/>
      <c r="AF160" s="423"/>
      <c r="AG160" s="423"/>
      <c r="AH160" s="423"/>
      <c r="AI160" s="423"/>
      <c r="AJ160" s="148"/>
    </row>
    <row r="161" spans="1:36" s="103" customFormat="1" ht="15" x14ac:dyDescent="0.2">
      <c r="A161" s="423" t="s">
        <v>8</v>
      </c>
      <c r="B161" s="423"/>
      <c r="C161" s="423"/>
      <c r="D161" s="423"/>
      <c r="E161" s="423"/>
      <c r="F161" s="423"/>
      <c r="G161" s="423"/>
      <c r="H161" s="423"/>
      <c r="I161" s="423"/>
      <c r="J161" s="423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  <c r="AC161" s="423"/>
      <c r="AD161" s="423"/>
      <c r="AE161" s="423"/>
      <c r="AF161" s="423"/>
      <c r="AG161" s="423"/>
      <c r="AH161" s="423"/>
      <c r="AI161" s="423"/>
      <c r="AJ161" s="148"/>
    </row>
    <row r="162" spans="1:36" s="103" customFormat="1" ht="15" x14ac:dyDescent="0.2">
      <c r="A162" s="423" t="s">
        <v>9</v>
      </c>
      <c r="B162" s="423"/>
      <c r="C162" s="423"/>
      <c r="D162" s="423"/>
      <c r="E162" s="423"/>
      <c r="F162" s="423"/>
      <c r="G162" s="423"/>
      <c r="H162" s="423"/>
      <c r="I162" s="423"/>
      <c r="J162" s="423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  <c r="AC162" s="423"/>
      <c r="AD162" s="423"/>
      <c r="AE162" s="423"/>
      <c r="AF162" s="423"/>
      <c r="AG162" s="423"/>
      <c r="AH162" s="423"/>
      <c r="AI162" s="423"/>
      <c r="AJ162" s="148"/>
    </row>
    <row r="163" spans="1:36" s="103" customFormat="1" ht="15" x14ac:dyDescent="0.2">
      <c r="A163" s="423" t="s">
        <v>10</v>
      </c>
      <c r="B163" s="423"/>
      <c r="C163" s="423"/>
      <c r="D163" s="423"/>
      <c r="E163" s="423"/>
      <c r="F163" s="423"/>
      <c r="G163" s="423"/>
      <c r="H163" s="423"/>
      <c r="I163" s="423"/>
      <c r="J163" s="423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  <c r="AC163" s="423"/>
      <c r="AD163" s="423"/>
      <c r="AE163" s="423"/>
      <c r="AF163" s="423"/>
      <c r="AG163" s="423"/>
      <c r="AH163" s="423"/>
      <c r="AI163" s="423"/>
      <c r="AJ163" s="148"/>
    </row>
    <row r="166" spans="1:36" ht="51" x14ac:dyDescent="0.2">
      <c r="A166" s="192" t="s">
        <v>537</v>
      </c>
      <c r="B166" s="192" t="s">
        <v>538</v>
      </c>
      <c r="C166" s="192" t="s">
        <v>539</v>
      </c>
    </row>
    <row r="167" spans="1:36" ht="25.5" x14ac:dyDescent="0.2">
      <c r="A167" s="193" t="s">
        <v>540</v>
      </c>
      <c r="B167" s="193" t="s">
        <v>541</v>
      </c>
      <c r="C167" s="193" t="s">
        <v>542</v>
      </c>
    </row>
    <row r="168" spans="1:36" ht="25.5" x14ac:dyDescent="0.2">
      <c r="A168" s="193" t="s">
        <v>543</v>
      </c>
      <c r="B168" s="193" t="s">
        <v>544</v>
      </c>
      <c r="C168" s="193" t="s">
        <v>545</v>
      </c>
    </row>
    <row r="169" spans="1:36" ht="25.5" x14ac:dyDescent="0.2">
      <c r="A169" s="193" t="s">
        <v>546</v>
      </c>
      <c r="B169" s="193" t="s">
        <v>547</v>
      </c>
      <c r="C169" s="193" t="s">
        <v>280</v>
      </c>
    </row>
    <row r="170" spans="1:36" ht="25.5" x14ac:dyDescent="0.2">
      <c r="A170" s="193" t="s">
        <v>548</v>
      </c>
      <c r="B170" s="193" t="s">
        <v>549</v>
      </c>
      <c r="C170" s="193" t="s">
        <v>550</v>
      </c>
    </row>
    <row r="171" spans="1:36" ht="25.5" x14ac:dyDescent="0.2">
      <c r="A171" s="193" t="s">
        <v>551</v>
      </c>
      <c r="B171" s="194" t="s">
        <v>552</v>
      </c>
      <c r="C171" s="193" t="s">
        <v>553</v>
      </c>
    </row>
  </sheetData>
  <mergeCells count="311">
    <mergeCell ref="A146:AI146"/>
    <mergeCell ref="AE15:AE16"/>
    <mergeCell ref="AH15:AH16"/>
    <mergeCell ref="A141:V141"/>
    <mergeCell ref="A142:V142"/>
    <mergeCell ref="V15:V16"/>
    <mergeCell ref="P15:P16"/>
    <mergeCell ref="S15:S16"/>
    <mergeCell ref="G15:G16"/>
    <mergeCell ref="J15:J16"/>
    <mergeCell ref="A14:A16"/>
    <mergeCell ref="B14:B16"/>
    <mergeCell ref="A145:AI145"/>
    <mergeCell ref="T15:U16"/>
    <mergeCell ref="T14:V14"/>
    <mergeCell ref="Q14:S14"/>
    <mergeCell ref="Q15:R16"/>
    <mergeCell ref="W14:Y14"/>
    <mergeCell ref="A77:AI77"/>
    <mergeCell ref="A78:AI78"/>
    <mergeCell ref="A94:V94"/>
    <mergeCell ref="AF45:AI45"/>
    <mergeCell ref="E46:F47"/>
    <mergeCell ref="D42:D44"/>
    <mergeCell ref="A4:AI4"/>
    <mergeCell ref="A7:AI7"/>
    <mergeCell ref="A10:AI10"/>
    <mergeCell ref="E11:G13"/>
    <mergeCell ref="A5:AI5"/>
    <mergeCell ref="A6:AI6"/>
    <mergeCell ref="A8:AI8"/>
    <mergeCell ref="A9:AI9"/>
    <mergeCell ref="D14:D16"/>
    <mergeCell ref="E15:F16"/>
    <mergeCell ref="H15:I16"/>
    <mergeCell ref="N15:O16"/>
    <mergeCell ref="W16:X16"/>
    <mergeCell ref="Z13:AB13"/>
    <mergeCell ref="AF15:AG15"/>
    <mergeCell ref="AF16:AG16"/>
    <mergeCell ref="AC11:AE13"/>
    <mergeCell ref="AC14:AE14"/>
    <mergeCell ref="C14:C16"/>
    <mergeCell ref="E14:G14"/>
    <mergeCell ref="H11:J13"/>
    <mergeCell ref="H14:J14"/>
    <mergeCell ref="A11:A13"/>
    <mergeCell ref="N14:P14"/>
    <mergeCell ref="B11:B13"/>
    <mergeCell ref="C11:C13"/>
    <mergeCell ref="K14:M14"/>
    <mergeCell ref="K15:L16"/>
    <mergeCell ref="M15:M16"/>
    <mergeCell ref="Z14:AB14"/>
    <mergeCell ref="Q11:V12"/>
    <mergeCell ref="Q13:S13"/>
    <mergeCell ref="T13:V13"/>
    <mergeCell ref="N13:P13"/>
    <mergeCell ref="K13:M13"/>
    <mergeCell ref="Z16:AA16"/>
    <mergeCell ref="A73:V73"/>
    <mergeCell ref="A74:V74"/>
    <mergeCell ref="A75:AI75"/>
    <mergeCell ref="A76:AI76"/>
    <mergeCell ref="Q44:S44"/>
    <mergeCell ref="H45:J45"/>
    <mergeCell ref="N45:P45"/>
    <mergeCell ref="AJ11:AJ12"/>
    <mergeCell ref="AC42:AE44"/>
    <mergeCell ref="AF42:AI44"/>
    <mergeCell ref="AJ42:AJ43"/>
    <mergeCell ref="A38:AI38"/>
    <mergeCell ref="T44:V44"/>
    <mergeCell ref="W44:Y44"/>
    <mergeCell ref="Z44:AB44"/>
    <mergeCell ref="A45:A47"/>
    <mergeCell ref="B45:B47"/>
    <mergeCell ref="A42:A44"/>
    <mergeCell ref="B42:B44"/>
    <mergeCell ref="C42:C44"/>
    <mergeCell ref="A33:V33"/>
    <mergeCell ref="A34:V34"/>
    <mergeCell ref="A35:AI35"/>
    <mergeCell ref="E42:G44"/>
    <mergeCell ref="A36:AI36"/>
    <mergeCell ref="A37:AI37"/>
    <mergeCell ref="D11:D13"/>
    <mergeCell ref="AC15:AD16"/>
    <mergeCell ref="W11:AB12"/>
    <mergeCell ref="W13:Y13"/>
    <mergeCell ref="AF46:AG46"/>
    <mergeCell ref="AH46:AH47"/>
    <mergeCell ref="W47:X47"/>
    <mergeCell ref="Z47:AA47"/>
    <mergeCell ref="AF47:AG47"/>
    <mergeCell ref="Z46:AA46"/>
    <mergeCell ref="AC46:AD47"/>
    <mergeCell ref="W46:X46"/>
    <mergeCell ref="Z45:AB45"/>
    <mergeCell ref="H42:J44"/>
    <mergeCell ref="Q42:V43"/>
    <mergeCell ref="W42:AB43"/>
    <mergeCell ref="N44:P44"/>
    <mergeCell ref="W45:Y45"/>
    <mergeCell ref="AF11:AI13"/>
    <mergeCell ref="AF14:AI14"/>
    <mergeCell ref="W15:X15"/>
    <mergeCell ref="Z15:AA15"/>
    <mergeCell ref="A82:A84"/>
    <mergeCell ref="B82:B84"/>
    <mergeCell ref="C82:C84"/>
    <mergeCell ref="D82:D84"/>
    <mergeCell ref="E82:G84"/>
    <mergeCell ref="H82:J84"/>
    <mergeCell ref="AC45:AE45"/>
    <mergeCell ref="Q45:S45"/>
    <mergeCell ref="T45:V45"/>
    <mergeCell ref="AE46:AE47"/>
    <mergeCell ref="G46:G47"/>
    <mergeCell ref="H46:I47"/>
    <mergeCell ref="J46:J47"/>
    <mergeCell ref="N46:O47"/>
    <mergeCell ref="P46:P47"/>
    <mergeCell ref="Q46:R47"/>
    <mergeCell ref="S46:S47"/>
    <mergeCell ref="T46:U47"/>
    <mergeCell ref="V46:V47"/>
    <mergeCell ref="K46:L47"/>
    <mergeCell ref="M46:M47"/>
    <mergeCell ref="C45:C47"/>
    <mergeCell ref="D45:D47"/>
    <mergeCell ref="E45:G45"/>
    <mergeCell ref="AE86:AE87"/>
    <mergeCell ref="AF86:AG86"/>
    <mergeCell ref="AJ82:AJ83"/>
    <mergeCell ref="N84:P84"/>
    <mergeCell ref="Q84:S84"/>
    <mergeCell ref="T84:V84"/>
    <mergeCell ref="W84:Y84"/>
    <mergeCell ref="Z84:AB84"/>
    <mergeCell ref="AH86:AH87"/>
    <mergeCell ref="AF87:AG87"/>
    <mergeCell ref="W86:X86"/>
    <mergeCell ref="Z86:AA86"/>
    <mergeCell ref="W87:X87"/>
    <mergeCell ref="Z87:AA87"/>
    <mergeCell ref="AF82:AI84"/>
    <mergeCell ref="Q82:V83"/>
    <mergeCell ref="W82:AB83"/>
    <mergeCell ref="AC82:AE84"/>
    <mergeCell ref="A85:A87"/>
    <mergeCell ref="B85:B87"/>
    <mergeCell ref="C85:C87"/>
    <mergeCell ref="D85:D87"/>
    <mergeCell ref="AC85:AE85"/>
    <mergeCell ref="AF85:AI85"/>
    <mergeCell ref="E86:F87"/>
    <mergeCell ref="G86:G87"/>
    <mergeCell ref="H86:I87"/>
    <mergeCell ref="J86:J87"/>
    <mergeCell ref="N86:O87"/>
    <mergeCell ref="P86:P87"/>
    <mergeCell ref="Q86:R87"/>
    <mergeCell ref="S86:S87"/>
    <mergeCell ref="T86:U87"/>
    <mergeCell ref="V86:V87"/>
    <mergeCell ref="W85:Y85"/>
    <mergeCell ref="Z85:AB85"/>
    <mergeCell ref="H85:J85"/>
    <mergeCell ref="N85:P85"/>
    <mergeCell ref="Q85:S85"/>
    <mergeCell ref="T85:V85"/>
    <mergeCell ref="E85:G85"/>
    <mergeCell ref="AC86:AD87"/>
    <mergeCell ref="A95:V95"/>
    <mergeCell ref="A96:AI96"/>
    <mergeCell ref="A97:AI97"/>
    <mergeCell ref="A98:AI98"/>
    <mergeCell ref="A99:AI99"/>
    <mergeCell ref="AF103:AI105"/>
    <mergeCell ref="AH107:AH108"/>
    <mergeCell ref="AF108:AG108"/>
    <mergeCell ref="W107:X107"/>
    <mergeCell ref="Z107:AA107"/>
    <mergeCell ref="W108:X108"/>
    <mergeCell ref="Z108:AA108"/>
    <mergeCell ref="H107:I108"/>
    <mergeCell ref="J107:J108"/>
    <mergeCell ref="N107:O108"/>
    <mergeCell ref="P107:P108"/>
    <mergeCell ref="T107:U108"/>
    <mergeCell ref="V107:V108"/>
    <mergeCell ref="A106:A108"/>
    <mergeCell ref="B106:B108"/>
    <mergeCell ref="C106:C108"/>
    <mergeCell ref="A119:AI119"/>
    <mergeCell ref="A120:AI120"/>
    <mergeCell ref="AJ103:AJ104"/>
    <mergeCell ref="N105:P105"/>
    <mergeCell ref="Q105:S105"/>
    <mergeCell ref="T105:V105"/>
    <mergeCell ref="W105:Y105"/>
    <mergeCell ref="Z105:AB105"/>
    <mergeCell ref="H103:J105"/>
    <mergeCell ref="Q103:V104"/>
    <mergeCell ref="W103:AB104"/>
    <mergeCell ref="AC103:AE105"/>
    <mergeCell ref="A103:A105"/>
    <mergeCell ref="B103:B105"/>
    <mergeCell ref="C103:C105"/>
    <mergeCell ref="D103:D105"/>
    <mergeCell ref="E103:G105"/>
    <mergeCell ref="AC106:AE106"/>
    <mergeCell ref="AF106:AI106"/>
    <mergeCell ref="E107:F108"/>
    <mergeCell ref="A121:AI121"/>
    <mergeCell ref="D106:D108"/>
    <mergeCell ref="E106:G106"/>
    <mergeCell ref="A126:A128"/>
    <mergeCell ref="B126:B128"/>
    <mergeCell ref="C126:C128"/>
    <mergeCell ref="D126:D128"/>
    <mergeCell ref="E126:G128"/>
    <mergeCell ref="K106:M106"/>
    <mergeCell ref="A122:AI122"/>
    <mergeCell ref="A117:V117"/>
    <mergeCell ref="A118:V118"/>
    <mergeCell ref="W106:Y106"/>
    <mergeCell ref="Z106:AB106"/>
    <mergeCell ref="H106:J106"/>
    <mergeCell ref="N106:P106"/>
    <mergeCell ref="Q106:S106"/>
    <mergeCell ref="T106:V106"/>
    <mergeCell ref="AC107:AD108"/>
    <mergeCell ref="AE107:AE108"/>
    <mergeCell ref="AF107:AG107"/>
    <mergeCell ref="G107:G108"/>
    <mergeCell ref="Q107:R108"/>
    <mergeCell ref="S107:S108"/>
    <mergeCell ref="J130:J131"/>
    <mergeCell ref="N130:O131"/>
    <mergeCell ref="P130:P131"/>
    <mergeCell ref="K128:M128"/>
    <mergeCell ref="AF126:AI128"/>
    <mergeCell ref="AJ126:AJ127"/>
    <mergeCell ref="N128:P128"/>
    <mergeCell ref="Q128:S128"/>
    <mergeCell ref="T128:V128"/>
    <mergeCell ref="W128:Y128"/>
    <mergeCell ref="Z128:AB128"/>
    <mergeCell ref="H126:J128"/>
    <mergeCell ref="Q126:V127"/>
    <mergeCell ref="W126:AB127"/>
    <mergeCell ref="AC126:AE128"/>
    <mergeCell ref="Z129:AB129"/>
    <mergeCell ref="H129:J129"/>
    <mergeCell ref="N129:P129"/>
    <mergeCell ref="Q129:S129"/>
    <mergeCell ref="T129:V129"/>
    <mergeCell ref="Q130:R131"/>
    <mergeCell ref="S130:S131"/>
    <mergeCell ref="T130:U131"/>
    <mergeCell ref="V130:V131"/>
    <mergeCell ref="A129:A131"/>
    <mergeCell ref="B129:B131"/>
    <mergeCell ref="C129:C131"/>
    <mergeCell ref="D129:D131"/>
    <mergeCell ref="E129:G129"/>
    <mergeCell ref="K107:L108"/>
    <mergeCell ref="M107:M108"/>
    <mergeCell ref="A162:AI162"/>
    <mergeCell ref="A163:AI163"/>
    <mergeCell ref="A158:V158"/>
    <mergeCell ref="A159:V159"/>
    <mergeCell ref="A160:AI160"/>
    <mergeCell ref="A161:AI161"/>
    <mergeCell ref="AC130:AD131"/>
    <mergeCell ref="AE130:AE131"/>
    <mergeCell ref="AF130:AG130"/>
    <mergeCell ref="AH130:AH131"/>
    <mergeCell ref="AF131:AG131"/>
    <mergeCell ref="W130:X130"/>
    <mergeCell ref="Z130:AA130"/>
    <mergeCell ref="W131:X131"/>
    <mergeCell ref="Z131:AA131"/>
    <mergeCell ref="A143:AI143"/>
    <mergeCell ref="A144:AI144"/>
    <mergeCell ref="W129:Y129"/>
    <mergeCell ref="K44:M44"/>
    <mergeCell ref="K45:M45"/>
    <mergeCell ref="AC129:AE129"/>
    <mergeCell ref="AF129:AI129"/>
    <mergeCell ref="E130:F131"/>
    <mergeCell ref="G130:G131"/>
    <mergeCell ref="H130:I131"/>
    <mergeCell ref="A1:AJ1"/>
    <mergeCell ref="K129:M129"/>
    <mergeCell ref="K130:L131"/>
    <mergeCell ref="M130:M131"/>
    <mergeCell ref="K11:P12"/>
    <mergeCell ref="A2:AJ2"/>
    <mergeCell ref="A3:AJ3"/>
    <mergeCell ref="K42:P43"/>
    <mergeCell ref="K82:P83"/>
    <mergeCell ref="K103:P104"/>
    <mergeCell ref="K126:P127"/>
    <mergeCell ref="K84:M84"/>
    <mergeCell ref="K85:M85"/>
    <mergeCell ref="K86:L87"/>
    <mergeCell ref="M86:M87"/>
    <mergeCell ref="K105:M105"/>
  </mergeCells>
  <printOptions horizontalCentered="1"/>
  <pageMargins left="0.23622047244094491" right="0.23622047244094491" top="3.937007874015748E-2" bottom="3.937007874015748E-2" header="0" footer="0"/>
  <pageSetup paperSize="14" scale="33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M186"/>
  <sheetViews>
    <sheetView showRuler="0" view="pageBreakPreview" zoomScale="70" zoomScaleNormal="40" zoomScaleSheetLayoutView="70" zoomScalePageLayoutView="55" workbookViewId="0">
      <selection activeCell="Q70" sqref="Q70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6" width="8" style="2" customWidth="1"/>
    <col min="7" max="7" width="20.7109375" style="2" bestFit="1" customWidth="1"/>
    <col min="8" max="8" width="9.7109375" style="2" customWidth="1"/>
    <col min="9" max="9" width="7.7109375" style="2" customWidth="1"/>
    <col min="10" max="10" width="19.28515625" style="2" customWidth="1"/>
    <col min="11" max="11" width="9" style="2" customWidth="1"/>
    <col min="12" max="12" width="8.5703125" style="2" customWidth="1"/>
    <col min="13" max="13" width="19.28515625" style="2" customWidth="1"/>
    <col min="14" max="14" width="9" style="2" customWidth="1"/>
    <col min="15" max="15" width="8.5703125" style="2" customWidth="1"/>
    <col min="16" max="16" width="19.28515625" style="2" customWidth="1"/>
    <col min="17" max="17" width="11.140625" style="2" customWidth="1"/>
    <col min="18" max="18" width="8" style="2" customWidth="1"/>
    <col min="19" max="19" width="18.28515625" style="2" customWidth="1"/>
    <col min="20" max="20" width="10.85546875" style="2" customWidth="1"/>
    <col min="21" max="21" width="7.7109375" style="2" customWidth="1"/>
    <col min="22" max="22" width="18" style="2" customWidth="1"/>
    <col min="23" max="23" width="10.140625" style="2" customWidth="1"/>
    <col min="24" max="24" width="5.5703125" style="62" customWidth="1"/>
    <col min="25" max="25" width="9.5703125" style="2" customWidth="1"/>
    <col min="26" max="26" width="11.140625" style="2" customWidth="1"/>
    <col min="27" max="27" width="8.5703125" style="2" customWidth="1"/>
    <col min="28" max="28" width="10.42578125" style="2" customWidth="1"/>
    <col min="29" max="29" width="17.7109375" style="2" customWidth="1"/>
    <col min="30" max="30" width="7.5703125" style="2" customWidth="1"/>
    <col min="31" max="31" width="16.5703125" style="2" customWidth="1"/>
    <col min="32" max="32" width="8.5703125" style="2" customWidth="1"/>
    <col min="33" max="33" width="10.140625" style="2" customWidth="1"/>
    <col min="34" max="34" width="11.5703125" style="2" customWidth="1"/>
    <col min="35" max="35" width="15.140625" style="2" customWidth="1"/>
    <col min="36" max="36" width="16.7109375" style="2" customWidth="1"/>
    <col min="37" max="37" width="9.140625" style="2"/>
    <col min="38" max="38" width="16.42578125" style="2" bestFit="1" customWidth="1"/>
    <col min="39" max="39" width="22.85546875" style="2" customWidth="1"/>
    <col min="40" max="16384" width="9.140625" style="2"/>
  </cols>
  <sheetData>
    <row r="1" spans="1:36" ht="23.25" x14ac:dyDescent="0.35">
      <c r="A1" s="410" t="s">
        <v>24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0"/>
      <c r="AG1" s="410"/>
      <c r="AH1" s="410"/>
      <c r="AI1" s="410"/>
      <c r="AJ1" s="410"/>
    </row>
    <row r="2" spans="1:36" ht="23.25" x14ac:dyDescent="0.35">
      <c r="A2" s="410" t="s">
        <v>25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</row>
    <row r="3" spans="1:36" ht="23.25" x14ac:dyDescent="0.2">
      <c r="A3" s="418" t="s">
        <v>607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</row>
    <row r="4" spans="1:36" ht="18" x14ac:dyDescent="0.2">
      <c r="A4" s="447" t="s">
        <v>12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</row>
    <row r="5" spans="1:36" ht="18" customHeight="1" x14ac:dyDescent="0.2">
      <c r="A5" s="447" t="s">
        <v>206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</row>
    <row r="6" spans="1:36" ht="18" x14ac:dyDescent="0.2">
      <c r="A6" s="447" t="s">
        <v>207</v>
      </c>
      <c r="B6" s="447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  <c r="AH6" s="447"/>
      <c r="AI6" s="447"/>
    </row>
    <row r="7" spans="1:36" ht="18" x14ac:dyDescent="0.2">
      <c r="A7" s="447" t="s">
        <v>208</v>
      </c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47"/>
    </row>
    <row r="8" spans="1:36" ht="18" x14ac:dyDescent="0.2">
      <c r="A8" s="447" t="s">
        <v>209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7"/>
      <c r="AH8" s="447"/>
      <c r="AI8" s="447"/>
    </row>
    <row r="9" spans="1:36" ht="18" x14ac:dyDescent="0.2">
      <c r="A9" s="447" t="s">
        <v>210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  <c r="T9" s="447"/>
      <c r="U9" s="447"/>
      <c r="V9" s="447"/>
      <c r="W9" s="447"/>
      <c r="X9" s="447"/>
      <c r="Y9" s="447"/>
      <c r="Z9" s="447"/>
      <c r="AA9" s="447"/>
      <c r="AB9" s="447"/>
      <c r="AC9" s="447"/>
      <c r="AD9" s="447"/>
      <c r="AE9" s="447"/>
      <c r="AF9" s="447"/>
      <c r="AG9" s="447"/>
      <c r="AH9" s="447"/>
      <c r="AI9" s="447"/>
    </row>
    <row r="10" spans="1:36" ht="18" x14ac:dyDescent="0.2">
      <c r="A10" s="447" t="s">
        <v>258</v>
      </c>
      <c r="B10" s="447"/>
      <c r="C10" s="447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447"/>
      <c r="Q10" s="447"/>
      <c r="R10" s="447"/>
      <c r="S10" s="447"/>
      <c r="T10" s="447"/>
      <c r="U10" s="447"/>
      <c r="V10" s="447"/>
      <c r="W10" s="447"/>
      <c r="X10" s="447"/>
      <c r="Y10" s="447"/>
      <c r="Z10" s="447"/>
      <c r="AA10" s="447"/>
      <c r="AB10" s="447"/>
      <c r="AC10" s="447"/>
      <c r="AD10" s="447"/>
      <c r="AE10" s="447"/>
      <c r="AF10" s="447"/>
      <c r="AG10" s="447"/>
      <c r="AH10" s="447"/>
      <c r="AI10" s="447"/>
    </row>
    <row r="11" spans="1:36" ht="15" customHeight="1" x14ac:dyDescent="0.2">
      <c r="A11" s="448"/>
      <c r="B11" s="448"/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48"/>
      <c r="P11" s="448"/>
      <c r="Q11" s="448"/>
      <c r="R11" s="448"/>
      <c r="S11" s="448"/>
      <c r="T11" s="448"/>
      <c r="U11" s="448"/>
      <c r="V11" s="448"/>
      <c r="W11" s="448"/>
      <c r="X11" s="448"/>
      <c r="Y11" s="448"/>
      <c r="Z11" s="448"/>
      <c r="AA11" s="448"/>
      <c r="AB11" s="448"/>
      <c r="AC11" s="448"/>
      <c r="AD11" s="448"/>
      <c r="AE11" s="448"/>
      <c r="AF11" s="448"/>
      <c r="AG11" s="448"/>
      <c r="AH11" s="448"/>
      <c r="AI11" s="448"/>
    </row>
    <row r="12" spans="1:36" s="133" customFormat="1" ht="68.25" customHeight="1" x14ac:dyDescent="0.2">
      <c r="A12" s="444" t="s">
        <v>0</v>
      </c>
      <c r="B12" s="444" t="s">
        <v>272</v>
      </c>
      <c r="C12" s="445" t="s">
        <v>1</v>
      </c>
      <c r="D12" s="445" t="s">
        <v>327</v>
      </c>
      <c r="E12" s="435" t="s">
        <v>21</v>
      </c>
      <c r="F12" s="436"/>
      <c r="G12" s="437"/>
      <c r="H12" s="435" t="s">
        <v>20</v>
      </c>
      <c r="I12" s="436"/>
      <c r="J12" s="437"/>
      <c r="K12" s="412" t="s">
        <v>582</v>
      </c>
      <c r="L12" s="413"/>
      <c r="M12" s="413"/>
      <c r="N12" s="413"/>
      <c r="O12" s="413"/>
      <c r="P12" s="414"/>
      <c r="Q12" s="412" t="s">
        <v>583</v>
      </c>
      <c r="R12" s="413"/>
      <c r="S12" s="413"/>
      <c r="T12" s="413"/>
      <c r="U12" s="413"/>
      <c r="V12" s="413"/>
      <c r="W12" s="412" t="s">
        <v>584</v>
      </c>
      <c r="X12" s="413"/>
      <c r="Y12" s="413"/>
      <c r="Z12" s="413"/>
      <c r="AA12" s="413"/>
      <c r="AB12" s="413"/>
      <c r="AC12" s="412" t="s">
        <v>19</v>
      </c>
      <c r="AD12" s="413"/>
      <c r="AE12" s="414"/>
      <c r="AF12" s="412" t="s">
        <v>4</v>
      </c>
      <c r="AG12" s="413"/>
      <c r="AH12" s="413"/>
      <c r="AI12" s="414"/>
      <c r="AJ12" s="433" t="s">
        <v>294</v>
      </c>
    </row>
    <row r="13" spans="1:36" s="133" customFormat="1" ht="18" customHeight="1" x14ac:dyDescent="0.2">
      <c r="A13" s="444"/>
      <c r="B13" s="444"/>
      <c r="C13" s="445"/>
      <c r="D13" s="445"/>
      <c r="E13" s="438"/>
      <c r="F13" s="439"/>
      <c r="G13" s="440"/>
      <c r="H13" s="438"/>
      <c r="I13" s="439"/>
      <c r="J13" s="440"/>
      <c r="K13" s="415"/>
      <c r="L13" s="416"/>
      <c r="M13" s="416"/>
      <c r="N13" s="416"/>
      <c r="O13" s="416"/>
      <c r="P13" s="417"/>
      <c r="Q13" s="415"/>
      <c r="R13" s="416"/>
      <c r="S13" s="416"/>
      <c r="T13" s="416"/>
      <c r="U13" s="416"/>
      <c r="V13" s="416"/>
      <c r="W13" s="415"/>
      <c r="X13" s="416"/>
      <c r="Y13" s="416"/>
      <c r="Z13" s="416"/>
      <c r="AA13" s="416"/>
      <c r="AB13" s="416"/>
      <c r="AC13" s="430"/>
      <c r="AD13" s="431"/>
      <c r="AE13" s="432"/>
      <c r="AF13" s="430"/>
      <c r="AG13" s="431"/>
      <c r="AH13" s="431"/>
      <c r="AI13" s="432"/>
      <c r="AJ13" s="434"/>
    </row>
    <row r="14" spans="1:36" s="133" customFormat="1" ht="15.75" customHeight="1" x14ac:dyDescent="0.2">
      <c r="A14" s="444"/>
      <c r="B14" s="444"/>
      <c r="C14" s="445"/>
      <c r="D14" s="445"/>
      <c r="E14" s="441"/>
      <c r="F14" s="442"/>
      <c r="G14" s="443"/>
      <c r="H14" s="441"/>
      <c r="I14" s="442"/>
      <c r="J14" s="443"/>
      <c r="K14" s="398" t="s">
        <v>580</v>
      </c>
      <c r="L14" s="399"/>
      <c r="M14" s="400"/>
      <c r="N14" s="398" t="s">
        <v>581</v>
      </c>
      <c r="O14" s="399"/>
      <c r="P14" s="400"/>
      <c r="Q14" s="398" t="s">
        <v>580</v>
      </c>
      <c r="R14" s="399"/>
      <c r="S14" s="400"/>
      <c r="T14" s="398" t="s">
        <v>581</v>
      </c>
      <c r="U14" s="399"/>
      <c r="V14" s="400"/>
      <c r="W14" s="398" t="s">
        <v>580</v>
      </c>
      <c r="X14" s="399"/>
      <c r="Y14" s="400"/>
      <c r="Z14" s="398" t="s">
        <v>581</v>
      </c>
      <c r="AA14" s="399"/>
      <c r="AB14" s="400"/>
      <c r="AC14" s="415"/>
      <c r="AD14" s="416"/>
      <c r="AE14" s="417"/>
      <c r="AF14" s="415"/>
      <c r="AG14" s="416"/>
      <c r="AH14" s="416"/>
      <c r="AI14" s="417"/>
      <c r="AJ14" s="128"/>
    </row>
    <row r="15" spans="1:36" s="103" customFormat="1" ht="15.75" x14ac:dyDescent="0.25">
      <c r="A15" s="411">
        <v>1</v>
      </c>
      <c r="B15" s="411">
        <v>2</v>
      </c>
      <c r="C15" s="411">
        <v>3</v>
      </c>
      <c r="D15" s="411">
        <v>4</v>
      </c>
      <c r="E15" s="420">
        <v>5</v>
      </c>
      <c r="F15" s="421"/>
      <c r="G15" s="422"/>
      <c r="H15" s="420">
        <v>6</v>
      </c>
      <c r="I15" s="421"/>
      <c r="J15" s="422"/>
      <c r="K15" s="401">
        <v>7</v>
      </c>
      <c r="L15" s="402"/>
      <c r="M15" s="403"/>
      <c r="N15" s="401">
        <v>8</v>
      </c>
      <c r="O15" s="402"/>
      <c r="P15" s="403"/>
      <c r="Q15" s="401">
        <v>12</v>
      </c>
      <c r="R15" s="402"/>
      <c r="S15" s="403"/>
      <c r="T15" s="401">
        <v>13</v>
      </c>
      <c r="U15" s="402"/>
      <c r="V15" s="403"/>
      <c r="W15" s="395">
        <v>17</v>
      </c>
      <c r="X15" s="396"/>
      <c r="Y15" s="397"/>
      <c r="Z15" s="395">
        <v>18</v>
      </c>
      <c r="AA15" s="396"/>
      <c r="AB15" s="397"/>
      <c r="AC15" s="395">
        <v>22</v>
      </c>
      <c r="AD15" s="396"/>
      <c r="AE15" s="397"/>
      <c r="AF15" s="395">
        <v>23</v>
      </c>
      <c r="AG15" s="396"/>
      <c r="AH15" s="396"/>
      <c r="AI15" s="397"/>
      <c r="AJ15" s="129"/>
    </row>
    <row r="16" spans="1:36" s="103" customFormat="1" ht="87" customHeight="1" x14ac:dyDescent="0.2">
      <c r="A16" s="419"/>
      <c r="B16" s="419"/>
      <c r="C16" s="419"/>
      <c r="D16" s="419"/>
      <c r="E16" s="404" t="s">
        <v>2</v>
      </c>
      <c r="F16" s="405"/>
      <c r="G16" s="408" t="s">
        <v>3</v>
      </c>
      <c r="H16" s="404" t="s">
        <v>2</v>
      </c>
      <c r="I16" s="405"/>
      <c r="J16" s="408" t="s">
        <v>3</v>
      </c>
      <c r="K16" s="404" t="s">
        <v>2</v>
      </c>
      <c r="L16" s="405"/>
      <c r="M16" s="411" t="s">
        <v>3</v>
      </c>
      <c r="N16" s="404" t="s">
        <v>2</v>
      </c>
      <c r="O16" s="405"/>
      <c r="P16" s="411" t="s">
        <v>3</v>
      </c>
      <c r="Q16" s="404" t="s">
        <v>2</v>
      </c>
      <c r="R16" s="405"/>
      <c r="S16" s="411" t="s">
        <v>3</v>
      </c>
      <c r="T16" s="404" t="s">
        <v>2</v>
      </c>
      <c r="U16" s="405"/>
      <c r="V16" s="411" t="s">
        <v>3</v>
      </c>
      <c r="W16" s="420" t="s">
        <v>13</v>
      </c>
      <c r="X16" s="422"/>
      <c r="Y16" s="106" t="s">
        <v>14</v>
      </c>
      <c r="Z16" s="420" t="s">
        <v>15</v>
      </c>
      <c r="AA16" s="422"/>
      <c r="AB16" s="106" t="s">
        <v>16</v>
      </c>
      <c r="AC16" s="404" t="s">
        <v>2</v>
      </c>
      <c r="AD16" s="405"/>
      <c r="AE16" s="405" t="s">
        <v>3</v>
      </c>
      <c r="AF16" s="420" t="s">
        <v>18</v>
      </c>
      <c r="AG16" s="422"/>
      <c r="AH16" s="425" t="s">
        <v>22</v>
      </c>
      <c r="AI16" s="106" t="s">
        <v>17</v>
      </c>
      <c r="AJ16" s="130"/>
    </row>
    <row r="17" spans="1:39" s="103" customFormat="1" ht="15.75" x14ac:dyDescent="0.2">
      <c r="A17" s="408"/>
      <c r="B17" s="408"/>
      <c r="C17" s="408"/>
      <c r="D17" s="408"/>
      <c r="E17" s="406"/>
      <c r="F17" s="407"/>
      <c r="G17" s="409"/>
      <c r="H17" s="406"/>
      <c r="I17" s="407"/>
      <c r="J17" s="409"/>
      <c r="K17" s="406"/>
      <c r="L17" s="407"/>
      <c r="M17" s="408"/>
      <c r="N17" s="406"/>
      <c r="O17" s="407"/>
      <c r="P17" s="408"/>
      <c r="Q17" s="406"/>
      <c r="R17" s="407"/>
      <c r="S17" s="408"/>
      <c r="T17" s="406"/>
      <c r="U17" s="407"/>
      <c r="V17" s="408"/>
      <c r="W17" s="406" t="s">
        <v>2</v>
      </c>
      <c r="X17" s="407"/>
      <c r="Y17" s="226" t="s">
        <v>3</v>
      </c>
      <c r="Z17" s="427" t="s">
        <v>2</v>
      </c>
      <c r="AA17" s="428"/>
      <c r="AB17" s="226" t="s">
        <v>3</v>
      </c>
      <c r="AC17" s="406"/>
      <c r="AD17" s="407"/>
      <c r="AE17" s="407"/>
      <c r="AF17" s="406" t="s">
        <v>2</v>
      </c>
      <c r="AG17" s="407"/>
      <c r="AH17" s="426"/>
      <c r="AI17" s="226" t="s">
        <v>3</v>
      </c>
      <c r="AJ17" s="130"/>
    </row>
    <row r="18" spans="1:39" ht="15" hidden="1" customHeight="1" x14ac:dyDescent="0.2">
      <c r="A18" s="464"/>
      <c r="B18" s="467" t="s">
        <v>33</v>
      </c>
      <c r="C18" s="455" t="s">
        <v>34</v>
      </c>
      <c r="D18" s="467" t="s">
        <v>35</v>
      </c>
      <c r="E18" s="458" t="s">
        <v>36</v>
      </c>
      <c r="F18" s="459"/>
      <c r="G18" s="464"/>
      <c r="H18" s="458" t="s">
        <v>37</v>
      </c>
      <c r="I18" s="459"/>
      <c r="J18" s="455" t="s">
        <v>38</v>
      </c>
      <c r="K18" s="449" t="s">
        <v>39</v>
      </c>
      <c r="L18" s="450"/>
      <c r="M18" s="455" t="s">
        <v>40</v>
      </c>
      <c r="N18" s="449" t="s">
        <v>39</v>
      </c>
      <c r="O18" s="450"/>
      <c r="P18" s="455" t="s">
        <v>40</v>
      </c>
      <c r="Q18" s="449" t="s">
        <v>41</v>
      </c>
      <c r="R18" s="450"/>
      <c r="S18" s="3"/>
      <c r="T18" s="3"/>
      <c r="U18" s="3"/>
      <c r="V18" s="3"/>
      <c r="W18" s="3"/>
      <c r="X18" s="97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126"/>
    </row>
    <row r="19" spans="1:39" ht="15" hidden="1" customHeight="1" x14ac:dyDescent="0.2">
      <c r="A19" s="465"/>
      <c r="B19" s="468"/>
      <c r="C19" s="456"/>
      <c r="D19" s="468"/>
      <c r="E19" s="460"/>
      <c r="F19" s="461"/>
      <c r="G19" s="465"/>
      <c r="H19" s="460"/>
      <c r="I19" s="461"/>
      <c r="J19" s="456"/>
      <c r="K19" s="451"/>
      <c r="L19" s="452"/>
      <c r="M19" s="456"/>
      <c r="N19" s="451"/>
      <c r="O19" s="452"/>
      <c r="P19" s="456"/>
      <c r="Q19" s="451"/>
      <c r="R19" s="452"/>
      <c r="S19" s="4"/>
      <c r="T19" s="4"/>
      <c r="U19" s="4"/>
      <c r="V19" s="4"/>
      <c r="W19" s="4"/>
      <c r="X19" s="98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26"/>
    </row>
    <row r="20" spans="1:39" ht="15" hidden="1" customHeight="1" x14ac:dyDescent="0.2">
      <c r="A20" s="466"/>
      <c r="B20" s="469"/>
      <c r="C20" s="457"/>
      <c r="D20" s="469"/>
      <c r="E20" s="462"/>
      <c r="F20" s="463"/>
      <c r="G20" s="466"/>
      <c r="H20" s="462"/>
      <c r="I20" s="463"/>
      <c r="J20" s="457"/>
      <c r="K20" s="453"/>
      <c r="L20" s="454"/>
      <c r="M20" s="457"/>
      <c r="N20" s="453"/>
      <c r="O20" s="454"/>
      <c r="P20" s="457"/>
      <c r="Q20" s="453"/>
      <c r="R20" s="454"/>
      <c r="S20" s="5"/>
      <c r="T20" s="5"/>
      <c r="U20" s="5"/>
      <c r="V20" s="5"/>
      <c r="W20" s="5"/>
      <c r="X20" s="99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126"/>
    </row>
    <row r="21" spans="1:39" ht="160.5" customHeight="1" x14ac:dyDescent="0.25">
      <c r="A21" s="114" t="s">
        <v>281</v>
      </c>
      <c r="B21" s="115" t="s">
        <v>282</v>
      </c>
      <c r="C21" s="110"/>
      <c r="D21" s="111" t="s">
        <v>290</v>
      </c>
      <c r="E21" s="266">
        <v>5.8</v>
      </c>
      <c r="F21" s="267" t="s">
        <v>28</v>
      </c>
      <c r="G21" s="268"/>
      <c r="H21" s="269">
        <v>4.28</v>
      </c>
      <c r="I21" s="267" t="s">
        <v>28</v>
      </c>
      <c r="J21" s="270">
        <f>J22</f>
        <v>33908752500</v>
      </c>
      <c r="K21" s="266">
        <v>5.14</v>
      </c>
      <c r="L21" s="267" t="s">
        <v>28</v>
      </c>
      <c r="M21" s="270">
        <f>M22</f>
        <v>8281652500</v>
      </c>
      <c r="N21" s="266">
        <f>N22</f>
        <v>5.0599999999999996</v>
      </c>
      <c r="O21" s="267" t="s">
        <v>28</v>
      </c>
      <c r="P21" s="270">
        <f>P22</f>
        <v>4397920200</v>
      </c>
      <c r="Q21" s="266">
        <v>5.33</v>
      </c>
      <c r="R21" s="267" t="s">
        <v>28</v>
      </c>
      <c r="S21" s="270">
        <f>S22</f>
        <v>8040550150</v>
      </c>
      <c r="T21" s="266">
        <v>5.17</v>
      </c>
      <c r="U21" s="267" t="s">
        <v>28</v>
      </c>
      <c r="V21" s="270">
        <f>V22</f>
        <v>3158177950</v>
      </c>
      <c r="W21" s="293">
        <f>(K21-(Q21-K21))/K21*100</f>
        <v>96.303501945525284</v>
      </c>
      <c r="X21" s="271" t="s">
        <v>28</v>
      </c>
      <c r="Y21" s="293">
        <f>S21/M21*100</f>
        <v>97.088716895571267</v>
      </c>
      <c r="Z21" s="293">
        <f>(N21-(T21-N21))/N21*100</f>
        <v>97.826086956521735</v>
      </c>
      <c r="AA21" s="271" t="s">
        <v>28</v>
      </c>
      <c r="AB21" s="293">
        <f>V21/P21*100</f>
        <v>71.810715210339652</v>
      </c>
      <c r="AC21" s="266">
        <f>T21</f>
        <v>5.17</v>
      </c>
      <c r="AD21" s="271" t="s">
        <v>28</v>
      </c>
      <c r="AE21" s="372">
        <f>S21+V21</f>
        <v>11198728100</v>
      </c>
      <c r="AF21" s="242"/>
      <c r="AG21" s="242"/>
      <c r="AH21" s="242"/>
      <c r="AI21" s="242"/>
      <c r="AJ21" s="131"/>
      <c r="AM21" s="113">
        <f>S21</f>
        <v>8040550150</v>
      </c>
    </row>
    <row r="22" spans="1:39" ht="78.75" x14ac:dyDescent="0.25">
      <c r="A22" s="70">
        <v>6</v>
      </c>
      <c r="B22" s="65" t="s">
        <v>104</v>
      </c>
      <c r="C22" s="101"/>
      <c r="D22" s="66" t="s">
        <v>358</v>
      </c>
      <c r="E22" s="277">
        <v>5.8</v>
      </c>
      <c r="F22" s="273" t="s">
        <v>28</v>
      </c>
      <c r="G22" s="358"/>
      <c r="H22" s="282">
        <v>4.28</v>
      </c>
      <c r="I22" s="273" t="s">
        <v>28</v>
      </c>
      <c r="J22" s="361">
        <f>SUM(J24:J25)</f>
        <v>33908752500</v>
      </c>
      <c r="K22" s="277">
        <v>5.14</v>
      </c>
      <c r="L22" s="273" t="s">
        <v>28</v>
      </c>
      <c r="M22" s="361">
        <f>SUM(M24:M25)</f>
        <v>8281652500</v>
      </c>
      <c r="N22" s="277">
        <v>5.0599999999999996</v>
      </c>
      <c r="O22" s="273" t="s">
        <v>28</v>
      </c>
      <c r="P22" s="361">
        <f>SUM(P24:P25)</f>
        <v>4397920200</v>
      </c>
      <c r="Q22" s="277">
        <v>5.33</v>
      </c>
      <c r="R22" s="273" t="s">
        <v>28</v>
      </c>
      <c r="S22" s="361">
        <f>SUM(S24:S25)</f>
        <v>8040550150</v>
      </c>
      <c r="T22" s="277">
        <v>5.17</v>
      </c>
      <c r="U22" s="273" t="s">
        <v>28</v>
      </c>
      <c r="V22" s="361">
        <f>SUM(V24:V25)</f>
        <v>3158177950</v>
      </c>
      <c r="W22" s="288">
        <f>(K22-(Q22-K22))/K22*100</f>
        <v>96.303501945525284</v>
      </c>
      <c r="X22" s="282" t="s">
        <v>28</v>
      </c>
      <c r="Y22" s="294">
        <f>S22/M22*100</f>
        <v>97.088716895571267</v>
      </c>
      <c r="Z22" s="288">
        <f>(N22-(T22-N22))/N22*100</f>
        <v>97.826086956521735</v>
      </c>
      <c r="AA22" s="282" t="s">
        <v>28</v>
      </c>
      <c r="AB22" s="294">
        <f>V22/P22*100</f>
        <v>71.810715210339652</v>
      </c>
      <c r="AC22" s="277">
        <f>T22</f>
        <v>5.17</v>
      </c>
      <c r="AD22" s="378" t="s">
        <v>28</v>
      </c>
      <c r="AE22" s="375">
        <f>S22+V22</f>
        <v>11198728100</v>
      </c>
      <c r="AF22" s="8"/>
      <c r="AG22" s="8"/>
      <c r="AH22" s="8"/>
      <c r="AI22" s="8"/>
      <c r="AJ22" s="108" t="s">
        <v>302</v>
      </c>
      <c r="AM22" s="113">
        <f>S22</f>
        <v>8040550150</v>
      </c>
    </row>
    <row r="23" spans="1:39" ht="31.5" x14ac:dyDescent="0.25">
      <c r="A23" s="70"/>
      <c r="B23" s="65"/>
      <c r="C23" s="20"/>
      <c r="D23" s="66" t="s">
        <v>359</v>
      </c>
      <c r="E23" s="295">
        <v>0.32</v>
      </c>
      <c r="F23" s="273" t="s">
        <v>26</v>
      </c>
      <c r="G23" s="360"/>
      <c r="H23" s="295">
        <v>0.28399999999999997</v>
      </c>
      <c r="I23" s="273" t="s">
        <v>26</v>
      </c>
      <c r="J23" s="348"/>
      <c r="K23" s="295">
        <v>0.318</v>
      </c>
      <c r="L23" s="273" t="s">
        <v>26</v>
      </c>
      <c r="M23" s="364"/>
      <c r="N23" s="295">
        <v>0.312</v>
      </c>
      <c r="O23" s="273" t="s">
        <v>26</v>
      </c>
      <c r="P23" s="364"/>
      <c r="Q23" s="295">
        <v>0.28799999999999998</v>
      </c>
      <c r="R23" s="273" t="s">
        <v>26</v>
      </c>
      <c r="S23" s="379"/>
      <c r="T23" s="295">
        <v>0</v>
      </c>
      <c r="U23" s="273" t="s">
        <v>26</v>
      </c>
      <c r="V23" s="379"/>
      <c r="W23" s="288">
        <f>(K23-(Q23-K23))/K23*100</f>
        <v>109.43396226415094</v>
      </c>
      <c r="X23" s="282" t="s">
        <v>28</v>
      </c>
      <c r="Y23" s="294"/>
      <c r="Z23" s="288">
        <f>(N23-(T23-N23))/N23*100</f>
        <v>200</v>
      </c>
      <c r="AA23" s="282" t="s">
        <v>28</v>
      </c>
      <c r="AB23" s="294"/>
      <c r="AC23" s="371">
        <f>T23</f>
        <v>0</v>
      </c>
      <c r="AD23" s="273" t="s">
        <v>26</v>
      </c>
      <c r="AE23" s="5"/>
      <c r="AF23" s="8"/>
      <c r="AG23" s="8"/>
      <c r="AH23" s="8"/>
      <c r="AI23" s="8"/>
      <c r="AJ23" s="126"/>
      <c r="AM23" s="113">
        <f>S23</f>
        <v>0</v>
      </c>
    </row>
    <row r="24" spans="1:39" ht="135" x14ac:dyDescent="0.2">
      <c r="A24" s="64"/>
      <c r="B24" s="64"/>
      <c r="C24" s="14" t="s">
        <v>52</v>
      </c>
      <c r="D24" s="14" t="s">
        <v>211</v>
      </c>
      <c r="E24" s="78">
        <v>4.8499999999999996</v>
      </c>
      <c r="F24" s="32" t="s">
        <v>28</v>
      </c>
      <c r="G24" s="8"/>
      <c r="H24" s="78">
        <v>7.25</v>
      </c>
      <c r="I24" s="32" t="s">
        <v>28</v>
      </c>
      <c r="J24" s="9">
        <v>1996682500</v>
      </c>
      <c r="K24" s="78">
        <v>5.72</v>
      </c>
      <c r="L24" s="32" t="s">
        <v>28</v>
      </c>
      <c r="M24" s="10">
        <v>541006500</v>
      </c>
      <c r="N24" s="78">
        <v>7</v>
      </c>
      <c r="O24" s="32" t="s">
        <v>28</v>
      </c>
      <c r="P24" s="10">
        <v>300583000</v>
      </c>
      <c r="Q24" s="78">
        <v>6.06</v>
      </c>
      <c r="R24" s="32" t="s">
        <v>28</v>
      </c>
      <c r="S24" s="63">
        <v>532926300</v>
      </c>
      <c r="T24" s="78">
        <f>772/11272*100</f>
        <v>6.8488289567068845</v>
      </c>
      <c r="U24" s="32" t="s">
        <v>28</v>
      </c>
      <c r="V24" s="63">
        <v>291723000</v>
      </c>
      <c r="W24" s="58">
        <f>Q24/K24*100</f>
        <v>105.94405594405593</v>
      </c>
      <c r="X24" s="18" t="s">
        <v>28</v>
      </c>
      <c r="Y24" s="289">
        <f>S24/M24*100</f>
        <v>98.506450477027542</v>
      </c>
      <c r="Z24" s="58">
        <f>T24/N24*100</f>
        <v>97.840413667241208</v>
      </c>
      <c r="AA24" s="18" t="s">
        <v>28</v>
      </c>
      <c r="AB24" s="289">
        <f>V24/P24*100</f>
        <v>97.052394846015915</v>
      </c>
      <c r="AC24" s="78">
        <f>Q24+T24</f>
        <v>12.908828956706884</v>
      </c>
      <c r="AD24" s="156" t="s">
        <v>28</v>
      </c>
      <c r="AE24" s="245">
        <f>S24+V24</f>
        <v>824649300</v>
      </c>
      <c r="AF24" s="8"/>
      <c r="AG24" s="8"/>
      <c r="AH24" s="8"/>
      <c r="AI24" s="8"/>
      <c r="AJ24" s="126"/>
      <c r="AM24" s="113">
        <f>S24</f>
        <v>532926300</v>
      </c>
    </row>
    <row r="25" spans="1:39" ht="135" x14ac:dyDescent="0.2">
      <c r="A25" s="64"/>
      <c r="B25" s="64"/>
      <c r="C25" s="14" t="s">
        <v>103</v>
      </c>
      <c r="D25" s="14" t="s">
        <v>212</v>
      </c>
      <c r="E25" s="78">
        <v>74.64</v>
      </c>
      <c r="F25" s="32" t="s">
        <v>28</v>
      </c>
      <c r="G25" s="8"/>
      <c r="H25" s="78">
        <v>86.2</v>
      </c>
      <c r="I25" s="32" t="s">
        <v>28</v>
      </c>
      <c r="J25" s="9">
        <v>31912070000</v>
      </c>
      <c r="K25" s="78">
        <v>74.64</v>
      </c>
      <c r="L25" s="32" t="s">
        <v>28</v>
      </c>
      <c r="M25" s="10">
        <v>7740646000</v>
      </c>
      <c r="N25" s="78">
        <v>77.13</v>
      </c>
      <c r="O25" s="32" t="s">
        <v>28</v>
      </c>
      <c r="P25" s="10">
        <v>4097337200</v>
      </c>
      <c r="Q25" s="78">
        <v>67.63</v>
      </c>
      <c r="R25" s="32" t="s">
        <v>28</v>
      </c>
      <c r="S25" s="63">
        <v>7507623850</v>
      </c>
      <c r="T25" s="78">
        <f>8332/14016*100</f>
        <v>59.446347031963477</v>
      </c>
      <c r="U25" s="32" t="s">
        <v>28</v>
      </c>
      <c r="V25" s="63">
        <v>2866454950</v>
      </c>
      <c r="W25" s="58">
        <f>Q25/K25*100</f>
        <v>90.608252947481233</v>
      </c>
      <c r="X25" s="18" t="s">
        <v>28</v>
      </c>
      <c r="Y25" s="289">
        <f>S25/M25*100</f>
        <v>96.989629160150201</v>
      </c>
      <c r="Z25" s="58">
        <f>T25/N25*100</f>
        <v>77.072924973374143</v>
      </c>
      <c r="AA25" s="18" t="s">
        <v>28</v>
      </c>
      <c r="AB25" s="289">
        <f>V25/P25*100</f>
        <v>69.958971158146326</v>
      </c>
      <c r="AC25" s="78">
        <f>Q25+T25</f>
        <v>127.07634703196348</v>
      </c>
      <c r="AD25" s="156" t="s">
        <v>28</v>
      </c>
      <c r="AE25" s="245">
        <f>S25+V25</f>
        <v>10374078800</v>
      </c>
      <c r="AF25" s="8"/>
      <c r="AG25" s="8"/>
      <c r="AH25" s="8"/>
      <c r="AI25" s="8"/>
      <c r="AJ25" s="126"/>
      <c r="AM25" s="113">
        <f>S25</f>
        <v>7507623850</v>
      </c>
    </row>
    <row r="26" spans="1:39" ht="15" x14ac:dyDescent="0.2">
      <c r="A26" s="446" t="s">
        <v>5</v>
      </c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121">
        <f>AVERAGE(W21:W25)</f>
        <v>99.718655009347728</v>
      </c>
      <c r="X26" s="122"/>
      <c r="Y26" s="121"/>
      <c r="Z26" s="121">
        <f>AVERAGE(Z21:Z25)</f>
        <v>114.11310251073178</v>
      </c>
      <c r="AA26" s="102"/>
      <c r="AB26" s="102"/>
      <c r="AC26" s="102"/>
      <c r="AD26" s="102"/>
      <c r="AE26" s="102"/>
      <c r="AF26" s="102"/>
      <c r="AG26" s="102"/>
      <c r="AH26" s="102"/>
      <c r="AI26" s="102"/>
      <c r="AJ26" s="126"/>
    </row>
    <row r="27" spans="1:39" ht="15" x14ac:dyDescent="0.2">
      <c r="A27" s="446" t="s">
        <v>6</v>
      </c>
      <c r="B27" s="446"/>
      <c r="C27" s="446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195" t="str">
        <f>IF(W26&gt;=91,"Sangat Tinggi",IF(W26&gt;=76,"Tinggi",IF(W26&gt;=66,"Sedang",IF(W26&gt;=51,"Rendah",IF(W26&lt;=50,"Sangat Rendah")))))</f>
        <v>Sangat Tinggi</v>
      </c>
      <c r="X27" s="122"/>
      <c r="Y27" s="102"/>
      <c r="Z27" s="195" t="str">
        <f>IF(Z26&gt;=91,"Sangat Tinggi",IF(Z26&gt;=76,"Tinggi",IF(Z26&gt;=66,"Sedang",IF(Z26&gt;=51,"Rendah",IF(Z26&lt;=50,"Sangat Rendah")))))</f>
        <v>Sangat Tinggi</v>
      </c>
      <c r="AA27" s="102"/>
      <c r="AB27" s="102"/>
      <c r="AC27" s="102"/>
      <c r="AD27" s="102"/>
      <c r="AE27" s="102"/>
      <c r="AF27" s="102"/>
      <c r="AG27" s="102"/>
      <c r="AH27" s="102"/>
      <c r="AI27" s="102"/>
      <c r="AJ27" s="126"/>
    </row>
    <row r="28" spans="1:39" ht="15" x14ac:dyDescent="0.2">
      <c r="A28" s="429" t="s">
        <v>7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29"/>
      <c r="S28" s="429"/>
      <c r="T28" s="429"/>
      <c r="U28" s="429"/>
      <c r="V28" s="429"/>
      <c r="W28" s="429"/>
      <c r="X28" s="429"/>
      <c r="Y28" s="429"/>
      <c r="Z28" s="429"/>
      <c r="AA28" s="429"/>
      <c r="AB28" s="429"/>
      <c r="AC28" s="429"/>
      <c r="AD28" s="429"/>
      <c r="AE28" s="429"/>
      <c r="AF28" s="429"/>
      <c r="AG28" s="429"/>
      <c r="AH28" s="429"/>
      <c r="AI28" s="429"/>
      <c r="AJ28" s="126"/>
    </row>
    <row r="29" spans="1:39" ht="15" x14ac:dyDescent="0.2">
      <c r="A29" s="429" t="s">
        <v>8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29"/>
      <c r="AG29" s="429"/>
      <c r="AH29" s="429"/>
      <c r="AI29" s="429"/>
      <c r="AJ29" s="126"/>
    </row>
    <row r="30" spans="1:39" ht="15" x14ac:dyDescent="0.2">
      <c r="A30" s="429" t="s">
        <v>9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29"/>
      <c r="S30" s="429"/>
      <c r="T30" s="429"/>
      <c r="U30" s="429"/>
      <c r="V30" s="429"/>
      <c r="W30" s="429"/>
      <c r="X30" s="429"/>
      <c r="Y30" s="429"/>
      <c r="Z30" s="429"/>
      <c r="AA30" s="429"/>
      <c r="AB30" s="429"/>
      <c r="AC30" s="429"/>
      <c r="AD30" s="429"/>
      <c r="AE30" s="429"/>
      <c r="AF30" s="429"/>
      <c r="AG30" s="429"/>
      <c r="AH30" s="429"/>
      <c r="AI30" s="429"/>
      <c r="AJ30" s="126"/>
    </row>
    <row r="31" spans="1:39" ht="15" x14ac:dyDescent="0.2">
      <c r="A31" s="429" t="s">
        <v>10</v>
      </c>
      <c r="B31" s="429"/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127"/>
    </row>
    <row r="32" spans="1:39" ht="15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</row>
    <row r="33" spans="1:39" ht="15" x14ac:dyDescent="0.2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</row>
    <row r="34" spans="1:39" ht="15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</row>
    <row r="35" spans="1:39" s="133" customFormat="1" ht="68.25" customHeight="1" x14ac:dyDescent="0.2">
      <c r="A35" s="444" t="s">
        <v>0</v>
      </c>
      <c r="B35" s="444" t="s">
        <v>272</v>
      </c>
      <c r="C35" s="445" t="s">
        <v>1</v>
      </c>
      <c r="D35" s="445" t="s">
        <v>327</v>
      </c>
      <c r="E35" s="435" t="s">
        <v>21</v>
      </c>
      <c r="F35" s="436"/>
      <c r="G35" s="437"/>
      <c r="H35" s="435" t="s">
        <v>20</v>
      </c>
      <c r="I35" s="436"/>
      <c r="J35" s="437"/>
      <c r="K35" s="412" t="s">
        <v>582</v>
      </c>
      <c r="L35" s="413"/>
      <c r="M35" s="413"/>
      <c r="N35" s="413"/>
      <c r="O35" s="413"/>
      <c r="P35" s="414"/>
      <c r="Q35" s="412" t="s">
        <v>583</v>
      </c>
      <c r="R35" s="413"/>
      <c r="S35" s="413"/>
      <c r="T35" s="413"/>
      <c r="U35" s="413"/>
      <c r="V35" s="413"/>
      <c r="W35" s="412" t="s">
        <v>584</v>
      </c>
      <c r="X35" s="413"/>
      <c r="Y35" s="413"/>
      <c r="Z35" s="413"/>
      <c r="AA35" s="413"/>
      <c r="AB35" s="413"/>
      <c r="AC35" s="412" t="s">
        <v>19</v>
      </c>
      <c r="AD35" s="413"/>
      <c r="AE35" s="414"/>
      <c r="AF35" s="412" t="s">
        <v>4</v>
      </c>
      <c r="AG35" s="413"/>
      <c r="AH35" s="413"/>
      <c r="AI35" s="414"/>
      <c r="AJ35" s="433" t="s">
        <v>294</v>
      </c>
    </row>
    <row r="36" spans="1:39" s="133" customFormat="1" ht="18" customHeight="1" x14ac:dyDescent="0.2">
      <c r="A36" s="444"/>
      <c r="B36" s="444"/>
      <c r="C36" s="445"/>
      <c r="D36" s="445"/>
      <c r="E36" s="438"/>
      <c r="F36" s="439"/>
      <c r="G36" s="440"/>
      <c r="H36" s="438"/>
      <c r="I36" s="439"/>
      <c r="J36" s="440"/>
      <c r="K36" s="415"/>
      <c r="L36" s="416"/>
      <c r="M36" s="416"/>
      <c r="N36" s="416"/>
      <c r="O36" s="416"/>
      <c r="P36" s="417"/>
      <c r="Q36" s="415"/>
      <c r="R36" s="416"/>
      <c r="S36" s="416"/>
      <c r="T36" s="416"/>
      <c r="U36" s="416"/>
      <c r="V36" s="416"/>
      <c r="W36" s="415"/>
      <c r="X36" s="416"/>
      <c r="Y36" s="416"/>
      <c r="Z36" s="416"/>
      <c r="AA36" s="416"/>
      <c r="AB36" s="416"/>
      <c r="AC36" s="430"/>
      <c r="AD36" s="431"/>
      <c r="AE36" s="432"/>
      <c r="AF36" s="430"/>
      <c r="AG36" s="431"/>
      <c r="AH36" s="431"/>
      <c r="AI36" s="432"/>
      <c r="AJ36" s="434"/>
    </row>
    <row r="37" spans="1:39" s="133" customFormat="1" ht="15.75" customHeight="1" x14ac:dyDescent="0.2">
      <c r="A37" s="444"/>
      <c r="B37" s="444"/>
      <c r="C37" s="445"/>
      <c r="D37" s="445"/>
      <c r="E37" s="441"/>
      <c r="F37" s="442"/>
      <c r="G37" s="443"/>
      <c r="H37" s="441"/>
      <c r="I37" s="442"/>
      <c r="J37" s="443"/>
      <c r="K37" s="398" t="s">
        <v>580</v>
      </c>
      <c r="L37" s="399"/>
      <c r="M37" s="400"/>
      <c r="N37" s="398" t="s">
        <v>581</v>
      </c>
      <c r="O37" s="399"/>
      <c r="P37" s="400"/>
      <c r="Q37" s="398" t="s">
        <v>580</v>
      </c>
      <c r="R37" s="399"/>
      <c r="S37" s="400"/>
      <c r="T37" s="398" t="s">
        <v>581</v>
      </c>
      <c r="U37" s="399"/>
      <c r="V37" s="400"/>
      <c r="W37" s="398" t="s">
        <v>580</v>
      </c>
      <c r="X37" s="399"/>
      <c r="Y37" s="400"/>
      <c r="Z37" s="398" t="s">
        <v>581</v>
      </c>
      <c r="AA37" s="399"/>
      <c r="AB37" s="400"/>
      <c r="AC37" s="415"/>
      <c r="AD37" s="416"/>
      <c r="AE37" s="417"/>
      <c r="AF37" s="415"/>
      <c r="AG37" s="416"/>
      <c r="AH37" s="416"/>
      <c r="AI37" s="417"/>
      <c r="AJ37" s="128"/>
    </row>
    <row r="38" spans="1:39" s="103" customFormat="1" ht="15.75" x14ac:dyDescent="0.25">
      <c r="A38" s="411">
        <v>1</v>
      </c>
      <c r="B38" s="411">
        <v>2</v>
      </c>
      <c r="C38" s="411">
        <v>3</v>
      </c>
      <c r="D38" s="411">
        <v>4</v>
      </c>
      <c r="E38" s="420">
        <v>5</v>
      </c>
      <c r="F38" s="421"/>
      <c r="G38" s="422"/>
      <c r="H38" s="420">
        <v>6</v>
      </c>
      <c r="I38" s="421"/>
      <c r="J38" s="422"/>
      <c r="K38" s="401">
        <v>7</v>
      </c>
      <c r="L38" s="402"/>
      <c r="M38" s="403"/>
      <c r="N38" s="401">
        <v>8</v>
      </c>
      <c r="O38" s="402"/>
      <c r="P38" s="403"/>
      <c r="Q38" s="401">
        <v>12</v>
      </c>
      <c r="R38" s="402"/>
      <c r="S38" s="403"/>
      <c r="T38" s="401">
        <v>13</v>
      </c>
      <c r="U38" s="402"/>
      <c r="V38" s="403"/>
      <c r="W38" s="395">
        <v>17</v>
      </c>
      <c r="X38" s="396"/>
      <c r="Y38" s="397"/>
      <c r="Z38" s="395">
        <v>18</v>
      </c>
      <c r="AA38" s="396"/>
      <c r="AB38" s="397"/>
      <c r="AC38" s="395">
        <v>22</v>
      </c>
      <c r="AD38" s="396"/>
      <c r="AE38" s="397"/>
      <c r="AF38" s="395">
        <v>23</v>
      </c>
      <c r="AG38" s="396"/>
      <c r="AH38" s="396"/>
      <c r="AI38" s="397"/>
      <c r="AJ38" s="129"/>
    </row>
    <row r="39" spans="1:39" s="103" customFormat="1" ht="87" customHeight="1" x14ac:dyDescent="0.2">
      <c r="A39" s="419"/>
      <c r="B39" s="419"/>
      <c r="C39" s="419"/>
      <c r="D39" s="419"/>
      <c r="E39" s="404" t="s">
        <v>2</v>
      </c>
      <c r="F39" s="405"/>
      <c r="G39" s="408" t="s">
        <v>3</v>
      </c>
      <c r="H39" s="404" t="s">
        <v>2</v>
      </c>
      <c r="I39" s="405"/>
      <c r="J39" s="408" t="s">
        <v>3</v>
      </c>
      <c r="K39" s="404" t="s">
        <v>2</v>
      </c>
      <c r="L39" s="405"/>
      <c r="M39" s="411" t="s">
        <v>3</v>
      </c>
      <c r="N39" s="404" t="s">
        <v>2</v>
      </c>
      <c r="O39" s="405"/>
      <c r="P39" s="411" t="s">
        <v>3</v>
      </c>
      <c r="Q39" s="404" t="s">
        <v>2</v>
      </c>
      <c r="R39" s="405"/>
      <c r="S39" s="411" t="s">
        <v>3</v>
      </c>
      <c r="T39" s="404" t="s">
        <v>2</v>
      </c>
      <c r="U39" s="405"/>
      <c r="V39" s="411" t="s">
        <v>3</v>
      </c>
      <c r="W39" s="420" t="s">
        <v>13</v>
      </c>
      <c r="X39" s="422"/>
      <c r="Y39" s="106" t="s">
        <v>14</v>
      </c>
      <c r="Z39" s="420" t="s">
        <v>15</v>
      </c>
      <c r="AA39" s="422"/>
      <c r="AB39" s="106" t="s">
        <v>16</v>
      </c>
      <c r="AC39" s="404" t="s">
        <v>2</v>
      </c>
      <c r="AD39" s="405"/>
      <c r="AE39" s="405" t="s">
        <v>3</v>
      </c>
      <c r="AF39" s="420" t="s">
        <v>18</v>
      </c>
      <c r="AG39" s="422"/>
      <c r="AH39" s="425" t="s">
        <v>22</v>
      </c>
      <c r="AI39" s="106" t="s">
        <v>17</v>
      </c>
      <c r="AJ39" s="130"/>
    </row>
    <row r="40" spans="1:39" s="103" customFormat="1" ht="15.75" x14ac:dyDescent="0.2">
      <c r="A40" s="408"/>
      <c r="B40" s="408"/>
      <c r="C40" s="408"/>
      <c r="D40" s="408"/>
      <c r="E40" s="406"/>
      <c r="F40" s="407"/>
      <c r="G40" s="409"/>
      <c r="H40" s="406"/>
      <c r="I40" s="407"/>
      <c r="J40" s="409"/>
      <c r="K40" s="406"/>
      <c r="L40" s="407"/>
      <c r="M40" s="408"/>
      <c r="N40" s="406"/>
      <c r="O40" s="407"/>
      <c r="P40" s="408"/>
      <c r="Q40" s="406"/>
      <c r="R40" s="407"/>
      <c r="S40" s="408"/>
      <c r="T40" s="406"/>
      <c r="U40" s="407"/>
      <c r="V40" s="408"/>
      <c r="W40" s="406" t="s">
        <v>2</v>
      </c>
      <c r="X40" s="407"/>
      <c r="Y40" s="226" t="s">
        <v>3</v>
      </c>
      <c r="Z40" s="427" t="s">
        <v>2</v>
      </c>
      <c r="AA40" s="428"/>
      <c r="AB40" s="226" t="s">
        <v>3</v>
      </c>
      <c r="AC40" s="406"/>
      <c r="AD40" s="407"/>
      <c r="AE40" s="407"/>
      <c r="AF40" s="406" t="s">
        <v>2</v>
      </c>
      <c r="AG40" s="407"/>
      <c r="AH40" s="426"/>
      <c r="AI40" s="226" t="s">
        <v>3</v>
      </c>
      <c r="AJ40" s="130"/>
    </row>
    <row r="41" spans="1:39" ht="49.15" customHeight="1" x14ac:dyDescent="0.25">
      <c r="A41" s="70"/>
      <c r="B41" s="65"/>
      <c r="C41" s="20"/>
      <c r="D41" s="66" t="s">
        <v>326</v>
      </c>
      <c r="E41" s="277">
        <v>6.13</v>
      </c>
      <c r="F41" s="273" t="s">
        <v>28</v>
      </c>
      <c r="G41" s="275"/>
      <c r="H41" s="277">
        <v>6.43</v>
      </c>
      <c r="I41" s="273" t="s">
        <v>28</v>
      </c>
      <c r="J41" s="276">
        <f>J42+J61+J65+J70+J93+J113+J131+J149</f>
        <v>120283153395</v>
      </c>
      <c r="K41" s="277">
        <v>6.23</v>
      </c>
      <c r="L41" s="273" t="s">
        <v>28</v>
      </c>
      <c r="M41" s="276">
        <f>M42+M61+M65+M70+M93+M113+M131+M149</f>
        <v>26065167955</v>
      </c>
      <c r="N41" s="277">
        <v>6.28</v>
      </c>
      <c r="O41" s="273" t="s">
        <v>28</v>
      </c>
      <c r="P41" s="276">
        <f>P42+P61+P65+P70+P93+P113+P131+P149</f>
        <v>18548238850</v>
      </c>
      <c r="Q41" s="277">
        <v>5.32</v>
      </c>
      <c r="R41" s="273" t="s">
        <v>28</v>
      </c>
      <c r="S41" s="276">
        <f>S42+S61+S65+S70+S93+S113+S131+S149</f>
        <v>23203516871</v>
      </c>
      <c r="T41" s="277">
        <v>-1.19</v>
      </c>
      <c r="U41" s="273" t="s">
        <v>28</v>
      </c>
      <c r="V41" s="276">
        <f>V42+V61+V65+V70+V93+V113+V131+V149</f>
        <v>16264776372</v>
      </c>
      <c r="W41" s="288">
        <f>Q41/K41*100</f>
        <v>85.393258426966284</v>
      </c>
      <c r="X41" s="282" t="s">
        <v>28</v>
      </c>
      <c r="Y41" s="294">
        <f>S41/M41*100</f>
        <v>89.021167678871379</v>
      </c>
      <c r="Z41" s="288">
        <f>T41/N41*100</f>
        <v>-18.949044585987259</v>
      </c>
      <c r="AA41" s="282" t="s">
        <v>28</v>
      </c>
      <c r="AB41" s="294">
        <f>V41/P41*100</f>
        <v>87.689060419879155</v>
      </c>
      <c r="AC41" s="277">
        <f>T41</f>
        <v>-1.19</v>
      </c>
      <c r="AD41" s="378" t="s">
        <v>28</v>
      </c>
      <c r="AE41" s="375">
        <f>S41+V41</f>
        <v>39468293243</v>
      </c>
      <c r="AF41" s="8"/>
      <c r="AG41" s="8"/>
      <c r="AH41" s="8"/>
      <c r="AI41" s="8"/>
      <c r="AJ41" s="146"/>
      <c r="AM41" s="113">
        <f>S41</f>
        <v>23203516871</v>
      </c>
    </row>
    <row r="42" spans="1:39" ht="90" x14ac:dyDescent="0.25">
      <c r="A42" s="70">
        <v>7</v>
      </c>
      <c r="B42" s="65" t="s">
        <v>53</v>
      </c>
      <c r="C42" s="14"/>
      <c r="D42" s="66" t="s">
        <v>360</v>
      </c>
      <c r="E42" s="273">
        <v>2.33</v>
      </c>
      <c r="F42" s="273" t="s">
        <v>28</v>
      </c>
      <c r="G42" s="275"/>
      <c r="H42" s="273">
        <v>1.86</v>
      </c>
      <c r="I42" s="273" t="s">
        <v>28</v>
      </c>
      <c r="J42" s="276">
        <f>SUM(J43:J45)</f>
        <v>1063227500</v>
      </c>
      <c r="K42" s="273">
        <v>2.0699999999999998</v>
      </c>
      <c r="L42" s="273" t="s">
        <v>28</v>
      </c>
      <c r="M42" s="276">
        <f>SUM(M43:M45)</f>
        <v>202894250</v>
      </c>
      <c r="N42" s="273">
        <v>2.04</v>
      </c>
      <c r="O42" s="273" t="s">
        <v>28</v>
      </c>
      <c r="P42" s="276">
        <f>SUM(P43:P45)</f>
        <v>106049000</v>
      </c>
      <c r="Q42" s="277">
        <v>2.4300000000000002</v>
      </c>
      <c r="R42" s="273" t="s">
        <v>28</v>
      </c>
      <c r="S42" s="276">
        <f>SUM(S43:S45)</f>
        <v>191969605</v>
      </c>
      <c r="T42" s="277">
        <v>2.2400000000000002</v>
      </c>
      <c r="U42" s="273" t="s">
        <v>28</v>
      </c>
      <c r="V42" s="276">
        <f>SUM(V43:V45)</f>
        <v>89789000</v>
      </c>
      <c r="W42" s="288">
        <f>(K42-(Q42-K42))/K42*100</f>
        <v>82.608695652173893</v>
      </c>
      <c r="X42" s="282" t="s">
        <v>28</v>
      </c>
      <c r="Y42" s="294">
        <f>S42/M42*100</f>
        <v>94.615596548448266</v>
      </c>
      <c r="Z42" s="288">
        <f>(N42-(T42-N42))/N42*100</f>
        <v>90.196078431372541</v>
      </c>
      <c r="AA42" s="282" t="s">
        <v>28</v>
      </c>
      <c r="AB42" s="294">
        <f>V42/P42*100</f>
        <v>84.667465039745778</v>
      </c>
      <c r="AC42" s="277">
        <f>T42</f>
        <v>2.2400000000000002</v>
      </c>
      <c r="AD42" s="378" t="s">
        <v>28</v>
      </c>
      <c r="AE42" s="375">
        <f>S42+V42</f>
        <v>281758605</v>
      </c>
      <c r="AF42" s="8"/>
      <c r="AG42" s="8"/>
      <c r="AH42" s="8"/>
      <c r="AI42" s="8"/>
      <c r="AJ42" s="108" t="s">
        <v>305</v>
      </c>
      <c r="AM42" s="113">
        <f>S42</f>
        <v>191969605</v>
      </c>
    </row>
    <row r="43" spans="1:39" s="188" customFormat="1" ht="75" x14ac:dyDescent="0.2">
      <c r="A43" s="64"/>
      <c r="B43" s="64"/>
      <c r="C43" s="101" t="s">
        <v>55</v>
      </c>
      <c r="D43" s="14" t="s">
        <v>131</v>
      </c>
      <c r="E43" s="78">
        <v>42.76</v>
      </c>
      <c r="F43" s="18" t="s">
        <v>28</v>
      </c>
      <c r="G43" s="290"/>
      <c r="H43" s="78">
        <v>48.5</v>
      </c>
      <c r="I43" s="18" t="s">
        <v>28</v>
      </c>
      <c r="J43" s="233">
        <v>994471250</v>
      </c>
      <c r="K43" s="32">
        <v>42.96</v>
      </c>
      <c r="L43" s="18" t="s">
        <v>28</v>
      </c>
      <c r="M43" s="230">
        <v>185143000</v>
      </c>
      <c r="N43" s="32">
        <v>43.03</v>
      </c>
      <c r="O43" s="18" t="s">
        <v>28</v>
      </c>
      <c r="P43" s="230">
        <v>101049000</v>
      </c>
      <c r="Q43" s="78">
        <v>42.98</v>
      </c>
      <c r="R43" s="18" t="s">
        <v>28</v>
      </c>
      <c r="S43" s="230">
        <v>177444605</v>
      </c>
      <c r="T43" s="78">
        <f>973/1139*100</f>
        <v>85.425812115891134</v>
      </c>
      <c r="U43" s="18" t="s">
        <v>28</v>
      </c>
      <c r="V43" s="230">
        <v>84789000</v>
      </c>
      <c r="W43" s="58">
        <f>Q43/K43*100</f>
        <v>100.04655493482308</v>
      </c>
      <c r="X43" s="18" t="s">
        <v>28</v>
      </c>
      <c r="Y43" s="291">
        <f>S43/M43*100</f>
        <v>95.841919489259652</v>
      </c>
      <c r="Z43" s="58">
        <f>T43/N43*100</f>
        <v>198.52617270716041</v>
      </c>
      <c r="AA43" s="18" t="s">
        <v>28</v>
      </c>
      <c r="AB43" s="291">
        <f>V43/P43*100</f>
        <v>83.908796722382206</v>
      </c>
      <c r="AC43" s="78">
        <f>Q43+T43</f>
        <v>128.40581211589114</v>
      </c>
      <c r="AD43" s="156" t="s">
        <v>28</v>
      </c>
      <c r="AE43" s="245">
        <f>S43+V43</f>
        <v>262233605</v>
      </c>
      <c r="AF43" s="8"/>
      <c r="AG43" s="8"/>
      <c r="AH43" s="8"/>
      <c r="AI43" s="8"/>
      <c r="AJ43" s="126"/>
      <c r="AM43" s="113">
        <f>S43</f>
        <v>177444605</v>
      </c>
    </row>
    <row r="44" spans="1:39" ht="96.6" customHeight="1" x14ac:dyDescent="0.2">
      <c r="A44" s="64"/>
      <c r="B44" s="64"/>
      <c r="C44" s="20"/>
      <c r="D44" s="14" t="s">
        <v>213</v>
      </c>
      <c r="E44" s="78">
        <v>75</v>
      </c>
      <c r="F44" s="18" t="s">
        <v>28</v>
      </c>
      <c r="G44" s="29"/>
      <c r="H44" s="78">
        <v>95</v>
      </c>
      <c r="I44" s="18" t="s">
        <v>28</v>
      </c>
      <c r="J44" s="50"/>
      <c r="K44" s="78">
        <v>80</v>
      </c>
      <c r="L44" s="18" t="s">
        <v>28</v>
      </c>
      <c r="M44" s="232"/>
      <c r="N44" s="78">
        <v>85</v>
      </c>
      <c r="O44" s="18" t="s">
        <v>28</v>
      </c>
      <c r="P44" s="232"/>
      <c r="Q44" s="78">
        <v>83.33</v>
      </c>
      <c r="R44" s="18" t="s">
        <v>28</v>
      </c>
      <c r="S44" s="262"/>
      <c r="T44" s="78">
        <f>3/6*100</f>
        <v>50</v>
      </c>
      <c r="U44" s="18" t="s">
        <v>28</v>
      </c>
      <c r="V44" s="262"/>
      <c r="W44" s="58">
        <f>Q44/K44*100</f>
        <v>104.16250000000001</v>
      </c>
      <c r="X44" s="18" t="s">
        <v>28</v>
      </c>
      <c r="Y44" s="292"/>
      <c r="Z44" s="58">
        <f>T44/N44*100</f>
        <v>58.82352941176471</v>
      </c>
      <c r="AA44" s="18" t="s">
        <v>28</v>
      </c>
      <c r="AB44" s="292"/>
      <c r="AC44" s="78">
        <f>Q44+T44</f>
        <v>133.32999999999998</v>
      </c>
      <c r="AD44" s="156" t="s">
        <v>28</v>
      </c>
      <c r="AE44" s="5"/>
      <c r="AF44" s="8"/>
      <c r="AG44" s="8"/>
      <c r="AH44" s="8"/>
      <c r="AI44" s="8"/>
      <c r="AJ44" s="126"/>
      <c r="AM44" s="113">
        <f>S44</f>
        <v>0</v>
      </c>
    </row>
    <row r="45" spans="1:39" ht="60" x14ac:dyDescent="0.2">
      <c r="A45" s="64"/>
      <c r="B45" s="64"/>
      <c r="C45" s="14" t="s">
        <v>54</v>
      </c>
      <c r="D45" s="14" t="s">
        <v>132</v>
      </c>
      <c r="E45" s="78">
        <v>0.73</v>
      </c>
      <c r="F45" s="18" t="s">
        <v>28</v>
      </c>
      <c r="G45" s="8"/>
      <c r="H45" s="78">
        <v>0.79</v>
      </c>
      <c r="I45" s="18" t="s">
        <v>28</v>
      </c>
      <c r="J45" s="9">
        <v>68756250</v>
      </c>
      <c r="K45" s="32">
        <v>0.75</v>
      </c>
      <c r="L45" s="18" t="s">
        <v>28</v>
      </c>
      <c r="M45" s="10">
        <v>17751250</v>
      </c>
      <c r="N45" s="32">
        <v>0.76</v>
      </c>
      <c r="O45" s="18" t="s">
        <v>28</v>
      </c>
      <c r="P45" s="10">
        <v>5000000</v>
      </c>
      <c r="Q45" s="78">
        <v>0.96</v>
      </c>
      <c r="R45" s="18" t="s">
        <v>28</v>
      </c>
      <c r="S45" s="63">
        <v>14525000</v>
      </c>
      <c r="T45" s="78">
        <f>1097/5898*100</f>
        <v>18.599525262800949</v>
      </c>
      <c r="U45" s="18" t="s">
        <v>28</v>
      </c>
      <c r="V45" s="63">
        <v>5000000</v>
      </c>
      <c r="W45" s="58">
        <f>Q45/K45*100</f>
        <v>128</v>
      </c>
      <c r="X45" s="18" t="s">
        <v>28</v>
      </c>
      <c r="Y45" s="289">
        <f>S45/M45*100</f>
        <v>81.825223575804515</v>
      </c>
      <c r="Z45" s="383">
        <f>T45/N45*100</f>
        <v>2447.3059556317035</v>
      </c>
      <c r="AA45" s="18" t="s">
        <v>28</v>
      </c>
      <c r="AB45" s="289">
        <f>V45/P45*100</f>
        <v>100</v>
      </c>
      <c r="AC45" s="78">
        <f>T45</f>
        <v>18.599525262800949</v>
      </c>
      <c r="AD45" s="156" t="s">
        <v>28</v>
      </c>
      <c r="AE45" s="245">
        <f>S45+V45</f>
        <v>19525000</v>
      </c>
      <c r="AF45" s="8"/>
      <c r="AG45" s="8"/>
      <c r="AH45" s="8"/>
      <c r="AI45" s="8"/>
      <c r="AJ45" s="126"/>
      <c r="AM45" s="113">
        <f>S45</f>
        <v>14525000</v>
      </c>
    </row>
    <row r="46" spans="1:39" ht="15" x14ac:dyDescent="0.2">
      <c r="A46" s="446" t="s">
        <v>5</v>
      </c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121">
        <f>AVERAGE(W42:W45)</f>
        <v>103.70443764674924</v>
      </c>
      <c r="X46" s="122"/>
      <c r="Y46" s="121"/>
      <c r="Z46" s="121">
        <f>AVERAGE(Z42:Z45)</f>
        <v>698.71293404550033</v>
      </c>
      <c r="AA46" s="102"/>
      <c r="AB46" s="102"/>
      <c r="AC46" s="102"/>
      <c r="AD46" s="102"/>
      <c r="AE46" s="102"/>
      <c r="AF46" s="102"/>
      <c r="AG46" s="102"/>
      <c r="AH46" s="102"/>
      <c r="AI46" s="102"/>
      <c r="AJ46" s="126"/>
    </row>
    <row r="47" spans="1:39" ht="15" x14ac:dyDescent="0.2">
      <c r="A47" s="446" t="s">
        <v>6</v>
      </c>
      <c r="B47" s="446"/>
      <c r="C47" s="446"/>
      <c r="D47" s="446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6"/>
      <c r="P47" s="446"/>
      <c r="Q47" s="446"/>
      <c r="R47" s="446"/>
      <c r="S47" s="446"/>
      <c r="T47" s="446"/>
      <c r="U47" s="446"/>
      <c r="V47" s="446"/>
      <c r="W47" s="195" t="str">
        <f>IF(W46&gt;=91,"Sangat Tinggi",IF(W46&gt;=76,"Tinggi",IF(W46&gt;=66,"Sedang",IF(W46&gt;=51,"Rendah",IF(W46&lt;=50,"Sangat Rendah")))))</f>
        <v>Sangat Tinggi</v>
      </c>
      <c r="X47" s="122"/>
      <c r="Y47" s="102"/>
      <c r="Z47" s="195" t="str">
        <f>IF(Z46&gt;=91,"Sangat Tinggi",IF(Z46&gt;=76,"Tinggi",IF(Z46&gt;=66,"Sedang",IF(Z46&gt;=51,"Rendah",IF(Z46&lt;=50,"Sangat Rendah")))))</f>
        <v>Sangat Tinggi</v>
      </c>
      <c r="AA47" s="102"/>
      <c r="AB47" s="102"/>
      <c r="AC47" s="102"/>
      <c r="AD47" s="102"/>
      <c r="AE47" s="102"/>
      <c r="AF47" s="102"/>
      <c r="AG47" s="102"/>
      <c r="AH47" s="102"/>
      <c r="AI47" s="102"/>
      <c r="AJ47" s="126"/>
    </row>
    <row r="48" spans="1:39" ht="15" x14ac:dyDescent="0.2">
      <c r="A48" s="429" t="s">
        <v>7</v>
      </c>
      <c r="B48" s="429"/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29"/>
      <c r="Q48" s="429"/>
      <c r="R48" s="429"/>
      <c r="S48" s="429"/>
      <c r="T48" s="429"/>
      <c r="U48" s="429"/>
      <c r="V48" s="429"/>
      <c r="W48" s="429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29"/>
      <c r="AJ48" s="126"/>
    </row>
    <row r="49" spans="1:39" ht="15" x14ac:dyDescent="0.2">
      <c r="A49" s="429" t="s">
        <v>8</v>
      </c>
      <c r="B49" s="429"/>
      <c r="C49" s="429"/>
      <c r="D49" s="429"/>
      <c r="E49" s="429"/>
      <c r="F49" s="429"/>
      <c r="G49" s="429"/>
      <c r="H49" s="429"/>
      <c r="I49" s="429"/>
      <c r="J49" s="429"/>
      <c r="K49" s="429"/>
      <c r="L49" s="429"/>
      <c r="M49" s="429"/>
      <c r="N49" s="429"/>
      <c r="O49" s="429"/>
      <c r="P49" s="429"/>
      <c r="Q49" s="429"/>
      <c r="R49" s="429"/>
      <c r="S49" s="429"/>
      <c r="T49" s="429"/>
      <c r="U49" s="429"/>
      <c r="V49" s="429"/>
      <c r="W49" s="429"/>
      <c r="X49" s="429"/>
      <c r="Y49" s="429"/>
      <c r="Z49" s="429"/>
      <c r="AA49" s="429"/>
      <c r="AB49" s="429"/>
      <c r="AC49" s="429"/>
      <c r="AD49" s="429"/>
      <c r="AE49" s="429"/>
      <c r="AF49" s="429"/>
      <c r="AG49" s="429"/>
      <c r="AH49" s="429"/>
      <c r="AI49" s="429"/>
      <c r="AJ49" s="126"/>
    </row>
    <row r="50" spans="1:39" ht="15" x14ac:dyDescent="0.2">
      <c r="A50" s="429" t="s">
        <v>9</v>
      </c>
      <c r="B50" s="429"/>
      <c r="C50" s="429"/>
      <c r="D50" s="429"/>
      <c r="E50" s="429"/>
      <c r="F50" s="429"/>
      <c r="G50" s="429"/>
      <c r="H50" s="429"/>
      <c r="I50" s="429"/>
      <c r="J50" s="429"/>
      <c r="K50" s="429"/>
      <c r="L50" s="429"/>
      <c r="M50" s="429"/>
      <c r="N50" s="429"/>
      <c r="O50" s="429"/>
      <c r="P50" s="429"/>
      <c r="Q50" s="429"/>
      <c r="R50" s="429"/>
      <c r="S50" s="429"/>
      <c r="T50" s="429"/>
      <c r="U50" s="429"/>
      <c r="V50" s="429"/>
      <c r="W50" s="429"/>
      <c r="X50" s="429"/>
      <c r="Y50" s="429"/>
      <c r="Z50" s="429"/>
      <c r="AA50" s="429"/>
      <c r="AB50" s="429"/>
      <c r="AC50" s="429"/>
      <c r="AD50" s="429"/>
      <c r="AE50" s="429"/>
      <c r="AF50" s="429"/>
      <c r="AG50" s="429"/>
      <c r="AH50" s="429"/>
      <c r="AI50" s="429"/>
      <c r="AJ50" s="126"/>
    </row>
    <row r="51" spans="1:39" ht="15" x14ac:dyDescent="0.2">
      <c r="A51" s="429" t="s">
        <v>10</v>
      </c>
      <c r="B51" s="429"/>
      <c r="C51" s="429"/>
      <c r="D51" s="429"/>
      <c r="E51" s="429"/>
      <c r="F51" s="429"/>
      <c r="G51" s="429"/>
      <c r="H51" s="429"/>
      <c r="I51" s="429"/>
      <c r="J51" s="429"/>
      <c r="K51" s="429"/>
      <c r="L51" s="429"/>
      <c r="M51" s="429"/>
      <c r="N51" s="429"/>
      <c r="O51" s="429"/>
      <c r="P51" s="429"/>
      <c r="Q51" s="429"/>
      <c r="R51" s="429"/>
      <c r="S51" s="429"/>
      <c r="T51" s="429"/>
      <c r="U51" s="429"/>
      <c r="V51" s="429"/>
      <c r="W51" s="429"/>
      <c r="X51" s="429"/>
      <c r="Y51" s="429"/>
      <c r="Z51" s="429"/>
      <c r="AA51" s="429"/>
      <c r="AB51" s="429"/>
      <c r="AC51" s="429"/>
      <c r="AD51" s="429"/>
      <c r="AE51" s="429"/>
      <c r="AF51" s="429"/>
      <c r="AG51" s="429"/>
      <c r="AH51" s="429"/>
      <c r="AI51" s="429"/>
      <c r="AJ51" s="127"/>
    </row>
    <row r="52" spans="1:39" ht="15" x14ac:dyDescent="0.2">
      <c r="A52" s="123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</row>
    <row r="53" spans="1:39" ht="15" x14ac:dyDescent="0.2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</row>
    <row r="54" spans="1:39" ht="15" x14ac:dyDescent="0.2">
      <c r="A54" s="125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</row>
    <row r="55" spans="1:39" s="133" customFormat="1" ht="68.25" customHeight="1" x14ac:dyDescent="0.2">
      <c r="A55" s="444" t="s">
        <v>0</v>
      </c>
      <c r="B55" s="444" t="s">
        <v>272</v>
      </c>
      <c r="C55" s="445" t="s">
        <v>1</v>
      </c>
      <c r="D55" s="445" t="s">
        <v>327</v>
      </c>
      <c r="E55" s="435" t="s">
        <v>21</v>
      </c>
      <c r="F55" s="436"/>
      <c r="G55" s="437"/>
      <c r="H55" s="435" t="s">
        <v>20</v>
      </c>
      <c r="I55" s="436"/>
      <c r="J55" s="437"/>
      <c r="K55" s="412" t="s">
        <v>582</v>
      </c>
      <c r="L55" s="413"/>
      <c r="M55" s="413"/>
      <c r="N55" s="413"/>
      <c r="O55" s="413"/>
      <c r="P55" s="414"/>
      <c r="Q55" s="412" t="s">
        <v>583</v>
      </c>
      <c r="R55" s="413"/>
      <c r="S55" s="413"/>
      <c r="T55" s="413"/>
      <c r="U55" s="413"/>
      <c r="V55" s="413"/>
      <c r="W55" s="412" t="s">
        <v>584</v>
      </c>
      <c r="X55" s="413"/>
      <c r="Y55" s="413"/>
      <c r="Z55" s="413"/>
      <c r="AA55" s="413"/>
      <c r="AB55" s="413"/>
      <c r="AC55" s="412" t="s">
        <v>19</v>
      </c>
      <c r="AD55" s="413"/>
      <c r="AE55" s="414"/>
      <c r="AF55" s="412" t="s">
        <v>4</v>
      </c>
      <c r="AG55" s="413"/>
      <c r="AH55" s="413"/>
      <c r="AI55" s="414"/>
      <c r="AJ55" s="433" t="s">
        <v>294</v>
      </c>
    </row>
    <row r="56" spans="1:39" s="133" customFormat="1" ht="18" customHeight="1" x14ac:dyDescent="0.2">
      <c r="A56" s="444"/>
      <c r="B56" s="444"/>
      <c r="C56" s="445"/>
      <c r="D56" s="445"/>
      <c r="E56" s="438"/>
      <c r="F56" s="439"/>
      <c r="G56" s="440"/>
      <c r="H56" s="438"/>
      <c r="I56" s="439"/>
      <c r="J56" s="440"/>
      <c r="K56" s="415"/>
      <c r="L56" s="416"/>
      <c r="M56" s="416"/>
      <c r="N56" s="416"/>
      <c r="O56" s="416"/>
      <c r="P56" s="417"/>
      <c r="Q56" s="415"/>
      <c r="R56" s="416"/>
      <c r="S56" s="416"/>
      <c r="T56" s="416"/>
      <c r="U56" s="416"/>
      <c r="V56" s="416"/>
      <c r="W56" s="415"/>
      <c r="X56" s="416"/>
      <c r="Y56" s="416"/>
      <c r="Z56" s="416"/>
      <c r="AA56" s="416"/>
      <c r="AB56" s="416"/>
      <c r="AC56" s="430"/>
      <c r="AD56" s="431"/>
      <c r="AE56" s="432"/>
      <c r="AF56" s="430"/>
      <c r="AG56" s="431"/>
      <c r="AH56" s="431"/>
      <c r="AI56" s="432"/>
      <c r="AJ56" s="434"/>
    </row>
    <row r="57" spans="1:39" s="133" customFormat="1" ht="15.75" customHeight="1" x14ac:dyDescent="0.2">
      <c r="A57" s="444"/>
      <c r="B57" s="444"/>
      <c r="C57" s="445"/>
      <c r="D57" s="445"/>
      <c r="E57" s="441"/>
      <c r="F57" s="442"/>
      <c r="G57" s="443"/>
      <c r="H57" s="441"/>
      <c r="I57" s="442"/>
      <c r="J57" s="443"/>
      <c r="K57" s="398" t="s">
        <v>580</v>
      </c>
      <c r="L57" s="399"/>
      <c r="M57" s="400"/>
      <c r="N57" s="398" t="s">
        <v>581</v>
      </c>
      <c r="O57" s="399"/>
      <c r="P57" s="400"/>
      <c r="Q57" s="398" t="s">
        <v>580</v>
      </c>
      <c r="R57" s="399"/>
      <c r="S57" s="400"/>
      <c r="T57" s="398" t="s">
        <v>581</v>
      </c>
      <c r="U57" s="399"/>
      <c r="V57" s="400"/>
      <c r="W57" s="398" t="s">
        <v>580</v>
      </c>
      <c r="X57" s="399"/>
      <c r="Y57" s="400"/>
      <c r="Z57" s="398" t="s">
        <v>581</v>
      </c>
      <c r="AA57" s="399"/>
      <c r="AB57" s="400"/>
      <c r="AC57" s="415"/>
      <c r="AD57" s="416"/>
      <c r="AE57" s="417"/>
      <c r="AF57" s="415"/>
      <c r="AG57" s="416"/>
      <c r="AH57" s="416"/>
      <c r="AI57" s="417"/>
      <c r="AJ57" s="128"/>
    </row>
    <row r="58" spans="1:39" s="103" customFormat="1" ht="15.75" x14ac:dyDescent="0.25">
      <c r="A58" s="411">
        <v>1</v>
      </c>
      <c r="B58" s="411">
        <v>2</v>
      </c>
      <c r="C58" s="411">
        <v>3</v>
      </c>
      <c r="D58" s="411">
        <v>4</v>
      </c>
      <c r="E58" s="420">
        <v>5</v>
      </c>
      <c r="F58" s="421"/>
      <c r="G58" s="422"/>
      <c r="H58" s="420">
        <v>6</v>
      </c>
      <c r="I58" s="421"/>
      <c r="J58" s="422"/>
      <c r="K58" s="401">
        <v>7</v>
      </c>
      <c r="L58" s="402"/>
      <c r="M58" s="403"/>
      <c r="N58" s="401">
        <v>8</v>
      </c>
      <c r="O58" s="402"/>
      <c r="P58" s="403"/>
      <c r="Q58" s="401">
        <v>12</v>
      </c>
      <c r="R58" s="402"/>
      <c r="S58" s="403"/>
      <c r="T58" s="401">
        <v>13</v>
      </c>
      <c r="U58" s="402"/>
      <c r="V58" s="403"/>
      <c r="W58" s="395">
        <v>17</v>
      </c>
      <c r="X58" s="396"/>
      <c r="Y58" s="397"/>
      <c r="Z58" s="395">
        <v>18</v>
      </c>
      <c r="AA58" s="396"/>
      <c r="AB58" s="397"/>
      <c r="AC58" s="395">
        <v>22</v>
      </c>
      <c r="AD58" s="396"/>
      <c r="AE58" s="397"/>
      <c r="AF58" s="395">
        <v>23</v>
      </c>
      <c r="AG58" s="396"/>
      <c r="AH58" s="396"/>
      <c r="AI58" s="397"/>
      <c r="AJ58" s="129"/>
    </row>
    <row r="59" spans="1:39" s="103" customFormat="1" ht="87" customHeight="1" x14ac:dyDescent="0.2">
      <c r="A59" s="419"/>
      <c r="B59" s="419"/>
      <c r="C59" s="419"/>
      <c r="D59" s="419"/>
      <c r="E59" s="404" t="s">
        <v>2</v>
      </c>
      <c r="F59" s="405"/>
      <c r="G59" s="408" t="s">
        <v>3</v>
      </c>
      <c r="H59" s="404" t="s">
        <v>2</v>
      </c>
      <c r="I59" s="405"/>
      <c r="J59" s="408" t="s">
        <v>3</v>
      </c>
      <c r="K59" s="404" t="s">
        <v>2</v>
      </c>
      <c r="L59" s="405"/>
      <c r="M59" s="411" t="s">
        <v>3</v>
      </c>
      <c r="N59" s="404" t="s">
        <v>2</v>
      </c>
      <c r="O59" s="405"/>
      <c r="P59" s="411" t="s">
        <v>3</v>
      </c>
      <c r="Q59" s="404" t="s">
        <v>2</v>
      </c>
      <c r="R59" s="405"/>
      <c r="S59" s="411" t="s">
        <v>3</v>
      </c>
      <c r="T59" s="404" t="s">
        <v>2</v>
      </c>
      <c r="U59" s="405"/>
      <c r="V59" s="411" t="s">
        <v>3</v>
      </c>
      <c r="W59" s="420" t="s">
        <v>13</v>
      </c>
      <c r="X59" s="422"/>
      <c r="Y59" s="106" t="s">
        <v>14</v>
      </c>
      <c r="Z59" s="420" t="s">
        <v>15</v>
      </c>
      <c r="AA59" s="422"/>
      <c r="AB59" s="106" t="s">
        <v>16</v>
      </c>
      <c r="AC59" s="404" t="s">
        <v>2</v>
      </c>
      <c r="AD59" s="405"/>
      <c r="AE59" s="405" t="s">
        <v>3</v>
      </c>
      <c r="AF59" s="420" t="s">
        <v>18</v>
      </c>
      <c r="AG59" s="422"/>
      <c r="AH59" s="425" t="s">
        <v>22</v>
      </c>
      <c r="AI59" s="106" t="s">
        <v>17</v>
      </c>
      <c r="AJ59" s="130"/>
    </row>
    <row r="60" spans="1:39" s="103" customFormat="1" ht="15.75" x14ac:dyDescent="0.2">
      <c r="A60" s="408"/>
      <c r="B60" s="408"/>
      <c r="C60" s="408"/>
      <c r="D60" s="408"/>
      <c r="E60" s="406"/>
      <c r="F60" s="407"/>
      <c r="G60" s="409"/>
      <c r="H60" s="406"/>
      <c r="I60" s="407"/>
      <c r="J60" s="409"/>
      <c r="K60" s="406"/>
      <c r="L60" s="407"/>
      <c r="M60" s="408"/>
      <c r="N60" s="406"/>
      <c r="O60" s="407"/>
      <c r="P60" s="408"/>
      <c r="Q60" s="406"/>
      <c r="R60" s="407"/>
      <c r="S60" s="408"/>
      <c r="T60" s="406"/>
      <c r="U60" s="407"/>
      <c r="V60" s="408"/>
      <c r="W60" s="406" t="s">
        <v>2</v>
      </c>
      <c r="X60" s="407"/>
      <c r="Y60" s="226" t="s">
        <v>3</v>
      </c>
      <c r="Z60" s="427" t="s">
        <v>2</v>
      </c>
      <c r="AA60" s="428"/>
      <c r="AB60" s="226" t="s">
        <v>3</v>
      </c>
      <c r="AC60" s="406"/>
      <c r="AD60" s="407"/>
      <c r="AE60" s="407"/>
      <c r="AF60" s="406" t="s">
        <v>2</v>
      </c>
      <c r="AG60" s="407"/>
      <c r="AH60" s="426"/>
      <c r="AI60" s="226" t="s">
        <v>3</v>
      </c>
      <c r="AJ60" s="130"/>
    </row>
    <row r="61" spans="1:39" ht="102" customHeight="1" x14ac:dyDescent="0.2">
      <c r="A61" s="70">
        <v>8</v>
      </c>
      <c r="B61" s="65" t="s">
        <v>56</v>
      </c>
      <c r="C61" s="14"/>
      <c r="D61" s="66" t="s">
        <v>361</v>
      </c>
      <c r="E61" s="273">
        <v>4.57</v>
      </c>
      <c r="F61" s="273" t="s">
        <v>28</v>
      </c>
      <c r="G61" s="281"/>
      <c r="H61" s="273">
        <v>5.85</v>
      </c>
      <c r="I61" s="273" t="s">
        <v>28</v>
      </c>
      <c r="J61" s="276">
        <f>SUM(J62:J64)</f>
        <v>10144850000</v>
      </c>
      <c r="K61" s="273">
        <v>4.47</v>
      </c>
      <c r="L61" s="273" t="s">
        <v>28</v>
      </c>
      <c r="M61" s="276">
        <f>SUM(M62:M64)</f>
        <v>330746000</v>
      </c>
      <c r="N61" s="273">
        <v>4.9800000000000004</v>
      </c>
      <c r="O61" s="273" t="s">
        <v>28</v>
      </c>
      <c r="P61" s="276">
        <f>SUM(P62:P64)</f>
        <v>2385681500</v>
      </c>
      <c r="Q61" s="277">
        <v>4.3899999999999997</v>
      </c>
      <c r="R61" s="273" t="s">
        <v>28</v>
      </c>
      <c r="S61" s="276">
        <f>SUM(S62:S64)</f>
        <v>262450200</v>
      </c>
      <c r="T61" s="277">
        <v>-3.6</v>
      </c>
      <c r="U61" s="273" t="s">
        <v>28</v>
      </c>
      <c r="V61" s="276">
        <f>SUM(V62:V64)</f>
        <v>2114506000</v>
      </c>
      <c r="W61" s="288">
        <f>Q61/K61*100</f>
        <v>98.210290827740494</v>
      </c>
      <c r="X61" s="282" t="s">
        <v>28</v>
      </c>
      <c r="Y61" s="294">
        <f>S61/M61*100</f>
        <v>79.350982324805145</v>
      </c>
      <c r="Z61" s="288">
        <f>T61/N61*100</f>
        <v>-72.289156626506028</v>
      </c>
      <c r="AA61" s="282" t="s">
        <v>28</v>
      </c>
      <c r="AB61" s="294">
        <f>V61/P61*100</f>
        <v>88.633206067113306</v>
      </c>
      <c r="AC61" s="277">
        <f>T61</f>
        <v>-3.6</v>
      </c>
      <c r="AD61" s="378" t="s">
        <v>28</v>
      </c>
      <c r="AE61" s="375">
        <f>S61+V61</f>
        <v>2376956200</v>
      </c>
      <c r="AF61" s="8"/>
      <c r="AG61" s="8"/>
      <c r="AH61" s="8"/>
      <c r="AI61" s="8"/>
      <c r="AJ61" s="108" t="s">
        <v>305</v>
      </c>
      <c r="AM61" s="113">
        <f t="shared" ref="AM61:AM96" si="0">S61</f>
        <v>262450200</v>
      </c>
    </row>
    <row r="62" spans="1:39" ht="75" x14ac:dyDescent="0.2">
      <c r="A62" s="64"/>
      <c r="B62" s="64"/>
      <c r="C62" s="101" t="s">
        <v>216</v>
      </c>
      <c r="D62" s="14" t="s">
        <v>214</v>
      </c>
      <c r="E62" s="32">
        <v>3.94</v>
      </c>
      <c r="F62" s="32" t="s">
        <v>28</v>
      </c>
      <c r="G62" s="290"/>
      <c r="H62" s="32">
        <v>15.32</v>
      </c>
      <c r="I62" s="32" t="s">
        <v>28</v>
      </c>
      <c r="J62" s="233">
        <v>944850000</v>
      </c>
      <c r="K62" s="32">
        <v>4.18</v>
      </c>
      <c r="L62" s="32" t="s">
        <v>28</v>
      </c>
      <c r="M62" s="230">
        <v>330746000</v>
      </c>
      <c r="N62" s="32">
        <v>6.96</v>
      </c>
      <c r="O62" s="32" t="s">
        <v>28</v>
      </c>
      <c r="P62" s="230">
        <v>91481000</v>
      </c>
      <c r="Q62" s="78">
        <v>4.9800000000000004</v>
      </c>
      <c r="R62" s="32" t="s">
        <v>28</v>
      </c>
      <c r="S62" s="261">
        <v>262450200</v>
      </c>
      <c r="T62" s="78">
        <f>30/402*100</f>
        <v>7.4626865671641784</v>
      </c>
      <c r="U62" s="32" t="s">
        <v>28</v>
      </c>
      <c r="V62" s="261">
        <v>70881000</v>
      </c>
      <c r="W62" s="58">
        <f>Q62/K62*100</f>
        <v>119.13875598086125</v>
      </c>
      <c r="X62" s="18" t="s">
        <v>28</v>
      </c>
      <c r="Y62" s="291">
        <f>S62/M62*100</f>
        <v>79.350982324805145</v>
      </c>
      <c r="Z62" s="58">
        <f>T62/N62*100</f>
        <v>107.22250814891061</v>
      </c>
      <c r="AA62" s="18" t="s">
        <v>28</v>
      </c>
      <c r="AB62" s="291">
        <f>V62/P62*100</f>
        <v>77.481662858954309</v>
      </c>
      <c r="AC62" s="78">
        <f>Q62+T62</f>
        <v>12.442686567164179</v>
      </c>
      <c r="AD62" s="156" t="s">
        <v>28</v>
      </c>
      <c r="AE62" s="245">
        <f>S62+V62</f>
        <v>333331200</v>
      </c>
      <c r="AF62" s="8"/>
      <c r="AG62" s="8"/>
      <c r="AH62" s="8"/>
      <c r="AI62" s="8"/>
      <c r="AJ62" s="126"/>
      <c r="AM62" s="113">
        <f t="shared" si="0"/>
        <v>262450200</v>
      </c>
    </row>
    <row r="63" spans="1:39" ht="75" x14ac:dyDescent="0.2">
      <c r="A63" s="64"/>
      <c r="B63" s="64"/>
      <c r="C63" s="20"/>
      <c r="D63" s="14" t="s">
        <v>133</v>
      </c>
      <c r="E63" s="32">
        <v>5.58</v>
      </c>
      <c r="F63" s="32" t="s">
        <v>28</v>
      </c>
      <c r="G63" s="29"/>
      <c r="H63" s="78">
        <v>27.9</v>
      </c>
      <c r="I63" s="32" t="s">
        <v>28</v>
      </c>
      <c r="J63" s="50"/>
      <c r="K63" s="32">
        <v>5.58</v>
      </c>
      <c r="L63" s="32" t="s">
        <v>28</v>
      </c>
      <c r="M63" s="232"/>
      <c r="N63" s="32">
        <v>11.16</v>
      </c>
      <c r="O63" s="32" t="s">
        <v>28</v>
      </c>
      <c r="P63" s="232"/>
      <c r="Q63" s="78">
        <v>5.6</v>
      </c>
      <c r="R63" s="32" t="s">
        <v>28</v>
      </c>
      <c r="S63" s="262"/>
      <c r="T63" s="78">
        <f>(318568047-297796675)/318568047*100</f>
        <v>6.5202308252842442</v>
      </c>
      <c r="U63" s="32" t="s">
        <v>28</v>
      </c>
      <c r="V63" s="262"/>
      <c r="W63" s="58">
        <f>Q63/K63*100</f>
        <v>100.35842293906809</v>
      </c>
      <c r="X63" s="18" t="s">
        <v>28</v>
      </c>
      <c r="Y63" s="292"/>
      <c r="Z63" s="58">
        <f>T63/N63*100</f>
        <v>58.42500739502011</v>
      </c>
      <c r="AA63" s="18" t="s">
        <v>28</v>
      </c>
      <c r="AB63" s="292"/>
      <c r="AC63" s="78">
        <f>Q63+T63</f>
        <v>12.120230825284244</v>
      </c>
      <c r="AD63" s="156" t="s">
        <v>28</v>
      </c>
      <c r="AE63" s="5"/>
      <c r="AF63" s="8"/>
      <c r="AG63" s="8"/>
      <c r="AH63" s="8"/>
      <c r="AI63" s="8"/>
      <c r="AJ63" s="126"/>
      <c r="AM63" s="113">
        <f t="shared" si="0"/>
        <v>0</v>
      </c>
    </row>
    <row r="64" spans="1:39" ht="60" x14ac:dyDescent="0.2">
      <c r="A64" s="64"/>
      <c r="B64" s="64"/>
      <c r="C64" s="14" t="s">
        <v>215</v>
      </c>
      <c r="D64" s="14" t="s">
        <v>217</v>
      </c>
      <c r="E64" s="7"/>
      <c r="F64" s="12"/>
      <c r="G64" s="12"/>
      <c r="H64" s="78">
        <v>34</v>
      </c>
      <c r="I64" s="32" t="s">
        <v>28</v>
      </c>
      <c r="J64" s="9">
        <v>9200000000</v>
      </c>
      <c r="K64" s="78"/>
      <c r="L64" s="32"/>
      <c r="M64" s="63"/>
      <c r="N64" s="78">
        <v>8.5</v>
      </c>
      <c r="O64" s="32" t="s">
        <v>28</v>
      </c>
      <c r="P64" s="63">
        <v>2294200500</v>
      </c>
      <c r="Q64" s="78"/>
      <c r="R64" s="32"/>
      <c r="S64" s="63"/>
      <c r="T64" s="78">
        <f>2/4*100</f>
        <v>50</v>
      </c>
      <c r="U64" s="32" t="s">
        <v>28</v>
      </c>
      <c r="V64" s="63">
        <v>2043625000</v>
      </c>
      <c r="W64" s="58"/>
      <c r="X64" s="18"/>
      <c r="Y64" s="22"/>
      <c r="Z64" s="58">
        <f>T64/N64*100</f>
        <v>588.23529411764707</v>
      </c>
      <c r="AA64" s="18" t="s">
        <v>28</v>
      </c>
      <c r="AB64" s="289">
        <f>V64/P64*100</f>
        <v>89.077872661957841</v>
      </c>
      <c r="AC64" s="78">
        <f>Q64+T64</f>
        <v>50</v>
      </c>
      <c r="AD64" s="156" t="s">
        <v>28</v>
      </c>
      <c r="AE64" s="245">
        <f>S64+V64</f>
        <v>2043625000</v>
      </c>
      <c r="AF64" s="8"/>
      <c r="AG64" s="8"/>
      <c r="AH64" s="8"/>
      <c r="AI64" s="8"/>
      <c r="AJ64" s="126"/>
      <c r="AM64" s="113">
        <f t="shared" si="0"/>
        <v>0</v>
      </c>
    </row>
    <row r="65" spans="1:39" ht="180.75" customHeight="1" x14ac:dyDescent="0.2">
      <c r="A65" s="64"/>
      <c r="B65" s="64"/>
      <c r="C65" s="14"/>
      <c r="D65" s="66" t="s">
        <v>362</v>
      </c>
      <c r="E65" s="273">
        <v>5.18</v>
      </c>
      <c r="F65" s="273" t="s">
        <v>28</v>
      </c>
      <c r="G65" s="281"/>
      <c r="H65" s="273">
        <v>5.83</v>
      </c>
      <c r="I65" s="273" t="s">
        <v>28</v>
      </c>
      <c r="J65" s="276">
        <f>SUM(J66:J68)</f>
        <v>37546755000</v>
      </c>
      <c r="K65" s="277">
        <v>5.38</v>
      </c>
      <c r="L65" s="273" t="s">
        <v>28</v>
      </c>
      <c r="M65" s="276">
        <f>SUM(M66:M68)</f>
        <v>6927558000</v>
      </c>
      <c r="N65" s="277">
        <v>5.5</v>
      </c>
      <c r="O65" s="273" t="s">
        <v>28</v>
      </c>
      <c r="P65" s="276">
        <f>SUM(P66:P68)</f>
        <v>2660943000</v>
      </c>
      <c r="Q65" s="277">
        <v>5.15</v>
      </c>
      <c r="R65" s="273" t="s">
        <v>28</v>
      </c>
      <c r="S65" s="276">
        <f>SUM(S66:S68)</f>
        <v>6594430286</v>
      </c>
      <c r="T65" s="277">
        <v>-2.39</v>
      </c>
      <c r="U65" s="273" t="s">
        <v>28</v>
      </c>
      <c r="V65" s="276">
        <f>SUM(V66:V68)</f>
        <v>2271037880</v>
      </c>
      <c r="W65" s="288">
        <f t="shared" ref="W65:W71" si="1">Q65/K65*100</f>
        <v>95.724907063197037</v>
      </c>
      <c r="X65" s="282" t="s">
        <v>28</v>
      </c>
      <c r="Y65" s="294">
        <f>S65/M65*100</f>
        <v>95.191267774300854</v>
      </c>
      <c r="Z65" s="288">
        <f t="shared" ref="Z65:Z71" si="2">T65/N65*100</f>
        <v>-43.454545454545453</v>
      </c>
      <c r="AA65" s="282" t="s">
        <v>28</v>
      </c>
      <c r="AB65" s="294">
        <f>V65/P65*100</f>
        <v>85.347107397640613</v>
      </c>
      <c r="AC65" s="277">
        <f>T65</f>
        <v>-2.39</v>
      </c>
      <c r="AD65" s="378" t="s">
        <v>28</v>
      </c>
      <c r="AE65" s="375">
        <f>S65+V65</f>
        <v>8865468166</v>
      </c>
      <c r="AF65" s="8"/>
      <c r="AG65" s="8"/>
      <c r="AH65" s="8"/>
      <c r="AI65" s="8"/>
      <c r="AJ65" s="108" t="s">
        <v>306</v>
      </c>
      <c r="AM65" s="113">
        <f t="shared" si="0"/>
        <v>6594430286</v>
      </c>
    </row>
    <row r="66" spans="1:39" ht="120" x14ac:dyDescent="0.2">
      <c r="A66" s="64"/>
      <c r="B66" s="64"/>
      <c r="C66" s="14" t="s">
        <v>105</v>
      </c>
      <c r="D66" s="14" t="s">
        <v>218</v>
      </c>
      <c r="E66" s="32">
        <v>11.05</v>
      </c>
      <c r="F66" s="18" t="s">
        <v>28</v>
      </c>
      <c r="G66" s="24">
        <v>674622728</v>
      </c>
      <c r="H66" s="58">
        <v>5.19</v>
      </c>
      <c r="I66" s="18" t="s">
        <v>28</v>
      </c>
      <c r="J66" s="24">
        <v>4085490000</v>
      </c>
      <c r="K66" s="58">
        <v>11.05</v>
      </c>
      <c r="L66" s="18" t="s">
        <v>28</v>
      </c>
      <c r="M66" s="10">
        <v>827098000</v>
      </c>
      <c r="N66" s="58">
        <v>9.5399999999999991</v>
      </c>
      <c r="O66" s="18" t="s">
        <v>28</v>
      </c>
      <c r="P66" s="10">
        <v>132018000</v>
      </c>
      <c r="Q66" s="78">
        <v>11.05</v>
      </c>
      <c r="R66" s="18" t="s">
        <v>28</v>
      </c>
      <c r="S66" s="63">
        <v>824148000</v>
      </c>
      <c r="T66" s="78">
        <v>0</v>
      </c>
      <c r="U66" s="18" t="s">
        <v>28</v>
      </c>
      <c r="V66" s="63">
        <v>49083000</v>
      </c>
      <c r="W66" s="18">
        <f t="shared" si="1"/>
        <v>100</v>
      </c>
      <c r="X66" s="18" t="s">
        <v>28</v>
      </c>
      <c r="Y66" s="289">
        <f>S66/M66*100</f>
        <v>99.643331261833552</v>
      </c>
      <c r="Z66" s="18">
        <f t="shared" si="2"/>
        <v>0</v>
      </c>
      <c r="AA66" s="18" t="s">
        <v>28</v>
      </c>
      <c r="AB66" s="289">
        <f>V66/P66*100</f>
        <v>37.179021042585106</v>
      </c>
      <c r="AC66" s="78">
        <f>T66</f>
        <v>0</v>
      </c>
      <c r="AD66" s="156" t="s">
        <v>28</v>
      </c>
      <c r="AE66" s="245">
        <f>S66+V66</f>
        <v>873231000</v>
      </c>
      <c r="AF66" s="8"/>
      <c r="AG66" s="8"/>
      <c r="AH66" s="8"/>
      <c r="AI66" s="8"/>
      <c r="AJ66" s="126"/>
      <c r="AL66" s="189"/>
      <c r="AM66" s="113">
        <f t="shared" si="0"/>
        <v>824148000</v>
      </c>
    </row>
    <row r="67" spans="1:39" ht="90" x14ac:dyDescent="0.2">
      <c r="A67" s="64"/>
      <c r="B67" s="64"/>
      <c r="C67" s="14" t="s">
        <v>106</v>
      </c>
      <c r="D67" s="14" t="s">
        <v>219</v>
      </c>
      <c r="E67" s="117" t="s">
        <v>292</v>
      </c>
      <c r="F67" s="18" t="s">
        <v>136</v>
      </c>
      <c r="G67" s="24">
        <v>119904000</v>
      </c>
      <c r="H67" s="116" t="s">
        <v>293</v>
      </c>
      <c r="I67" s="18" t="s">
        <v>136</v>
      </c>
      <c r="J67" s="24">
        <v>7924915000</v>
      </c>
      <c r="K67" s="116" t="s">
        <v>574</v>
      </c>
      <c r="L67" s="18" t="s">
        <v>136</v>
      </c>
      <c r="M67" s="10">
        <v>1572728000</v>
      </c>
      <c r="N67" s="116" t="s">
        <v>563</v>
      </c>
      <c r="O67" s="18" t="s">
        <v>136</v>
      </c>
      <c r="P67" s="10">
        <v>45025000</v>
      </c>
      <c r="Q67" s="117" t="s">
        <v>536</v>
      </c>
      <c r="R67" s="18" t="s">
        <v>136</v>
      </c>
      <c r="S67" s="63">
        <v>1463909200</v>
      </c>
      <c r="T67" s="117" t="s">
        <v>605</v>
      </c>
      <c r="U67" s="18" t="s">
        <v>136</v>
      </c>
      <c r="V67" s="63">
        <v>32917920</v>
      </c>
      <c r="W67" s="58">
        <f t="shared" si="1"/>
        <v>44.971428571428575</v>
      </c>
      <c r="X67" s="18" t="s">
        <v>28</v>
      </c>
      <c r="Y67" s="289">
        <f>S67/M67*100</f>
        <v>93.080888748721975</v>
      </c>
      <c r="Z67" s="58">
        <f>T67/N67*100</f>
        <v>29.456578947368424</v>
      </c>
      <c r="AA67" s="18" t="s">
        <v>28</v>
      </c>
      <c r="AB67" s="289">
        <f>V67/P67*100</f>
        <v>73.110316490838429</v>
      </c>
      <c r="AC67" s="78" t="str">
        <f>T67</f>
        <v>11.193.500</v>
      </c>
      <c r="AD67" s="156" t="s">
        <v>256</v>
      </c>
      <c r="AE67" s="245">
        <f>S67+V67</f>
        <v>1496827120</v>
      </c>
      <c r="AF67" s="8"/>
      <c r="AG67" s="8"/>
      <c r="AH67" s="8"/>
      <c r="AI67" s="8"/>
      <c r="AJ67" s="126"/>
      <c r="AM67" s="113">
        <f t="shared" si="0"/>
        <v>1463909200</v>
      </c>
    </row>
    <row r="68" spans="1:39" ht="105" x14ac:dyDescent="0.2">
      <c r="A68" s="64"/>
      <c r="B68" s="64"/>
      <c r="C68" s="101" t="s">
        <v>107</v>
      </c>
      <c r="D68" s="14" t="s">
        <v>220</v>
      </c>
      <c r="E68" s="32">
        <v>97.42</v>
      </c>
      <c r="F68" s="18" t="s">
        <v>28</v>
      </c>
      <c r="G68" s="259">
        <v>2888497114</v>
      </c>
      <c r="H68" s="58">
        <v>97</v>
      </c>
      <c r="I68" s="18" t="s">
        <v>28</v>
      </c>
      <c r="J68" s="259">
        <v>25536350000</v>
      </c>
      <c r="K68" s="58">
        <v>97.42</v>
      </c>
      <c r="L68" s="18" t="s">
        <v>28</v>
      </c>
      <c r="M68" s="230">
        <v>4527732000</v>
      </c>
      <c r="N68" s="58">
        <v>97.43</v>
      </c>
      <c r="O68" s="18" t="s">
        <v>28</v>
      </c>
      <c r="P68" s="230">
        <v>2483900000</v>
      </c>
      <c r="Q68" s="94">
        <v>97.42</v>
      </c>
      <c r="R68" s="18" t="s">
        <v>28</v>
      </c>
      <c r="S68" s="261">
        <v>4306373086</v>
      </c>
      <c r="T68" s="18">
        <v>97.43</v>
      </c>
      <c r="U68" s="18" t="s">
        <v>28</v>
      </c>
      <c r="V68" s="261">
        <v>2189036960</v>
      </c>
      <c r="W68" s="58">
        <f t="shared" si="1"/>
        <v>100</v>
      </c>
      <c r="X68" s="18" t="s">
        <v>28</v>
      </c>
      <c r="Y68" s="291">
        <f>S68/M68*100</f>
        <v>95.111042040474132</v>
      </c>
      <c r="Z68" s="58">
        <f t="shared" si="2"/>
        <v>100</v>
      </c>
      <c r="AA68" s="18" t="s">
        <v>28</v>
      </c>
      <c r="AB68" s="291">
        <f>V68/P68*100</f>
        <v>88.12902934900761</v>
      </c>
      <c r="AC68" s="78">
        <f>Q68+T68</f>
        <v>194.85000000000002</v>
      </c>
      <c r="AD68" s="156" t="s">
        <v>28</v>
      </c>
      <c r="AE68" s="245">
        <f>S68+V68</f>
        <v>6495410046</v>
      </c>
      <c r="AF68" s="8"/>
      <c r="AG68" s="8"/>
      <c r="AH68" s="8"/>
      <c r="AI68" s="8"/>
      <c r="AJ68" s="126"/>
      <c r="AK68" s="92"/>
      <c r="AM68" s="113">
        <f t="shared" si="0"/>
        <v>4306373086</v>
      </c>
    </row>
    <row r="69" spans="1:39" ht="75" x14ac:dyDescent="0.2">
      <c r="A69" s="64"/>
      <c r="B69" s="64"/>
      <c r="C69" s="20"/>
      <c r="D69" s="14" t="s">
        <v>221</v>
      </c>
      <c r="E69" s="32">
        <v>3.9</v>
      </c>
      <c r="F69" s="18" t="s">
        <v>222</v>
      </c>
      <c r="G69" s="260"/>
      <c r="H69" s="32">
        <v>4.5999999999999996</v>
      </c>
      <c r="I69" s="18" t="s">
        <v>222</v>
      </c>
      <c r="J69" s="260"/>
      <c r="K69" s="32">
        <v>4.2</v>
      </c>
      <c r="L69" s="18" t="s">
        <v>222</v>
      </c>
      <c r="M69" s="232"/>
      <c r="N69" s="32">
        <v>4.3</v>
      </c>
      <c r="O69" s="18" t="s">
        <v>222</v>
      </c>
      <c r="P69" s="232"/>
      <c r="Q69" s="32">
        <v>3.9</v>
      </c>
      <c r="R69" s="18" t="s">
        <v>222</v>
      </c>
      <c r="S69" s="232"/>
      <c r="T69" s="263">
        <v>3.407</v>
      </c>
      <c r="U69" s="18" t="s">
        <v>222</v>
      </c>
      <c r="V69" s="232"/>
      <c r="W69" s="58">
        <f t="shared" si="1"/>
        <v>92.857142857142847</v>
      </c>
      <c r="X69" s="18" t="s">
        <v>28</v>
      </c>
      <c r="Y69" s="292"/>
      <c r="Z69" s="58">
        <f t="shared" si="2"/>
        <v>79.232558139534888</v>
      </c>
      <c r="AA69" s="18" t="s">
        <v>28</v>
      </c>
      <c r="AB69" s="292"/>
      <c r="AC69" s="78">
        <f>T69</f>
        <v>3.407</v>
      </c>
      <c r="AD69" s="156" t="s">
        <v>222</v>
      </c>
      <c r="AE69" s="5"/>
      <c r="AF69" s="8"/>
      <c r="AG69" s="8"/>
      <c r="AH69" s="8"/>
      <c r="AI69" s="8"/>
      <c r="AJ69" s="126"/>
      <c r="AK69" s="92"/>
      <c r="AM69" s="113">
        <f t="shared" si="0"/>
        <v>0</v>
      </c>
    </row>
    <row r="70" spans="1:39" ht="126" x14ac:dyDescent="0.25">
      <c r="A70" s="64"/>
      <c r="B70" s="64"/>
      <c r="C70" s="14"/>
      <c r="D70" s="66" t="s">
        <v>363</v>
      </c>
      <c r="E70" s="273">
        <v>4.33</v>
      </c>
      <c r="F70" s="282" t="s">
        <v>28</v>
      </c>
      <c r="G70" s="275"/>
      <c r="H70" s="273">
        <v>5.63</v>
      </c>
      <c r="I70" s="282" t="s">
        <v>28</v>
      </c>
      <c r="J70" s="276">
        <v>31625249895</v>
      </c>
      <c r="K70" s="273">
        <v>4.28</v>
      </c>
      <c r="L70" s="282" t="s">
        <v>28</v>
      </c>
      <c r="M70" s="278">
        <f>SUM(M71:M92)</f>
        <v>9280497705</v>
      </c>
      <c r="N70" s="273">
        <v>4.51</v>
      </c>
      <c r="O70" s="282" t="s">
        <v>28</v>
      </c>
      <c r="P70" s="278">
        <f>SUM(P71:P92)</f>
        <v>6193055450</v>
      </c>
      <c r="Q70" s="277">
        <v>2.93</v>
      </c>
      <c r="R70" s="282" t="s">
        <v>28</v>
      </c>
      <c r="S70" s="278">
        <f>SUM(S71:S92)</f>
        <v>7257960733</v>
      </c>
      <c r="T70" s="277">
        <v>0.03</v>
      </c>
      <c r="U70" s="282" t="s">
        <v>28</v>
      </c>
      <c r="V70" s="278">
        <f>SUM(V71:V92)</f>
        <v>5316817990</v>
      </c>
      <c r="W70" s="288">
        <f t="shared" si="1"/>
        <v>68.45794392523365</v>
      </c>
      <c r="X70" s="282" t="s">
        <v>28</v>
      </c>
      <c r="Y70" s="294">
        <f>S70/M70*100</f>
        <v>78.206589384636899</v>
      </c>
      <c r="Z70" s="288">
        <f>T70/N70*100</f>
        <v>0.66518847006651882</v>
      </c>
      <c r="AA70" s="282" t="s">
        <v>28</v>
      </c>
      <c r="AB70" s="294">
        <f>V70/P70*100</f>
        <v>85.851289931531298</v>
      </c>
      <c r="AC70" s="277">
        <f>T70</f>
        <v>0.03</v>
      </c>
      <c r="AD70" s="378" t="s">
        <v>28</v>
      </c>
      <c r="AE70" s="375">
        <f>S70+V70</f>
        <v>12574778723</v>
      </c>
      <c r="AF70" s="8"/>
      <c r="AG70" s="8"/>
      <c r="AH70" s="8"/>
      <c r="AI70" s="8"/>
      <c r="AJ70" s="108" t="s">
        <v>307</v>
      </c>
      <c r="AM70" s="113">
        <f t="shared" si="0"/>
        <v>7257960733</v>
      </c>
    </row>
    <row r="71" spans="1:39" s="188" customFormat="1" ht="75" x14ac:dyDescent="0.2">
      <c r="A71" s="64"/>
      <c r="B71" s="64"/>
      <c r="C71" s="101" t="s">
        <v>108</v>
      </c>
      <c r="D71" s="14" t="s">
        <v>223</v>
      </c>
      <c r="E71" s="201" t="s">
        <v>225</v>
      </c>
      <c r="F71" s="18" t="s">
        <v>174</v>
      </c>
      <c r="G71" s="290"/>
      <c r="H71" s="202" t="s">
        <v>226</v>
      </c>
      <c r="I71" s="18" t="s">
        <v>174</v>
      </c>
      <c r="J71" s="233">
        <v>2518005000</v>
      </c>
      <c r="K71" s="202" t="s">
        <v>575</v>
      </c>
      <c r="L71" s="18" t="s">
        <v>174</v>
      </c>
      <c r="M71" s="230">
        <v>497802500</v>
      </c>
      <c r="N71" s="202" t="s">
        <v>564</v>
      </c>
      <c r="O71" s="18" t="s">
        <v>174</v>
      </c>
      <c r="P71" s="230">
        <v>1035529400</v>
      </c>
      <c r="Q71" s="203">
        <v>255810</v>
      </c>
      <c r="R71" s="18" t="s">
        <v>174</v>
      </c>
      <c r="S71" s="230">
        <v>460458500</v>
      </c>
      <c r="T71" s="204">
        <v>159073</v>
      </c>
      <c r="U71" s="18" t="s">
        <v>174</v>
      </c>
      <c r="V71" s="230">
        <v>863994475</v>
      </c>
      <c r="W71" s="58">
        <f t="shared" si="1"/>
        <v>105.39869060224881</v>
      </c>
      <c r="X71" s="18" t="s">
        <v>28</v>
      </c>
      <c r="Y71" s="291">
        <f>S71/M71*100</f>
        <v>92.498229719617726</v>
      </c>
      <c r="Z71" s="58">
        <f t="shared" si="2"/>
        <v>64.314795722400802</v>
      </c>
      <c r="AA71" s="18" t="s">
        <v>28</v>
      </c>
      <c r="AB71" s="291">
        <f>V71/P71*100</f>
        <v>83.435050226483185</v>
      </c>
      <c r="AC71" s="21">
        <f>T71</f>
        <v>159073</v>
      </c>
      <c r="AD71" s="381" t="s">
        <v>174</v>
      </c>
      <c r="AE71" s="245">
        <f>S71+V71</f>
        <v>1324452975</v>
      </c>
      <c r="AF71" s="8"/>
      <c r="AG71" s="8"/>
      <c r="AH71" s="8"/>
      <c r="AI71" s="8"/>
      <c r="AJ71" s="137" t="s">
        <v>310</v>
      </c>
      <c r="AM71" s="113">
        <f t="shared" si="0"/>
        <v>460458500</v>
      </c>
    </row>
    <row r="72" spans="1:39" s="188" customFormat="1" ht="30" x14ac:dyDescent="0.2">
      <c r="A72" s="64"/>
      <c r="B72" s="64"/>
      <c r="C72" s="25"/>
      <c r="D72" s="14" t="s">
        <v>224</v>
      </c>
      <c r="E72" s="205">
        <v>4973</v>
      </c>
      <c r="F72" s="18" t="s">
        <v>174</v>
      </c>
      <c r="G72" s="296"/>
      <c r="H72" s="57">
        <v>5102</v>
      </c>
      <c r="I72" s="18" t="s">
        <v>174</v>
      </c>
      <c r="J72" s="229"/>
      <c r="K72" s="57">
        <v>5035</v>
      </c>
      <c r="L72" s="18" t="s">
        <v>174</v>
      </c>
      <c r="M72" s="231"/>
      <c r="N72" s="57">
        <v>5038</v>
      </c>
      <c r="O72" s="18" t="s">
        <v>174</v>
      </c>
      <c r="P72" s="231"/>
      <c r="Q72" s="205">
        <v>2982</v>
      </c>
      <c r="R72" s="18" t="s">
        <v>174</v>
      </c>
      <c r="S72" s="231"/>
      <c r="T72" s="205">
        <v>3242</v>
      </c>
      <c r="U72" s="18" t="s">
        <v>174</v>
      </c>
      <c r="V72" s="231"/>
      <c r="W72" s="58">
        <f t="shared" ref="W72:W88" si="3">Q72/K72*100</f>
        <v>59.22542204568024</v>
      </c>
      <c r="X72" s="18" t="s">
        <v>28</v>
      </c>
      <c r="Y72" s="297"/>
      <c r="Z72" s="58">
        <f t="shared" ref="Z72:Z84" si="4">T72/N72*100</f>
        <v>64.350932909884875</v>
      </c>
      <c r="AA72" s="18" t="s">
        <v>28</v>
      </c>
      <c r="AB72" s="297"/>
      <c r="AC72" s="381">
        <f t="shared" ref="AC72:AC73" si="5">T72</f>
        <v>3242</v>
      </c>
      <c r="AD72" s="381" t="s">
        <v>174</v>
      </c>
      <c r="AE72" s="4"/>
      <c r="AF72" s="8"/>
      <c r="AG72" s="8"/>
      <c r="AH72" s="8"/>
      <c r="AI72" s="8"/>
      <c r="AJ72" s="126"/>
      <c r="AM72" s="113">
        <f t="shared" si="0"/>
        <v>0</v>
      </c>
    </row>
    <row r="73" spans="1:39" s="188" customFormat="1" ht="60" x14ac:dyDescent="0.2">
      <c r="A73" s="64"/>
      <c r="B73" s="64"/>
      <c r="C73" s="20"/>
      <c r="D73" s="14" t="s">
        <v>308</v>
      </c>
      <c r="E73" s="32">
        <v>619</v>
      </c>
      <c r="F73" s="18" t="s">
        <v>174</v>
      </c>
      <c r="G73" s="29"/>
      <c r="H73" s="18">
        <v>545</v>
      </c>
      <c r="I73" s="18" t="s">
        <v>174</v>
      </c>
      <c r="J73" s="50"/>
      <c r="K73" s="18">
        <v>530</v>
      </c>
      <c r="L73" s="18" t="s">
        <v>174</v>
      </c>
      <c r="M73" s="232"/>
      <c r="N73" s="18">
        <v>533</v>
      </c>
      <c r="O73" s="18" t="s">
        <v>174</v>
      </c>
      <c r="P73" s="232"/>
      <c r="Q73" s="32">
        <v>643</v>
      </c>
      <c r="R73" s="18" t="s">
        <v>174</v>
      </c>
      <c r="S73" s="232"/>
      <c r="T73" s="32">
        <v>584.76</v>
      </c>
      <c r="U73" s="18" t="s">
        <v>174</v>
      </c>
      <c r="V73" s="232"/>
      <c r="W73" s="58">
        <f t="shared" si="3"/>
        <v>121.32075471698114</v>
      </c>
      <c r="X73" s="18" t="s">
        <v>28</v>
      </c>
      <c r="Y73" s="292"/>
      <c r="Z73" s="58">
        <f t="shared" si="4"/>
        <v>109.71106941838649</v>
      </c>
      <c r="AA73" s="18" t="s">
        <v>28</v>
      </c>
      <c r="AB73" s="292"/>
      <c r="AC73" s="381">
        <f t="shared" si="5"/>
        <v>584.76</v>
      </c>
      <c r="AD73" s="381" t="s">
        <v>174</v>
      </c>
      <c r="AE73" s="5"/>
      <c r="AF73" s="8"/>
      <c r="AG73" s="8"/>
      <c r="AH73" s="8"/>
      <c r="AI73" s="8"/>
      <c r="AJ73" s="126"/>
      <c r="AM73" s="113">
        <f t="shared" si="0"/>
        <v>0</v>
      </c>
    </row>
    <row r="74" spans="1:39" s="188" customFormat="1" ht="60" x14ac:dyDescent="0.2">
      <c r="A74" s="64"/>
      <c r="B74" s="64"/>
      <c r="C74" s="101" t="s">
        <v>109</v>
      </c>
      <c r="D74" s="14" t="s">
        <v>227</v>
      </c>
      <c r="E74" s="202" t="s">
        <v>231</v>
      </c>
      <c r="F74" s="18" t="s">
        <v>174</v>
      </c>
      <c r="G74" s="290"/>
      <c r="H74" s="202" t="s">
        <v>232</v>
      </c>
      <c r="I74" s="18" t="s">
        <v>174</v>
      </c>
      <c r="J74" s="233">
        <v>2035547500</v>
      </c>
      <c r="K74" s="202">
        <v>115568</v>
      </c>
      <c r="L74" s="18" t="s">
        <v>174</v>
      </c>
      <c r="M74" s="230">
        <v>407109500</v>
      </c>
      <c r="N74" s="202">
        <v>115637</v>
      </c>
      <c r="O74" s="18" t="s">
        <v>174</v>
      </c>
      <c r="P74" s="230">
        <v>483936700</v>
      </c>
      <c r="Q74" s="202">
        <v>118032</v>
      </c>
      <c r="R74" s="18" t="s">
        <v>174</v>
      </c>
      <c r="S74" s="230">
        <v>307958640</v>
      </c>
      <c r="T74" s="202">
        <v>131282</v>
      </c>
      <c r="U74" s="18" t="s">
        <v>174</v>
      </c>
      <c r="V74" s="230">
        <v>431632900</v>
      </c>
      <c r="W74" s="58">
        <f t="shared" si="3"/>
        <v>102.13207808389866</v>
      </c>
      <c r="X74" s="18" t="s">
        <v>28</v>
      </c>
      <c r="Y74" s="291">
        <f>S74/M74*100</f>
        <v>75.645161805361951</v>
      </c>
      <c r="Z74" s="58">
        <f t="shared" si="4"/>
        <v>113.52940667779343</v>
      </c>
      <c r="AA74" s="18" t="s">
        <v>28</v>
      </c>
      <c r="AB74" s="291">
        <f>V74/P74*100</f>
        <v>89.192016228568733</v>
      </c>
      <c r="AC74" s="21">
        <f>T74</f>
        <v>131282</v>
      </c>
      <c r="AD74" s="381" t="s">
        <v>174</v>
      </c>
      <c r="AE74" s="245">
        <f>S74+V74</f>
        <v>739591540</v>
      </c>
      <c r="AF74" s="8"/>
      <c r="AG74" s="8"/>
      <c r="AH74" s="8"/>
      <c r="AI74" s="8"/>
      <c r="AJ74" s="126"/>
      <c r="AM74" s="113">
        <f t="shared" si="0"/>
        <v>307958640</v>
      </c>
    </row>
    <row r="75" spans="1:39" s="188" customFormat="1" ht="30" x14ac:dyDescent="0.2">
      <c r="A75" s="64"/>
      <c r="B75" s="64"/>
      <c r="C75" s="25"/>
      <c r="D75" s="14" t="s">
        <v>228</v>
      </c>
      <c r="E75" s="205">
        <v>29040</v>
      </c>
      <c r="F75" s="18" t="s">
        <v>174</v>
      </c>
      <c r="G75" s="296"/>
      <c r="H75" s="205">
        <v>30328</v>
      </c>
      <c r="I75" s="18" t="s">
        <v>174</v>
      </c>
      <c r="J75" s="229"/>
      <c r="K75" s="205">
        <v>29340</v>
      </c>
      <c r="L75" s="18" t="s">
        <v>174</v>
      </c>
      <c r="M75" s="231"/>
      <c r="N75" s="205">
        <v>29564</v>
      </c>
      <c r="O75" s="18" t="s">
        <v>174</v>
      </c>
      <c r="P75" s="231"/>
      <c r="Q75" s="205">
        <v>16452</v>
      </c>
      <c r="R75" s="18" t="s">
        <v>174</v>
      </c>
      <c r="S75" s="231"/>
      <c r="T75" s="205">
        <v>36747</v>
      </c>
      <c r="U75" s="18" t="s">
        <v>174</v>
      </c>
      <c r="V75" s="231"/>
      <c r="W75" s="58">
        <f t="shared" si="3"/>
        <v>56.073619631901842</v>
      </c>
      <c r="X75" s="18" t="s">
        <v>28</v>
      </c>
      <c r="Y75" s="297"/>
      <c r="Z75" s="58">
        <f t="shared" si="4"/>
        <v>124.29644161818428</v>
      </c>
      <c r="AA75" s="18" t="s">
        <v>28</v>
      </c>
      <c r="AB75" s="297"/>
      <c r="AC75" s="21">
        <f t="shared" ref="AC75:AC76" si="6">T75</f>
        <v>36747</v>
      </c>
      <c r="AD75" s="381" t="s">
        <v>174</v>
      </c>
      <c r="AE75" s="4"/>
      <c r="AF75" s="8"/>
      <c r="AG75" s="8"/>
      <c r="AH75" s="8"/>
      <c r="AI75" s="8"/>
      <c r="AJ75" s="126"/>
      <c r="AM75" s="113">
        <f t="shared" si="0"/>
        <v>0</v>
      </c>
    </row>
    <row r="76" spans="1:39" s="188" customFormat="1" ht="30" x14ac:dyDescent="0.2">
      <c r="A76" s="64"/>
      <c r="B76" s="64"/>
      <c r="C76" s="25"/>
      <c r="D76" s="14" t="s">
        <v>229</v>
      </c>
      <c r="E76" s="205">
        <v>79464</v>
      </c>
      <c r="F76" s="18" t="s">
        <v>174</v>
      </c>
      <c r="G76" s="296"/>
      <c r="H76" s="205">
        <v>81672</v>
      </c>
      <c r="I76" s="18" t="s">
        <v>174</v>
      </c>
      <c r="J76" s="229"/>
      <c r="K76" s="205">
        <v>80875</v>
      </c>
      <c r="L76" s="18" t="s">
        <v>174</v>
      </c>
      <c r="M76" s="231"/>
      <c r="N76" s="205">
        <v>81074</v>
      </c>
      <c r="O76" s="18" t="s">
        <v>174</v>
      </c>
      <c r="P76" s="231"/>
      <c r="Q76" s="220">
        <v>92244</v>
      </c>
      <c r="R76" s="18" t="s">
        <v>174</v>
      </c>
      <c r="S76" s="231"/>
      <c r="T76" s="205">
        <v>92727</v>
      </c>
      <c r="U76" s="18" t="s">
        <v>174</v>
      </c>
      <c r="V76" s="231"/>
      <c r="W76" s="58">
        <f t="shared" si="3"/>
        <v>114.05749613601238</v>
      </c>
      <c r="X76" s="18" t="s">
        <v>28</v>
      </c>
      <c r="Y76" s="297"/>
      <c r="Z76" s="58">
        <f t="shared" si="4"/>
        <v>114.37328860053778</v>
      </c>
      <c r="AA76" s="18" t="s">
        <v>28</v>
      </c>
      <c r="AB76" s="297"/>
      <c r="AC76" s="21">
        <f t="shared" si="6"/>
        <v>92727</v>
      </c>
      <c r="AD76" s="381" t="s">
        <v>174</v>
      </c>
      <c r="AE76" s="4"/>
      <c r="AF76" s="8"/>
      <c r="AG76" s="8"/>
      <c r="AH76" s="8"/>
      <c r="AI76" s="8"/>
      <c r="AJ76" s="126"/>
      <c r="AM76" s="113">
        <f t="shared" si="0"/>
        <v>0</v>
      </c>
    </row>
    <row r="77" spans="1:39" s="188" customFormat="1" ht="30" x14ac:dyDescent="0.2">
      <c r="A77" s="64"/>
      <c r="B77" s="64"/>
      <c r="C77" s="20"/>
      <c r="D77" s="14" t="s">
        <v>230</v>
      </c>
      <c r="E77" s="205">
        <v>2400</v>
      </c>
      <c r="F77" s="18" t="s">
        <v>174</v>
      </c>
      <c r="G77" s="29"/>
      <c r="H77" s="205">
        <v>2424</v>
      </c>
      <c r="I77" s="18" t="s">
        <v>174</v>
      </c>
      <c r="J77" s="50"/>
      <c r="K77" s="205">
        <v>2376</v>
      </c>
      <c r="L77" s="18" t="s">
        <v>174</v>
      </c>
      <c r="M77" s="232"/>
      <c r="N77" s="205">
        <v>2388</v>
      </c>
      <c r="O77" s="18" t="s">
        <v>174</v>
      </c>
      <c r="P77" s="232"/>
      <c r="Q77" s="205">
        <v>2376</v>
      </c>
      <c r="R77" s="18" t="s">
        <v>174</v>
      </c>
      <c r="S77" s="232"/>
      <c r="T77" s="205">
        <v>3145.5</v>
      </c>
      <c r="U77" s="18" t="s">
        <v>174</v>
      </c>
      <c r="V77" s="232"/>
      <c r="W77" s="58">
        <f t="shared" si="3"/>
        <v>100</v>
      </c>
      <c r="X77" s="18" t="s">
        <v>28</v>
      </c>
      <c r="Y77" s="292"/>
      <c r="Z77" s="58">
        <f t="shared" si="4"/>
        <v>131.72110552763817</v>
      </c>
      <c r="AA77" s="18" t="s">
        <v>28</v>
      </c>
      <c r="AB77" s="292"/>
      <c r="AC77" s="21">
        <f t="shared" ref="AC77" si="7">T77</f>
        <v>3145.5</v>
      </c>
      <c r="AD77" s="381" t="s">
        <v>174</v>
      </c>
      <c r="AE77" s="5"/>
      <c r="AF77" s="8"/>
      <c r="AG77" s="8"/>
      <c r="AH77" s="8"/>
      <c r="AI77" s="8"/>
      <c r="AJ77" s="126"/>
      <c r="AM77" s="113">
        <f t="shared" si="0"/>
        <v>0</v>
      </c>
    </row>
    <row r="78" spans="1:39" s="188" customFormat="1" ht="60" x14ac:dyDescent="0.2">
      <c r="A78" s="64"/>
      <c r="B78" s="64"/>
      <c r="C78" s="101" t="s">
        <v>110</v>
      </c>
      <c r="D78" s="14" t="s">
        <v>233</v>
      </c>
      <c r="E78" s="205">
        <v>6617</v>
      </c>
      <c r="F78" s="18" t="s">
        <v>174</v>
      </c>
      <c r="G78" s="290"/>
      <c r="H78" s="57">
        <v>6216</v>
      </c>
      <c r="I78" s="18" t="s">
        <v>174</v>
      </c>
      <c r="J78" s="233">
        <v>1920877500</v>
      </c>
      <c r="K78" s="57">
        <v>5976</v>
      </c>
      <c r="L78" s="18" t="s">
        <v>174</v>
      </c>
      <c r="M78" s="230">
        <v>510041500</v>
      </c>
      <c r="N78" s="57">
        <v>6036</v>
      </c>
      <c r="O78" s="18" t="s">
        <v>174</v>
      </c>
      <c r="P78" s="230">
        <v>433279200</v>
      </c>
      <c r="Q78" s="206">
        <v>6679.2</v>
      </c>
      <c r="R78" s="18" t="s">
        <v>174</v>
      </c>
      <c r="S78" s="230">
        <v>445504500</v>
      </c>
      <c r="T78" s="206">
        <v>7890.9</v>
      </c>
      <c r="U78" s="18" t="s">
        <v>174</v>
      </c>
      <c r="V78" s="230">
        <v>359271150</v>
      </c>
      <c r="W78" s="58">
        <f t="shared" si="3"/>
        <v>111.76706827309238</v>
      </c>
      <c r="X78" s="18" t="s">
        <v>28</v>
      </c>
      <c r="Y78" s="291">
        <f>S78/M78*100</f>
        <v>87.346715904490125</v>
      </c>
      <c r="Z78" s="58">
        <f t="shared" si="4"/>
        <v>130.73061630218689</v>
      </c>
      <c r="AA78" s="18" t="s">
        <v>28</v>
      </c>
      <c r="AB78" s="291">
        <f>V78/P78*100</f>
        <v>82.919085430364532</v>
      </c>
      <c r="AC78" s="21">
        <f>T78</f>
        <v>7890.9</v>
      </c>
      <c r="AD78" s="381" t="s">
        <v>174</v>
      </c>
      <c r="AE78" s="245">
        <f>S78+V78</f>
        <v>804775650</v>
      </c>
      <c r="AF78" s="8"/>
      <c r="AG78" s="8"/>
      <c r="AH78" s="8"/>
      <c r="AI78" s="8"/>
      <c r="AJ78" s="126"/>
      <c r="AL78" s="190"/>
      <c r="AM78" s="113">
        <f t="shared" si="0"/>
        <v>445504500</v>
      </c>
    </row>
    <row r="79" spans="1:39" s="188" customFormat="1" ht="30" x14ac:dyDescent="0.2">
      <c r="A79" s="64"/>
      <c r="B79" s="64"/>
      <c r="C79" s="25"/>
      <c r="D79" s="14" t="s">
        <v>234</v>
      </c>
      <c r="E79" s="205">
        <v>2838</v>
      </c>
      <c r="F79" s="18" t="s">
        <v>174</v>
      </c>
      <c r="G79" s="296"/>
      <c r="H79" s="57">
        <v>4096</v>
      </c>
      <c r="I79" s="18" t="s">
        <v>174</v>
      </c>
      <c r="J79" s="229"/>
      <c r="K79" s="57">
        <v>3816</v>
      </c>
      <c r="L79" s="18" t="s">
        <v>174</v>
      </c>
      <c r="M79" s="231"/>
      <c r="N79" s="57">
        <v>3886</v>
      </c>
      <c r="O79" s="18" t="s">
        <v>174</v>
      </c>
      <c r="P79" s="231"/>
      <c r="Q79" s="206">
        <v>3820.1</v>
      </c>
      <c r="R79" s="18" t="s">
        <v>174</v>
      </c>
      <c r="S79" s="231"/>
      <c r="T79" s="206">
        <v>3917.6</v>
      </c>
      <c r="U79" s="18" t="s">
        <v>174</v>
      </c>
      <c r="V79" s="231"/>
      <c r="W79" s="58">
        <f t="shared" si="3"/>
        <v>100.10744234800839</v>
      </c>
      <c r="X79" s="18" t="s">
        <v>28</v>
      </c>
      <c r="Y79" s="297"/>
      <c r="Z79" s="58">
        <f t="shared" si="4"/>
        <v>100.81317550180134</v>
      </c>
      <c r="AA79" s="18" t="s">
        <v>28</v>
      </c>
      <c r="AB79" s="297"/>
      <c r="AC79" s="381">
        <f t="shared" ref="AC79:AC80" si="8">T79</f>
        <v>3917.6</v>
      </c>
      <c r="AD79" s="381" t="s">
        <v>174</v>
      </c>
      <c r="AE79" s="4"/>
      <c r="AF79" s="8"/>
      <c r="AG79" s="8"/>
      <c r="AH79" s="8"/>
      <c r="AI79" s="8"/>
      <c r="AJ79" s="126"/>
      <c r="AM79" s="113">
        <f t="shared" si="0"/>
        <v>0</v>
      </c>
    </row>
    <row r="80" spans="1:39" s="188" customFormat="1" ht="45" x14ac:dyDescent="0.2">
      <c r="A80" s="64"/>
      <c r="B80" s="64"/>
      <c r="C80" s="25"/>
      <c r="D80" s="14" t="s">
        <v>235</v>
      </c>
      <c r="E80" s="32">
        <v>38</v>
      </c>
      <c r="F80" s="18" t="s">
        <v>174</v>
      </c>
      <c r="G80" s="29"/>
      <c r="H80" s="18">
        <v>96</v>
      </c>
      <c r="I80" s="18" t="s">
        <v>174</v>
      </c>
      <c r="J80" s="50"/>
      <c r="K80" s="18">
        <v>48</v>
      </c>
      <c r="L80" s="18" t="s">
        <v>174</v>
      </c>
      <c r="M80" s="232"/>
      <c r="N80" s="18">
        <v>60</v>
      </c>
      <c r="O80" s="18" t="s">
        <v>174</v>
      </c>
      <c r="P80" s="232"/>
      <c r="Q80" s="32">
        <v>111.7</v>
      </c>
      <c r="R80" s="18" t="s">
        <v>174</v>
      </c>
      <c r="S80" s="232"/>
      <c r="T80" s="32">
        <v>87</v>
      </c>
      <c r="U80" s="18" t="s">
        <v>174</v>
      </c>
      <c r="V80" s="232"/>
      <c r="W80" s="58">
        <f t="shared" si="3"/>
        <v>232.70833333333334</v>
      </c>
      <c r="X80" s="18" t="s">
        <v>28</v>
      </c>
      <c r="Y80" s="292"/>
      <c r="Z80" s="58">
        <f t="shared" si="4"/>
        <v>145</v>
      </c>
      <c r="AA80" s="18" t="s">
        <v>28</v>
      </c>
      <c r="AB80" s="292"/>
      <c r="AC80" s="381">
        <f t="shared" si="8"/>
        <v>87</v>
      </c>
      <c r="AD80" s="381" t="s">
        <v>174</v>
      </c>
      <c r="AE80" s="5"/>
      <c r="AF80" s="8"/>
      <c r="AG80" s="8"/>
      <c r="AH80" s="8"/>
      <c r="AI80" s="8"/>
      <c r="AJ80" s="126"/>
      <c r="AM80" s="113">
        <f t="shared" si="0"/>
        <v>0</v>
      </c>
    </row>
    <row r="81" spans="1:39" s="188" customFormat="1" ht="75" x14ac:dyDescent="0.2">
      <c r="A81" s="64"/>
      <c r="B81" s="64"/>
      <c r="C81" s="101" t="s">
        <v>236</v>
      </c>
      <c r="D81" s="14" t="s">
        <v>237</v>
      </c>
      <c r="E81" s="205">
        <v>6680</v>
      </c>
      <c r="F81" s="18" t="s">
        <v>240</v>
      </c>
      <c r="G81" s="290"/>
      <c r="H81" s="205">
        <v>7375</v>
      </c>
      <c r="I81" s="18" t="s">
        <v>240</v>
      </c>
      <c r="J81" s="233">
        <v>6477840000</v>
      </c>
      <c r="K81" s="57">
        <v>6840</v>
      </c>
      <c r="L81" s="18" t="s">
        <v>240</v>
      </c>
      <c r="M81" s="230">
        <v>1295568555</v>
      </c>
      <c r="N81" s="57">
        <v>7040</v>
      </c>
      <c r="O81" s="18" t="s">
        <v>240</v>
      </c>
      <c r="P81" s="230">
        <v>383275000</v>
      </c>
      <c r="Q81" s="205">
        <v>6440</v>
      </c>
      <c r="R81" s="18" t="s">
        <v>240</v>
      </c>
      <c r="S81" s="230">
        <v>1090885443</v>
      </c>
      <c r="T81" s="205"/>
      <c r="U81" s="18" t="s">
        <v>240</v>
      </c>
      <c r="V81" s="230">
        <v>290248505</v>
      </c>
      <c r="W81" s="58">
        <f t="shared" si="3"/>
        <v>94.152046783625735</v>
      </c>
      <c r="X81" s="18" t="s">
        <v>28</v>
      </c>
      <c r="Y81" s="291">
        <f>S81/M81*100</f>
        <v>84.201290529160772</v>
      </c>
      <c r="Z81" s="58">
        <f t="shared" si="4"/>
        <v>0</v>
      </c>
      <c r="AA81" s="18" t="s">
        <v>28</v>
      </c>
      <c r="AB81" s="291">
        <f>V81/P81*100</f>
        <v>75.7285252103581</v>
      </c>
      <c r="AC81" s="21">
        <f>T81</f>
        <v>0</v>
      </c>
      <c r="AD81" s="18" t="s">
        <v>240</v>
      </c>
      <c r="AE81" s="245">
        <f>S81+V81</f>
        <v>1381133948</v>
      </c>
      <c r="AF81" s="8"/>
      <c r="AG81" s="8"/>
      <c r="AH81" s="8"/>
      <c r="AI81" s="8"/>
      <c r="AJ81" s="126"/>
      <c r="AM81" s="113">
        <f t="shared" si="0"/>
        <v>1090885443</v>
      </c>
    </row>
    <row r="82" spans="1:39" s="188" customFormat="1" ht="60" x14ac:dyDescent="0.2">
      <c r="A82" s="64"/>
      <c r="B82" s="64"/>
      <c r="C82" s="25"/>
      <c r="D82" s="14" t="s">
        <v>238</v>
      </c>
      <c r="E82" s="205">
        <v>2713</v>
      </c>
      <c r="F82" s="18" t="s">
        <v>240</v>
      </c>
      <c r="G82" s="296"/>
      <c r="H82" s="205">
        <v>3184</v>
      </c>
      <c r="I82" s="18" t="s">
        <v>240</v>
      </c>
      <c r="J82" s="229"/>
      <c r="K82" s="57">
        <v>2824</v>
      </c>
      <c r="L82" s="18" t="s">
        <v>240</v>
      </c>
      <c r="M82" s="231"/>
      <c r="N82" s="57">
        <v>2916</v>
      </c>
      <c r="O82" s="18" t="s">
        <v>240</v>
      </c>
      <c r="P82" s="231"/>
      <c r="Q82" s="205">
        <v>2824</v>
      </c>
      <c r="R82" s="18" t="s">
        <v>240</v>
      </c>
      <c r="S82" s="231"/>
      <c r="T82" s="205"/>
      <c r="U82" s="18" t="s">
        <v>240</v>
      </c>
      <c r="V82" s="231"/>
      <c r="W82" s="58">
        <f t="shared" si="3"/>
        <v>100</v>
      </c>
      <c r="X82" s="18" t="s">
        <v>28</v>
      </c>
      <c r="Y82" s="297"/>
      <c r="Z82" s="58">
        <f t="shared" si="4"/>
        <v>0</v>
      </c>
      <c r="AA82" s="18" t="s">
        <v>28</v>
      </c>
      <c r="AB82" s="297"/>
      <c r="AC82" s="21">
        <f t="shared" ref="AC82:AC83" si="9">T82</f>
        <v>0</v>
      </c>
      <c r="AD82" s="18" t="s">
        <v>240</v>
      </c>
      <c r="AE82" s="4"/>
      <c r="AF82" s="8"/>
      <c r="AG82" s="8"/>
      <c r="AH82" s="8"/>
      <c r="AI82" s="8"/>
      <c r="AJ82" s="126"/>
      <c r="AM82" s="113">
        <f t="shared" si="0"/>
        <v>0</v>
      </c>
    </row>
    <row r="83" spans="1:39" s="188" customFormat="1" ht="90" x14ac:dyDescent="0.2">
      <c r="A83" s="64"/>
      <c r="B83" s="64"/>
      <c r="C83" s="25"/>
      <c r="D83" s="14" t="s">
        <v>239</v>
      </c>
      <c r="E83" s="202" t="s">
        <v>241</v>
      </c>
      <c r="F83" s="18" t="s">
        <v>240</v>
      </c>
      <c r="G83" s="29"/>
      <c r="H83" s="202" t="s">
        <v>569</v>
      </c>
      <c r="I83" s="18" t="s">
        <v>240</v>
      </c>
      <c r="J83" s="50"/>
      <c r="K83" s="202" t="s">
        <v>576</v>
      </c>
      <c r="L83" s="18" t="s">
        <v>240</v>
      </c>
      <c r="M83" s="232"/>
      <c r="N83" s="202" t="s">
        <v>565</v>
      </c>
      <c r="O83" s="18" t="s">
        <v>240</v>
      </c>
      <c r="P83" s="232"/>
      <c r="Q83" s="202" t="s">
        <v>576</v>
      </c>
      <c r="R83" s="18" t="s">
        <v>240</v>
      </c>
      <c r="S83" s="232"/>
      <c r="T83" s="202"/>
      <c r="U83" s="18" t="s">
        <v>240</v>
      </c>
      <c r="V83" s="232"/>
      <c r="W83" s="58">
        <f t="shared" si="3"/>
        <v>100</v>
      </c>
      <c r="X83" s="18" t="s">
        <v>28</v>
      </c>
      <c r="Y83" s="292"/>
      <c r="Z83" s="58">
        <f>T83/N83*100</f>
        <v>0</v>
      </c>
      <c r="AA83" s="18" t="s">
        <v>28</v>
      </c>
      <c r="AB83" s="292"/>
      <c r="AC83" s="21">
        <f t="shared" si="9"/>
        <v>0</v>
      </c>
      <c r="AD83" s="18" t="s">
        <v>240</v>
      </c>
      <c r="AE83" s="5"/>
      <c r="AF83" s="8"/>
      <c r="AG83" s="8"/>
      <c r="AH83" s="8"/>
      <c r="AI83" s="8"/>
      <c r="AJ83" s="126"/>
      <c r="AM83" s="113">
        <f t="shared" si="0"/>
        <v>0</v>
      </c>
    </row>
    <row r="84" spans="1:39" s="188" customFormat="1" ht="90" x14ac:dyDescent="0.2">
      <c r="A84" s="64"/>
      <c r="B84" s="64"/>
      <c r="C84" s="14" t="s">
        <v>242</v>
      </c>
      <c r="D84" s="14" t="s">
        <v>243</v>
      </c>
      <c r="E84" s="202">
        <v>6937</v>
      </c>
      <c r="F84" s="18" t="s">
        <v>240</v>
      </c>
      <c r="G84" s="12"/>
      <c r="H84" s="202">
        <v>7437</v>
      </c>
      <c r="I84" s="18" t="s">
        <v>240</v>
      </c>
      <c r="J84" s="9">
        <v>311000000</v>
      </c>
      <c r="K84" s="202">
        <v>7037</v>
      </c>
      <c r="L84" s="18" t="s">
        <v>240</v>
      </c>
      <c r="M84" s="10">
        <v>201279200</v>
      </c>
      <c r="N84" s="202">
        <v>7137</v>
      </c>
      <c r="O84" s="18" t="s">
        <v>240</v>
      </c>
      <c r="P84" s="10">
        <v>105493300</v>
      </c>
      <c r="Q84" s="202">
        <v>5858</v>
      </c>
      <c r="R84" s="18" t="s">
        <v>240</v>
      </c>
      <c r="S84" s="10">
        <v>156165200</v>
      </c>
      <c r="T84" s="202">
        <v>0</v>
      </c>
      <c r="U84" s="18" t="s">
        <v>240</v>
      </c>
      <c r="V84" s="10">
        <v>82214800</v>
      </c>
      <c r="W84" s="58">
        <f t="shared" si="3"/>
        <v>83.2457012931647</v>
      </c>
      <c r="X84" s="18" t="s">
        <v>28</v>
      </c>
      <c r="Y84" s="289">
        <f>S84/M84*100</f>
        <v>77.58635765642947</v>
      </c>
      <c r="Z84" s="58">
        <f t="shared" si="4"/>
        <v>0</v>
      </c>
      <c r="AA84" s="18" t="s">
        <v>28</v>
      </c>
      <c r="AB84" s="289">
        <f>V84/P84*100</f>
        <v>77.93366972120505</v>
      </c>
      <c r="AC84" s="21">
        <f>T84</f>
        <v>0</v>
      </c>
      <c r="AD84" s="18" t="s">
        <v>240</v>
      </c>
      <c r="AE84" s="245">
        <f>S84+V84</f>
        <v>238380000</v>
      </c>
      <c r="AF84" s="8"/>
      <c r="AG84" s="8"/>
      <c r="AH84" s="8"/>
      <c r="AI84" s="8"/>
      <c r="AJ84" s="126"/>
      <c r="AM84" s="113">
        <f t="shared" si="0"/>
        <v>156165200</v>
      </c>
    </row>
    <row r="85" spans="1:39" ht="108.75" customHeight="1" x14ac:dyDescent="0.2">
      <c r="A85" s="17"/>
      <c r="B85" s="65"/>
      <c r="C85" s="368" t="s">
        <v>111</v>
      </c>
      <c r="D85" s="265" t="s">
        <v>592</v>
      </c>
      <c r="E85" s="58">
        <v>0</v>
      </c>
      <c r="F85" s="18" t="s">
        <v>28</v>
      </c>
      <c r="G85" s="233"/>
      <c r="H85" s="58">
        <v>0</v>
      </c>
      <c r="I85" s="18" t="s">
        <v>28</v>
      </c>
      <c r="J85" s="233">
        <v>201279200</v>
      </c>
      <c r="K85" s="58">
        <v>5</v>
      </c>
      <c r="L85" s="18" t="s">
        <v>28</v>
      </c>
      <c r="M85" s="233">
        <v>201279200</v>
      </c>
      <c r="N85" s="58"/>
      <c r="O85" s="18"/>
      <c r="P85" s="233"/>
      <c r="Q85" s="58">
        <v>2</v>
      </c>
      <c r="R85" s="18" t="s">
        <v>28</v>
      </c>
      <c r="S85" s="233">
        <v>191586000</v>
      </c>
      <c r="T85" s="58"/>
      <c r="U85" s="18"/>
      <c r="V85" s="261"/>
      <c r="W85" s="58">
        <f t="shared" si="3"/>
        <v>40</v>
      </c>
      <c r="X85" s="18" t="s">
        <v>28</v>
      </c>
      <c r="Y85" s="291">
        <f>S85/M85*100</f>
        <v>95.184201844999379</v>
      </c>
      <c r="Z85" s="58"/>
      <c r="AA85" s="18"/>
      <c r="AB85" s="291"/>
      <c r="AC85" s="381">
        <f>Q85</f>
        <v>2</v>
      </c>
      <c r="AD85" s="18" t="s">
        <v>28</v>
      </c>
      <c r="AE85" s="245">
        <f>S85+V85</f>
        <v>191586000</v>
      </c>
      <c r="AF85" s="8"/>
      <c r="AG85" s="8"/>
      <c r="AH85" s="8"/>
      <c r="AI85" s="8"/>
      <c r="AJ85" s="126"/>
      <c r="AM85" s="113">
        <f t="shared" si="0"/>
        <v>191586000</v>
      </c>
    </row>
    <row r="86" spans="1:39" ht="108.75" customHeight="1" x14ac:dyDescent="0.2">
      <c r="A86" s="17"/>
      <c r="B86" s="65"/>
      <c r="C86" s="370"/>
      <c r="D86" s="265" t="s">
        <v>244</v>
      </c>
      <c r="E86" s="18">
        <v>5</v>
      </c>
      <c r="F86" s="18" t="s">
        <v>245</v>
      </c>
      <c r="G86" s="50"/>
      <c r="H86" s="18">
        <v>25</v>
      </c>
      <c r="I86" s="18" t="s">
        <v>245</v>
      </c>
      <c r="J86" s="50"/>
      <c r="K86" s="18">
        <v>5</v>
      </c>
      <c r="L86" s="18" t="s">
        <v>245</v>
      </c>
      <c r="M86" s="50"/>
      <c r="N86" s="18"/>
      <c r="O86" s="18"/>
      <c r="P86" s="50"/>
      <c r="Q86" s="18">
        <v>5</v>
      </c>
      <c r="R86" s="18" t="s">
        <v>245</v>
      </c>
      <c r="S86" s="246"/>
      <c r="T86" s="18"/>
      <c r="U86" s="18"/>
      <c r="V86" s="246"/>
      <c r="W86" s="58">
        <f t="shared" si="3"/>
        <v>100</v>
      </c>
      <c r="X86" s="18" t="s">
        <v>28</v>
      </c>
      <c r="Y86" s="292"/>
      <c r="Z86" s="58"/>
      <c r="AA86" s="18"/>
      <c r="AB86" s="292"/>
      <c r="AC86" s="381">
        <f>Q86</f>
        <v>5</v>
      </c>
      <c r="AD86" s="18" t="s">
        <v>245</v>
      </c>
      <c r="AE86" s="4"/>
      <c r="AF86" s="8"/>
      <c r="AG86" s="8"/>
      <c r="AH86" s="8"/>
      <c r="AI86" s="8"/>
      <c r="AJ86" s="126"/>
      <c r="AM86" s="113">
        <f t="shared" si="0"/>
        <v>0</v>
      </c>
    </row>
    <row r="87" spans="1:39" ht="100.5" customHeight="1" x14ac:dyDescent="0.2">
      <c r="A87" s="15"/>
      <c r="B87" s="20"/>
      <c r="C87" s="14" t="s">
        <v>112</v>
      </c>
      <c r="D87" s="14" t="s">
        <v>246</v>
      </c>
      <c r="E87" s="18">
        <v>0</v>
      </c>
      <c r="F87" s="18" t="s">
        <v>247</v>
      </c>
      <c r="G87" s="9"/>
      <c r="H87" s="18">
        <v>4</v>
      </c>
      <c r="I87" s="18" t="s">
        <v>247</v>
      </c>
      <c r="J87" s="9">
        <v>1357574900</v>
      </c>
      <c r="K87" s="18">
        <v>4</v>
      </c>
      <c r="L87" s="18" t="s">
        <v>247</v>
      </c>
      <c r="M87" s="21">
        <v>263534900</v>
      </c>
      <c r="N87" s="18">
        <v>4</v>
      </c>
      <c r="O87" s="18" t="s">
        <v>247</v>
      </c>
      <c r="P87" s="21">
        <v>412216200</v>
      </c>
      <c r="Q87" s="18">
        <v>5</v>
      </c>
      <c r="R87" s="18" t="s">
        <v>247</v>
      </c>
      <c r="S87" s="23">
        <v>213189700</v>
      </c>
      <c r="T87" s="18">
        <v>3</v>
      </c>
      <c r="U87" s="18" t="s">
        <v>247</v>
      </c>
      <c r="V87" s="63">
        <v>291835260</v>
      </c>
      <c r="W87" s="58">
        <f t="shared" si="3"/>
        <v>125</v>
      </c>
      <c r="X87" s="18" t="s">
        <v>28</v>
      </c>
      <c r="Y87" s="289">
        <f t="shared" ref="Y87:Z89" si="10">S87/M87*100</f>
        <v>80.896192496705368</v>
      </c>
      <c r="Z87" s="58">
        <f t="shared" si="10"/>
        <v>75</v>
      </c>
      <c r="AA87" s="18" t="s">
        <v>28</v>
      </c>
      <c r="AB87" s="289">
        <f>V87/P87*100</f>
        <v>70.796649913322184</v>
      </c>
      <c r="AC87" s="21">
        <f>T87</f>
        <v>3</v>
      </c>
      <c r="AD87" s="18" t="s">
        <v>247</v>
      </c>
      <c r="AE87" s="245">
        <f t="shared" ref="AE87:AE94" si="11">S87+V87</f>
        <v>505024960</v>
      </c>
      <c r="AF87" s="8"/>
      <c r="AG87" s="8"/>
      <c r="AH87" s="8"/>
      <c r="AI87" s="8"/>
      <c r="AJ87" s="126"/>
      <c r="AM87" s="113">
        <f t="shared" si="0"/>
        <v>213189700</v>
      </c>
    </row>
    <row r="88" spans="1:39" ht="112.5" customHeight="1" x14ac:dyDescent="0.2">
      <c r="A88" s="64"/>
      <c r="B88" s="25"/>
      <c r="C88" s="14" t="s">
        <v>113</v>
      </c>
      <c r="D88" s="14" t="s">
        <v>248</v>
      </c>
      <c r="E88" s="57">
        <v>6760</v>
      </c>
      <c r="F88" s="18" t="s">
        <v>249</v>
      </c>
      <c r="G88" s="9"/>
      <c r="H88" s="57">
        <v>7437</v>
      </c>
      <c r="I88" s="18" t="s">
        <v>249</v>
      </c>
      <c r="J88" s="9">
        <v>311000000</v>
      </c>
      <c r="K88" s="57">
        <v>6937</v>
      </c>
      <c r="L88" s="18" t="s">
        <v>249</v>
      </c>
      <c r="M88" s="21">
        <v>3484281750</v>
      </c>
      <c r="N88" s="57">
        <v>7037</v>
      </c>
      <c r="O88" s="18" t="s">
        <v>249</v>
      </c>
      <c r="P88" s="21">
        <v>937806750</v>
      </c>
      <c r="Q88" s="57">
        <v>7255</v>
      </c>
      <c r="R88" s="18" t="s">
        <v>249</v>
      </c>
      <c r="S88" s="23">
        <v>2089593500</v>
      </c>
      <c r="T88" s="57">
        <v>0</v>
      </c>
      <c r="U88" s="18" t="s">
        <v>249</v>
      </c>
      <c r="V88" s="63">
        <v>744160000</v>
      </c>
      <c r="W88" s="58">
        <f t="shared" si="3"/>
        <v>104.58411417039066</v>
      </c>
      <c r="X88" s="18" t="s">
        <v>28</v>
      </c>
      <c r="Y88" s="289">
        <f t="shared" si="10"/>
        <v>59.972001403158629</v>
      </c>
      <c r="Z88" s="58">
        <f t="shared" si="10"/>
        <v>0</v>
      </c>
      <c r="AA88" s="18" t="s">
        <v>28</v>
      </c>
      <c r="AB88" s="289">
        <f t="shared" ref="AB88:AB94" si="12">V88/P88*100</f>
        <v>79.351102985769728</v>
      </c>
      <c r="AC88" s="21">
        <f>Q88+T88</f>
        <v>7255</v>
      </c>
      <c r="AD88" s="18" t="s">
        <v>249</v>
      </c>
      <c r="AE88" s="245">
        <f t="shared" si="11"/>
        <v>2833753500</v>
      </c>
      <c r="AF88" s="8"/>
      <c r="AG88" s="8"/>
      <c r="AH88" s="8"/>
      <c r="AI88" s="8"/>
      <c r="AJ88" s="126"/>
      <c r="AM88" s="113">
        <f t="shared" si="0"/>
        <v>2089593500</v>
      </c>
    </row>
    <row r="89" spans="1:39" ht="120" x14ac:dyDescent="0.2">
      <c r="A89" s="64"/>
      <c r="B89" s="25"/>
      <c r="C89" s="14" t="s">
        <v>75</v>
      </c>
      <c r="D89" s="14" t="s">
        <v>555</v>
      </c>
      <c r="E89" s="58">
        <v>2</v>
      </c>
      <c r="F89" s="18" t="s">
        <v>28</v>
      </c>
      <c r="G89" s="9"/>
      <c r="H89" s="58">
        <v>7</v>
      </c>
      <c r="I89" s="18" t="s">
        <v>28</v>
      </c>
      <c r="J89" s="9">
        <v>139500000</v>
      </c>
      <c r="K89" s="58">
        <v>3</v>
      </c>
      <c r="L89" s="18" t="s">
        <v>28</v>
      </c>
      <c r="M89" s="21">
        <v>27900000</v>
      </c>
      <c r="N89" s="58">
        <v>5</v>
      </c>
      <c r="O89" s="18" t="s">
        <v>28</v>
      </c>
      <c r="P89" s="21">
        <v>7440000</v>
      </c>
      <c r="Q89" s="58">
        <v>5</v>
      </c>
      <c r="R89" s="18" t="s">
        <v>28</v>
      </c>
      <c r="S89" s="23">
        <v>27900000</v>
      </c>
      <c r="T89" s="58">
        <v>5</v>
      </c>
      <c r="U89" s="18" t="s">
        <v>28</v>
      </c>
      <c r="V89" s="63">
        <v>6250000</v>
      </c>
      <c r="W89" s="58">
        <f>Q89/K89*100</f>
        <v>166.66666666666669</v>
      </c>
      <c r="X89" s="18" t="s">
        <v>28</v>
      </c>
      <c r="Y89" s="289">
        <f t="shared" si="10"/>
        <v>100</v>
      </c>
      <c r="Z89" s="58">
        <f t="shared" si="10"/>
        <v>100</v>
      </c>
      <c r="AA89" s="18" t="s">
        <v>28</v>
      </c>
      <c r="AB89" s="289">
        <f t="shared" si="12"/>
        <v>84.005376344086031</v>
      </c>
      <c r="AC89" s="382">
        <f>T89</f>
        <v>5</v>
      </c>
      <c r="AD89" s="18" t="s">
        <v>28</v>
      </c>
      <c r="AE89" s="245">
        <f t="shared" si="11"/>
        <v>34150000</v>
      </c>
      <c r="AF89" s="8"/>
      <c r="AG89" s="8"/>
      <c r="AH89" s="8"/>
      <c r="AI89" s="8"/>
      <c r="AJ89" s="137" t="s">
        <v>311</v>
      </c>
      <c r="AM89" s="113">
        <f t="shared" si="0"/>
        <v>27900000</v>
      </c>
    </row>
    <row r="90" spans="1:39" ht="100.5" customHeight="1" x14ac:dyDescent="0.2">
      <c r="A90" s="64"/>
      <c r="B90" s="25"/>
      <c r="C90" s="14" t="s">
        <v>73</v>
      </c>
      <c r="D90" s="14" t="s">
        <v>250</v>
      </c>
      <c r="E90" s="57">
        <v>3959</v>
      </c>
      <c r="F90" s="18" t="s">
        <v>174</v>
      </c>
      <c r="G90" s="9"/>
      <c r="H90" s="57">
        <v>7014</v>
      </c>
      <c r="I90" s="18" t="s">
        <v>174</v>
      </c>
      <c r="J90" s="9">
        <v>3834900000</v>
      </c>
      <c r="K90" s="57">
        <v>4791</v>
      </c>
      <c r="L90" s="18" t="s">
        <v>174</v>
      </c>
      <c r="M90" s="21">
        <v>775780000</v>
      </c>
      <c r="N90" s="57">
        <v>5270</v>
      </c>
      <c r="O90" s="18" t="s">
        <v>174</v>
      </c>
      <c r="P90" s="21">
        <v>2048829000</v>
      </c>
      <c r="Q90" s="178">
        <v>5030.55</v>
      </c>
      <c r="R90" s="18" t="s">
        <v>174</v>
      </c>
      <c r="S90" s="23">
        <v>742195750</v>
      </c>
      <c r="T90" s="55">
        <v>5347.4800000000005</v>
      </c>
      <c r="U90" s="18" t="s">
        <v>174</v>
      </c>
      <c r="V90" s="63">
        <v>1996151000</v>
      </c>
      <c r="W90" s="58">
        <f t="shared" ref="W90:W92" si="13">Q90/K90*100</f>
        <v>105</v>
      </c>
      <c r="X90" s="18" t="s">
        <v>28</v>
      </c>
      <c r="Y90" s="289">
        <f t="shared" ref="Y90:Y92" si="14">S90/M90*100</f>
        <v>95.670905411327951</v>
      </c>
      <c r="Z90" s="58">
        <f>T90/N90*100</f>
        <v>101.47020872865275</v>
      </c>
      <c r="AA90" s="18" t="s">
        <v>28</v>
      </c>
      <c r="AB90" s="289">
        <f t="shared" si="12"/>
        <v>97.428872785381301</v>
      </c>
      <c r="AC90" s="383">
        <f>T90</f>
        <v>5347.4800000000005</v>
      </c>
      <c r="AD90" s="18" t="s">
        <v>174</v>
      </c>
      <c r="AE90" s="245">
        <f t="shared" si="11"/>
        <v>2738346750</v>
      </c>
      <c r="AF90" s="8"/>
      <c r="AG90" s="8"/>
      <c r="AH90" s="8"/>
      <c r="AI90" s="8"/>
      <c r="AJ90" s="126"/>
      <c r="AL90" s="179"/>
      <c r="AM90" s="113">
        <f t="shared" si="0"/>
        <v>742195750</v>
      </c>
    </row>
    <row r="91" spans="1:39" ht="100.5" customHeight="1" x14ac:dyDescent="0.2">
      <c r="A91" s="64"/>
      <c r="B91" s="25"/>
      <c r="C91" s="14" t="s">
        <v>74</v>
      </c>
      <c r="D91" s="14" t="s">
        <v>251</v>
      </c>
      <c r="E91" s="57">
        <v>8454</v>
      </c>
      <c r="F91" s="18" t="s">
        <v>174</v>
      </c>
      <c r="G91" s="9"/>
      <c r="H91" s="57">
        <v>13625</v>
      </c>
      <c r="I91" s="18" t="s">
        <v>174</v>
      </c>
      <c r="J91" s="9">
        <v>7904470000</v>
      </c>
      <c r="K91" s="57">
        <v>9579</v>
      </c>
      <c r="L91" s="18" t="s">
        <v>174</v>
      </c>
      <c r="M91" s="21">
        <v>1599369000</v>
      </c>
      <c r="N91" s="57">
        <v>10058</v>
      </c>
      <c r="O91" s="18" t="s">
        <v>174</v>
      </c>
      <c r="P91" s="21">
        <v>295249900</v>
      </c>
      <c r="Q91" s="178">
        <v>10057.950000000001</v>
      </c>
      <c r="R91" s="18" t="s">
        <v>174</v>
      </c>
      <c r="S91" s="23">
        <v>1516176500</v>
      </c>
      <c r="T91" s="178">
        <v>10359.68</v>
      </c>
      <c r="U91" s="18" t="s">
        <v>174</v>
      </c>
      <c r="V91" s="63">
        <v>251059900</v>
      </c>
      <c r="W91" s="58">
        <f t="shared" si="13"/>
        <v>105</v>
      </c>
      <c r="X91" s="18" t="s">
        <v>28</v>
      </c>
      <c r="Y91" s="289">
        <f t="shared" si="14"/>
        <v>94.798417375852608</v>
      </c>
      <c r="Z91" s="58">
        <f>T91/N91*100</f>
        <v>102.9994034599324</v>
      </c>
      <c r="AA91" s="18" t="s">
        <v>28</v>
      </c>
      <c r="AB91" s="289">
        <f t="shared" si="12"/>
        <v>85.033017792724067</v>
      </c>
      <c r="AC91" s="383">
        <f>T91</f>
        <v>10359.68</v>
      </c>
      <c r="AD91" s="18" t="s">
        <v>174</v>
      </c>
      <c r="AE91" s="245">
        <f t="shared" si="11"/>
        <v>1767236400</v>
      </c>
      <c r="AF91" s="8"/>
      <c r="AG91" s="8"/>
      <c r="AH91" s="8"/>
      <c r="AI91" s="8"/>
      <c r="AJ91" s="126"/>
      <c r="AL91" s="179"/>
      <c r="AM91" s="113">
        <f t="shared" si="0"/>
        <v>1516176500</v>
      </c>
    </row>
    <row r="92" spans="1:39" ht="100.5" customHeight="1" x14ac:dyDescent="0.2">
      <c r="A92" s="64"/>
      <c r="B92" s="25"/>
      <c r="C92" s="14" t="s">
        <v>76</v>
      </c>
      <c r="D92" s="14" t="s">
        <v>252</v>
      </c>
      <c r="E92" s="18">
        <v>1</v>
      </c>
      <c r="F92" s="18" t="s">
        <v>28</v>
      </c>
      <c r="G92" s="9"/>
      <c r="H92" s="18">
        <v>15</v>
      </c>
      <c r="I92" s="18" t="s">
        <v>28</v>
      </c>
      <c r="J92" s="9">
        <v>82758000</v>
      </c>
      <c r="K92" s="58">
        <v>1</v>
      </c>
      <c r="L92" s="18" t="s">
        <v>28</v>
      </c>
      <c r="M92" s="21">
        <v>16551600</v>
      </c>
      <c r="N92" s="58">
        <v>7</v>
      </c>
      <c r="O92" s="18" t="s">
        <v>28</v>
      </c>
      <c r="P92" s="21">
        <v>50000000</v>
      </c>
      <c r="Q92" s="58">
        <v>1</v>
      </c>
      <c r="R92" s="18" t="s">
        <v>28</v>
      </c>
      <c r="S92" s="23">
        <v>16347000</v>
      </c>
      <c r="T92" s="58">
        <v>0.5</v>
      </c>
      <c r="U92" s="18" t="s">
        <v>28</v>
      </c>
      <c r="V92" s="63">
        <v>0</v>
      </c>
      <c r="W92" s="58">
        <f t="shared" si="13"/>
        <v>100</v>
      </c>
      <c r="X92" s="18" t="s">
        <v>28</v>
      </c>
      <c r="Y92" s="289">
        <f t="shared" si="14"/>
        <v>98.763865728992968</v>
      </c>
      <c r="Z92" s="58">
        <f>T92/N92*100</f>
        <v>7.1428571428571423</v>
      </c>
      <c r="AA92" s="18" t="s">
        <v>28</v>
      </c>
      <c r="AB92" s="289">
        <f t="shared" si="12"/>
        <v>0</v>
      </c>
      <c r="AC92" s="382">
        <f t="shared" ref="AC92:AC97" si="15">Q92+T92</f>
        <v>1.5</v>
      </c>
      <c r="AD92" s="18" t="s">
        <v>28</v>
      </c>
      <c r="AE92" s="245">
        <f t="shared" si="11"/>
        <v>16347000</v>
      </c>
      <c r="AF92" s="8"/>
      <c r="AG92" s="8"/>
      <c r="AH92" s="8"/>
      <c r="AI92" s="8"/>
      <c r="AJ92" s="126"/>
      <c r="AM92" s="113">
        <f t="shared" si="0"/>
        <v>16347000</v>
      </c>
    </row>
    <row r="93" spans="1:39" ht="82.5" customHeight="1" x14ac:dyDescent="0.25">
      <c r="A93" s="64"/>
      <c r="B93" s="25"/>
      <c r="C93" s="14"/>
      <c r="D93" s="66" t="s">
        <v>364</v>
      </c>
      <c r="E93" s="273">
        <v>1.18</v>
      </c>
      <c r="F93" s="282" t="s">
        <v>28</v>
      </c>
      <c r="G93" s="283"/>
      <c r="H93" s="277">
        <v>5.0999999999999996</v>
      </c>
      <c r="I93" s="282" t="s">
        <v>28</v>
      </c>
      <c r="J93" s="276">
        <f>J94</f>
        <v>1114361000</v>
      </c>
      <c r="K93" s="273">
        <v>2.35</v>
      </c>
      <c r="L93" s="282" t="s">
        <v>28</v>
      </c>
      <c r="M93" s="276">
        <f>M94</f>
        <v>233406000</v>
      </c>
      <c r="N93" s="273">
        <v>3.18</v>
      </c>
      <c r="O93" s="282" t="s">
        <v>28</v>
      </c>
      <c r="P93" s="276">
        <f>SUM(P94:P97)</f>
        <v>165580000</v>
      </c>
      <c r="Q93" s="273">
        <v>2.35</v>
      </c>
      <c r="R93" s="282" t="s">
        <v>28</v>
      </c>
      <c r="S93" s="276">
        <f>S94</f>
        <v>212947500</v>
      </c>
      <c r="T93" s="277">
        <v>3.18</v>
      </c>
      <c r="U93" s="282" t="s">
        <v>28</v>
      </c>
      <c r="V93" s="276">
        <f>SUM(V94:V97)</f>
        <v>145552500</v>
      </c>
      <c r="W93" s="288">
        <f>Q93/K93*100</f>
        <v>100</v>
      </c>
      <c r="X93" s="282" t="s">
        <v>28</v>
      </c>
      <c r="Y93" s="294">
        <f>S93/M93*100</f>
        <v>91.234801161923855</v>
      </c>
      <c r="Z93" s="288">
        <f>T93/N93*100</f>
        <v>100</v>
      </c>
      <c r="AA93" s="282" t="s">
        <v>28</v>
      </c>
      <c r="AB93" s="294">
        <f t="shared" si="12"/>
        <v>87.904638241333501</v>
      </c>
      <c r="AC93" s="384">
        <f t="shared" si="15"/>
        <v>5.53</v>
      </c>
      <c r="AD93" s="282" t="s">
        <v>28</v>
      </c>
      <c r="AE93" s="375">
        <f t="shared" si="11"/>
        <v>358500000</v>
      </c>
      <c r="AF93" s="275"/>
      <c r="AG93" s="275"/>
      <c r="AH93" s="275"/>
      <c r="AI93" s="275"/>
      <c r="AJ93" s="108" t="s">
        <v>305</v>
      </c>
      <c r="AM93" s="113">
        <f t="shared" si="0"/>
        <v>212947500</v>
      </c>
    </row>
    <row r="94" spans="1:39" ht="100.5" customHeight="1" x14ac:dyDescent="0.2">
      <c r="A94" s="64"/>
      <c r="B94" s="25"/>
      <c r="C94" s="101" t="s">
        <v>268</v>
      </c>
      <c r="D94" s="14" t="s">
        <v>134</v>
      </c>
      <c r="E94" s="18">
        <v>85.62</v>
      </c>
      <c r="F94" s="18" t="s">
        <v>28</v>
      </c>
      <c r="G94" s="233"/>
      <c r="H94" s="18">
        <v>100</v>
      </c>
      <c r="I94" s="18" t="s">
        <v>28</v>
      </c>
      <c r="J94" s="233">
        <v>1114361000</v>
      </c>
      <c r="K94" s="18">
        <v>97.45</v>
      </c>
      <c r="L94" s="18" t="s">
        <v>28</v>
      </c>
      <c r="M94" s="298">
        <v>233406000</v>
      </c>
      <c r="N94" s="18">
        <v>98.09</v>
      </c>
      <c r="O94" s="18" t="s">
        <v>28</v>
      </c>
      <c r="P94" s="298">
        <v>86000000</v>
      </c>
      <c r="Q94" s="221">
        <v>97.55</v>
      </c>
      <c r="R94" s="18" t="s">
        <v>28</v>
      </c>
      <c r="S94" s="247">
        <v>212947500</v>
      </c>
      <c r="T94" s="58">
        <f>141/162*100</f>
        <v>87.037037037037038</v>
      </c>
      <c r="U94" s="18" t="s">
        <v>28</v>
      </c>
      <c r="V94" s="247">
        <v>73025000</v>
      </c>
      <c r="W94" s="58">
        <f>Q94/K94*100</f>
        <v>100.10261672652643</v>
      </c>
      <c r="X94" s="18" t="s">
        <v>28</v>
      </c>
      <c r="Y94" s="291">
        <f>S94/M94*100</f>
        <v>91.234801161923855</v>
      </c>
      <c r="Z94" s="58">
        <f>T94/N94*100</f>
        <v>88.731814697764335</v>
      </c>
      <c r="AA94" s="18" t="s">
        <v>28</v>
      </c>
      <c r="AB94" s="291">
        <f t="shared" si="12"/>
        <v>84.912790697674424</v>
      </c>
      <c r="AC94" s="382">
        <f t="shared" si="15"/>
        <v>184.58703703703702</v>
      </c>
      <c r="AD94" s="18" t="s">
        <v>28</v>
      </c>
      <c r="AE94" s="245">
        <f t="shared" si="11"/>
        <v>285972500</v>
      </c>
      <c r="AF94" s="8"/>
      <c r="AG94" s="8"/>
      <c r="AH94" s="8"/>
      <c r="AI94" s="8"/>
      <c r="AJ94" s="108" t="s">
        <v>305</v>
      </c>
      <c r="AM94" s="134">
        <f t="shared" si="0"/>
        <v>212947500</v>
      </c>
    </row>
    <row r="95" spans="1:39" ht="100.5" customHeight="1" x14ac:dyDescent="0.2">
      <c r="A95" s="64"/>
      <c r="B95" s="25"/>
      <c r="C95" s="25"/>
      <c r="D95" s="14" t="s">
        <v>269</v>
      </c>
      <c r="E95" s="58">
        <v>30.5</v>
      </c>
      <c r="F95" s="18" t="s">
        <v>28</v>
      </c>
      <c r="G95" s="229"/>
      <c r="H95" s="58">
        <v>72.88</v>
      </c>
      <c r="I95" s="18" t="s">
        <v>28</v>
      </c>
      <c r="J95" s="229"/>
      <c r="K95" s="58">
        <v>31.21</v>
      </c>
      <c r="L95" s="18" t="s">
        <v>28</v>
      </c>
      <c r="M95" s="299"/>
      <c r="N95" s="58">
        <v>41.63</v>
      </c>
      <c r="O95" s="18" t="s">
        <v>28</v>
      </c>
      <c r="P95" s="299"/>
      <c r="Q95" s="58">
        <v>31.25</v>
      </c>
      <c r="R95" s="18" t="s">
        <v>28</v>
      </c>
      <c r="S95" s="301"/>
      <c r="T95" s="58">
        <f>130/141*100</f>
        <v>92.198581560283685</v>
      </c>
      <c r="U95" s="18" t="s">
        <v>28</v>
      </c>
      <c r="V95" s="301"/>
      <c r="W95" s="58">
        <f t="shared" ref="W95:W96" si="16">Q95/K95*100</f>
        <v>100.12816404998397</v>
      </c>
      <c r="X95" s="18" t="s">
        <v>28</v>
      </c>
      <c r="Y95" s="297"/>
      <c r="Z95" s="58">
        <f t="shared" ref="Z95:Z96" si="17">T95/N95*100</f>
        <v>221.47149065645851</v>
      </c>
      <c r="AA95" s="18" t="s">
        <v>28</v>
      </c>
      <c r="AB95" s="297"/>
      <c r="AC95" s="382">
        <f t="shared" si="15"/>
        <v>123.44858156028369</v>
      </c>
      <c r="AD95" s="18" t="s">
        <v>28</v>
      </c>
      <c r="AE95" s="4"/>
      <c r="AF95" s="8"/>
      <c r="AG95" s="8"/>
      <c r="AH95" s="8"/>
      <c r="AI95" s="8"/>
      <c r="AJ95" s="126"/>
      <c r="AM95" s="134">
        <f t="shared" si="0"/>
        <v>0</v>
      </c>
    </row>
    <row r="96" spans="1:39" ht="100.5" customHeight="1" x14ac:dyDescent="0.2">
      <c r="A96" s="64"/>
      <c r="B96" s="25"/>
      <c r="C96" s="20"/>
      <c r="D96" s="14" t="s">
        <v>270</v>
      </c>
      <c r="E96" s="58">
        <v>9.1</v>
      </c>
      <c r="F96" s="18" t="s">
        <v>28</v>
      </c>
      <c r="G96" s="50"/>
      <c r="H96" s="58">
        <v>45.5</v>
      </c>
      <c r="I96" s="18" t="s">
        <v>28</v>
      </c>
      <c r="J96" s="50"/>
      <c r="K96" s="58">
        <v>10.5</v>
      </c>
      <c r="L96" s="18" t="s">
        <v>28</v>
      </c>
      <c r="M96" s="300"/>
      <c r="N96" s="58">
        <v>23</v>
      </c>
      <c r="O96" s="18" t="s">
        <v>28</v>
      </c>
      <c r="P96" s="300"/>
      <c r="Q96" s="58">
        <v>10.5</v>
      </c>
      <c r="R96" s="18" t="s">
        <v>28</v>
      </c>
      <c r="S96" s="246"/>
      <c r="T96" s="58">
        <f>4054/4866*100</f>
        <v>83.3127825729552</v>
      </c>
      <c r="U96" s="18" t="s">
        <v>28</v>
      </c>
      <c r="V96" s="246"/>
      <c r="W96" s="58">
        <f t="shared" si="16"/>
        <v>100</v>
      </c>
      <c r="X96" s="18" t="s">
        <v>28</v>
      </c>
      <c r="Y96" s="292"/>
      <c r="Z96" s="58">
        <f t="shared" si="17"/>
        <v>362.22948944763129</v>
      </c>
      <c r="AA96" s="18" t="s">
        <v>28</v>
      </c>
      <c r="AB96" s="292"/>
      <c r="AC96" s="382">
        <f t="shared" si="15"/>
        <v>93.8127825729552</v>
      </c>
      <c r="AD96" s="18" t="s">
        <v>28</v>
      </c>
      <c r="AE96" s="5"/>
      <c r="AF96" s="8"/>
      <c r="AG96" s="8"/>
      <c r="AH96" s="8"/>
      <c r="AI96" s="8"/>
      <c r="AJ96" s="126"/>
      <c r="AM96" s="134">
        <f t="shared" si="0"/>
        <v>0</v>
      </c>
    </row>
    <row r="97" spans="1:39" ht="100.5" customHeight="1" x14ac:dyDescent="0.2">
      <c r="A97" s="64"/>
      <c r="B97" s="25"/>
      <c r="C97" s="101" t="s">
        <v>598</v>
      </c>
      <c r="D97" s="14" t="s">
        <v>599</v>
      </c>
      <c r="E97" s="18"/>
      <c r="F97" s="18"/>
      <c r="G97" s="233"/>
      <c r="H97" s="18"/>
      <c r="I97" s="18" t="s">
        <v>28</v>
      </c>
      <c r="J97" s="233"/>
      <c r="K97" s="18"/>
      <c r="L97" s="18"/>
      <c r="M97" s="298"/>
      <c r="N97" s="18">
        <v>99.87</v>
      </c>
      <c r="O97" s="18" t="s">
        <v>28</v>
      </c>
      <c r="P97" s="298">
        <v>79580000</v>
      </c>
      <c r="Q97" s="221"/>
      <c r="R97" s="18"/>
      <c r="S97" s="247"/>
      <c r="T97" s="58">
        <f>45096/45156*100</f>
        <v>99.867127292054221</v>
      </c>
      <c r="U97" s="18" t="s">
        <v>28</v>
      </c>
      <c r="V97" s="247">
        <v>72527500</v>
      </c>
      <c r="W97" s="58"/>
      <c r="X97" s="18"/>
      <c r="Y97" s="291"/>
      <c r="Z97" s="58">
        <f>T97/N97*100</f>
        <v>99.99712355267269</v>
      </c>
      <c r="AA97" s="18" t="s">
        <v>28</v>
      </c>
      <c r="AB97" s="291">
        <f>V97/P97*100</f>
        <v>91.137848705704954</v>
      </c>
      <c r="AC97" s="382">
        <f t="shared" si="15"/>
        <v>99.867127292054221</v>
      </c>
      <c r="AD97" s="18" t="s">
        <v>28</v>
      </c>
      <c r="AE97" s="245">
        <f>S97+V97</f>
        <v>72527500</v>
      </c>
      <c r="AF97" s="8"/>
      <c r="AG97" s="8"/>
      <c r="AH97" s="8"/>
      <c r="AI97" s="8"/>
      <c r="AJ97" s="258" t="s">
        <v>305</v>
      </c>
      <c r="AM97" s="134">
        <f t="shared" ref="AM97" si="18">S97</f>
        <v>0</v>
      </c>
    </row>
    <row r="98" spans="1:39" ht="15" x14ac:dyDescent="0.2">
      <c r="A98" s="446" t="s">
        <v>5</v>
      </c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121">
        <f>AVERAGE(W61:W93)</f>
        <v>101.44244769530241</v>
      </c>
      <c r="X98" s="122"/>
      <c r="Y98" s="121"/>
      <c r="Z98" s="121">
        <f>AVERAGE(Z61:Z93)</f>
        <v>78.482152733798472</v>
      </c>
      <c r="AA98" s="102"/>
      <c r="AB98" s="102"/>
      <c r="AC98" s="102"/>
      <c r="AD98" s="102"/>
      <c r="AE98" s="102"/>
      <c r="AF98" s="102"/>
      <c r="AG98" s="102"/>
      <c r="AH98" s="102"/>
      <c r="AI98" s="102"/>
      <c r="AJ98" s="126"/>
    </row>
    <row r="99" spans="1:39" ht="15" x14ac:dyDescent="0.2">
      <c r="A99" s="446" t="s">
        <v>6</v>
      </c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195" t="str">
        <f>IF(W98&gt;=91,"Sangat Tinggi",IF(W98&gt;=76,"Tinggi",IF(W98&gt;=66,"Sedang",IF(W98&gt;=51,"Rendah",IF(W98&lt;=50,"Sangat Rendah")))))</f>
        <v>Sangat Tinggi</v>
      </c>
      <c r="X99" s="122"/>
      <c r="Y99" s="102"/>
      <c r="Z99" s="195" t="str">
        <f>IF(Z98&gt;=91,"Sangat Tinggi",IF(Z98&gt;=76,"Tinggi",IF(Z98&gt;=66,"Sedang",IF(Z98&gt;=51,"Rendah",IF(Z98&lt;=50,"Sangat Rendah")))))</f>
        <v>Tinggi</v>
      </c>
      <c r="AA99" s="102"/>
      <c r="AB99" s="102"/>
      <c r="AC99" s="102"/>
      <c r="AD99" s="102"/>
      <c r="AE99" s="102"/>
      <c r="AF99" s="102"/>
      <c r="AG99" s="102"/>
      <c r="AH99" s="102"/>
      <c r="AI99" s="102"/>
      <c r="AJ99" s="126"/>
    </row>
    <row r="100" spans="1:39" ht="15" x14ac:dyDescent="0.2">
      <c r="A100" s="429" t="s">
        <v>7</v>
      </c>
      <c r="B100" s="429"/>
      <c r="C100" s="429"/>
      <c r="D100" s="429"/>
      <c r="E100" s="429"/>
      <c r="F100" s="429"/>
      <c r="G100" s="429"/>
      <c r="H100" s="429"/>
      <c r="I100" s="429"/>
      <c r="J100" s="429"/>
      <c r="K100" s="429"/>
      <c r="L100" s="429"/>
      <c r="M100" s="429"/>
      <c r="N100" s="429"/>
      <c r="O100" s="429"/>
      <c r="P100" s="429"/>
      <c r="Q100" s="429"/>
      <c r="R100" s="429"/>
      <c r="S100" s="429"/>
      <c r="T100" s="429"/>
      <c r="U100" s="429"/>
      <c r="V100" s="429"/>
      <c r="W100" s="429"/>
      <c r="X100" s="429"/>
      <c r="Y100" s="429"/>
      <c r="Z100" s="429"/>
      <c r="AA100" s="429"/>
      <c r="AB100" s="429"/>
      <c r="AC100" s="429"/>
      <c r="AD100" s="429"/>
      <c r="AE100" s="429"/>
      <c r="AF100" s="429"/>
      <c r="AG100" s="429"/>
      <c r="AH100" s="429"/>
      <c r="AI100" s="429"/>
      <c r="AJ100" s="126"/>
    </row>
    <row r="101" spans="1:39" ht="15" x14ac:dyDescent="0.2">
      <c r="A101" s="429" t="s">
        <v>8</v>
      </c>
      <c r="B101" s="429"/>
      <c r="C101" s="429"/>
      <c r="D101" s="429"/>
      <c r="E101" s="429"/>
      <c r="F101" s="429"/>
      <c r="G101" s="429"/>
      <c r="H101" s="429"/>
      <c r="I101" s="429"/>
      <c r="J101" s="429"/>
      <c r="K101" s="429"/>
      <c r="L101" s="429"/>
      <c r="M101" s="429"/>
      <c r="N101" s="429"/>
      <c r="O101" s="429"/>
      <c r="P101" s="429"/>
      <c r="Q101" s="429"/>
      <c r="R101" s="429"/>
      <c r="S101" s="429"/>
      <c r="T101" s="429"/>
      <c r="U101" s="429"/>
      <c r="V101" s="429"/>
      <c r="W101" s="429"/>
      <c r="X101" s="429"/>
      <c r="Y101" s="429"/>
      <c r="Z101" s="429"/>
      <c r="AA101" s="429"/>
      <c r="AB101" s="429"/>
      <c r="AC101" s="429"/>
      <c r="AD101" s="429"/>
      <c r="AE101" s="429"/>
      <c r="AF101" s="429"/>
      <c r="AG101" s="429"/>
      <c r="AH101" s="429"/>
      <c r="AI101" s="429"/>
      <c r="AJ101" s="126"/>
    </row>
    <row r="102" spans="1:39" ht="15" x14ac:dyDescent="0.2">
      <c r="A102" s="429" t="s">
        <v>9</v>
      </c>
      <c r="B102" s="429"/>
      <c r="C102" s="429"/>
      <c r="D102" s="429"/>
      <c r="E102" s="429"/>
      <c r="F102" s="429"/>
      <c r="G102" s="429"/>
      <c r="H102" s="429"/>
      <c r="I102" s="429"/>
      <c r="J102" s="429"/>
      <c r="K102" s="429"/>
      <c r="L102" s="429"/>
      <c r="M102" s="429"/>
      <c r="N102" s="429"/>
      <c r="O102" s="429"/>
      <c r="P102" s="429"/>
      <c r="Q102" s="429"/>
      <c r="R102" s="429"/>
      <c r="S102" s="429"/>
      <c r="T102" s="429"/>
      <c r="U102" s="429"/>
      <c r="V102" s="429"/>
      <c r="W102" s="429"/>
      <c r="X102" s="429"/>
      <c r="Y102" s="429"/>
      <c r="Z102" s="429"/>
      <c r="AA102" s="429"/>
      <c r="AB102" s="429"/>
      <c r="AC102" s="429"/>
      <c r="AD102" s="429"/>
      <c r="AE102" s="429"/>
      <c r="AF102" s="429"/>
      <c r="AG102" s="429"/>
      <c r="AH102" s="429"/>
      <c r="AI102" s="429"/>
      <c r="AJ102" s="126"/>
    </row>
    <row r="103" spans="1:39" ht="15" x14ac:dyDescent="0.2">
      <c r="A103" s="429" t="s">
        <v>10</v>
      </c>
      <c r="B103" s="429"/>
      <c r="C103" s="429"/>
      <c r="D103" s="429"/>
      <c r="E103" s="429"/>
      <c r="F103" s="429"/>
      <c r="G103" s="429"/>
      <c r="H103" s="429"/>
      <c r="I103" s="429"/>
      <c r="J103" s="429"/>
      <c r="K103" s="429"/>
      <c r="L103" s="429"/>
      <c r="M103" s="429"/>
      <c r="N103" s="429"/>
      <c r="O103" s="429"/>
      <c r="P103" s="429"/>
      <c r="Q103" s="429"/>
      <c r="R103" s="429"/>
      <c r="S103" s="429"/>
      <c r="T103" s="429"/>
      <c r="U103" s="429"/>
      <c r="V103" s="429"/>
      <c r="W103" s="429"/>
      <c r="X103" s="429"/>
      <c r="Y103" s="429"/>
      <c r="Z103" s="429"/>
      <c r="AA103" s="429"/>
      <c r="AB103" s="429"/>
      <c r="AC103" s="429"/>
      <c r="AD103" s="429"/>
      <c r="AE103" s="429"/>
      <c r="AF103" s="429"/>
      <c r="AG103" s="429"/>
      <c r="AH103" s="429"/>
      <c r="AI103" s="429"/>
      <c r="AJ103" s="127"/>
    </row>
    <row r="104" spans="1:39" ht="15" x14ac:dyDescent="0.2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</row>
    <row r="105" spans="1:39" ht="15" x14ac:dyDescent="0.2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</row>
    <row r="106" spans="1:39" ht="15" x14ac:dyDescent="0.2">
      <c r="A106" s="125"/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</row>
    <row r="107" spans="1:39" s="133" customFormat="1" ht="68.25" customHeight="1" x14ac:dyDescent="0.2">
      <c r="A107" s="444" t="s">
        <v>0</v>
      </c>
      <c r="B107" s="444" t="s">
        <v>272</v>
      </c>
      <c r="C107" s="445" t="s">
        <v>1</v>
      </c>
      <c r="D107" s="445" t="s">
        <v>327</v>
      </c>
      <c r="E107" s="435" t="s">
        <v>21</v>
      </c>
      <c r="F107" s="436"/>
      <c r="G107" s="437"/>
      <c r="H107" s="435" t="s">
        <v>20</v>
      </c>
      <c r="I107" s="436"/>
      <c r="J107" s="437"/>
      <c r="K107" s="412" t="s">
        <v>582</v>
      </c>
      <c r="L107" s="413"/>
      <c r="M107" s="413"/>
      <c r="N107" s="413"/>
      <c r="O107" s="413"/>
      <c r="P107" s="414"/>
      <c r="Q107" s="412" t="s">
        <v>583</v>
      </c>
      <c r="R107" s="413"/>
      <c r="S107" s="413"/>
      <c r="T107" s="413"/>
      <c r="U107" s="413"/>
      <c r="V107" s="413"/>
      <c r="W107" s="412" t="s">
        <v>584</v>
      </c>
      <c r="X107" s="413"/>
      <c r="Y107" s="413"/>
      <c r="Z107" s="413"/>
      <c r="AA107" s="413"/>
      <c r="AB107" s="413"/>
      <c r="AC107" s="412" t="s">
        <v>19</v>
      </c>
      <c r="AD107" s="413"/>
      <c r="AE107" s="414"/>
      <c r="AF107" s="412" t="s">
        <v>4</v>
      </c>
      <c r="AG107" s="413"/>
      <c r="AH107" s="413"/>
      <c r="AI107" s="414"/>
      <c r="AJ107" s="433" t="s">
        <v>294</v>
      </c>
    </row>
    <row r="108" spans="1:39" s="133" customFormat="1" ht="18" customHeight="1" x14ac:dyDescent="0.2">
      <c r="A108" s="444"/>
      <c r="B108" s="444"/>
      <c r="C108" s="445"/>
      <c r="D108" s="445"/>
      <c r="E108" s="438"/>
      <c r="F108" s="439"/>
      <c r="G108" s="440"/>
      <c r="H108" s="438"/>
      <c r="I108" s="439"/>
      <c r="J108" s="440"/>
      <c r="K108" s="415"/>
      <c r="L108" s="416"/>
      <c r="M108" s="416"/>
      <c r="N108" s="416"/>
      <c r="O108" s="416"/>
      <c r="P108" s="417"/>
      <c r="Q108" s="415"/>
      <c r="R108" s="416"/>
      <c r="S108" s="416"/>
      <c r="T108" s="416"/>
      <c r="U108" s="416"/>
      <c r="V108" s="416"/>
      <c r="W108" s="415"/>
      <c r="X108" s="416"/>
      <c r="Y108" s="416"/>
      <c r="Z108" s="416"/>
      <c r="AA108" s="416"/>
      <c r="AB108" s="416"/>
      <c r="AC108" s="430"/>
      <c r="AD108" s="431"/>
      <c r="AE108" s="432"/>
      <c r="AF108" s="430"/>
      <c r="AG108" s="431"/>
      <c r="AH108" s="431"/>
      <c r="AI108" s="432"/>
      <c r="AJ108" s="434"/>
    </row>
    <row r="109" spans="1:39" s="133" customFormat="1" ht="15.75" customHeight="1" x14ac:dyDescent="0.2">
      <c r="A109" s="444"/>
      <c r="B109" s="444"/>
      <c r="C109" s="445"/>
      <c r="D109" s="445"/>
      <c r="E109" s="441"/>
      <c r="F109" s="442"/>
      <c r="G109" s="443"/>
      <c r="H109" s="441"/>
      <c r="I109" s="442"/>
      <c r="J109" s="443"/>
      <c r="K109" s="398" t="s">
        <v>580</v>
      </c>
      <c r="L109" s="399"/>
      <c r="M109" s="400"/>
      <c r="N109" s="398" t="s">
        <v>581</v>
      </c>
      <c r="O109" s="399"/>
      <c r="P109" s="400"/>
      <c r="Q109" s="398" t="s">
        <v>580</v>
      </c>
      <c r="R109" s="399"/>
      <c r="S109" s="400"/>
      <c r="T109" s="398" t="s">
        <v>581</v>
      </c>
      <c r="U109" s="399"/>
      <c r="V109" s="400"/>
      <c r="W109" s="398" t="s">
        <v>580</v>
      </c>
      <c r="X109" s="399"/>
      <c r="Y109" s="400"/>
      <c r="Z109" s="398" t="s">
        <v>581</v>
      </c>
      <c r="AA109" s="399"/>
      <c r="AB109" s="400"/>
      <c r="AC109" s="415"/>
      <c r="AD109" s="416"/>
      <c r="AE109" s="417"/>
      <c r="AF109" s="415"/>
      <c r="AG109" s="416"/>
      <c r="AH109" s="416"/>
      <c r="AI109" s="417"/>
      <c r="AJ109" s="128"/>
    </row>
    <row r="110" spans="1:39" s="103" customFormat="1" ht="15.75" x14ac:dyDescent="0.25">
      <c r="A110" s="411">
        <v>1</v>
      </c>
      <c r="B110" s="411">
        <v>2</v>
      </c>
      <c r="C110" s="411">
        <v>3</v>
      </c>
      <c r="D110" s="411">
        <v>4</v>
      </c>
      <c r="E110" s="420">
        <v>5</v>
      </c>
      <c r="F110" s="421"/>
      <c r="G110" s="422"/>
      <c r="H110" s="420">
        <v>6</v>
      </c>
      <c r="I110" s="421"/>
      <c r="J110" s="422"/>
      <c r="K110" s="401">
        <v>7</v>
      </c>
      <c r="L110" s="402"/>
      <c r="M110" s="403"/>
      <c r="N110" s="401">
        <v>8</v>
      </c>
      <c r="O110" s="402"/>
      <c r="P110" s="403"/>
      <c r="Q110" s="401">
        <v>12</v>
      </c>
      <c r="R110" s="402"/>
      <c r="S110" s="403"/>
      <c r="T110" s="401">
        <v>13</v>
      </c>
      <c r="U110" s="402"/>
      <c r="V110" s="403"/>
      <c r="W110" s="395">
        <v>17</v>
      </c>
      <c r="X110" s="396"/>
      <c r="Y110" s="397"/>
      <c r="Z110" s="395">
        <v>18</v>
      </c>
      <c r="AA110" s="396"/>
      <c r="AB110" s="397"/>
      <c r="AC110" s="395">
        <v>22</v>
      </c>
      <c r="AD110" s="396"/>
      <c r="AE110" s="397"/>
      <c r="AF110" s="395">
        <v>23</v>
      </c>
      <c r="AG110" s="396"/>
      <c r="AH110" s="396"/>
      <c r="AI110" s="397"/>
      <c r="AJ110" s="129"/>
    </row>
    <row r="111" spans="1:39" s="103" customFormat="1" ht="87" customHeight="1" x14ac:dyDescent="0.2">
      <c r="A111" s="419"/>
      <c r="B111" s="419"/>
      <c r="C111" s="419"/>
      <c r="D111" s="419"/>
      <c r="E111" s="404" t="s">
        <v>2</v>
      </c>
      <c r="F111" s="405"/>
      <c r="G111" s="408" t="s">
        <v>3</v>
      </c>
      <c r="H111" s="404" t="s">
        <v>2</v>
      </c>
      <c r="I111" s="405"/>
      <c r="J111" s="408" t="s">
        <v>3</v>
      </c>
      <c r="K111" s="404" t="s">
        <v>2</v>
      </c>
      <c r="L111" s="405"/>
      <c r="M111" s="411" t="s">
        <v>3</v>
      </c>
      <c r="N111" s="404" t="s">
        <v>2</v>
      </c>
      <c r="O111" s="405"/>
      <c r="P111" s="411" t="s">
        <v>3</v>
      </c>
      <c r="Q111" s="404" t="s">
        <v>2</v>
      </c>
      <c r="R111" s="405"/>
      <c r="S111" s="411" t="s">
        <v>3</v>
      </c>
      <c r="T111" s="404" t="s">
        <v>2</v>
      </c>
      <c r="U111" s="405"/>
      <c r="V111" s="411" t="s">
        <v>3</v>
      </c>
      <c r="W111" s="420" t="s">
        <v>13</v>
      </c>
      <c r="X111" s="422"/>
      <c r="Y111" s="106" t="s">
        <v>14</v>
      </c>
      <c r="Z111" s="420" t="s">
        <v>15</v>
      </c>
      <c r="AA111" s="422"/>
      <c r="AB111" s="106" t="s">
        <v>16</v>
      </c>
      <c r="AC111" s="404" t="s">
        <v>2</v>
      </c>
      <c r="AD111" s="405"/>
      <c r="AE111" s="405" t="s">
        <v>3</v>
      </c>
      <c r="AF111" s="420" t="s">
        <v>18</v>
      </c>
      <c r="AG111" s="422"/>
      <c r="AH111" s="425" t="s">
        <v>22</v>
      </c>
      <c r="AI111" s="106" t="s">
        <v>17</v>
      </c>
      <c r="AJ111" s="130"/>
    </row>
    <row r="112" spans="1:39" s="103" customFormat="1" ht="15.75" x14ac:dyDescent="0.2">
      <c r="A112" s="408"/>
      <c r="B112" s="408"/>
      <c r="C112" s="408"/>
      <c r="D112" s="408"/>
      <c r="E112" s="406"/>
      <c r="F112" s="407"/>
      <c r="G112" s="409"/>
      <c r="H112" s="406"/>
      <c r="I112" s="407"/>
      <c r="J112" s="409"/>
      <c r="K112" s="406"/>
      <c r="L112" s="407"/>
      <c r="M112" s="408"/>
      <c r="N112" s="406"/>
      <c r="O112" s="407"/>
      <c r="P112" s="408"/>
      <c r="Q112" s="406"/>
      <c r="R112" s="407"/>
      <c r="S112" s="408"/>
      <c r="T112" s="406"/>
      <c r="U112" s="407"/>
      <c r="V112" s="408"/>
      <c r="W112" s="406" t="s">
        <v>2</v>
      </c>
      <c r="X112" s="407"/>
      <c r="Y112" s="226" t="s">
        <v>3</v>
      </c>
      <c r="Z112" s="427" t="s">
        <v>2</v>
      </c>
      <c r="AA112" s="428"/>
      <c r="AB112" s="226" t="s">
        <v>3</v>
      </c>
      <c r="AC112" s="406"/>
      <c r="AD112" s="407"/>
      <c r="AE112" s="407"/>
      <c r="AF112" s="406" t="s">
        <v>2</v>
      </c>
      <c r="AG112" s="407"/>
      <c r="AH112" s="426"/>
      <c r="AI112" s="226" t="s">
        <v>3</v>
      </c>
      <c r="AJ112" s="130"/>
    </row>
    <row r="113" spans="1:39" ht="100.5" customHeight="1" x14ac:dyDescent="0.25">
      <c r="A113" s="70">
        <v>9</v>
      </c>
      <c r="B113" s="65" t="s">
        <v>114</v>
      </c>
      <c r="C113" s="14"/>
      <c r="D113" s="66" t="s">
        <v>365</v>
      </c>
      <c r="E113" s="302">
        <v>21.1</v>
      </c>
      <c r="F113" s="273" t="s">
        <v>253</v>
      </c>
      <c r="G113" s="276"/>
      <c r="H113" s="303">
        <v>28</v>
      </c>
      <c r="I113" s="273" t="s">
        <v>253</v>
      </c>
      <c r="J113" s="276">
        <f>SUM(J114:J115)</f>
        <v>5554540000</v>
      </c>
      <c r="K113" s="304">
        <v>23</v>
      </c>
      <c r="L113" s="273" t="s">
        <v>253</v>
      </c>
      <c r="M113" s="276">
        <f>SUM(M114:M115)</f>
        <v>1401608000</v>
      </c>
      <c r="N113" s="304">
        <v>24</v>
      </c>
      <c r="O113" s="273" t="s">
        <v>253</v>
      </c>
      <c r="P113" s="276">
        <f>SUM(P114:P115)</f>
        <v>800159500</v>
      </c>
      <c r="Q113" s="306">
        <f>SUM(Q114:Q115)</f>
        <v>29.52</v>
      </c>
      <c r="R113" s="307" t="s">
        <v>253</v>
      </c>
      <c r="S113" s="276">
        <f>SUM(S114:S115)</f>
        <v>1081364980</v>
      </c>
      <c r="T113" s="306">
        <f>SUM(T114:T115)</f>
        <v>20.5</v>
      </c>
      <c r="U113" s="273" t="s">
        <v>253</v>
      </c>
      <c r="V113" s="276">
        <f>SUM(V114:V115)</f>
        <v>581685700</v>
      </c>
      <c r="W113" s="288">
        <f>Q113/K113*100</f>
        <v>128.34782608695653</v>
      </c>
      <c r="X113" s="282" t="s">
        <v>28</v>
      </c>
      <c r="Y113" s="294">
        <f t="shared" ref="Y113:Z115" si="19">S113/M113*100</f>
        <v>77.151741428416514</v>
      </c>
      <c r="Z113" s="288">
        <f>T113/N113*100</f>
        <v>85.416666666666657</v>
      </c>
      <c r="AA113" s="282" t="s">
        <v>28</v>
      </c>
      <c r="AB113" s="294">
        <f>V113/P113*100</f>
        <v>72.6962186913984</v>
      </c>
      <c r="AC113" s="384">
        <f>T113</f>
        <v>20.5</v>
      </c>
      <c r="AD113" s="273" t="s">
        <v>253</v>
      </c>
      <c r="AE113" s="375">
        <f>S113+V113</f>
        <v>1663050680</v>
      </c>
      <c r="AF113" s="275"/>
      <c r="AG113" s="275"/>
      <c r="AH113" s="275"/>
      <c r="AI113" s="275"/>
      <c r="AJ113" s="108" t="s">
        <v>312</v>
      </c>
      <c r="AM113" s="134">
        <f>S113</f>
        <v>1081364980</v>
      </c>
    </row>
    <row r="114" spans="1:39" ht="135" x14ac:dyDescent="0.2">
      <c r="A114" s="64"/>
      <c r="B114" s="25"/>
      <c r="C114" s="14" t="s">
        <v>115</v>
      </c>
      <c r="D114" s="14" t="s">
        <v>254</v>
      </c>
      <c r="E114" s="135">
        <v>19.72</v>
      </c>
      <c r="F114" s="32" t="s">
        <v>253</v>
      </c>
      <c r="G114" s="9"/>
      <c r="H114" s="105">
        <v>26.6</v>
      </c>
      <c r="I114" s="32" t="s">
        <v>253</v>
      </c>
      <c r="J114" s="9">
        <v>1947865000</v>
      </c>
      <c r="K114" s="105">
        <v>23.9</v>
      </c>
      <c r="L114" s="32" t="s">
        <v>253</v>
      </c>
      <c r="M114" s="21">
        <v>479023000</v>
      </c>
      <c r="N114" s="105">
        <v>24.42</v>
      </c>
      <c r="O114" s="32" t="s">
        <v>253</v>
      </c>
      <c r="P114" s="21">
        <v>402409000</v>
      </c>
      <c r="Q114" s="135">
        <v>27.56</v>
      </c>
      <c r="R114" s="32" t="s">
        <v>253</v>
      </c>
      <c r="S114" s="23">
        <v>277351230</v>
      </c>
      <c r="T114" s="58">
        <v>18.350000000000001</v>
      </c>
      <c r="U114" s="32" t="s">
        <v>253</v>
      </c>
      <c r="V114" s="24">
        <v>219400000</v>
      </c>
      <c r="W114" s="58">
        <f>Q114/K114*100</f>
        <v>115.31380753138076</v>
      </c>
      <c r="X114" s="18" t="s">
        <v>28</v>
      </c>
      <c r="Y114" s="289">
        <f t="shared" si="19"/>
        <v>57.899355563302798</v>
      </c>
      <c r="Z114" s="58">
        <f>T114/N114*100</f>
        <v>75.143325143325143</v>
      </c>
      <c r="AA114" s="18" t="s">
        <v>28</v>
      </c>
      <c r="AB114" s="289">
        <f>V114/P114*100</f>
        <v>54.521643402607801</v>
      </c>
      <c r="AC114" s="382">
        <f>T114</f>
        <v>18.350000000000001</v>
      </c>
      <c r="AD114" s="32" t="s">
        <v>253</v>
      </c>
      <c r="AE114" s="245">
        <f>S114+V114</f>
        <v>496751230</v>
      </c>
      <c r="AF114" s="8"/>
      <c r="AG114" s="8"/>
      <c r="AH114" s="8"/>
      <c r="AI114" s="8"/>
      <c r="AJ114" s="126"/>
      <c r="AM114" s="134">
        <f>S114</f>
        <v>277351230</v>
      </c>
    </row>
    <row r="115" spans="1:39" ht="100.5" customHeight="1" x14ac:dyDescent="0.2">
      <c r="A115" s="64"/>
      <c r="B115" s="25"/>
      <c r="C115" s="14" t="s">
        <v>116</v>
      </c>
      <c r="D115" s="14" t="s">
        <v>255</v>
      </c>
      <c r="E115" s="136">
        <v>1.39</v>
      </c>
      <c r="F115" s="32" t="s">
        <v>253</v>
      </c>
      <c r="G115" s="9"/>
      <c r="H115" s="105">
        <v>1.47</v>
      </c>
      <c r="I115" s="32" t="s">
        <v>253</v>
      </c>
      <c r="J115" s="9">
        <v>3606675000</v>
      </c>
      <c r="K115" s="105">
        <v>1.4</v>
      </c>
      <c r="L115" s="32" t="s">
        <v>253</v>
      </c>
      <c r="M115" s="21">
        <v>922585000</v>
      </c>
      <c r="N115" s="105">
        <v>1.42</v>
      </c>
      <c r="O115" s="32" t="s">
        <v>253</v>
      </c>
      <c r="P115" s="21">
        <v>397750500</v>
      </c>
      <c r="Q115" s="136">
        <v>1.96</v>
      </c>
      <c r="R115" s="32" t="s">
        <v>253</v>
      </c>
      <c r="S115" s="23">
        <v>804013750</v>
      </c>
      <c r="T115" s="58">
        <v>2.15</v>
      </c>
      <c r="U115" s="32" t="s">
        <v>253</v>
      </c>
      <c r="V115" s="23">
        <v>362285700</v>
      </c>
      <c r="W115" s="58">
        <f>Q115/K115*100</f>
        <v>140</v>
      </c>
      <c r="X115" s="18" t="s">
        <v>28</v>
      </c>
      <c r="Y115" s="289">
        <f t="shared" si="19"/>
        <v>87.147932168851654</v>
      </c>
      <c r="Z115" s="58">
        <f t="shared" si="19"/>
        <v>151.40845070422534</v>
      </c>
      <c r="AA115" s="18" t="s">
        <v>28</v>
      </c>
      <c r="AB115" s="289">
        <f>V115/P115*100</f>
        <v>91.083656714447883</v>
      </c>
      <c r="AC115" s="382">
        <f>T115</f>
        <v>2.15</v>
      </c>
      <c r="AD115" s="32" t="s">
        <v>253</v>
      </c>
      <c r="AE115" s="245">
        <f>S115+V115</f>
        <v>1166299450</v>
      </c>
      <c r="AF115" s="8"/>
      <c r="AG115" s="8"/>
      <c r="AH115" s="8"/>
      <c r="AI115" s="8"/>
      <c r="AJ115" s="126"/>
      <c r="AM115" s="134">
        <f>S115</f>
        <v>804013750</v>
      </c>
    </row>
    <row r="116" spans="1:39" ht="15" x14ac:dyDescent="0.2">
      <c r="A116" s="446" t="s">
        <v>5</v>
      </c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121">
        <f>AVERAGE(W113:W115)</f>
        <v>127.88721120611244</v>
      </c>
      <c r="X116" s="122"/>
      <c r="Y116" s="121"/>
      <c r="Z116" s="121">
        <f>AVERAGE(Z113:Z115)</f>
        <v>103.98948083807238</v>
      </c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26"/>
    </row>
    <row r="117" spans="1:39" ht="15" x14ac:dyDescent="0.2">
      <c r="A117" s="446" t="s">
        <v>6</v>
      </c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195" t="str">
        <f>IF(W116&gt;=91,"Sangat Tinggi",IF(W116&gt;=76,"Tinggi",IF(W116&gt;=66,"Sedang",IF(W116&gt;=51,"Rendah",IF(W116&lt;=50,"Sangat Rendah")))))</f>
        <v>Sangat Tinggi</v>
      </c>
      <c r="X117" s="122"/>
      <c r="Y117" s="102"/>
      <c r="Z117" s="195" t="str">
        <f>IF(Z116&gt;=91,"Sangat Tinggi",IF(Z116&gt;=76,"Tinggi",IF(Z116&gt;=66,"Sedang",IF(Z116&gt;=51,"Rendah",IF(Z116&lt;=50,"Sangat Rendah")))))</f>
        <v>Sangat Tinggi</v>
      </c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26"/>
    </row>
    <row r="118" spans="1:39" ht="15" x14ac:dyDescent="0.2">
      <c r="A118" s="429" t="s">
        <v>7</v>
      </c>
      <c r="B118" s="429"/>
      <c r="C118" s="429"/>
      <c r="D118" s="429"/>
      <c r="E118" s="429"/>
      <c r="F118" s="429"/>
      <c r="G118" s="429"/>
      <c r="H118" s="429"/>
      <c r="I118" s="429"/>
      <c r="J118" s="429"/>
      <c r="K118" s="429"/>
      <c r="L118" s="429"/>
      <c r="M118" s="429"/>
      <c r="N118" s="429"/>
      <c r="O118" s="429"/>
      <c r="P118" s="429"/>
      <c r="Q118" s="429"/>
      <c r="R118" s="429"/>
      <c r="S118" s="429"/>
      <c r="T118" s="429"/>
      <c r="U118" s="429"/>
      <c r="V118" s="429"/>
      <c r="W118" s="429"/>
      <c r="X118" s="429"/>
      <c r="Y118" s="429"/>
      <c r="Z118" s="429"/>
      <c r="AA118" s="429"/>
      <c r="AB118" s="429"/>
      <c r="AC118" s="429"/>
      <c r="AD118" s="429"/>
      <c r="AE118" s="429"/>
      <c r="AF118" s="429"/>
      <c r="AG118" s="429"/>
      <c r="AH118" s="429"/>
      <c r="AI118" s="429"/>
      <c r="AJ118" s="126"/>
    </row>
    <row r="119" spans="1:39" ht="15" x14ac:dyDescent="0.2">
      <c r="A119" s="429" t="s">
        <v>8</v>
      </c>
      <c r="B119" s="429"/>
      <c r="C119" s="429"/>
      <c r="D119" s="429"/>
      <c r="E119" s="429"/>
      <c r="F119" s="429"/>
      <c r="G119" s="429"/>
      <c r="H119" s="429"/>
      <c r="I119" s="429"/>
      <c r="J119" s="429"/>
      <c r="K119" s="429"/>
      <c r="L119" s="429"/>
      <c r="M119" s="429"/>
      <c r="N119" s="429"/>
      <c r="O119" s="429"/>
      <c r="P119" s="429"/>
      <c r="Q119" s="429"/>
      <c r="R119" s="429"/>
      <c r="S119" s="429"/>
      <c r="T119" s="429"/>
      <c r="U119" s="429"/>
      <c r="V119" s="429"/>
      <c r="W119" s="429"/>
      <c r="X119" s="429"/>
      <c r="Y119" s="429"/>
      <c r="Z119" s="429"/>
      <c r="AA119" s="429"/>
      <c r="AB119" s="429"/>
      <c r="AC119" s="429"/>
      <c r="AD119" s="429"/>
      <c r="AE119" s="429"/>
      <c r="AF119" s="429"/>
      <c r="AG119" s="429"/>
      <c r="AH119" s="429"/>
      <c r="AI119" s="429"/>
      <c r="AJ119" s="126"/>
    </row>
    <row r="120" spans="1:39" ht="15" x14ac:dyDescent="0.2">
      <c r="A120" s="429" t="s">
        <v>9</v>
      </c>
      <c r="B120" s="429"/>
      <c r="C120" s="429"/>
      <c r="D120" s="429"/>
      <c r="E120" s="429"/>
      <c r="F120" s="429"/>
      <c r="G120" s="429"/>
      <c r="H120" s="429"/>
      <c r="I120" s="429"/>
      <c r="J120" s="429"/>
      <c r="K120" s="429"/>
      <c r="L120" s="429"/>
      <c r="M120" s="429"/>
      <c r="N120" s="429"/>
      <c r="O120" s="429"/>
      <c r="P120" s="429"/>
      <c r="Q120" s="429"/>
      <c r="R120" s="429"/>
      <c r="S120" s="429"/>
      <c r="T120" s="429"/>
      <c r="U120" s="429"/>
      <c r="V120" s="429"/>
      <c r="W120" s="429"/>
      <c r="X120" s="429"/>
      <c r="Y120" s="429"/>
      <c r="Z120" s="429"/>
      <c r="AA120" s="429"/>
      <c r="AB120" s="429"/>
      <c r="AC120" s="429"/>
      <c r="AD120" s="429"/>
      <c r="AE120" s="429"/>
      <c r="AF120" s="429"/>
      <c r="AG120" s="429"/>
      <c r="AH120" s="429"/>
      <c r="AI120" s="429"/>
      <c r="AJ120" s="126"/>
    </row>
    <row r="121" spans="1:39" ht="15" x14ac:dyDescent="0.2">
      <c r="A121" s="429" t="s">
        <v>10</v>
      </c>
      <c r="B121" s="429"/>
      <c r="C121" s="429"/>
      <c r="D121" s="429"/>
      <c r="E121" s="429"/>
      <c r="F121" s="429"/>
      <c r="G121" s="429"/>
      <c r="H121" s="429"/>
      <c r="I121" s="429"/>
      <c r="J121" s="429"/>
      <c r="K121" s="429"/>
      <c r="L121" s="429"/>
      <c r="M121" s="429"/>
      <c r="N121" s="429"/>
      <c r="O121" s="429"/>
      <c r="P121" s="429"/>
      <c r="Q121" s="429"/>
      <c r="R121" s="429"/>
      <c r="S121" s="429"/>
      <c r="T121" s="429"/>
      <c r="U121" s="429"/>
      <c r="V121" s="429"/>
      <c r="W121" s="429"/>
      <c r="X121" s="429"/>
      <c r="Y121" s="429"/>
      <c r="Z121" s="429"/>
      <c r="AA121" s="429"/>
      <c r="AB121" s="429"/>
      <c r="AC121" s="429"/>
      <c r="AD121" s="429"/>
      <c r="AE121" s="429"/>
      <c r="AF121" s="429"/>
      <c r="AG121" s="429"/>
      <c r="AH121" s="429"/>
      <c r="AI121" s="429"/>
      <c r="AJ121" s="127"/>
    </row>
    <row r="122" spans="1:39" ht="15" x14ac:dyDescent="0.2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</row>
    <row r="123" spans="1:39" ht="15" x14ac:dyDescent="0.2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</row>
    <row r="124" spans="1:39" ht="15" x14ac:dyDescent="0.2">
      <c r="A124" s="125"/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</row>
    <row r="125" spans="1:39" s="133" customFormat="1" ht="68.25" customHeight="1" x14ac:dyDescent="0.2">
      <c r="A125" s="444" t="s">
        <v>0</v>
      </c>
      <c r="B125" s="444" t="s">
        <v>272</v>
      </c>
      <c r="C125" s="445" t="s">
        <v>1</v>
      </c>
      <c r="D125" s="445" t="s">
        <v>327</v>
      </c>
      <c r="E125" s="435" t="s">
        <v>21</v>
      </c>
      <c r="F125" s="436"/>
      <c r="G125" s="437"/>
      <c r="H125" s="435" t="s">
        <v>20</v>
      </c>
      <c r="I125" s="436"/>
      <c r="J125" s="437"/>
      <c r="K125" s="412" t="s">
        <v>582</v>
      </c>
      <c r="L125" s="413"/>
      <c r="M125" s="413"/>
      <c r="N125" s="413"/>
      <c r="O125" s="413"/>
      <c r="P125" s="414"/>
      <c r="Q125" s="412" t="s">
        <v>583</v>
      </c>
      <c r="R125" s="413"/>
      <c r="S125" s="413"/>
      <c r="T125" s="413"/>
      <c r="U125" s="413"/>
      <c r="V125" s="413"/>
      <c r="W125" s="412" t="s">
        <v>584</v>
      </c>
      <c r="X125" s="413"/>
      <c r="Y125" s="413"/>
      <c r="Z125" s="413"/>
      <c r="AA125" s="413"/>
      <c r="AB125" s="413"/>
      <c r="AC125" s="412" t="s">
        <v>19</v>
      </c>
      <c r="AD125" s="413"/>
      <c r="AE125" s="414"/>
      <c r="AF125" s="412" t="s">
        <v>4</v>
      </c>
      <c r="AG125" s="413"/>
      <c r="AH125" s="413"/>
      <c r="AI125" s="414"/>
      <c r="AJ125" s="433" t="s">
        <v>294</v>
      </c>
    </row>
    <row r="126" spans="1:39" s="133" customFormat="1" ht="18" customHeight="1" x14ac:dyDescent="0.2">
      <c r="A126" s="444"/>
      <c r="B126" s="444"/>
      <c r="C126" s="445"/>
      <c r="D126" s="445"/>
      <c r="E126" s="438"/>
      <c r="F126" s="439"/>
      <c r="G126" s="440"/>
      <c r="H126" s="438"/>
      <c r="I126" s="439"/>
      <c r="J126" s="440"/>
      <c r="K126" s="415"/>
      <c r="L126" s="416"/>
      <c r="M126" s="416"/>
      <c r="N126" s="416"/>
      <c r="O126" s="416"/>
      <c r="P126" s="417"/>
      <c r="Q126" s="415"/>
      <c r="R126" s="416"/>
      <c r="S126" s="416"/>
      <c r="T126" s="416"/>
      <c r="U126" s="416"/>
      <c r="V126" s="416"/>
      <c r="W126" s="415"/>
      <c r="X126" s="416"/>
      <c r="Y126" s="416"/>
      <c r="Z126" s="416"/>
      <c r="AA126" s="416"/>
      <c r="AB126" s="416"/>
      <c r="AC126" s="430"/>
      <c r="AD126" s="431"/>
      <c r="AE126" s="432"/>
      <c r="AF126" s="430"/>
      <c r="AG126" s="431"/>
      <c r="AH126" s="431"/>
      <c r="AI126" s="432"/>
      <c r="AJ126" s="434"/>
    </row>
    <row r="127" spans="1:39" s="133" customFormat="1" ht="15.75" customHeight="1" x14ac:dyDescent="0.2">
      <c r="A127" s="444"/>
      <c r="B127" s="444"/>
      <c r="C127" s="445"/>
      <c r="D127" s="445"/>
      <c r="E127" s="441"/>
      <c r="F127" s="442"/>
      <c r="G127" s="443"/>
      <c r="H127" s="441"/>
      <c r="I127" s="442"/>
      <c r="J127" s="443"/>
      <c r="K127" s="398" t="s">
        <v>580</v>
      </c>
      <c r="L127" s="399"/>
      <c r="M127" s="400"/>
      <c r="N127" s="398" t="s">
        <v>581</v>
      </c>
      <c r="O127" s="399"/>
      <c r="P127" s="400"/>
      <c r="Q127" s="398" t="s">
        <v>580</v>
      </c>
      <c r="R127" s="399"/>
      <c r="S127" s="400"/>
      <c r="T127" s="398" t="s">
        <v>581</v>
      </c>
      <c r="U127" s="399"/>
      <c r="V127" s="400"/>
      <c r="W127" s="398" t="s">
        <v>580</v>
      </c>
      <c r="X127" s="399"/>
      <c r="Y127" s="400"/>
      <c r="Z127" s="398" t="s">
        <v>581</v>
      </c>
      <c r="AA127" s="399"/>
      <c r="AB127" s="400"/>
      <c r="AC127" s="415"/>
      <c r="AD127" s="416"/>
      <c r="AE127" s="417"/>
      <c r="AF127" s="415"/>
      <c r="AG127" s="416"/>
      <c r="AH127" s="416"/>
      <c r="AI127" s="417"/>
      <c r="AJ127" s="128"/>
    </row>
    <row r="128" spans="1:39" s="103" customFormat="1" ht="15.75" x14ac:dyDescent="0.25">
      <c r="A128" s="411">
        <v>1</v>
      </c>
      <c r="B128" s="411">
        <v>2</v>
      </c>
      <c r="C128" s="411">
        <v>3</v>
      </c>
      <c r="D128" s="411">
        <v>4</v>
      </c>
      <c r="E128" s="420">
        <v>5</v>
      </c>
      <c r="F128" s="421"/>
      <c r="G128" s="422"/>
      <c r="H128" s="420">
        <v>6</v>
      </c>
      <c r="I128" s="421"/>
      <c r="J128" s="422"/>
      <c r="K128" s="401">
        <v>7</v>
      </c>
      <c r="L128" s="402"/>
      <c r="M128" s="403"/>
      <c r="N128" s="401">
        <v>8</v>
      </c>
      <c r="O128" s="402"/>
      <c r="P128" s="403"/>
      <c r="Q128" s="401">
        <v>12</v>
      </c>
      <c r="R128" s="402"/>
      <c r="S128" s="403"/>
      <c r="T128" s="401">
        <v>13</v>
      </c>
      <c r="U128" s="402"/>
      <c r="V128" s="403"/>
      <c r="W128" s="395">
        <v>17</v>
      </c>
      <c r="X128" s="396"/>
      <c r="Y128" s="397"/>
      <c r="Z128" s="395">
        <v>18</v>
      </c>
      <c r="AA128" s="396"/>
      <c r="AB128" s="397"/>
      <c r="AC128" s="395">
        <v>22</v>
      </c>
      <c r="AD128" s="396"/>
      <c r="AE128" s="397"/>
      <c r="AF128" s="395">
        <v>23</v>
      </c>
      <c r="AG128" s="396"/>
      <c r="AH128" s="396"/>
      <c r="AI128" s="397"/>
      <c r="AJ128" s="129"/>
    </row>
    <row r="129" spans="1:39" s="103" customFormat="1" ht="87" customHeight="1" x14ac:dyDescent="0.2">
      <c r="A129" s="419"/>
      <c r="B129" s="419"/>
      <c r="C129" s="419"/>
      <c r="D129" s="419"/>
      <c r="E129" s="404" t="s">
        <v>2</v>
      </c>
      <c r="F129" s="405"/>
      <c r="G129" s="408" t="s">
        <v>3</v>
      </c>
      <c r="H129" s="404" t="s">
        <v>2</v>
      </c>
      <c r="I129" s="405"/>
      <c r="J129" s="408" t="s">
        <v>3</v>
      </c>
      <c r="K129" s="404" t="s">
        <v>2</v>
      </c>
      <c r="L129" s="405"/>
      <c r="M129" s="411" t="s">
        <v>3</v>
      </c>
      <c r="N129" s="404" t="s">
        <v>2</v>
      </c>
      <c r="O129" s="405"/>
      <c r="P129" s="411" t="s">
        <v>3</v>
      </c>
      <c r="Q129" s="404" t="s">
        <v>2</v>
      </c>
      <c r="R129" s="405"/>
      <c r="S129" s="411" t="s">
        <v>3</v>
      </c>
      <c r="T129" s="404" t="s">
        <v>2</v>
      </c>
      <c r="U129" s="405"/>
      <c r="V129" s="411" t="s">
        <v>3</v>
      </c>
      <c r="W129" s="420" t="s">
        <v>13</v>
      </c>
      <c r="X129" s="422"/>
      <c r="Y129" s="106" t="s">
        <v>14</v>
      </c>
      <c r="Z129" s="420" t="s">
        <v>15</v>
      </c>
      <c r="AA129" s="422"/>
      <c r="AB129" s="106" t="s">
        <v>16</v>
      </c>
      <c r="AC129" s="404" t="s">
        <v>2</v>
      </c>
      <c r="AD129" s="405"/>
      <c r="AE129" s="405" t="s">
        <v>3</v>
      </c>
      <c r="AF129" s="420" t="s">
        <v>18</v>
      </c>
      <c r="AG129" s="422"/>
      <c r="AH129" s="425" t="s">
        <v>22</v>
      </c>
      <c r="AI129" s="106" t="s">
        <v>17</v>
      </c>
      <c r="AJ129" s="130"/>
    </row>
    <row r="130" spans="1:39" s="103" customFormat="1" ht="15.75" x14ac:dyDescent="0.2">
      <c r="A130" s="408"/>
      <c r="B130" s="408"/>
      <c r="C130" s="408"/>
      <c r="D130" s="408"/>
      <c r="E130" s="406"/>
      <c r="F130" s="407"/>
      <c r="G130" s="409"/>
      <c r="H130" s="406"/>
      <c r="I130" s="407"/>
      <c r="J130" s="409"/>
      <c r="K130" s="406"/>
      <c r="L130" s="407"/>
      <c r="M130" s="408"/>
      <c r="N130" s="406"/>
      <c r="O130" s="407"/>
      <c r="P130" s="408"/>
      <c r="Q130" s="406"/>
      <c r="R130" s="407"/>
      <c r="S130" s="408"/>
      <c r="T130" s="406"/>
      <c r="U130" s="407"/>
      <c r="V130" s="408"/>
      <c r="W130" s="406" t="s">
        <v>2</v>
      </c>
      <c r="X130" s="407"/>
      <c r="Y130" s="226" t="s">
        <v>3</v>
      </c>
      <c r="Z130" s="427" t="s">
        <v>2</v>
      </c>
      <c r="AA130" s="428"/>
      <c r="AB130" s="226" t="s">
        <v>3</v>
      </c>
      <c r="AC130" s="406"/>
      <c r="AD130" s="407"/>
      <c r="AE130" s="407"/>
      <c r="AF130" s="406" t="s">
        <v>2</v>
      </c>
      <c r="AG130" s="407"/>
      <c r="AH130" s="426"/>
      <c r="AI130" s="226" t="s">
        <v>3</v>
      </c>
      <c r="AJ130" s="130"/>
    </row>
    <row r="131" spans="1:39" ht="100.5" customHeight="1" x14ac:dyDescent="0.25">
      <c r="A131" s="70">
        <v>10</v>
      </c>
      <c r="B131" s="65" t="s">
        <v>117</v>
      </c>
      <c r="C131" s="14"/>
      <c r="D131" s="66" t="s">
        <v>366</v>
      </c>
      <c r="E131" s="288">
        <v>3</v>
      </c>
      <c r="F131" s="282" t="s">
        <v>28</v>
      </c>
      <c r="G131" s="276"/>
      <c r="H131" s="288">
        <v>7</v>
      </c>
      <c r="I131" s="282" t="s">
        <v>28</v>
      </c>
      <c r="J131" s="276">
        <f>SUM(J132:J133)</f>
        <v>2722620000</v>
      </c>
      <c r="K131" s="288">
        <v>4.8</v>
      </c>
      <c r="L131" s="282" t="s">
        <v>28</v>
      </c>
      <c r="M131" s="276">
        <f>SUM(M132:M133)</f>
        <v>126168000</v>
      </c>
      <c r="N131" s="288">
        <v>5</v>
      </c>
      <c r="O131" s="282" t="s">
        <v>28</v>
      </c>
      <c r="P131" s="276">
        <f>SUM(P132:P133)</f>
        <v>23500000</v>
      </c>
      <c r="Q131" s="384">
        <f>(2455-976)/976*100</f>
        <v>151.53688524590163</v>
      </c>
      <c r="R131" s="282" t="s">
        <v>28</v>
      </c>
      <c r="S131" s="276">
        <f>SUM(S132:S133)</f>
        <v>117681500</v>
      </c>
      <c r="T131" s="288">
        <f>(2663.89-2455)/2455*100</f>
        <v>8.5087576374745364</v>
      </c>
      <c r="U131" s="282" t="s">
        <v>28</v>
      </c>
      <c r="V131" s="276">
        <f>SUM(V132:V133)</f>
        <v>17480000</v>
      </c>
      <c r="W131" s="312">
        <f>Q131/K131*100</f>
        <v>3157.0184426229507</v>
      </c>
      <c r="X131" s="282" t="s">
        <v>28</v>
      </c>
      <c r="Y131" s="294">
        <f t="shared" ref="Y131:Z133" si="20">S131/M131*100</f>
        <v>93.273651005009199</v>
      </c>
      <c r="Z131" s="312">
        <f>T131/N131*100</f>
        <v>170.17515274949074</v>
      </c>
      <c r="AA131" s="282" t="s">
        <v>28</v>
      </c>
      <c r="AB131" s="294">
        <f>V131/P131*100</f>
        <v>74.382978723404264</v>
      </c>
      <c r="AC131" s="384">
        <f>T131</f>
        <v>8.5087576374745364</v>
      </c>
      <c r="AD131" s="273" t="s">
        <v>28</v>
      </c>
      <c r="AE131" s="375">
        <f>S131+V131</f>
        <v>135161500</v>
      </c>
      <c r="AF131" s="275"/>
      <c r="AG131" s="275"/>
      <c r="AH131" s="275"/>
      <c r="AI131" s="275"/>
      <c r="AJ131" s="108" t="s">
        <v>313</v>
      </c>
      <c r="AM131" s="134">
        <f>S131</f>
        <v>117681500</v>
      </c>
    </row>
    <row r="132" spans="1:39" ht="60" x14ac:dyDescent="0.2">
      <c r="A132" s="64"/>
      <c r="B132" s="25"/>
      <c r="C132" s="14" t="s">
        <v>65</v>
      </c>
      <c r="D132" s="14" t="s">
        <v>593</v>
      </c>
      <c r="E132" s="104" t="s">
        <v>610</v>
      </c>
      <c r="F132" s="12" t="s">
        <v>256</v>
      </c>
      <c r="G132" s="9"/>
      <c r="H132" s="104" t="s">
        <v>257</v>
      </c>
      <c r="I132" s="12" t="s">
        <v>256</v>
      </c>
      <c r="J132" s="9">
        <v>620565000</v>
      </c>
      <c r="K132" s="104" t="s">
        <v>577</v>
      </c>
      <c r="L132" s="12" t="s">
        <v>256</v>
      </c>
      <c r="M132" s="21">
        <v>124113000</v>
      </c>
      <c r="N132" s="104" t="s">
        <v>566</v>
      </c>
      <c r="O132" s="12" t="s">
        <v>256</v>
      </c>
      <c r="P132" s="21">
        <v>5000000</v>
      </c>
      <c r="Q132" s="135" t="s">
        <v>609</v>
      </c>
      <c r="R132" s="12" t="s">
        <v>256</v>
      </c>
      <c r="S132" s="23">
        <v>115626500</v>
      </c>
      <c r="T132" s="104" t="s">
        <v>606</v>
      </c>
      <c r="U132" s="12" t="s">
        <v>256</v>
      </c>
      <c r="V132" s="23">
        <v>5000000</v>
      </c>
      <c r="W132" s="222">
        <f>Q132/K132*100</f>
        <v>255.02413793103446</v>
      </c>
      <c r="X132" s="18" t="s">
        <v>28</v>
      </c>
      <c r="Y132" s="289">
        <f t="shared" si="20"/>
        <v>93.162279535584503</v>
      </c>
      <c r="Z132" s="222">
        <f>T132/N132*100</f>
        <v>29.454999999999998</v>
      </c>
      <c r="AA132" s="18" t="s">
        <v>28</v>
      </c>
      <c r="AB132" s="289">
        <f>V132/P132*100</f>
        <v>100</v>
      </c>
      <c r="AC132" s="385" t="str">
        <f>T132</f>
        <v>176.730.000.000</v>
      </c>
      <c r="AD132" s="12" t="s">
        <v>256</v>
      </c>
      <c r="AE132" s="245">
        <f>S132+V132</f>
        <v>120626500</v>
      </c>
      <c r="AF132" s="8"/>
      <c r="AG132" s="8"/>
      <c r="AH132" s="8"/>
      <c r="AI132" s="8"/>
      <c r="AJ132" s="126"/>
      <c r="AL132" s="199"/>
      <c r="AM132" s="134">
        <f>S132</f>
        <v>115626500</v>
      </c>
    </row>
    <row r="133" spans="1:39" ht="186" customHeight="1" x14ac:dyDescent="0.2">
      <c r="A133" s="64"/>
      <c r="B133" s="25"/>
      <c r="C133" s="14" t="s">
        <v>118</v>
      </c>
      <c r="D133" s="14" t="s">
        <v>309</v>
      </c>
      <c r="E133" s="93">
        <v>20</v>
      </c>
      <c r="F133" s="18" t="s">
        <v>28</v>
      </c>
      <c r="G133" s="9"/>
      <c r="H133" s="93">
        <v>100</v>
      </c>
      <c r="I133" s="18" t="s">
        <v>28</v>
      </c>
      <c r="J133" s="9">
        <v>2102055000</v>
      </c>
      <c r="K133" s="93">
        <v>55</v>
      </c>
      <c r="L133" s="18" t="s">
        <v>28</v>
      </c>
      <c r="M133" s="21">
        <v>2055000</v>
      </c>
      <c r="N133" s="93">
        <v>75</v>
      </c>
      <c r="O133" s="18" t="s">
        <v>28</v>
      </c>
      <c r="P133" s="21">
        <v>18500000</v>
      </c>
      <c r="Q133" s="58">
        <v>60</v>
      </c>
      <c r="R133" s="18" t="s">
        <v>28</v>
      </c>
      <c r="S133" s="23">
        <v>2055000</v>
      </c>
      <c r="T133" s="93">
        <v>130</v>
      </c>
      <c r="U133" s="18" t="s">
        <v>28</v>
      </c>
      <c r="V133" s="23">
        <v>12480000</v>
      </c>
      <c r="W133" s="222">
        <f>Q133/K133*100</f>
        <v>109.09090909090908</v>
      </c>
      <c r="X133" s="18" t="s">
        <v>28</v>
      </c>
      <c r="Y133" s="289">
        <f t="shared" si="20"/>
        <v>100</v>
      </c>
      <c r="Z133" s="222">
        <f t="shared" si="20"/>
        <v>173.33333333333334</v>
      </c>
      <c r="AA133" s="18" t="s">
        <v>28</v>
      </c>
      <c r="AB133" s="289">
        <f>V133/P133*100</f>
        <v>67.459459459459453</v>
      </c>
      <c r="AC133" s="385">
        <f>T133</f>
        <v>130</v>
      </c>
      <c r="AD133" s="18" t="s">
        <v>28</v>
      </c>
      <c r="AE133" s="245">
        <f>S133+V133</f>
        <v>14535000</v>
      </c>
      <c r="AF133" s="8"/>
      <c r="AG133" s="8"/>
      <c r="AH133" s="8"/>
      <c r="AI133" s="8"/>
      <c r="AJ133" s="126"/>
      <c r="AM133" s="134">
        <f>S133</f>
        <v>2055000</v>
      </c>
    </row>
    <row r="134" spans="1:39" ht="15" x14ac:dyDescent="0.2">
      <c r="A134" s="446" t="s">
        <v>5</v>
      </c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121">
        <f>AVERAGE(W131:W133)</f>
        <v>1173.7111632149647</v>
      </c>
      <c r="X134" s="122"/>
      <c r="Y134" s="121"/>
      <c r="Z134" s="121">
        <f>AVERAGE(Z131:Z133)</f>
        <v>124.32116202760801</v>
      </c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26"/>
    </row>
    <row r="135" spans="1:39" ht="15" x14ac:dyDescent="0.2">
      <c r="A135" s="446" t="s">
        <v>6</v>
      </c>
      <c r="B135" s="446"/>
      <c r="C135" s="446"/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195" t="str">
        <f>IF(W134&gt;=91,"Sangat Tinggi",IF(W134&gt;=76,"Tinggi",IF(W134&gt;=66,"Sedang",IF(W134&gt;=51,"Rendah",IF(W134&lt;=50,"Sangat Rendah")))))</f>
        <v>Sangat Tinggi</v>
      </c>
      <c r="X135" s="122"/>
      <c r="Y135" s="102"/>
      <c r="Z135" s="195" t="str">
        <f>IF(Z134&gt;=91,"Sangat Tinggi",IF(Z134&gt;=76,"Tinggi",IF(Z134&gt;=66,"Sedang",IF(Z134&gt;=51,"Rendah",IF(Z134&lt;=50,"Sangat Rendah")))))</f>
        <v>Sangat Tinggi</v>
      </c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26"/>
    </row>
    <row r="136" spans="1:39" ht="15" x14ac:dyDescent="0.2">
      <c r="A136" s="429" t="s">
        <v>7</v>
      </c>
      <c r="B136" s="429"/>
      <c r="C136" s="429"/>
      <c r="D136" s="429"/>
      <c r="E136" s="429"/>
      <c r="F136" s="429"/>
      <c r="G136" s="429"/>
      <c r="H136" s="429"/>
      <c r="I136" s="429"/>
      <c r="J136" s="429"/>
      <c r="K136" s="429"/>
      <c r="L136" s="429"/>
      <c r="M136" s="429"/>
      <c r="N136" s="429"/>
      <c r="O136" s="429"/>
      <c r="P136" s="429"/>
      <c r="Q136" s="429"/>
      <c r="R136" s="429"/>
      <c r="S136" s="429"/>
      <c r="T136" s="429"/>
      <c r="U136" s="429"/>
      <c r="V136" s="429"/>
      <c r="W136" s="429"/>
      <c r="X136" s="429"/>
      <c r="Y136" s="429"/>
      <c r="Z136" s="429"/>
      <c r="AA136" s="429"/>
      <c r="AB136" s="429"/>
      <c r="AC136" s="429"/>
      <c r="AD136" s="429"/>
      <c r="AE136" s="429"/>
      <c r="AF136" s="429"/>
      <c r="AG136" s="429"/>
      <c r="AH136" s="429"/>
      <c r="AI136" s="429"/>
      <c r="AJ136" s="126"/>
    </row>
    <row r="137" spans="1:39" ht="15" x14ac:dyDescent="0.2">
      <c r="A137" s="429" t="s">
        <v>8</v>
      </c>
      <c r="B137" s="429"/>
      <c r="C137" s="429"/>
      <c r="D137" s="429"/>
      <c r="E137" s="429"/>
      <c r="F137" s="429"/>
      <c r="G137" s="429"/>
      <c r="H137" s="429"/>
      <c r="I137" s="429"/>
      <c r="J137" s="429"/>
      <c r="K137" s="429"/>
      <c r="L137" s="429"/>
      <c r="M137" s="429"/>
      <c r="N137" s="429"/>
      <c r="O137" s="429"/>
      <c r="P137" s="429"/>
      <c r="Q137" s="429"/>
      <c r="R137" s="429"/>
      <c r="S137" s="429"/>
      <c r="T137" s="429"/>
      <c r="U137" s="429"/>
      <c r="V137" s="429"/>
      <c r="W137" s="429"/>
      <c r="X137" s="429"/>
      <c r="Y137" s="429"/>
      <c r="Z137" s="429"/>
      <c r="AA137" s="429"/>
      <c r="AB137" s="429"/>
      <c r="AC137" s="429"/>
      <c r="AD137" s="429"/>
      <c r="AE137" s="429"/>
      <c r="AF137" s="429"/>
      <c r="AG137" s="429"/>
      <c r="AH137" s="429"/>
      <c r="AI137" s="429"/>
      <c r="AJ137" s="126"/>
    </row>
    <row r="138" spans="1:39" ht="15" x14ac:dyDescent="0.2">
      <c r="A138" s="429" t="s">
        <v>9</v>
      </c>
      <c r="B138" s="429"/>
      <c r="C138" s="429"/>
      <c r="D138" s="429"/>
      <c r="E138" s="429"/>
      <c r="F138" s="429"/>
      <c r="G138" s="429"/>
      <c r="H138" s="429"/>
      <c r="I138" s="429"/>
      <c r="J138" s="429"/>
      <c r="K138" s="429"/>
      <c r="L138" s="429"/>
      <c r="M138" s="429"/>
      <c r="N138" s="429"/>
      <c r="O138" s="429"/>
      <c r="P138" s="429"/>
      <c r="Q138" s="429"/>
      <c r="R138" s="429"/>
      <c r="S138" s="429"/>
      <c r="T138" s="429"/>
      <c r="U138" s="429"/>
      <c r="V138" s="429"/>
      <c r="W138" s="429"/>
      <c r="X138" s="429"/>
      <c r="Y138" s="429"/>
      <c r="Z138" s="429"/>
      <c r="AA138" s="429"/>
      <c r="AB138" s="429"/>
      <c r="AC138" s="429"/>
      <c r="AD138" s="429"/>
      <c r="AE138" s="429"/>
      <c r="AF138" s="429"/>
      <c r="AG138" s="429"/>
      <c r="AH138" s="429"/>
      <c r="AI138" s="429"/>
      <c r="AJ138" s="126"/>
    </row>
    <row r="139" spans="1:39" ht="15" x14ac:dyDescent="0.2">
      <c r="A139" s="429" t="s">
        <v>10</v>
      </c>
      <c r="B139" s="429"/>
      <c r="C139" s="429"/>
      <c r="D139" s="429"/>
      <c r="E139" s="429"/>
      <c r="F139" s="429"/>
      <c r="G139" s="429"/>
      <c r="H139" s="429"/>
      <c r="I139" s="429"/>
      <c r="J139" s="429"/>
      <c r="K139" s="429"/>
      <c r="L139" s="429"/>
      <c r="M139" s="429"/>
      <c r="N139" s="429"/>
      <c r="O139" s="429"/>
      <c r="P139" s="429"/>
      <c r="Q139" s="429"/>
      <c r="R139" s="429"/>
      <c r="S139" s="429"/>
      <c r="T139" s="429"/>
      <c r="U139" s="429"/>
      <c r="V139" s="429"/>
      <c r="W139" s="429"/>
      <c r="X139" s="429"/>
      <c r="Y139" s="429"/>
      <c r="Z139" s="429"/>
      <c r="AA139" s="429"/>
      <c r="AB139" s="429"/>
      <c r="AC139" s="429"/>
      <c r="AD139" s="429"/>
      <c r="AE139" s="429"/>
      <c r="AF139" s="429"/>
      <c r="AG139" s="429"/>
      <c r="AH139" s="429"/>
      <c r="AI139" s="429"/>
      <c r="AJ139" s="127"/>
    </row>
    <row r="140" spans="1:39" ht="15" x14ac:dyDescent="0.2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</row>
    <row r="141" spans="1:39" ht="15" x14ac:dyDescent="0.2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</row>
    <row r="142" spans="1:39" ht="15" x14ac:dyDescent="0.2">
      <c r="A142" s="125"/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</row>
    <row r="143" spans="1:39" s="133" customFormat="1" ht="68.25" customHeight="1" x14ac:dyDescent="0.2">
      <c r="A143" s="444" t="s">
        <v>0</v>
      </c>
      <c r="B143" s="444" t="s">
        <v>272</v>
      </c>
      <c r="C143" s="445" t="s">
        <v>1</v>
      </c>
      <c r="D143" s="445" t="s">
        <v>327</v>
      </c>
      <c r="E143" s="435" t="s">
        <v>21</v>
      </c>
      <c r="F143" s="436"/>
      <c r="G143" s="437"/>
      <c r="H143" s="435" t="s">
        <v>20</v>
      </c>
      <c r="I143" s="436"/>
      <c r="J143" s="437"/>
      <c r="K143" s="412" t="s">
        <v>582</v>
      </c>
      <c r="L143" s="413"/>
      <c r="M143" s="413"/>
      <c r="N143" s="413"/>
      <c r="O143" s="413"/>
      <c r="P143" s="414"/>
      <c r="Q143" s="412" t="s">
        <v>583</v>
      </c>
      <c r="R143" s="413"/>
      <c r="S143" s="413"/>
      <c r="T143" s="413"/>
      <c r="U143" s="413"/>
      <c r="V143" s="413"/>
      <c r="W143" s="412" t="s">
        <v>584</v>
      </c>
      <c r="X143" s="413"/>
      <c r="Y143" s="413"/>
      <c r="Z143" s="413"/>
      <c r="AA143" s="413"/>
      <c r="AB143" s="413"/>
      <c r="AC143" s="412" t="s">
        <v>19</v>
      </c>
      <c r="AD143" s="413"/>
      <c r="AE143" s="414"/>
      <c r="AF143" s="412" t="s">
        <v>4</v>
      </c>
      <c r="AG143" s="413"/>
      <c r="AH143" s="413"/>
      <c r="AI143" s="414"/>
      <c r="AJ143" s="433" t="s">
        <v>294</v>
      </c>
    </row>
    <row r="144" spans="1:39" s="133" customFormat="1" ht="18" customHeight="1" x14ac:dyDescent="0.2">
      <c r="A144" s="444"/>
      <c r="B144" s="444"/>
      <c r="C144" s="445"/>
      <c r="D144" s="445"/>
      <c r="E144" s="438"/>
      <c r="F144" s="439"/>
      <c r="G144" s="440"/>
      <c r="H144" s="438"/>
      <c r="I144" s="439"/>
      <c r="J144" s="440"/>
      <c r="K144" s="415"/>
      <c r="L144" s="416"/>
      <c r="M144" s="416"/>
      <c r="N144" s="416"/>
      <c r="O144" s="416"/>
      <c r="P144" s="417"/>
      <c r="Q144" s="415"/>
      <c r="R144" s="416"/>
      <c r="S144" s="416"/>
      <c r="T144" s="416"/>
      <c r="U144" s="416"/>
      <c r="V144" s="416"/>
      <c r="W144" s="415"/>
      <c r="X144" s="416"/>
      <c r="Y144" s="416"/>
      <c r="Z144" s="416"/>
      <c r="AA144" s="416"/>
      <c r="AB144" s="416"/>
      <c r="AC144" s="430"/>
      <c r="AD144" s="431"/>
      <c r="AE144" s="432"/>
      <c r="AF144" s="430"/>
      <c r="AG144" s="431"/>
      <c r="AH144" s="431"/>
      <c r="AI144" s="432"/>
      <c r="AJ144" s="434"/>
    </row>
    <row r="145" spans="1:39" s="133" customFormat="1" ht="15.75" customHeight="1" x14ac:dyDescent="0.2">
      <c r="A145" s="444"/>
      <c r="B145" s="444"/>
      <c r="C145" s="445"/>
      <c r="D145" s="445"/>
      <c r="E145" s="441"/>
      <c r="F145" s="442"/>
      <c r="G145" s="443"/>
      <c r="H145" s="441"/>
      <c r="I145" s="442"/>
      <c r="J145" s="443"/>
      <c r="K145" s="398" t="s">
        <v>580</v>
      </c>
      <c r="L145" s="399"/>
      <c r="M145" s="400"/>
      <c r="N145" s="398" t="s">
        <v>581</v>
      </c>
      <c r="O145" s="399"/>
      <c r="P145" s="400"/>
      <c r="Q145" s="398" t="s">
        <v>580</v>
      </c>
      <c r="R145" s="399"/>
      <c r="S145" s="400"/>
      <c r="T145" s="398" t="s">
        <v>581</v>
      </c>
      <c r="U145" s="399"/>
      <c r="V145" s="400"/>
      <c r="W145" s="398" t="s">
        <v>580</v>
      </c>
      <c r="X145" s="399"/>
      <c r="Y145" s="400"/>
      <c r="Z145" s="398" t="s">
        <v>581</v>
      </c>
      <c r="AA145" s="399"/>
      <c r="AB145" s="400"/>
      <c r="AC145" s="415"/>
      <c r="AD145" s="416"/>
      <c r="AE145" s="417"/>
      <c r="AF145" s="415"/>
      <c r="AG145" s="416"/>
      <c r="AH145" s="416"/>
      <c r="AI145" s="417"/>
      <c r="AJ145" s="128"/>
    </row>
    <row r="146" spans="1:39" s="103" customFormat="1" ht="15.75" x14ac:dyDescent="0.25">
      <c r="A146" s="411">
        <v>1</v>
      </c>
      <c r="B146" s="411">
        <v>2</v>
      </c>
      <c r="C146" s="411">
        <v>3</v>
      </c>
      <c r="D146" s="411">
        <v>4</v>
      </c>
      <c r="E146" s="420">
        <v>5</v>
      </c>
      <c r="F146" s="421"/>
      <c r="G146" s="422"/>
      <c r="H146" s="420">
        <v>6</v>
      </c>
      <c r="I146" s="421"/>
      <c r="J146" s="422"/>
      <c r="K146" s="401">
        <v>7</v>
      </c>
      <c r="L146" s="402"/>
      <c r="M146" s="403"/>
      <c r="N146" s="401">
        <v>8</v>
      </c>
      <c r="O146" s="402"/>
      <c r="P146" s="403"/>
      <c r="Q146" s="401">
        <v>12</v>
      </c>
      <c r="R146" s="402"/>
      <c r="S146" s="403"/>
      <c r="T146" s="401">
        <v>13</v>
      </c>
      <c r="U146" s="402"/>
      <c r="V146" s="403"/>
      <c r="W146" s="395">
        <v>17</v>
      </c>
      <c r="X146" s="396"/>
      <c r="Y146" s="397"/>
      <c r="Z146" s="395">
        <v>18</v>
      </c>
      <c r="AA146" s="396"/>
      <c r="AB146" s="397"/>
      <c r="AC146" s="395">
        <v>22</v>
      </c>
      <c r="AD146" s="396"/>
      <c r="AE146" s="397"/>
      <c r="AF146" s="395">
        <v>23</v>
      </c>
      <c r="AG146" s="396"/>
      <c r="AH146" s="396"/>
      <c r="AI146" s="397"/>
      <c r="AJ146" s="129"/>
    </row>
    <row r="147" spans="1:39" s="103" customFormat="1" ht="87" customHeight="1" x14ac:dyDescent="0.2">
      <c r="A147" s="419"/>
      <c r="B147" s="419"/>
      <c r="C147" s="419"/>
      <c r="D147" s="419"/>
      <c r="E147" s="404" t="s">
        <v>2</v>
      </c>
      <c r="F147" s="405"/>
      <c r="G147" s="408" t="s">
        <v>3</v>
      </c>
      <c r="H147" s="404" t="s">
        <v>2</v>
      </c>
      <c r="I147" s="405"/>
      <c r="J147" s="408" t="s">
        <v>3</v>
      </c>
      <c r="K147" s="404" t="s">
        <v>2</v>
      </c>
      <c r="L147" s="405"/>
      <c r="M147" s="411" t="s">
        <v>3</v>
      </c>
      <c r="N147" s="404" t="s">
        <v>2</v>
      </c>
      <c r="O147" s="405"/>
      <c r="P147" s="411" t="s">
        <v>3</v>
      </c>
      <c r="Q147" s="404" t="s">
        <v>2</v>
      </c>
      <c r="R147" s="405"/>
      <c r="S147" s="411" t="s">
        <v>3</v>
      </c>
      <c r="T147" s="404" t="s">
        <v>2</v>
      </c>
      <c r="U147" s="405"/>
      <c r="V147" s="411" t="s">
        <v>3</v>
      </c>
      <c r="W147" s="420" t="s">
        <v>13</v>
      </c>
      <c r="X147" s="422"/>
      <c r="Y147" s="106" t="s">
        <v>14</v>
      </c>
      <c r="Z147" s="420" t="s">
        <v>15</v>
      </c>
      <c r="AA147" s="422"/>
      <c r="AB147" s="106" t="s">
        <v>16</v>
      </c>
      <c r="AC147" s="404" t="s">
        <v>2</v>
      </c>
      <c r="AD147" s="405"/>
      <c r="AE147" s="405" t="s">
        <v>3</v>
      </c>
      <c r="AF147" s="420" t="s">
        <v>18</v>
      </c>
      <c r="AG147" s="422"/>
      <c r="AH147" s="425" t="s">
        <v>22</v>
      </c>
      <c r="AI147" s="106" t="s">
        <v>17</v>
      </c>
      <c r="AJ147" s="130"/>
    </row>
    <row r="148" spans="1:39" s="103" customFormat="1" ht="15.75" x14ac:dyDescent="0.2">
      <c r="A148" s="408"/>
      <c r="B148" s="408"/>
      <c r="C148" s="408"/>
      <c r="D148" s="408"/>
      <c r="E148" s="406"/>
      <c r="F148" s="407"/>
      <c r="G148" s="409"/>
      <c r="H148" s="406"/>
      <c r="I148" s="407"/>
      <c r="J148" s="409"/>
      <c r="K148" s="406"/>
      <c r="L148" s="407"/>
      <c r="M148" s="408"/>
      <c r="N148" s="406"/>
      <c r="O148" s="407"/>
      <c r="P148" s="408"/>
      <c r="Q148" s="406"/>
      <c r="R148" s="407"/>
      <c r="S148" s="408"/>
      <c r="T148" s="406"/>
      <c r="U148" s="407"/>
      <c r="V148" s="408"/>
      <c r="W148" s="406" t="s">
        <v>2</v>
      </c>
      <c r="X148" s="407"/>
      <c r="Y148" s="226" t="s">
        <v>3</v>
      </c>
      <c r="Z148" s="427" t="s">
        <v>2</v>
      </c>
      <c r="AA148" s="428"/>
      <c r="AB148" s="226" t="s">
        <v>3</v>
      </c>
      <c r="AC148" s="406"/>
      <c r="AD148" s="407"/>
      <c r="AE148" s="407"/>
      <c r="AF148" s="406" t="s">
        <v>2</v>
      </c>
      <c r="AG148" s="407"/>
      <c r="AH148" s="426"/>
      <c r="AI148" s="226" t="s">
        <v>3</v>
      </c>
      <c r="AJ148" s="130"/>
    </row>
    <row r="149" spans="1:39" ht="110.25" x14ac:dyDescent="0.25">
      <c r="A149" s="70">
        <v>11</v>
      </c>
      <c r="B149" s="65" t="s">
        <v>67</v>
      </c>
      <c r="C149" s="14"/>
      <c r="D149" s="66" t="s">
        <v>367</v>
      </c>
      <c r="E149" s="313" t="s">
        <v>259</v>
      </c>
      <c r="F149" s="281" t="s">
        <v>3</v>
      </c>
      <c r="G149" s="276"/>
      <c r="H149" s="313" t="s">
        <v>260</v>
      </c>
      <c r="I149" s="282" t="s">
        <v>3</v>
      </c>
      <c r="J149" s="276">
        <f>SUM(J150:J153)</f>
        <v>30511550000</v>
      </c>
      <c r="K149" s="394" t="s">
        <v>578</v>
      </c>
      <c r="L149" s="282" t="s">
        <v>3</v>
      </c>
      <c r="M149" s="305">
        <f>SUM(M150:M153)</f>
        <v>7562290000</v>
      </c>
      <c r="N149" s="394" t="s">
        <v>567</v>
      </c>
      <c r="O149" s="282" t="s">
        <v>3</v>
      </c>
      <c r="P149" s="305">
        <f>SUM(P150:P153)</f>
        <v>6213270400</v>
      </c>
      <c r="Q149" s="314" t="s">
        <v>558</v>
      </c>
      <c r="R149" s="282" t="s">
        <v>3</v>
      </c>
      <c r="S149" s="305">
        <f>SUM(S150:S153)</f>
        <v>7484712067</v>
      </c>
      <c r="T149" s="393" t="s">
        <v>608</v>
      </c>
      <c r="U149" s="282" t="s">
        <v>3</v>
      </c>
      <c r="V149" s="305">
        <f>SUM(V150:V153)</f>
        <v>5727907302</v>
      </c>
      <c r="W149" s="312">
        <f>Q149/K149*100</f>
        <v>112.6315664886566</v>
      </c>
      <c r="X149" s="282" t="s">
        <v>28</v>
      </c>
      <c r="Y149" s="294">
        <f>S149/M149*100</f>
        <v>98.974147606082283</v>
      </c>
      <c r="Z149" s="312">
        <f>T149/N149*100</f>
        <v>136.53171756147066</v>
      </c>
      <c r="AA149" s="282" t="s">
        <v>28</v>
      </c>
      <c r="AB149" s="294">
        <f>V149/P149*100</f>
        <v>92.188283033682225</v>
      </c>
      <c r="AC149" s="392" t="str">
        <f>T149</f>
        <v>7.337.250.000</v>
      </c>
      <c r="AD149" s="282" t="s">
        <v>3</v>
      </c>
      <c r="AE149" s="375">
        <f>S149+V149</f>
        <v>13212619369</v>
      </c>
      <c r="AF149" s="275"/>
      <c r="AG149" s="275"/>
      <c r="AH149" s="275"/>
      <c r="AI149" s="275"/>
      <c r="AJ149" s="108" t="s">
        <v>314</v>
      </c>
      <c r="AL149" s="191"/>
      <c r="AM149" s="134">
        <f>S149</f>
        <v>7484712067</v>
      </c>
    </row>
    <row r="150" spans="1:39" ht="100.5" customHeight="1" x14ac:dyDescent="0.2">
      <c r="A150" s="64"/>
      <c r="B150" s="25"/>
      <c r="C150" s="14" t="s">
        <v>70</v>
      </c>
      <c r="D150" s="14" t="s">
        <v>261</v>
      </c>
      <c r="E150" s="104" t="s">
        <v>263</v>
      </c>
      <c r="F150" s="7" t="s">
        <v>262</v>
      </c>
      <c r="G150" s="9"/>
      <c r="H150" s="11">
        <v>310526</v>
      </c>
      <c r="I150" s="7" t="s">
        <v>262</v>
      </c>
      <c r="J150" s="9">
        <v>14150415000</v>
      </c>
      <c r="K150" s="11">
        <v>255470</v>
      </c>
      <c r="L150" s="7" t="s">
        <v>262</v>
      </c>
      <c r="M150" s="21">
        <v>4775026000</v>
      </c>
      <c r="N150" s="11">
        <v>268244</v>
      </c>
      <c r="O150" s="7" t="s">
        <v>262</v>
      </c>
      <c r="P150" s="21">
        <v>4423926400</v>
      </c>
      <c r="Q150" s="244">
        <v>338867</v>
      </c>
      <c r="R150" s="7" t="s">
        <v>262</v>
      </c>
      <c r="S150" s="23">
        <v>4711804567</v>
      </c>
      <c r="T150" s="203">
        <v>267029</v>
      </c>
      <c r="U150" s="7" t="s">
        <v>262</v>
      </c>
      <c r="V150" s="23">
        <v>4273925169</v>
      </c>
      <c r="W150" s="222">
        <f>Q150/K150*100</f>
        <v>132.64453751908246</v>
      </c>
      <c r="X150" s="18" t="s">
        <v>28</v>
      </c>
      <c r="Y150" s="289">
        <f>S150/M150*100</f>
        <v>98.675998141161955</v>
      </c>
      <c r="Z150" s="222">
        <f>T150/N150*100</f>
        <v>99.547054174557488</v>
      </c>
      <c r="AA150" s="18" t="s">
        <v>28</v>
      </c>
      <c r="AB150" s="289">
        <f>V150/P150*100</f>
        <v>96.609319020316434</v>
      </c>
      <c r="AC150" s="380">
        <f>T150</f>
        <v>267029</v>
      </c>
      <c r="AD150" s="7" t="s">
        <v>262</v>
      </c>
      <c r="AE150" s="245">
        <f>S150+V150</f>
        <v>8985729736</v>
      </c>
      <c r="AF150" s="8"/>
      <c r="AG150" s="8"/>
      <c r="AH150" s="8"/>
      <c r="AI150" s="8"/>
      <c r="AJ150" s="126"/>
      <c r="AM150" s="134">
        <f>S150</f>
        <v>4711804567</v>
      </c>
    </row>
    <row r="151" spans="1:39" ht="100.5" customHeight="1" x14ac:dyDescent="0.2">
      <c r="A151" s="64"/>
      <c r="B151" s="25"/>
      <c r="C151" s="14" t="s">
        <v>69</v>
      </c>
      <c r="D151" s="14" t="s">
        <v>261</v>
      </c>
      <c r="E151" s="104" t="s">
        <v>263</v>
      </c>
      <c r="F151" s="7" t="s">
        <v>262</v>
      </c>
      <c r="G151" s="9"/>
      <c r="H151" s="11">
        <v>310526</v>
      </c>
      <c r="I151" s="7" t="s">
        <v>262</v>
      </c>
      <c r="J151" s="9">
        <v>3617170000</v>
      </c>
      <c r="K151" s="11">
        <v>255470</v>
      </c>
      <c r="L151" s="7" t="s">
        <v>262</v>
      </c>
      <c r="M151" s="21">
        <v>227170000</v>
      </c>
      <c r="N151" s="11">
        <v>268244</v>
      </c>
      <c r="O151" s="7" t="s">
        <v>262</v>
      </c>
      <c r="P151" s="21">
        <v>332780000</v>
      </c>
      <c r="Q151" s="244">
        <v>338867</v>
      </c>
      <c r="R151" s="7" t="s">
        <v>262</v>
      </c>
      <c r="S151" s="23">
        <v>224516000</v>
      </c>
      <c r="T151" s="203">
        <v>267029</v>
      </c>
      <c r="U151" s="7" t="s">
        <v>262</v>
      </c>
      <c r="V151" s="23">
        <v>242632250</v>
      </c>
      <c r="W151" s="222">
        <f t="shared" ref="W151:W152" si="21">Q151/K151*100</f>
        <v>132.64453751908246</v>
      </c>
      <c r="X151" s="18" t="s">
        <v>28</v>
      </c>
      <c r="Y151" s="289">
        <f t="shared" ref="Y151:Y153" si="22">S151/M151*100</f>
        <v>98.831711933794082</v>
      </c>
      <c r="Z151" s="222">
        <f>T151/N151*100</f>
        <v>99.547054174557488</v>
      </c>
      <c r="AA151" s="18" t="s">
        <v>28</v>
      </c>
      <c r="AB151" s="289">
        <f t="shared" ref="AB151" si="23">V151/P151*100</f>
        <v>72.910706773243589</v>
      </c>
      <c r="AC151" s="380">
        <f>T151</f>
        <v>267029</v>
      </c>
      <c r="AD151" s="7" t="s">
        <v>262</v>
      </c>
      <c r="AE151" s="245">
        <f>S151+V151</f>
        <v>467148250</v>
      </c>
      <c r="AF151" s="8"/>
      <c r="AG151" s="8"/>
      <c r="AH151" s="8"/>
      <c r="AI151" s="8"/>
      <c r="AJ151" s="126"/>
      <c r="AM151" s="134">
        <f>S151</f>
        <v>224516000</v>
      </c>
    </row>
    <row r="152" spans="1:39" ht="100.5" customHeight="1" x14ac:dyDescent="0.2">
      <c r="A152" s="64"/>
      <c r="B152" s="25"/>
      <c r="C152" s="265" t="s">
        <v>68</v>
      </c>
      <c r="D152" s="265" t="s">
        <v>264</v>
      </c>
      <c r="E152" s="18">
        <v>1</v>
      </c>
      <c r="F152" s="12" t="s">
        <v>265</v>
      </c>
      <c r="G152" s="9"/>
      <c r="H152" s="18">
        <v>2.7</v>
      </c>
      <c r="I152" s="12" t="s">
        <v>265</v>
      </c>
      <c r="J152" s="9">
        <v>4816595000</v>
      </c>
      <c r="K152" s="18">
        <v>1.5</v>
      </c>
      <c r="L152" s="12" t="s">
        <v>265</v>
      </c>
      <c r="M152" s="21">
        <v>102995000</v>
      </c>
      <c r="N152" s="18"/>
      <c r="O152" s="12"/>
      <c r="P152" s="21"/>
      <c r="Q152" s="18">
        <v>1.5</v>
      </c>
      <c r="R152" s="12" t="s">
        <v>265</v>
      </c>
      <c r="S152" s="23">
        <v>101765000</v>
      </c>
      <c r="T152" s="18"/>
      <c r="U152" s="12"/>
      <c r="V152" s="23"/>
      <c r="W152" s="222">
        <f t="shared" si="21"/>
        <v>100</v>
      </c>
      <c r="X152" s="18" t="s">
        <v>28</v>
      </c>
      <c r="Y152" s="289">
        <f t="shared" si="22"/>
        <v>98.805767270255842</v>
      </c>
      <c r="Z152" s="222"/>
      <c r="AA152" s="18"/>
      <c r="AB152" s="289"/>
      <c r="AC152" s="385">
        <f>Q152</f>
        <v>1.5</v>
      </c>
      <c r="AD152" s="12" t="s">
        <v>265</v>
      </c>
      <c r="AE152" s="245">
        <f>S152+V152</f>
        <v>101765000</v>
      </c>
      <c r="AF152" s="8"/>
      <c r="AG152" s="8"/>
      <c r="AH152" s="8"/>
      <c r="AI152" s="8"/>
      <c r="AJ152" s="126"/>
      <c r="AM152" s="134">
        <f>S152</f>
        <v>101765000</v>
      </c>
    </row>
    <row r="153" spans="1:39" ht="100.5" customHeight="1" x14ac:dyDescent="0.2">
      <c r="A153" s="64"/>
      <c r="B153" s="25"/>
      <c r="C153" s="14" t="s">
        <v>266</v>
      </c>
      <c r="D153" s="14" t="s">
        <v>267</v>
      </c>
      <c r="E153" s="18">
        <v>34.78</v>
      </c>
      <c r="F153" s="18" t="s">
        <v>28</v>
      </c>
      <c r="G153" s="9"/>
      <c r="H153" s="58">
        <v>84.1</v>
      </c>
      <c r="I153" s="18" t="s">
        <v>28</v>
      </c>
      <c r="J153" s="9">
        <v>7927370000</v>
      </c>
      <c r="K153" s="18">
        <v>42.26</v>
      </c>
      <c r="L153" s="18" t="s">
        <v>28</v>
      </c>
      <c r="M153" s="21">
        <v>2457099000</v>
      </c>
      <c r="N153" s="18">
        <v>52.28</v>
      </c>
      <c r="O153" s="18" t="s">
        <v>28</v>
      </c>
      <c r="P153" s="21">
        <v>1456564000</v>
      </c>
      <c r="Q153" s="221">
        <v>45.6</v>
      </c>
      <c r="R153" s="18" t="s">
        <v>28</v>
      </c>
      <c r="S153" s="23">
        <v>2446626500</v>
      </c>
      <c r="T153" s="221">
        <v>36.36363636363636</v>
      </c>
      <c r="U153" s="18" t="s">
        <v>28</v>
      </c>
      <c r="V153" s="23">
        <v>1211349883</v>
      </c>
      <c r="W153" s="222">
        <f>Q153/K153*100</f>
        <v>107.9034548035968</v>
      </c>
      <c r="X153" s="18" t="s">
        <v>28</v>
      </c>
      <c r="Y153" s="289">
        <f t="shared" si="22"/>
        <v>99.573785997226821</v>
      </c>
      <c r="Z153" s="222">
        <f>T153/N153*100</f>
        <v>69.555540098768859</v>
      </c>
      <c r="AA153" s="18" t="s">
        <v>28</v>
      </c>
      <c r="AB153" s="289">
        <f>V153/P153*100</f>
        <v>83.164892376854013</v>
      </c>
      <c r="AC153" s="382">
        <f>Q153+T153</f>
        <v>81.963636363636368</v>
      </c>
      <c r="AD153" s="18" t="s">
        <v>28</v>
      </c>
      <c r="AE153" s="245">
        <f>S153+V153</f>
        <v>3657976383</v>
      </c>
      <c r="AF153" s="8"/>
      <c r="AG153" s="8"/>
      <c r="AH153" s="8"/>
      <c r="AI153" s="8"/>
      <c r="AJ153" s="108" t="s">
        <v>295</v>
      </c>
      <c r="AM153" s="134">
        <f>S153</f>
        <v>2446626500</v>
      </c>
    </row>
    <row r="154" spans="1:39" s="103" customFormat="1" ht="15" x14ac:dyDescent="0.2">
      <c r="A154" s="446" t="s">
        <v>5</v>
      </c>
      <c r="B154" s="446"/>
      <c r="C154" s="446"/>
      <c r="D154" s="446"/>
      <c r="E154" s="446"/>
      <c r="F154" s="446"/>
      <c r="G154" s="446"/>
      <c r="H154" s="446"/>
      <c r="I154" s="446"/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121">
        <f>AVERAGE(W149:W153)</f>
        <v>117.16481926608367</v>
      </c>
      <c r="X154" s="122"/>
      <c r="Y154" s="121"/>
      <c r="Z154" s="121">
        <f>AVERAGE(Z149:Z153)</f>
        <v>101.29534150233863</v>
      </c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26"/>
    </row>
    <row r="155" spans="1:39" s="103" customFormat="1" ht="15" x14ac:dyDescent="0.2">
      <c r="A155" s="446" t="s">
        <v>6</v>
      </c>
      <c r="B155" s="446"/>
      <c r="C155" s="446"/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195" t="str">
        <f>IF(W154&gt;=91,"Sangat Tinggi",IF(W154&gt;=76,"Tinggi",IF(W154&gt;=66,"Sedang",IF(W154&gt;=51,"Rendah",IF(W154&lt;=50,"Sangat Rendah")))))</f>
        <v>Sangat Tinggi</v>
      </c>
      <c r="X155" s="122"/>
      <c r="Y155" s="102"/>
      <c r="Z155" s="195" t="str">
        <f>IF(Z154&gt;=91,"Sangat Tinggi",IF(Z154&gt;=76,"Tinggi",IF(Z154&gt;=66,"Sedang",IF(Z154&gt;=51,"Rendah",IF(Z154&lt;=50,"Sangat Rendah")))))</f>
        <v>Sangat Tinggi</v>
      </c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26"/>
    </row>
    <row r="156" spans="1:39" s="103" customFormat="1" ht="15" x14ac:dyDescent="0.2">
      <c r="A156" s="429" t="s">
        <v>7</v>
      </c>
      <c r="B156" s="429"/>
      <c r="C156" s="429"/>
      <c r="D156" s="429"/>
      <c r="E156" s="429"/>
      <c r="F156" s="429"/>
      <c r="G156" s="429"/>
      <c r="H156" s="429"/>
      <c r="I156" s="429"/>
      <c r="J156" s="429"/>
      <c r="K156" s="429"/>
      <c r="L156" s="429"/>
      <c r="M156" s="429"/>
      <c r="N156" s="429"/>
      <c r="O156" s="429"/>
      <c r="P156" s="429"/>
      <c r="Q156" s="429"/>
      <c r="R156" s="429"/>
      <c r="S156" s="429"/>
      <c r="T156" s="429"/>
      <c r="U156" s="429"/>
      <c r="V156" s="429"/>
      <c r="W156" s="429"/>
      <c r="X156" s="429"/>
      <c r="Y156" s="429"/>
      <c r="Z156" s="429"/>
      <c r="AA156" s="429"/>
      <c r="AB156" s="429"/>
      <c r="AC156" s="429"/>
      <c r="AD156" s="429"/>
      <c r="AE156" s="429"/>
      <c r="AF156" s="429"/>
      <c r="AG156" s="429"/>
      <c r="AH156" s="429"/>
      <c r="AI156" s="429"/>
      <c r="AJ156" s="126"/>
    </row>
    <row r="157" spans="1:39" s="103" customFormat="1" ht="15" x14ac:dyDescent="0.2">
      <c r="A157" s="429" t="s">
        <v>8</v>
      </c>
      <c r="B157" s="429"/>
      <c r="C157" s="429"/>
      <c r="D157" s="429"/>
      <c r="E157" s="429"/>
      <c r="F157" s="429"/>
      <c r="G157" s="429"/>
      <c r="H157" s="429"/>
      <c r="I157" s="429"/>
      <c r="J157" s="429"/>
      <c r="K157" s="429"/>
      <c r="L157" s="429"/>
      <c r="M157" s="429"/>
      <c r="N157" s="429"/>
      <c r="O157" s="429"/>
      <c r="P157" s="429"/>
      <c r="Q157" s="429"/>
      <c r="R157" s="429"/>
      <c r="S157" s="429"/>
      <c r="T157" s="429"/>
      <c r="U157" s="429"/>
      <c r="V157" s="429"/>
      <c r="W157" s="429"/>
      <c r="X157" s="429"/>
      <c r="Y157" s="429"/>
      <c r="Z157" s="429"/>
      <c r="AA157" s="429"/>
      <c r="AB157" s="429"/>
      <c r="AC157" s="429"/>
      <c r="AD157" s="429"/>
      <c r="AE157" s="429"/>
      <c r="AF157" s="429"/>
      <c r="AG157" s="429"/>
      <c r="AH157" s="429"/>
      <c r="AI157" s="429"/>
      <c r="AJ157" s="126"/>
    </row>
    <row r="158" spans="1:39" s="103" customFormat="1" ht="15" x14ac:dyDescent="0.2">
      <c r="A158" s="429" t="s">
        <v>9</v>
      </c>
      <c r="B158" s="429"/>
      <c r="C158" s="429"/>
      <c r="D158" s="429"/>
      <c r="E158" s="429"/>
      <c r="F158" s="429"/>
      <c r="G158" s="429"/>
      <c r="H158" s="429"/>
      <c r="I158" s="429"/>
      <c r="J158" s="429"/>
      <c r="K158" s="429"/>
      <c r="L158" s="429"/>
      <c r="M158" s="429"/>
      <c r="N158" s="429"/>
      <c r="O158" s="429"/>
      <c r="P158" s="429"/>
      <c r="Q158" s="429"/>
      <c r="R158" s="429"/>
      <c r="S158" s="429"/>
      <c r="T158" s="429"/>
      <c r="U158" s="429"/>
      <c r="V158" s="429"/>
      <c r="W158" s="429"/>
      <c r="X158" s="429"/>
      <c r="Y158" s="429"/>
      <c r="Z158" s="429"/>
      <c r="AA158" s="429"/>
      <c r="AB158" s="429"/>
      <c r="AC158" s="429"/>
      <c r="AD158" s="429"/>
      <c r="AE158" s="429"/>
      <c r="AF158" s="429"/>
      <c r="AG158" s="429"/>
      <c r="AH158" s="429"/>
      <c r="AI158" s="429"/>
      <c r="AJ158" s="126"/>
    </row>
    <row r="159" spans="1:39" s="103" customFormat="1" ht="15" x14ac:dyDescent="0.2">
      <c r="A159" s="429" t="s">
        <v>10</v>
      </c>
      <c r="B159" s="429"/>
      <c r="C159" s="429"/>
      <c r="D159" s="429"/>
      <c r="E159" s="429"/>
      <c r="F159" s="429"/>
      <c r="G159" s="429"/>
      <c r="H159" s="429"/>
      <c r="I159" s="429"/>
      <c r="J159" s="429"/>
      <c r="K159" s="429"/>
      <c r="L159" s="429"/>
      <c r="M159" s="429"/>
      <c r="N159" s="429"/>
      <c r="O159" s="429"/>
      <c r="P159" s="429"/>
      <c r="Q159" s="429"/>
      <c r="R159" s="429"/>
      <c r="S159" s="429"/>
      <c r="T159" s="429"/>
      <c r="U159" s="429"/>
      <c r="V159" s="429"/>
      <c r="W159" s="429"/>
      <c r="X159" s="429"/>
      <c r="Y159" s="429"/>
      <c r="Z159" s="429"/>
      <c r="AA159" s="429"/>
      <c r="AB159" s="429"/>
      <c r="AC159" s="429"/>
      <c r="AD159" s="429"/>
      <c r="AE159" s="429"/>
      <c r="AF159" s="429"/>
      <c r="AG159" s="429"/>
      <c r="AH159" s="429"/>
      <c r="AI159" s="429"/>
      <c r="AJ159" s="127"/>
    </row>
    <row r="160" spans="1:39" ht="1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61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</row>
    <row r="161" spans="1:36" ht="15.75" x14ac:dyDescent="0.25">
      <c r="A161" s="60" t="s">
        <v>11</v>
      </c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61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</row>
    <row r="162" spans="1:36" ht="1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61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</row>
    <row r="163" spans="1:36" ht="1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61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</row>
    <row r="164" spans="1:36" ht="1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61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</row>
    <row r="165" spans="1:36" ht="1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61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</row>
    <row r="166" spans="1:36" s="103" customFormat="1" ht="15" x14ac:dyDescent="0.2">
      <c r="A166" s="138" t="s">
        <v>320</v>
      </c>
      <c r="B166" s="139"/>
      <c r="C166" s="139"/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40">
        <f>W26</f>
        <v>99.718655009347728</v>
      </c>
      <c r="X166" s="141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  <c r="AJ166" s="147"/>
    </row>
    <row r="167" spans="1:36" s="103" customFormat="1" ht="15" x14ac:dyDescent="0.2">
      <c r="A167" s="138" t="s">
        <v>321</v>
      </c>
      <c r="B167" s="139"/>
      <c r="C167" s="139"/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40">
        <f>W46</f>
        <v>103.70443764674924</v>
      </c>
      <c r="X167" s="141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7"/>
    </row>
    <row r="168" spans="1:36" s="103" customFormat="1" ht="15" x14ac:dyDescent="0.2">
      <c r="A168" s="138" t="s">
        <v>322</v>
      </c>
      <c r="B168" s="139"/>
      <c r="C168" s="139"/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  <c r="T168" s="139"/>
      <c r="U168" s="139"/>
      <c r="V168" s="139"/>
      <c r="W168" s="140">
        <f>W98</f>
        <v>101.44244769530241</v>
      </c>
      <c r="X168" s="141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  <c r="AJ168" s="147"/>
    </row>
    <row r="169" spans="1:36" s="103" customFormat="1" ht="15" x14ac:dyDescent="0.2">
      <c r="A169" s="138" t="s">
        <v>323</v>
      </c>
      <c r="B169" s="139"/>
      <c r="C169" s="139"/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40">
        <f>W116</f>
        <v>127.88721120611244</v>
      </c>
      <c r="X169" s="141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2"/>
      <c r="AJ169" s="147"/>
    </row>
    <row r="170" spans="1:36" s="103" customFormat="1" ht="15" x14ac:dyDescent="0.2">
      <c r="A170" s="138" t="s">
        <v>324</v>
      </c>
      <c r="B170" s="139"/>
      <c r="C170" s="139"/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40">
        <f>W134</f>
        <v>1173.7111632149647</v>
      </c>
      <c r="X170" s="141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7"/>
    </row>
    <row r="171" spans="1:36" s="103" customFormat="1" ht="15" x14ac:dyDescent="0.2">
      <c r="A171" s="138" t="s">
        <v>325</v>
      </c>
      <c r="B171" s="139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40">
        <f>W154</f>
        <v>117.16481926608367</v>
      </c>
      <c r="X171" s="141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2"/>
      <c r="AJ171" s="147"/>
    </row>
    <row r="172" spans="1:36" s="103" customFormat="1" ht="15" x14ac:dyDescent="0.2">
      <c r="A172" s="424" t="s">
        <v>5</v>
      </c>
      <c r="B172" s="424"/>
      <c r="C172" s="424"/>
      <c r="D172" s="424"/>
      <c r="E172" s="424"/>
      <c r="F172" s="424"/>
      <c r="G172" s="424"/>
      <c r="H172" s="424"/>
      <c r="I172" s="424"/>
      <c r="J172" s="424"/>
      <c r="K172" s="424"/>
      <c r="L172" s="424"/>
      <c r="M172" s="424"/>
      <c r="N172" s="424"/>
      <c r="O172" s="424"/>
      <c r="P172" s="424"/>
      <c r="Q172" s="424"/>
      <c r="R172" s="424"/>
      <c r="S172" s="424"/>
      <c r="T172" s="424"/>
      <c r="U172" s="424"/>
      <c r="V172" s="424"/>
      <c r="W172" s="143">
        <f>AVERAGE(W166:W171)</f>
        <v>287.27145567309339</v>
      </c>
      <c r="X172" s="144"/>
      <c r="Y172" s="143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8"/>
    </row>
    <row r="173" spans="1:36" s="103" customFormat="1" ht="15" x14ac:dyDescent="0.2">
      <c r="A173" s="424" t="s">
        <v>6</v>
      </c>
      <c r="B173" s="424"/>
      <c r="C173" s="424"/>
      <c r="D173" s="424"/>
      <c r="E173" s="424"/>
      <c r="F173" s="424"/>
      <c r="G173" s="424"/>
      <c r="H173" s="424"/>
      <c r="I173" s="424"/>
      <c r="J173" s="424"/>
      <c r="K173" s="424"/>
      <c r="L173" s="424"/>
      <c r="M173" s="424"/>
      <c r="N173" s="424"/>
      <c r="O173" s="424"/>
      <c r="P173" s="424"/>
      <c r="Q173" s="424"/>
      <c r="R173" s="424"/>
      <c r="S173" s="424"/>
      <c r="T173" s="424"/>
      <c r="U173" s="424"/>
      <c r="V173" s="424"/>
      <c r="W173" s="196" t="str">
        <f>IF(W172&gt;=91,"Sangat Tinggi",IF(W172&gt;=76,"Tinggi",IF(W172&gt;=66,"Sedang",IF(W172&gt;=51,"Rendah",IF(W172&lt;=50,"Sangat Rendah")))))</f>
        <v>Sangat Tinggi</v>
      </c>
      <c r="X173" s="144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8"/>
    </row>
    <row r="174" spans="1:36" s="103" customFormat="1" ht="15" x14ac:dyDescent="0.2">
      <c r="A174" s="423" t="s">
        <v>7</v>
      </c>
      <c r="B174" s="423"/>
      <c r="C174" s="423"/>
      <c r="D174" s="423"/>
      <c r="E174" s="423"/>
      <c r="F174" s="423"/>
      <c r="G174" s="423"/>
      <c r="H174" s="423"/>
      <c r="I174" s="423"/>
      <c r="J174" s="423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  <c r="AC174" s="423"/>
      <c r="AD174" s="423"/>
      <c r="AE174" s="423"/>
      <c r="AF174" s="423"/>
      <c r="AG174" s="423"/>
      <c r="AH174" s="423"/>
      <c r="AI174" s="423"/>
      <c r="AJ174" s="148"/>
    </row>
    <row r="175" spans="1:36" s="103" customFormat="1" ht="15" x14ac:dyDescent="0.2">
      <c r="A175" s="423" t="s">
        <v>8</v>
      </c>
      <c r="B175" s="423"/>
      <c r="C175" s="423"/>
      <c r="D175" s="423"/>
      <c r="E175" s="423"/>
      <c r="F175" s="423"/>
      <c r="G175" s="423"/>
      <c r="H175" s="423"/>
      <c r="I175" s="423"/>
      <c r="J175" s="423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  <c r="AC175" s="423"/>
      <c r="AD175" s="423"/>
      <c r="AE175" s="423"/>
      <c r="AF175" s="423"/>
      <c r="AG175" s="423"/>
      <c r="AH175" s="423"/>
      <c r="AI175" s="423"/>
      <c r="AJ175" s="148"/>
    </row>
    <row r="176" spans="1:36" s="103" customFormat="1" ht="15" x14ac:dyDescent="0.2">
      <c r="A176" s="423" t="s">
        <v>9</v>
      </c>
      <c r="B176" s="423"/>
      <c r="C176" s="423"/>
      <c r="D176" s="423"/>
      <c r="E176" s="423"/>
      <c r="F176" s="423"/>
      <c r="G176" s="423"/>
      <c r="H176" s="423"/>
      <c r="I176" s="423"/>
      <c r="J176" s="423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  <c r="AC176" s="423"/>
      <c r="AD176" s="423"/>
      <c r="AE176" s="423"/>
      <c r="AF176" s="423"/>
      <c r="AG176" s="423"/>
      <c r="AH176" s="423"/>
      <c r="AI176" s="423"/>
      <c r="AJ176" s="148"/>
    </row>
    <row r="177" spans="1:36" s="103" customFormat="1" ht="15" x14ac:dyDescent="0.2">
      <c r="A177" s="423" t="s">
        <v>10</v>
      </c>
      <c r="B177" s="423"/>
      <c r="C177" s="423"/>
      <c r="D177" s="423"/>
      <c r="E177" s="423"/>
      <c r="F177" s="423"/>
      <c r="G177" s="423"/>
      <c r="H177" s="423"/>
      <c r="I177" s="423"/>
      <c r="J177" s="423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  <c r="AC177" s="423"/>
      <c r="AD177" s="423"/>
      <c r="AE177" s="423"/>
      <c r="AF177" s="423"/>
      <c r="AG177" s="423"/>
      <c r="AH177" s="423"/>
      <c r="AI177" s="423"/>
      <c r="AJ177" s="148"/>
    </row>
    <row r="181" spans="1:36" ht="51" x14ac:dyDescent="0.2">
      <c r="A181" s="192" t="s">
        <v>537</v>
      </c>
      <c r="B181" s="192" t="s">
        <v>538</v>
      </c>
      <c r="C181" s="192" t="s">
        <v>539</v>
      </c>
    </row>
    <row r="182" spans="1:36" ht="25.5" x14ac:dyDescent="0.2">
      <c r="A182" s="193" t="s">
        <v>540</v>
      </c>
      <c r="B182" s="193" t="s">
        <v>541</v>
      </c>
      <c r="C182" s="193" t="s">
        <v>542</v>
      </c>
    </row>
    <row r="183" spans="1:36" ht="25.5" x14ac:dyDescent="0.2">
      <c r="A183" s="193" t="s">
        <v>543</v>
      </c>
      <c r="B183" s="193" t="s">
        <v>544</v>
      </c>
      <c r="C183" s="193" t="s">
        <v>545</v>
      </c>
    </row>
    <row r="184" spans="1:36" ht="25.5" x14ac:dyDescent="0.2">
      <c r="A184" s="193" t="s">
        <v>546</v>
      </c>
      <c r="B184" s="193" t="s">
        <v>547</v>
      </c>
      <c r="C184" s="193" t="s">
        <v>280</v>
      </c>
    </row>
    <row r="185" spans="1:36" ht="25.5" x14ac:dyDescent="0.2">
      <c r="A185" s="193" t="s">
        <v>548</v>
      </c>
      <c r="B185" s="193" t="s">
        <v>549</v>
      </c>
      <c r="C185" s="193" t="s">
        <v>550</v>
      </c>
    </row>
    <row r="186" spans="1:36" ht="25.5" x14ac:dyDescent="0.2">
      <c r="A186" s="193" t="s">
        <v>551</v>
      </c>
      <c r="B186" s="194" t="s">
        <v>552</v>
      </c>
      <c r="C186" s="193" t="s">
        <v>553</v>
      </c>
    </row>
  </sheetData>
  <mergeCells count="384">
    <mergeCell ref="AC15:AE15"/>
    <mergeCell ref="H15:J15"/>
    <mergeCell ref="S16:S17"/>
    <mergeCell ref="T16:U17"/>
    <mergeCell ref="C15:C17"/>
    <mergeCell ref="D15:D17"/>
    <mergeCell ref="E15:G15"/>
    <mergeCell ref="G16:G17"/>
    <mergeCell ref="H16:I17"/>
    <mergeCell ref="J16:J17"/>
    <mergeCell ref="N16:O17"/>
    <mergeCell ref="P16:P17"/>
    <mergeCell ref="Q16:R17"/>
    <mergeCell ref="N15:P15"/>
    <mergeCell ref="Q15:S15"/>
    <mergeCell ref="T15:V15"/>
    <mergeCell ref="Z15:AB15"/>
    <mergeCell ref="A6:AI6"/>
    <mergeCell ref="A4:AI4"/>
    <mergeCell ref="A5:AI5"/>
    <mergeCell ref="A7:AI7"/>
    <mergeCell ref="A8:AI8"/>
    <mergeCell ref="A9:AI9"/>
    <mergeCell ref="A11:AI11"/>
    <mergeCell ref="A12:A14"/>
    <mergeCell ref="B12:B14"/>
    <mergeCell ref="C12:C14"/>
    <mergeCell ref="D12:D14"/>
    <mergeCell ref="E12:G14"/>
    <mergeCell ref="H12:J14"/>
    <mergeCell ref="Q12:V13"/>
    <mergeCell ref="W12:AB13"/>
    <mergeCell ref="AC12:AE14"/>
    <mergeCell ref="AF12:AI14"/>
    <mergeCell ref="N14:P14"/>
    <mergeCell ref="Z14:AB14"/>
    <mergeCell ref="A10:AI10"/>
    <mergeCell ref="Q14:S14"/>
    <mergeCell ref="T14:V14"/>
    <mergeCell ref="W14:Y14"/>
    <mergeCell ref="A159:AI159"/>
    <mergeCell ref="H18:I20"/>
    <mergeCell ref="J18:J20"/>
    <mergeCell ref="N18:O20"/>
    <mergeCell ref="P18:P20"/>
    <mergeCell ref="Q18:R20"/>
    <mergeCell ref="AF16:AG16"/>
    <mergeCell ref="AH16:AH17"/>
    <mergeCell ref="W17:X17"/>
    <mergeCell ref="Z17:AA17"/>
    <mergeCell ref="AF17:AG17"/>
    <mergeCell ref="Z16:AA16"/>
    <mergeCell ref="A154:V154"/>
    <mergeCell ref="A18:A20"/>
    <mergeCell ref="B18:B20"/>
    <mergeCell ref="C18:C20"/>
    <mergeCell ref="A15:A17"/>
    <mergeCell ref="B15:B17"/>
    <mergeCell ref="V16:V17"/>
    <mergeCell ref="W16:X16"/>
    <mergeCell ref="W55:AB56"/>
    <mergeCell ref="AC55:AE57"/>
    <mergeCell ref="AF55:AI57"/>
    <mergeCell ref="A29:AI29"/>
    <mergeCell ref="B58:B60"/>
    <mergeCell ref="C58:C60"/>
    <mergeCell ref="D58:D60"/>
    <mergeCell ref="E58:G58"/>
    <mergeCell ref="AF38:AI38"/>
    <mergeCell ref="E39:F40"/>
    <mergeCell ref="G39:G40"/>
    <mergeCell ref="H39:I40"/>
    <mergeCell ref="J39:J40"/>
    <mergeCell ref="N39:O40"/>
    <mergeCell ref="P39:P40"/>
    <mergeCell ref="Q39:R40"/>
    <mergeCell ref="S39:S40"/>
    <mergeCell ref="T39:U40"/>
    <mergeCell ref="V39:V40"/>
    <mergeCell ref="W39:X39"/>
    <mergeCell ref="Z38:AB38"/>
    <mergeCell ref="AC38:AE38"/>
    <mergeCell ref="W38:Y38"/>
    <mergeCell ref="A46:V46"/>
    <mergeCell ref="A38:A40"/>
    <mergeCell ref="B38:B40"/>
    <mergeCell ref="C38:C40"/>
    <mergeCell ref="D38:D40"/>
    <mergeCell ref="AJ12:AJ13"/>
    <mergeCell ref="A35:A37"/>
    <mergeCell ref="B35:B37"/>
    <mergeCell ref="C35:C37"/>
    <mergeCell ref="D35:D37"/>
    <mergeCell ref="E35:G37"/>
    <mergeCell ref="H35:J37"/>
    <mergeCell ref="Q35:V36"/>
    <mergeCell ref="W35:AB36"/>
    <mergeCell ref="AC35:AE37"/>
    <mergeCell ref="AF35:AI37"/>
    <mergeCell ref="AJ35:AJ36"/>
    <mergeCell ref="N37:P37"/>
    <mergeCell ref="E18:F20"/>
    <mergeCell ref="G18:G20"/>
    <mergeCell ref="A26:V26"/>
    <mergeCell ref="A27:V27"/>
    <mergeCell ref="A28:AI28"/>
    <mergeCell ref="D18:D20"/>
    <mergeCell ref="AF15:AI15"/>
    <mergeCell ref="W15:Y15"/>
    <mergeCell ref="E16:F17"/>
    <mergeCell ref="W37:Y37"/>
    <mergeCell ref="Z37:AB37"/>
    <mergeCell ref="A55:A57"/>
    <mergeCell ref="B55:B57"/>
    <mergeCell ref="C55:C57"/>
    <mergeCell ref="D55:D57"/>
    <mergeCell ref="E55:G57"/>
    <mergeCell ref="H55:J57"/>
    <mergeCell ref="Q55:V56"/>
    <mergeCell ref="A50:AI50"/>
    <mergeCell ref="A51:AI51"/>
    <mergeCell ref="E38:G38"/>
    <mergeCell ref="H38:J38"/>
    <mergeCell ref="N38:P38"/>
    <mergeCell ref="Q38:S38"/>
    <mergeCell ref="T38:V38"/>
    <mergeCell ref="Q37:S37"/>
    <mergeCell ref="T37:V37"/>
    <mergeCell ref="AC16:AD17"/>
    <mergeCell ref="AE16:AE17"/>
    <mergeCell ref="A30:AI30"/>
    <mergeCell ref="A31:AI31"/>
    <mergeCell ref="AE39:AE40"/>
    <mergeCell ref="AF39:AG39"/>
    <mergeCell ref="W40:X40"/>
    <mergeCell ref="Z40:AA40"/>
    <mergeCell ref="AF40:AG40"/>
    <mergeCell ref="Z39:AA39"/>
    <mergeCell ref="AC39:AD40"/>
    <mergeCell ref="A49:AI49"/>
    <mergeCell ref="A47:V47"/>
    <mergeCell ref="A48:AI48"/>
    <mergeCell ref="AH39:AH40"/>
    <mergeCell ref="AJ55:AJ56"/>
    <mergeCell ref="N57:P57"/>
    <mergeCell ref="Q57:S57"/>
    <mergeCell ref="T57:V57"/>
    <mergeCell ref="W57:Y57"/>
    <mergeCell ref="Z57:AB57"/>
    <mergeCell ref="T58:V58"/>
    <mergeCell ref="AF60:AG60"/>
    <mergeCell ref="W59:X59"/>
    <mergeCell ref="Z59:AA59"/>
    <mergeCell ref="W60:X60"/>
    <mergeCell ref="Z60:AA60"/>
    <mergeCell ref="A98:V98"/>
    <mergeCell ref="A99:V99"/>
    <mergeCell ref="AC58:AE58"/>
    <mergeCell ref="AF58:AI58"/>
    <mergeCell ref="E59:F60"/>
    <mergeCell ref="G59:G60"/>
    <mergeCell ref="H59:I60"/>
    <mergeCell ref="J59:J60"/>
    <mergeCell ref="N59:O60"/>
    <mergeCell ref="P59:P60"/>
    <mergeCell ref="Q59:R60"/>
    <mergeCell ref="S59:S60"/>
    <mergeCell ref="T59:U60"/>
    <mergeCell ref="V59:V60"/>
    <mergeCell ref="Z58:AB58"/>
    <mergeCell ref="W58:Y58"/>
    <mergeCell ref="H58:J58"/>
    <mergeCell ref="N58:P58"/>
    <mergeCell ref="Q58:S58"/>
    <mergeCell ref="AH59:AH60"/>
    <mergeCell ref="AC59:AD60"/>
    <mergeCell ref="AE59:AE60"/>
    <mergeCell ref="AF59:AG59"/>
    <mergeCell ref="A58:A60"/>
    <mergeCell ref="A107:A109"/>
    <mergeCell ref="B107:B109"/>
    <mergeCell ref="C107:C109"/>
    <mergeCell ref="D107:D109"/>
    <mergeCell ref="E107:G109"/>
    <mergeCell ref="W112:X112"/>
    <mergeCell ref="Z112:AA112"/>
    <mergeCell ref="AC110:AE110"/>
    <mergeCell ref="A100:AI100"/>
    <mergeCell ref="A101:AI101"/>
    <mergeCell ref="A102:AI102"/>
    <mergeCell ref="A103:AI103"/>
    <mergeCell ref="E110:G110"/>
    <mergeCell ref="AF107:AI109"/>
    <mergeCell ref="AJ107:AJ108"/>
    <mergeCell ref="N109:P109"/>
    <mergeCell ref="Q109:S109"/>
    <mergeCell ref="T109:V109"/>
    <mergeCell ref="W109:Y109"/>
    <mergeCell ref="Z109:AB109"/>
    <mergeCell ref="H107:J109"/>
    <mergeCell ref="Q107:V108"/>
    <mergeCell ref="W107:AB108"/>
    <mergeCell ref="AC107:AE109"/>
    <mergeCell ref="T129:U130"/>
    <mergeCell ref="V129:V130"/>
    <mergeCell ref="T128:V128"/>
    <mergeCell ref="W128:Y128"/>
    <mergeCell ref="C128:C130"/>
    <mergeCell ref="D128:D130"/>
    <mergeCell ref="E128:G128"/>
    <mergeCell ref="AJ125:AJ126"/>
    <mergeCell ref="N127:P127"/>
    <mergeCell ref="Q127:S127"/>
    <mergeCell ref="T127:V127"/>
    <mergeCell ref="W127:Y127"/>
    <mergeCell ref="Z127:AB127"/>
    <mergeCell ref="AC128:AE128"/>
    <mergeCell ref="AF128:AI128"/>
    <mergeCell ref="E129:F130"/>
    <mergeCell ref="G129:G130"/>
    <mergeCell ref="H129:I130"/>
    <mergeCell ref="Z128:AB128"/>
    <mergeCell ref="C125:C127"/>
    <mergeCell ref="D125:D127"/>
    <mergeCell ref="E125:G127"/>
    <mergeCell ref="H125:J127"/>
    <mergeCell ref="Q125:V126"/>
    <mergeCell ref="A134:V134"/>
    <mergeCell ref="A135:V135"/>
    <mergeCell ref="A136:AI136"/>
    <mergeCell ref="A137:AI137"/>
    <mergeCell ref="A138:AI138"/>
    <mergeCell ref="AC129:AD130"/>
    <mergeCell ref="AE129:AE130"/>
    <mergeCell ref="AF129:AG129"/>
    <mergeCell ref="AH129:AH130"/>
    <mergeCell ref="AF130:AG130"/>
    <mergeCell ref="W129:X129"/>
    <mergeCell ref="Z129:AA129"/>
    <mergeCell ref="W130:X130"/>
    <mergeCell ref="Z130:AA130"/>
    <mergeCell ref="A128:A130"/>
    <mergeCell ref="B128:B130"/>
    <mergeCell ref="H128:J128"/>
    <mergeCell ref="N128:P128"/>
    <mergeCell ref="Q128:S128"/>
    <mergeCell ref="J129:J130"/>
    <mergeCell ref="N129:O130"/>
    <mergeCell ref="P129:P130"/>
    <mergeCell ref="Q129:R130"/>
    <mergeCell ref="S129:S130"/>
    <mergeCell ref="A139:AI139"/>
    <mergeCell ref="A143:A145"/>
    <mergeCell ref="B143:B145"/>
    <mergeCell ref="C143:C145"/>
    <mergeCell ref="D143:D145"/>
    <mergeCell ref="E143:G145"/>
    <mergeCell ref="H143:J145"/>
    <mergeCell ref="Q143:V144"/>
    <mergeCell ref="W143:AB144"/>
    <mergeCell ref="AC143:AE145"/>
    <mergeCell ref="AF143:AI145"/>
    <mergeCell ref="K145:M145"/>
    <mergeCell ref="K143:P144"/>
    <mergeCell ref="AJ143:AJ144"/>
    <mergeCell ref="N145:P145"/>
    <mergeCell ref="Q145:S145"/>
    <mergeCell ref="T145:V145"/>
    <mergeCell ref="W145:Y145"/>
    <mergeCell ref="Z145:AB145"/>
    <mergeCell ref="AC146:AE146"/>
    <mergeCell ref="AF146:AI146"/>
    <mergeCell ref="E147:F148"/>
    <mergeCell ref="G147:G148"/>
    <mergeCell ref="H147:I148"/>
    <mergeCell ref="W146:Y146"/>
    <mergeCell ref="Z146:AB146"/>
    <mergeCell ref="H146:J146"/>
    <mergeCell ref="N146:P146"/>
    <mergeCell ref="Q146:S146"/>
    <mergeCell ref="J147:J148"/>
    <mergeCell ref="N147:O148"/>
    <mergeCell ref="P147:P148"/>
    <mergeCell ref="Q147:R148"/>
    <mergeCell ref="S147:S148"/>
    <mergeCell ref="T147:U148"/>
    <mergeCell ref="V147:V148"/>
    <mergeCell ref="T146:V146"/>
    <mergeCell ref="K146:M146"/>
    <mergeCell ref="K147:L148"/>
    <mergeCell ref="M147:M148"/>
    <mergeCell ref="A177:AI177"/>
    <mergeCell ref="A172:V172"/>
    <mergeCell ref="A173:V173"/>
    <mergeCell ref="A174:AI174"/>
    <mergeCell ref="A175:AI175"/>
    <mergeCell ref="A176:AI176"/>
    <mergeCell ref="AC147:AD148"/>
    <mergeCell ref="AE147:AE148"/>
    <mergeCell ref="AF147:AG147"/>
    <mergeCell ref="AH147:AH148"/>
    <mergeCell ref="AF148:AG148"/>
    <mergeCell ref="W147:X147"/>
    <mergeCell ref="Z147:AA147"/>
    <mergeCell ref="W148:X148"/>
    <mergeCell ref="Z148:AA148"/>
    <mergeCell ref="A155:V155"/>
    <mergeCell ref="A156:AI156"/>
    <mergeCell ref="A146:A148"/>
    <mergeCell ref="B146:B148"/>
    <mergeCell ref="C146:C148"/>
    <mergeCell ref="D146:D148"/>
    <mergeCell ref="E146:G146"/>
    <mergeCell ref="A157:AI157"/>
    <mergeCell ref="A158:AI158"/>
    <mergeCell ref="K129:L130"/>
    <mergeCell ref="M129:M130"/>
    <mergeCell ref="K125:P126"/>
    <mergeCell ref="K38:M38"/>
    <mergeCell ref="K39:L40"/>
    <mergeCell ref="M39:M40"/>
    <mergeCell ref="K57:M57"/>
    <mergeCell ref="K58:M58"/>
    <mergeCell ref="K59:L60"/>
    <mergeCell ref="M59:M60"/>
    <mergeCell ref="K55:P56"/>
    <mergeCell ref="K107:P108"/>
    <mergeCell ref="A121:AI121"/>
    <mergeCell ref="A125:A127"/>
    <mergeCell ref="B125:B127"/>
    <mergeCell ref="W125:AB126"/>
    <mergeCell ref="AC125:AE127"/>
    <mergeCell ref="AF125:AI127"/>
    <mergeCell ref="A116:V116"/>
    <mergeCell ref="A117:V117"/>
    <mergeCell ref="A118:AI118"/>
    <mergeCell ref="A1:AJ1"/>
    <mergeCell ref="A2:AJ2"/>
    <mergeCell ref="A3:AJ3"/>
    <mergeCell ref="K109:M109"/>
    <mergeCell ref="K110:M110"/>
    <mergeCell ref="K111:L112"/>
    <mergeCell ref="M111:M112"/>
    <mergeCell ref="K12:P13"/>
    <mergeCell ref="AE111:AE112"/>
    <mergeCell ref="AF111:AG111"/>
    <mergeCell ref="AH111:AH112"/>
    <mergeCell ref="AF112:AG112"/>
    <mergeCell ref="W111:X111"/>
    <mergeCell ref="Z111:AA111"/>
    <mergeCell ref="AF110:AI110"/>
    <mergeCell ref="E111:F112"/>
    <mergeCell ref="G111:G112"/>
    <mergeCell ref="H111:I112"/>
    <mergeCell ref="J111:J112"/>
    <mergeCell ref="N111:O112"/>
    <mergeCell ref="P111:P112"/>
    <mergeCell ref="Q111:R112"/>
    <mergeCell ref="S111:S112"/>
    <mergeCell ref="T111:U112"/>
    <mergeCell ref="K127:M127"/>
    <mergeCell ref="K128:M128"/>
    <mergeCell ref="K14:M14"/>
    <mergeCell ref="K15:M15"/>
    <mergeCell ref="K16:L17"/>
    <mergeCell ref="M16:M17"/>
    <mergeCell ref="K18:L20"/>
    <mergeCell ref="M18:M20"/>
    <mergeCell ref="K37:M37"/>
    <mergeCell ref="K35:P36"/>
    <mergeCell ref="A119:AI119"/>
    <mergeCell ref="A120:AI120"/>
    <mergeCell ref="AC111:AD112"/>
    <mergeCell ref="V111:V112"/>
    <mergeCell ref="Z110:AB110"/>
    <mergeCell ref="W110:Y110"/>
    <mergeCell ref="H110:J110"/>
    <mergeCell ref="N110:P110"/>
    <mergeCell ref="Q110:S110"/>
    <mergeCell ref="T110:V110"/>
    <mergeCell ref="A110:A112"/>
    <mergeCell ref="B110:B112"/>
    <mergeCell ref="C110:C112"/>
    <mergeCell ref="D110:D112"/>
  </mergeCells>
  <printOptions horizontalCentered="1"/>
  <pageMargins left="1.1499999999999999" right="0.25" top="3.9370078740157501E-2" bottom="3.9370078740157501E-2" header="0" footer="0"/>
  <pageSetup paperSize="5" scale="38" orientation="landscape" horizontalDpi="4294967293" r:id="rId1"/>
  <rowBreaks count="2" manualBreakCount="2">
    <brk id="65" max="16383" man="1"/>
    <brk id="14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M65"/>
  <sheetViews>
    <sheetView showRuler="0" view="pageBreakPreview" zoomScale="70" zoomScaleNormal="40" zoomScaleSheetLayoutView="70" zoomScalePageLayoutView="55" workbookViewId="0">
      <selection activeCell="D28" sqref="D28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6" width="8" style="2" customWidth="1"/>
    <col min="7" max="7" width="20.7109375" style="2" bestFit="1" customWidth="1"/>
    <col min="8" max="8" width="9.7109375" style="2" customWidth="1"/>
    <col min="9" max="9" width="7.7109375" style="2" customWidth="1"/>
    <col min="10" max="10" width="19.140625" style="2" customWidth="1"/>
    <col min="11" max="11" width="9" style="2" customWidth="1"/>
    <col min="12" max="12" width="7.7109375" style="2" customWidth="1"/>
    <col min="13" max="13" width="19.28515625" style="2" customWidth="1"/>
    <col min="14" max="14" width="9" style="2" customWidth="1"/>
    <col min="15" max="15" width="7.7109375" style="2" customWidth="1"/>
    <col min="16" max="16" width="19.28515625" style="2" customWidth="1"/>
    <col min="17" max="17" width="7.7109375" style="2" customWidth="1"/>
    <col min="18" max="18" width="7.5703125" style="2" customWidth="1"/>
    <col min="19" max="19" width="19.140625" style="2" customWidth="1"/>
    <col min="20" max="20" width="7.7109375" style="2" customWidth="1"/>
    <col min="21" max="21" width="7.42578125" style="2" customWidth="1"/>
    <col min="22" max="22" width="18.28515625" style="2" customWidth="1"/>
    <col min="23" max="23" width="11.140625" style="2" customWidth="1"/>
    <col min="24" max="24" width="5.5703125" style="62" customWidth="1"/>
    <col min="25" max="25" width="10" style="2" customWidth="1"/>
    <col min="26" max="26" width="8.85546875" style="2" customWidth="1"/>
    <col min="27" max="27" width="8.5703125" style="2" customWidth="1"/>
    <col min="28" max="28" width="10.85546875" style="2" customWidth="1"/>
    <col min="29" max="30" width="7.7109375" style="2" customWidth="1"/>
    <col min="31" max="31" width="18.42578125" style="2" customWidth="1"/>
    <col min="32" max="32" width="8.5703125" style="2" customWidth="1"/>
    <col min="33" max="33" width="10.140625" style="2" customWidth="1"/>
    <col min="34" max="34" width="11.5703125" style="2" customWidth="1"/>
    <col min="35" max="35" width="15.140625" style="2" customWidth="1"/>
    <col min="36" max="36" width="17.85546875" style="2" customWidth="1"/>
    <col min="37" max="38" width="9.140625" style="2"/>
    <col min="39" max="39" width="19.5703125" style="2" customWidth="1"/>
    <col min="40" max="16384" width="9.140625" style="2"/>
  </cols>
  <sheetData>
    <row r="1" spans="1:39" ht="23.25" x14ac:dyDescent="0.35">
      <c r="A1" s="410" t="s">
        <v>24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0"/>
      <c r="AG1" s="410"/>
      <c r="AH1" s="410"/>
      <c r="AI1" s="410"/>
      <c r="AJ1" s="410"/>
    </row>
    <row r="2" spans="1:39" ht="23.25" x14ac:dyDescent="0.35">
      <c r="A2" s="410" t="s">
        <v>25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</row>
    <row r="3" spans="1:39" ht="23.25" x14ac:dyDescent="0.2">
      <c r="A3" s="418" t="s">
        <v>607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</row>
    <row r="4" spans="1:39" ht="18" x14ac:dyDescent="0.2">
      <c r="A4" s="447" t="s">
        <v>12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</row>
    <row r="5" spans="1:39" ht="18" customHeight="1" x14ac:dyDescent="0.2">
      <c r="A5" s="447" t="s">
        <v>271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</row>
    <row r="6" spans="1:39" ht="15" x14ac:dyDescent="0.2">
      <c r="A6" s="448"/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  <c r="AC6" s="448"/>
      <c r="AD6" s="448"/>
      <c r="AE6" s="448"/>
      <c r="AF6" s="448"/>
      <c r="AG6" s="448"/>
      <c r="AH6" s="448"/>
      <c r="AI6" s="448"/>
    </row>
    <row r="7" spans="1:39" s="133" customFormat="1" ht="68.25" customHeight="1" x14ac:dyDescent="0.2">
      <c r="A7" s="444" t="s">
        <v>0</v>
      </c>
      <c r="B7" s="444" t="s">
        <v>272</v>
      </c>
      <c r="C7" s="445" t="s">
        <v>1</v>
      </c>
      <c r="D7" s="445" t="s">
        <v>327</v>
      </c>
      <c r="E7" s="435" t="s">
        <v>21</v>
      </c>
      <c r="F7" s="436"/>
      <c r="G7" s="437"/>
      <c r="H7" s="435" t="s">
        <v>20</v>
      </c>
      <c r="I7" s="436"/>
      <c r="J7" s="437"/>
      <c r="K7" s="412" t="s">
        <v>582</v>
      </c>
      <c r="L7" s="413"/>
      <c r="M7" s="413"/>
      <c r="N7" s="413"/>
      <c r="O7" s="413"/>
      <c r="P7" s="414"/>
      <c r="Q7" s="412" t="s">
        <v>583</v>
      </c>
      <c r="R7" s="413"/>
      <c r="S7" s="413"/>
      <c r="T7" s="413"/>
      <c r="U7" s="413"/>
      <c r="V7" s="413"/>
      <c r="W7" s="412" t="s">
        <v>584</v>
      </c>
      <c r="X7" s="413"/>
      <c r="Y7" s="413"/>
      <c r="Z7" s="413"/>
      <c r="AA7" s="413"/>
      <c r="AB7" s="413"/>
      <c r="AC7" s="412" t="s">
        <v>19</v>
      </c>
      <c r="AD7" s="413"/>
      <c r="AE7" s="414"/>
      <c r="AF7" s="412" t="s">
        <v>4</v>
      </c>
      <c r="AG7" s="413"/>
      <c r="AH7" s="413"/>
      <c r="AI7" s="414"/>
      <c r="AJ7" s="433" t="s">
        <v>294</v>
      </c>
    </row>
    <row r="8" spans="1:39" s="133" customFormat="1" ht="18" customHeight="1" x14ac:dyDescent="0.2">
      <c r="A8" s="444"/>
      <c r="B8" s="444"/>
      <c r="C8" s="445"/>
      <c r="D8" s="445"/>
      <c r="E8" s="438"/>
      <c r="F8" s="439"/>
      <c r="G8" s="440"/>
      <c r="H8" s="438"/>
      <c r="I8" s="439"/>
      <c r="J8" s="440"/>
      <c r="K8" s="415"/>
      <c r="L8" s="416"/>
      <c r="M8" s="416"/>
      <c r="N8" s="416"/>
      <c r="O8" s="416"/>
      <c r="P8" s="417"/>
      <c r="Q8" s="415"/>
      <c r="R8" s="416"/>
      <c r="S8" s="416"/>
      <c r="T8" s="416"/>
      <c r="U8" s="416"/>
      <c r="V8" s="416"/>
      <c r="W8" s="415"/>
      <c r="X8" s="416"/>
      <c r="Y8" s="416"/>
      <c r="Z8" s="416"/>
      <c r="AA8" s="416"/>
      <c r="AB8" s="416"/>
      <c r="AC8" s="430"/>
      <c r="AD8" s="431"/>
      <c r="AE8" s="432"/>
      <c r="AF8" s="430"/>
      <c r="AG8" s="431"/>
      <c r="AH8" s="431"/>
      <c r="AI8" s="432"/>
      <c r="AJ8" s="434"/>
    </row>
    <row r="9" spans="1:39" s="133" customFormat="1" ht="15.75" customHeight="1" x14ac:dyDescent="0.2">
      <c r="A9" s="444"/>
      <c r="B9" s="444"/>
      <c r="C9" s="445"/>
      <c r="D9" s="445"/>
      <c r="E9" s="441"/>
      <c r="F9" s="442"/>
      <c r="G9" s="443"/>
      <c r="H9" s="441"/>
      <c r="I9" s="442"/>
      <c r="J9" s="443"/>
      <c r="K9" s="398" t="s">
        <v>580</v>
      </c>
      <c r="L9" s="399"/>
      <c r="M9" s="400"/>
      <c r="N9" s="398" t="s">
        <v>581</v>
      </c>
      <c r="O9" s="399"/>
      <c r="P9" s="400"/>
      <c r="Q9" s="398" t="s">
        <v>580</v>
      </c>
      <c r="R9" s="399"/>
      <c r="S9" s="400"/>
      <c r="T9" s="398" t="s">
        <v>581</v>
      </c>
      <c r="U9" s="399"/>
      <c r="V9" s="400"/>
      <c r="W9" s="398" t="s">
        <v>580</v>
      </c>
      <c r="X9" s="399"/>
      <c r="Y9" s="400"/>
      <c r="Z9" s="398" t="s">
        <v>581</v>
      </c>
      <c r="AA9" s="399"/>
      <c r="AB9" s="400"/>
      <c r="AC9" s="415"/>
      <c r="AD9" s="416"/>
      <c r="AE9" s="417"/>
      <c r="AF9" s="415"/>
      <c r="AG9" s="416"/>
      <c r="AH9" s="416"/>
      <c r="AI9" s="417"/>
      <c r="AJ9" s="128"/>
    </row>
    <row r="10" spans="1:39" s="103" customFormat="1" ht="15.75" x14ac:dyDescent="0.25">
      <c r="A10" s="411">
        <v>1</v>
      </c>
      <c r="B10" s="411">
        <v>2</v>
      </c>
      <c r="C10" s="411">
        <v>3</v>
      </c>
      <c r="D10" s="411">
        <v>4</v>
      </c>
      <c r="E10" s="420">
        <v>5</v>
      </c>
      <c r="F10" s="421"/>
      <c r="G10" s="422"/>
      <c r="H10" s="420">
        <v>6</v>
      </c>
      <c r="I10" s="421"/>
      <c r="J10" s="422"/>
      <c r="K10" s="401">
        <v>7</v>
      </c>
      <c r="L10" s="402"/>
      <c r="M10" s="403"/>
      <c r="N10" s="401">
        <v>8</v>
      </c>
      <c r="O10" s="402"/>
      <c r="P10" s="403"/>
      <c r="Q10" s="401">
        <v>12</v>
      </c>
      <c r="R10" s="402"/>
      <c r="S10" s="403"/>
      <c r="T10" s="401">
        <v>13</v>
      </c>
      <c r="U10" s="402"/>
      <c r="V10" s="403"/>
      <c r="W10" s="395">
        <v>17</v>
      </c>
      <c r="X10" s="396"/>
      <c r="Y10" s="397"/>
      <c r="Z10" s="395">
        <v>18</v>
      </c>
      <c r="AA10" s="396"/>
      <c r="AB10" s="397"/>
      <c r="AC10" s="395">
        <v>22</v>
      </c>
      <c r="AD10" s="396"/>
      <c r="AE10" s="397"/>
      <c r="AF10" s="395">
        <v>23</v>
      </c>
      <c r="AG10" s="396"/>
      <c r="AH10" s="396"/>
      <c r="AI10" s="397"/>
      <c r="AJ10" s="129"/>
    </row>
    <row r="11" spans="1:39" s="103" customFormat="1" ht="87" customHeight="1" x14ac:dyDescent="0.2">
      <c r="A11" s="419"/>
      <c r="B11" s="419"/>
      <c r="C11" s="419"/>
      <c r="D11" s="419"/>
      <c r="E11" s="404" t="s">
        <v>2</v>
      </c>
      <c r="F11" s="405"/>
      <c r="G11" s="408" t="s">
        <v>3</v>
      </c>
      <c r="H11" s="404" t="s">
        <v>2</v>
      </c>
      <c r="I11" s="405"/>
      <c r="J11" s="408" t="s">
        <v>3</v>
      </c>
      <c r="K11" s="404" t="s">
        <v>2</v>
      </c>
      <c r="L11" s="405"/>
      <c r="M11" s="411" t="s">
        <v>3</v>
      </c>
      <c r="N11" s="404" t="s">
        <v>2</v>
      </c>
      <c r="O11" s="405"/>
      <c r="P11" s="411" t="s">
        <v>3</v>
      </c>
      <c r="Q11" s="404" t="s">
        <v>2</v>
      </c>
      <c r="R11" s="405"/>
      <c r="S11" s="411" t="s">
        <v>3</v>
      </c>
      <c r="T11" s="404" t="s">
        <v>2</v>
      </c>
      <c r="U11" s="405"/>
      <c r="V11" s="411" t="s">
        <v>3</v>
      </c>
      <c r="W11" s="420" t="s">
        <v>13</v>
      </c>
      <c r="X11" s="422"/>
      <c r="Y11" s="106" t="s">
        <v>14</v>
      </c>
      <c r="Z11" s="420" t="s">
        <v>15</v>
      </c>
      <c r="AA11" s="422"/>
      <c r="AB11" s="106" t="s">
        <v>16</v>
      </c>
      <c r="AC11" s="404" t="s">
        <v>2</v>
      </c>
      <c r="AD11" s="405"/>
      <c r="AE11" s="405" t="s">
        <v>3</v>
      </c>
      <c r="AF11" s="420" t="s">
        <v>18</v>
      </c>
      <c r="AG11" s="422"/>
      <c r="AH11" s="425" t="s">
        <v>22</v>
      </c>
      <c r="AI11" s="106" t="s">
        <v>17</v>
      </c>
      <c r="AJ11" s="130"/>
      <c r="AM11" s="134"/>
    </row>
    <row r="12" spans="1:39" s="103" customFormat="1" ht="15.75" x14ac:dyDescent="0.2">
      <c r="A12" s="408"/>
      <c r="B12" s="408"/>
      <c r="C12" s="408"/>
      <c r="D12" s="408"/>
      <c r="E12" s="406"/>
      <c r="F12" s="407"/>
      <c r="G12" s="409"/>
      <c r="H12" s="406"/>
      <c r="I12" s="407"/>
      <c r="J12" s="409"/>
      <c r="K12" s="406"/>
      <c r="L12" s="407"/>
      <c r="M12" s="408"/>
      <c r="N12" s="406"/>
      <c r="O12" s="407"/>
      <c r="P12" s="408"/>
      <c r="Q12" s="406"/>
      <c r="R12" s="407"/>
      <c r="S12" s="408"/>
      <c r="T12" s="406"/>
      <c r="U12" s="407"/>
      <c r="V12" s="408"/>
      <c r="W12" s="406" t="s">
        <v>2</v>
      </c>
      <c r="X12" s="407"/>
      <c r="Y12" s="226" t="s">
        <v>3</v>
      </c>
      <c r="Z12" s="427" t="s">
        <v>2</v>
      </c>
      <c r="AA12" s="428"/>
      <c r="AB12" s="226" t="s">
        <v>3</v>
      </c>
      <c r="AC12" s="406"/>
      <c r="AD12" s="407"/>
      <c r="AE12" s="407"/>
      <c r="AF12" s="406" t="s">
        <v>2</v>
      </c>
      <c r="AG12" s="407"/>
      <c r="AH12" s="426"/>
      <c r="AI12" s="226" t="s">
        <v>3</v>
      </c>
      <c r="AJ12" s="130"/>
    </row>
    <row r="13" spans="1:39" ht="15" hidden="1" customHeight="1" x14ac:dyDescent="0.2">
      <c r="A13" s="464"/>
      <c r="B13" s="467" t="s">
        <v>33</v>
      </c>
      <c r="C13" s="455" t="s">
        <v>34</v>
      </c>
      <c r="D13" s="467" t="s">
        <v>35</v>
      </c>
      <c r="E13" s="458" t="s">
        <v>36</v>
      </c>
      <c r="F13" s="459"/>
      <c r="G13" s="464"/>
      <c r="H13" s="458" t="s">
        <v>37</v>
      </c>
      <c r="I13" s="459"/>
      <c r="J13" s="455" t="s">
        <v>38</v>
      </c>
      <c r="K13" s="449" t="s">
        <v>39</v>
      </c>
      <c r="L13" s="450"/>
      <c r="M13" s="455" t="s">
        <v>40</v>
      </c>
      <c r="N13" s="449" t="s">
        <v>39</v>
      </c>
      <c r="O13" s="450"/>
      <c r="P13" s="455" t="s">
        <v>40</v>
      </c>
      <c r="Q13" s="449" t="s">
        <v>41</v>
      </c>
      <c r="R13" s="450"/>
      <c r="S13" s="3"/>
      <c r="T13" s="3"/>
      <c r="U13" s="3"/>
      <c r="V13" s="3"/>
      <c r="W13" s="3"/>
      <c r="X13" s="97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9" ht="15" hidden="1" customHeight="1" x14ac:dyDescent="0.2">
      <c r="A14" s="465"/>
      <c r="B14" s="468"/>
      <c r="C14" s="456"/>
      <c r="D14" s="468"/>
      <c r="E14" s="460"/>
      <c r="F14" s="461"/>
      <c r="G14" s="465"/>
      <c r="H14" s="460"/>
      <c r="I14" s="461"/>
      <c r="J14" s="456"/>
      <c r="K14" s="451"/>
      <c r="L14" s="452"/>
      <c r="M14" s="456"/>
      <c r="N14" s="451"/>
      <c r="O14" s="452"/>
      <c r="P14" s="456"/>
      <c r="Q14" s="451"/>
      <c r="R14" s="452"/>
      <c r="S14" s="4"/>
      <c r="T14" s="4"/>
      <c r="U14" s="4"/>
      <c r="V14" s="4"/>
      <c r="W14" s="4"/>
      <c r="X14" s="98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9" ht="15" hidden="1" customHeight="1" x14ac:dyDescent="0.2">
      <c r="A15" s="466"/>
      <c r="B15" s="469"/>
      <c r="C15" s="457"/>
      <c r="D15" s="469"/>
      <c r="E15" s="462"/>
      <c r="F15" s="463"/>
      <c r="G15" s="466"/>
      <c r="H15" s="462"/>
      <c r="I15" s="463"/>
      <c r="J15" s="457"/>
      <c r="K15" s="453"/>
      <c r="L15" s="454"/>
      <c r="M15" s="457"/>
      <c r="N15" s="453"/>
      <c r="O15" s="454"/>
      <c r="P15" s="457"/>
      <c r="Q15" s="453"/>
      <c r="R15" s="454"/>
      <c r="S15" s="5"/>
      <c r="T15" s="5"/>
      <c r="U15" s="5"/>
      <c r="V15" s="5"/>
      <c r="W15" s="5"/>
      <c r="X15" s="99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9" ht="117.75" customHeight="1" x14ac:dyDescent="0.25">
      <c r="A16" s="114" t="s">
        <v>328</v>
      </c>
      <c r="B16" s="115" t="s">
        <v>329</v>
      </c>
      <c r="C16" s="110"/>
      <c r="D16" s="111" t="s">
        <v>330</v>
      </c>
      <c r="E16" s="266">
        <v>67.489999999999995</v>
      </c>
      <c r="F16" s="267" t="s">
        <v>28</v>
      </c>
      <c r="G16" s="315"/>
      <c r="H16" s="266">
        <v>50.9</v>
      </c>
      <c r="I16" s="267" t="s">
        <v>28</v>
      </c>
      <c r="J16" s="270">
        <f>J17+J24+J27</f>
        <v>808684514130</v>
      </c>
      <c r="K16" s="266">
        <v>49.64</v>
      </c>
      <c r="L16" s="267" t="s">
        <v>28</v>
      </c>
      <c r="M16" s="270">
        <f>M17+M24+M27</f>
        <v>173996161326</v>
      </c>
      <c r="N16" s="266">
        <v>51</v>
      </c>
      <c r="O16" s="267" t="s">
        <v>28</v>
      </c>
      <c r="P16" s="270">
        <f>P17+P24+P27</f>
        <v>100187165973</v>
      </c>
      <c r="Q16" s="266">
        <f>AVERAGE(Q17,Q24,Q27,Q32,Q35)</f>
        <v>45.084713606594761</v>
      </c>
      <c r="R16" s="267" t="s">
        <v>28</v>
      </c>
      <c r="S16" s="270">
        <f>S17+S24+S27</f>
        <v>168360552027</v>
      </c>
      <c r="T16" s="266">
        <f>AVERAGE(T17,T24,T27,T32,T35)</f>
        <v>52.428745919283685</v>
      </c>
      <c r="U16" s="267" t="s">
        <v>28</v>
      </c>
      <c r="V16" s="270">
        <f>V17+V24+V27</f>
        <v>89812179672</v>
      </c>
      <c r="W16" s="320">
        <f>Q16/K16*100</f>
        <v>90.823355371866967</v>
      </c>
      <c r="X16" s="317" t="s">
        <v>28</v>
      </c>
      <c r="Y16" s="321">
        <f t="shared" ref="Y16:Z18" si="0">S16/M16*100</f>
        <v>96.761072625940812</v>
      </c>
      <c r="Z16" s="320">
        <f t="shared" si="0"/>
        <v>102.80146258683077</v>
      </c>
      <c r="AA16" s="317" t="s">
        <v>28</v>
      </c>
      <c r="AB16" s="321">
        <f>V16/P16*100</f>
        <v>89.644395866236977</v>
      </c>
      <c r="AC16" s="266">
        <f>T16</f>
        <v>52.428745919283685</v>
      </c>
      <c r="AD16" s="271" t="s">
        <v>28</v>
      </c>
      <c r="AE16" s="372">
        <f t="shared" ref="AE16:AE21" si="1">S16+V16</f>
        <v>258172731699</v>
      </c>
      <c r="AF16" s="272"/>
      <c r="AG16" s="272"/>
      <c r="AH16" s="272"/>
      <c r="AI16" s="272"/>
      <c r="AJ16" s="131"/>
      <c r="AM16" s="134">
        <f t="shared" ref="AM16:AM37" si="2">S16</f>
        <v>168360552027</v>
      </c>
    </row>
    <row r="17" spans="1:39" ht="110.25" x14ac:dyDescent="0.25">
      <c r="A17" s="70">
        <v>12</v>
      </c>
      <c r="B17" s="65" t="s">
        <v>119</v>
      </c>
      <c r="C17" s="14"/>
      <c r="D17" s="66" t="s">
        <v>368</v>
      </c>
      <c r="E17" s="318">
        <v>74.5</v>
      </c>
      <c r="F17" s="274" t="s">
        <v>28</v>
      </c>
      <c r="G17" s="319">
        <f>SUM(G18:G19)</f>
        <v>99920372400</v>
      </c>
      <c r="H17" s="318">
        <v>67</v>
      </c>
      <c r="I17" s="274" t="s">
        <v>28</v>
      </c>
      <c r="J17" s="319">
        <f>SUM(J18:J20)</f>
        <v>316823724875</v>
      </c>
      <c r="K17" s="318">
        <v>62.45</v>
      </c>
      <c r="L17" s="274" t="s">
        <v>28</v>
      </c>
      <c r="M17" s="319">
        <f>SUM(M18:M20)</f>
        <v>107064248475</v>
      </c>
      <c r="N17" s="318">
        <v>63.6</v>
      </c>
      <c r="O17" s="274" t="s">
        <v>28</v>
      </c>
      <c r="P17" s="319">
        <f>SUM(P18:P20)</f>
        <v>52296956000</v>
      </c>
      <c r="Q17" s="318">
        <f>550.27/859.36*100</f>
        <v>64.032535840625584</v>
      </c>
      <c r="R17" s="274" t="s">
        <v>28</v>
      </c>
      <c r="S17" s="319">
        <f>SUM(S18:S20)</f>
        <v>103385830159</v>
      </c>
      <c r="T17" s="318">
        <f>567.55/859.36*100</f>
        <v>66.043334574567112</v>
      </c>
      <c r="U17" s="274" t="s">
        <v>28</v>
      </c>
      <c r="V17" s="319">
        <f>SUM(V18:V20)</f>
        <v>47804313554</v>
      </c>
      <c r="W17" s="312">
        <f>Q17/K17*100</f>
        <v>102.53408461269109</v>
      </c>
      <c r="X17" s="282" t="s">
        <v>28</v>
      </c>
      <c r="Y17" s="294">
        <f t="shared" si="0"/>
        <v>96.564288856089135</v>
      </c>
      <c r="Z17" s="312">
        <f>T17/N17*100</f>
        <v>103.84172102919358</v>
      </c>
      <c r="AA17" s="282" t="s">
        <v>28</v>
      </c>
      <c r="AB17" s="294">
        <f>V17/P17*100</f>
        <v>91.409361481765785</v>
      </c>
      <c r="AC17" s="277">
        <f>T17</f>
        <v>66.043334574567112</v>
      </c>
      <c r="AD17" s="378" t="s">
        <v>28</v>
      </c>
      <c r="AE17" s="374">
        <f t="shared" si="1"/>
        <v>151190143713</v>
      </c>
      <c r="AF17" s="275"/>
      <c r="AG17" s="275"/>
      <c r="AH17" s="275"/>
      <c r="AI17" s="275"/>
      <c r="AJ17" s="118" t="s">
        <v>331</v>
      </c>
      <c r="AM17" s="134">
        <f t="shared" si="2"/>
        <v>103385830159</v>
      </c>
    </row>
    <row r="18" spans="1:39" ht="60" x14ac:dyDescent="0.2">
      <c r="A18" s="17"/>
      <c r="B18" s="25"/>
      <c r="C18" s="14" t="s">
        <v>48</v>
      </c>
      <c r="D18" s="14" t="s">
        <v>332</v>
      </c>
      <c r="E18" s="77">
        <v>635.92999999999995</v>
      </c>
      <c r="F18" s="36" t="s">
        <v>333</v>
      </c>
      <c r="G18" s="23">
        <v>64616569000</v>
      </c>
      <c r="H18" s="78">
        <v>0.8</v>
      </c>
      <c r="I18" s="36" t="s">
        <v>333</v>
      </c>
      <c r="J18" s="24">
        <v>37986571500</v>
      </c>
      <c r="K18" s="58">
        <v>536.70000000000005</v>
      </c>
      <c r="L18" s="36" t="s">
        <v>333</v>
      </c>
      <c r="M18" s="9">
        <v>62066173000</v>
      </c>
      <c r="N18" s="58">
        <v>0.3</v>
      </c>
      <c r="O18" s="36" t="s">
        <v>333</v>
      </c>
      <c r="P18" s="9">
        <v>11109331000</v>
      </c>
      <c r="Q18" s="79">
        <v>550.27</v>
      </c>
      <c r="R18" s="36" t="s">
        <v>333</v>
      </c>
      <c r="S18" s="23">
        <v>60182399926</v>
      </c>
      <c r="T18" s="78">
        <v>0.35</v>
      </c>
      <c r="U18" s="36" t="s">
        <v>333</v>
      </c>
      <c r="V18" s="23">
        <v>10992841505</v>
      </c>
      <c r="W18" s="222">
        <f>Q18/K18*100</f>
        <v>102.52841438419973</v>
      </c>
      <c r="X18" s="18" t="s">
        <v>28</v>
      </c>
      <c r="Y18" s="289">
        <f t="shared" si="0"/>
        <v>96.964895718638871</v>
      </c>
      <c r="Z18" s="222">
        <f t="shared" si="0"/>
        <v>116.66666666666667</v>
      </c>
      <c r="AA18" s="18" t="s">
        <v>28</v>
      </c>
      <c r="AB18" s="289">
        <f>V18/P18*100</f>
        <v>98.951426553048066</v>
      </c>
      <c r="AC18" s="78">
        <f>T18</f>
        <v>0.35</v>
      </c>
      <c r="AD18" s="36" t="s">
        <v>333</v>
      </c>
      <c r="AE18" s="338">
        <f t="shared" si="1"/>
        <v>71175241431</v>
      </c>
      <c r="AF18" s="8"/>
      <c r="AG18" s="8"/>
      <c r="AH18" s="8"/>
      <c r="AI18" s="8"/>
      <c r="AM18" s="134">
        <f t="shared" si="2"/>
        <v>60182399926</v>
      </c>
    </row>
    <row r="19" spans="1:39" ht="60" x14ac:dyDescent="0.2">
      <c r="A19" s="64"/>
      <c r="B19" s="64"/>
      <c r="C19" s="265" t="s">
        <v>49</v>
      </c>
      <c r="D19" s="265" t="s">
        <v>332</v>
      </c>
      <c r="E19" s="77">
        <v>635.92999999999995</v>
      </c>
      <c r="F19" s="18" t="s">
        <v>333</v>
      </c>
      <c r="G19" s="23">
        <v>35303803400</v>
      </c>
      <c r="H19" s="58">
        <v>536.70000000000005</v>
      </c>
      <c r="I19" s="18" t="s">
        <v>333</v>
      </c>
      <c r="J19" s="11">
        <v>42178173475</v>
      </c>
      <c r="K19" s="58">
        <v>536.70000000000005</v>
      </c>
      <c r="L19" s="18" t="s">
        <v>333</v>
      </c>
      <c r="M19" s="9">
        <v>44998075475</v>
      </c>
      <c r="N19" s="58"/>
      <c r="O19" s="18"/>
      <c r="P19" s="9"/>
      <c r="Q19" s="79">
        <v>550.27</v>
      </c>
      <c r="R19" s="18" t="s">
        <v>333</v>
      </c>
      <c r="S19" s="23">
        <v>43203430233</v>
      </c>
      <c r="T19" s="77"/>
      <c r="U19" s="18"/>
      <c r="V19" s="23"/>
      <c r="W19" s="222">
        <f>Q19/K19*100</f>
        <v>102.52841438419973</v>
      </c>
      <c r="X19" s="18" t="s">
        <v>28</v>
      </c>
      <c r="Y19" s="289">
        <f>S19/M19*100</f>
        <v>96.011728894945591</v>
      </c>
      <c r="Z19" s="222"/>
      <c r="AA19" s="18"/>
      <c r="AB19" s="289"/>
      <c r="AC19" s="78">
        <f>Q19</f>
        <v>550.27</v>
      </c>
      <c r="AD19" s="36" t="s">
        <v>333</v>
      </c>
      <c r="AE19" s="338">
        <f t="shared" si="1"/>
        <v>43203430233</v>
      </c>
      <c r="AF19" s="8"/>
      <c r="AG19" s="8"/>
      <c r="AH19" s="8"/>
      <c r="AI19" s="8"/>
      <c r="AM19" s="134">
        <f t="shared" si="2"/>
        <v>43203430233</v>
      </c>
    </row>
    <row r="20" spans="1:39" ht="60" x14ac:dyDescent="0.2">
      <c r="A20" s="17"/>
      <c r="B20" s="25"/>
      <c r="C20" s="14" t="s">
        <v>334</v>
      </c>
      <c r="D20" s="14" t="s">
        <v>332</v>
      </c>
      <c r="E20" s="77">
        <v>0</v>
      </c>
      <c r="F20" s="36" t="s">
        <v>333</v>
      </c>
      <c r="G20" s="83"/>
      <c r="H20" s="78">
        <v>575.77</v>
      </c>
      <c r="I20" s="36" t="s">
        <v>333</v>
      </c>
      <c r="J20" s="24">
        <v>236658979900</v>
      </c>
      <c r="K20" s="58"/>
      <c r="L20" s="36"/>
      <c r="M20" s="9"/>
      <c r="N20" s="58">
        <v>546.58000000000004</v>
      </c>
      <c r="O20" s="36" t="s">
        <v>333</v>
      </c>
      <c r="P20" s="9">
        <v>41187625000</v>
      </c>
      <c r="Q20" s="58"/>
      <c r="R20" s="36"/>
      <c r="S20" s="23"/>
      <c r="T20" s="58">
        <v>570.19999999999993</v>
      </c>
      <c r="U20" s="36" t="s">
        <v>333</v>
      </c>
      <c r="V20" s="23">
        <v>36811472049</v>
      </c>
      <c r="W20" s="222"/>
      <c r="X20" s="18"/>
      <c r="Y20" s="289"/>
      <c r="Z20" s="222">
        <f>T20/N20*100</f>
        <v>104.32141680998205</v>
      </c>
      <c r="AA20" s="18" t="s">
        <v>28</v>
      </c>
      <c r="AB20" s="289">
        <f t="shared" ref="AB20" si="3">V20/P20*100</f>
        <v>89.375078191568463</v>
      </c>
      <c r="AC20" s="78">
        <f t="shared" ref="AC20:AC30" si="4">T20</f>
        <v>570.19999999999993</v>
      </c>
      <c r="AD20" s="36" t="s">
        <v>333</v>
      </c>
      <c r="AE20" s="338">
        <f t="shared" si="1"/>
        <v>36811472049</v>
      </c>
      <c r="AF20" s="8"/>
      <c r="AG20" s="8"/>
      <c r="AH20" s="8"/>
      <c r="AI20" s="8"/>
      <c r="AM20" s="134">
        <f t="shared" si="2"/>
        <v>0</v>
      </c>
    </row>
    <row r="21" spans="1:39" ht="105" x14ac:dyDescent="0.2">
      <c r="A21" s="64"/>
      <c r="B21" s="64"/>
      <c r="C21" s="101" t="s">
        <v>335</v>
      </c>
      <c r="D21" s="14" t="s">
        <v>336</v>
      </c>
      <c r="E21" s="78">
        <v>93.33</v>
      </c>
      <c r="F21" s="36" t="s">
        <v>28</v>
      </c>
      <c r="G21" s="245"/>
      <c r="H21" s="58">
        <v>95.45</v>
      </c>
      <c r="I21" s="36" t="s">
        <v>28</v>
      </c>
      <c r="J21" s="245">
        <v>864544000</v>
      </c>
      <c r="K21" s="58">
        <v>92.86</v>
      </c>
      <c r="L21" s="36" t="s">
        <v>28</v>
      </c>
      <c r="M21" s="245">
        <v>864544000</v>
      </c>
      <c r="N21" s="58">
        <v>94.29</v>
      </c>
      <c r="O21" s="36" t="s">
        <v>28</v>
      </c>
      <c r="P21" s="245">
        <v>1033158000</v>
      </c>
      <c r="Q21" s="78">
        <f>13/14*100</f>
        <v>92.857142857142861</v>
      </c>
      <c r="R21" s="36" t="s">
        <v>28</v>
      </c>
      <c r="S21" s="247">
        <v>853169000</v>
      </c>
      <c r="T21" s="78">
        <f>17/17*100</f>
        <v>100</v>
      </c>
      <c r="U21" s="36" t="s">
        <v>28</v>
      </c>
      <c r="V21" s="247">
        <v>987980100</v>
      </c>
      <c r="W21" s="222">
        <f t="shared" ref="W21:W28" si="5">Q21/K21*100</f>
        <v>99.996923171594716</v>
      </c>
      <c r="X21" s="18" t="s">
        <v>28</v>
      </c>
      <c r="Y21" s="291">
        <f>S21/M21*100</f>
        <v>98.684277491949516</v>
      </c>
      <c r="Z21" s="222">
        <f>T21/N21*100</f>
        <v>106.05578534309046</v>
      </c>
      <c r="AA21" s="18" t="s">
        <v>28</v>
      </c>
      <c r="AB21" s="291">
        <f>V21/P21*100</f>
        <v>95.627203196413319</v>
      </c>
      <c r="AC21" s="78">
        <f t="shared" si="4"/>
        <v>100</v>
      </c>
      <c r="AD21" s="156" t="s">
        <v>28</v>
      </c>
      <c r="AE21" s="245">
        <f t="shared" si="1"/>
        <v>1841149100</v>
      </c>
      <c r="AF21" s="8"/>
      <c r="AG21" s="8"/>
      <c r="AH21" s="8"/>
      <c r="AI21" s="8"/>
      <c r="AJ21" s="118" t="s">
        <v>340</v>
      </c>
      <c r="AM21" s="134">
        <f t="shared" si="2"/>
        <v>853169000</v>
      </c>
    </row>
    <row r="22" spans="1:39" ht="60" x14ac:dyDescent="0.2">
      <c r="A22" s="64"/>
      <c r="B22" s="64"/>
      <c r="C22" s="20"/>
      <c r="D22" s="14" t="s">
        <v>337</v>
      </c>
      <c r="E22" s="78">
        <v>85.42</v>
      </c>
      <c r="F22" s="36" t="s">
        <v>28</v>
      </c>
      <c r="G22" s="246"/>
      <c r="H22" s="58">
        <v>56.95</v>
      </c>
      <c r="I22" s="36" t="s">
        <v>28</v>
      </c>
      <c r="J22" s="246"/>
      <c r="K22" s="58">
        <v>88.27</v>
      </c>
      <c r="L22" s="36" t="s">
        <v>28</v>
      </c>
      <c r="M22" s="246"/>
      <c r="N22" s="58">
        <v>89.69</v>
      </c>
      <c r="O22" s="36" t="s">
        <v>28</v>
      </c>
      <c r="P22" s="246"/>
      <c r="Q22" s="78">
        <f>1396/1391*100</f>
        <v>100.35945363048167</v>
      </c>
      <c r="R22" s="36" t="s">
        <v>28</v>
      </c>
      <c r="S22" s="246"/>
      <c r="T22" s="78">
        <f>1811/1391*100</f>
        <v>130.19410496046012</v>
      </c>
      <c r="U22" s="36" t="s">
        <v>28</v>
      </c>
      <c r="V22" s="246"/>
      <c r="W22" s="222">
        <f t="shared" si="5"/>
        <v>113.69599369036104</v>
      </c>
      <c r="X22" s="18" t="s">
        <v>28</v>
      </c>
      <c r="Y22" s="292"/>
      <c r="Z22" s="222">
        <f t="shared" ref="Z22:Z28" si="6">T22/N22*100</f>
        <v>145.16011256601641</v>
      </c>
      <c r="AA22" s="18" t="s">
        <v>28</v>
      </c>
      <c r="AB22" s="292"/>
      <c r="AC22" s="78">
        <f t="shared" si="4"/>
        <v>130.19410496046012</v>
      </c>
      <c r="AD22" s="156" t="s">
        <v>28</v>
      </c>
      <c r="AE22" s="5"/>
      <c r="AF22" s="8"/>
      <c r="AG22" s="8"/>
      <c r="AH22" s="8"/>
      <c r="AI22" s="8"/>
      <c r="AM22" s="134">
        <f t="shared" si="2"/>
        <v>0</v>
      </c>
    </row>
    <row r="23" spans="1:39" ht="120" x14ac:dyDescent="0.2">
      <c r="A23" s="64"/>
      <c r="B23" s="64"/>
      <c r="C23" s="101" t="s">
        <v>338</v>
      </c>
      <c r="D23" s="14" t="s">
        <v>339</v>
      </c>
      <c r="E23" s="78">
        <v>54.79</v>
      </c>
      <c r="F23" s="36" t="s">
        <v>28</v>
      </c>
      <c r="G23" s="8"/>
      <c r="H23" s="58">
        <v>68.489999999999995</v>
      </c>
      <c r="I23" s="36" t="s">
        <v>28</v>
      </c>
      <c r="J23" s="11">
        <v>362979700</v>
      </c>
      <c r="K23" s="58">
        <v>57.53</v>
      </c>
      <c r="L23" s="36" t="s">
        <v>28</v>
      </c>
      <c r="M23" s="11">
        <v>362979700</v>
      </c>
      <c r="N23" s="58">
        <v>60.27</v>
      </c>
      <c r="O23" s="36" t="s">
        <v>28</v>
      </c>
      <c r="P23" s="11">
        <v>523090000</v>
      </c>
      <c r="Q23" s="78">
        <f>167/180*100</f>
        <v>92.777777777777786</v>
      </c>
      <c r="R23" s="36" t="s">
        <v>28</v>
      </c>
      <c r="S23" s="23">
        <v>362248334</v>
      </c>
      <c r="T23" s="78">
        <f>180/180*100</f>
        <v>100</v>
      </c>
      <c r="U23" s="36" t="s">
        <v>28</v>
      </c>
      <c r="V23" s="23">
        <v>452399400</v>
      </c>
      <c r="W23" s="222">
        <f>Q23/K23*100</f>
        <v>161.26851690905229</v>
      </c>
      <c r="X23" s="18" t="s">
        <v>28</v>
      </c>
      <c r="Y23" s="289">
        <f t="shared" ref="Y23:Y29" si="7">S23/M23*100</f>
        <v>99.798510495215027</v>
      </c>
      <c r="Z23" s="222">
        <f t="shared" si="6"/>
        <v>165.92002654720423</v>
      </c>
      <c r="AA23" s="18" t="s">
        <v>28</v>
      </c>
      <c r="AB23" s="289">
        <f t="shared" ref="AB23:AB29" si="8">V23/P23*100</f>
        <v>86.485958439274313</v>
      </c>
      <c r="AC23" s="78">
        <f t="shared" si="4"/>
        <v>100</v>
      </c>
      <c r="AD23" s="156" t="s">
        <v>28</v>
      </c>
      <c r="AE23" s="245">
        <f t="shared" ref="AE23:AE29" si="9">S23+V23</f>
        <v>814647734</v>
      </c>
      <c r="AF23" s="8"/>
      <c r="AG23" s="8"/>
      <c r="AH23" s="8"/>
      <c r="AI23" s="8"/>
      <c r="AM23" s="134">
        <f t="shared" si="2"/>
        <v>362248334</v>
      </c>
    </row>
    <row r="24" spans="1:39" ht="94.5" x14ac:dyDescent="0.25">
      <c r="A24" s="64"/>
      <c r="B24" s="64"/>
      <c r="C24" s="14"/>
      <c r="D24" s="66" t="s">
        <v>369</v>
      </c>
      <c r="E24" s="318">
        <v>85</v>
      </c>
      <c r="F24" s="274" t="s">
        <v>28</v>
      </c>
      <c r="G24" s="319">
        <f>SUM(G25:G26)</f>
        <v>27076430000</v>
      </c>
      <c r="H24" s="318">
        <v>71.430000000000007</v>
      </c>
      <c r="I24" s="274" t="s">
        <v>28</v>
      </c>
      <c r="J24" s="319">
        <f>SUM(J25:J26)</f>
        <v>163185085000</v>
      </c>
      <c r="K24" s="318">
        <v>62.68</v>
      </c>
      <c r="L24" s="274" t="s">
        <v>28</v>
      </c>
      <c r="M24" s="319">
        <f>SUM(M25:M26)</f>
        <v>39963572000</v>
      </c>
      <c r="N24" s="318">
        <v>65.599999999999994</v>
      </c>
      <c r="O24" s="274" t="s">
        <v>28</v>
      </c>
      <c r="P24" s="319">
        <f>SUM(P25:P26)</f>
        <v>18300465000</v>
      </c>
      <c r="Q24" s="318">
        <f>Q25</f>
        <v>61.90150838282441</v>
      </c>
      <c r="R24" s="274" t="s">
        <v>28</v>
      </c>
      <c r="S24" s="319">
        <f>SUM(S25:S26)</f>
        <v>38696421727</v>
      </c>
      <c r="T24" s="318">
        <f>T25</f>
        <v>65.60151363851368</v>
      </c>
      <c r="U24" s="274" t="s">
        <v>28</v>
      </c>
      <c r="V24" s="319">
        <f>SUM(V25:V26)</f>
        <v>16849280847</v>
      </c>
      <c r="W24" s="312">
        <f t="shared" si="5"/>
        <v>98.757990400166577</v>
      </c>
      <c r="X24" s="282" t="s">
        <v>28</v>
      </c>
      <c r="Y24" s="294">
        <f t="shared" si="7"/>
        <v>96.829236703365751</v>
      </c>
      <c r="Z24" s="312">
        <f>T24/N24*100</f>
        <v>100.00230737578306</v>
      </c>
      <c r="AA24" s="282" t="s">
        <v>28</v>
      </c>
      <c r="AB24" s="294">
        <f t="shared" si="8"/>
        <v>92.070233444887876</v>
      </c>
      <c r="AC24" s="277">
        <f t="shared" si="4"/>
        <v>65.60151363851368</v>
      </c>
      <c r="AD24" s="378" t="s">
        <v>28</v>
      </c>
      <c r="AE24" s="357">
        <f t="shared" si="9"/>
        <v>55545702574</v>
      </c>
      <c r="AF24" s="275"/>
      <c r="AG24" s="275"/>
      <c r="AH24" s="275"/>
      <c r="AI24" s="275"/>
      <c r="AJ24" s="118" t="s">
        <v>331</v>
      </c>
      <c r="AM24" s="134">
        <f t="shared" si="2"/>
        <v>38696421727</v>
      </c>
    </row>
    <row r="25" spans="1:39" ht="135" x14ac:dyDescent="0.2">
      <c r="A25" s="15"/>
      <c r="B25" s="15"/>
      <c r="C25" s="14" t="s">
        <v>46</v>
      </c>
      <c r="D25" s="14" t="s">
        <v>341</v>
      </c>
      <c r="E25" s="79">
        <v>85</v>
      </c>
      <c r="F25" s="36" t="s">
        <v>28</v>
      </c>
      <c r="G25" s="23">
        <v>22021826000</v>
      </c>
      <c r="H25" s="79">
        <v>71.430000000000007</v>
      </c>
      <c r="I25" s="36" t="s">
        <v>28</v>
      </c>
      <c r="J25" s="57">
        <v>143848835000</v>
      </c>
      <c r="K25" s="79">
        <v>62.68</v>
      </c>
      <c r="L25" s="36" t="s">
        <v>28</v>
      </c>
      <c r="M25" s="24">
        <v>35888505000</v>
      </c>
      <c r="N25" s="79">
        <v>65.599999999999994</v>
      </c>
      <c r="O25" s="36" t="s">
        <v>28</v>
      </c>
      <c r="P25" s="24">
        <v>14508765000</v>
      </c>
      <c r="Q25" s="78">
        <f>11778/19027*100</f>
        <v>61.90150838282441</v>
      </c>
      <c r="R25" s="36" t="s">
        <v>28</v>
      </c>
      <c r="S25" s="23">
        <v>34786381729</v>
      </c>
      <c r="T25" s="58">
        <f>12482/19027*100</f>
        <v>65.60151363851368</v>
      </c>
      <c r="U25" s="36" t="s">
        <v>28</v>
      </c>
      <c r="V25" s="9">
        <v>13213809361</v>
      </c>
      <c r="W25" s="222">
        <f t="shared" si="5"/>
        <v>98.757990400166577</v>
      </c>
      <c r="X25" s="18" t="s">
        <v>28</v>
      </c>
      <c r="Y25" s="289">
        <f t="shared" si="7"/>
        <v>96.929035436276877</v>
      </c>
      <c r="Z25" s="222">
        <f t="shared" si="6"/>
        <v>100.00230737578306</v>
      </c>
      <c r="AA25" s="18" t="s">
        <v>28</v>
      </c>
      <c r="AB25" s="289">
        <f t="shared" si="8"/>
        <v>91.074666665288191</v>
      </c>
      <c r="AC25" s="78">
        <f t="shared" si="4"/>
        <v>65.60151363851368</v>
      </c>
      <c r="AD25" s="156" t="s">
        <v>28</v>
      </c>
      <c r="AE25" s="338">
        <f t="shared" si="9"/>
        <v>48000191090</v>
      </c>
      <c r="AF25" s="8"/>
      <c r="AG25" s="8"/>
      <c r="AH25" s="8"/>
      <c r="AI25" s="8"/>
      <c r="AM25" s="134">
        <f t="shared" si="2"/>
        <v>34786381729</v>
      </c>
    </row>
    <row r="26" spans="1:39" ht="135" x14ac:dyDescent="0.2">
      <c r="A26" s="17"/>
      <c r="B26" s="65"/>
      <c r="C26" s="14" t="s">
        <v>47</v>
      </c>
      <c r="D26" s="14" t="s">
        <v>611</v>
      </c>
      <c r="E26" s="79">
        <v>30</v>
      </c>
      <c r="F26" s="36" t="s">
        <v>28</v>
      </c>
      <c r="G26" s="23">
        <v>5054604000</v>
      </c>
      <c r="H26" s="79">
        <v>69.78</v>
      </c>
      <c r="I26" s="36" t="s">
        <v>28</v>
      </c>
      <c r="J26" s="10">
        <v>19336250000</v>
      </c>
      <c r="K26" s="79">
        <v>49.71</v>
      </c>
      <c r="L26" s="36" t="s">
        <v>28</v>
      </c>
      <c r="M26" s="10">
        <v>4075067000</v>
      </c>
      <c r="N26" s="79">
        <v>55.44</v>
      </c>
      <c r="O26" s="36" t="s">
        <v>28</v>
      </c>
      <c r="P26" s="10">
        <v>3791700000</v>
      </c>
      <c r="Q26" s="79">
        <v>47.21</v>
      </c>
      <c r="R26" s="36" t="s">
        <v>28</v>
      </c>
      <c r="S26" s="23">
        <v>3910039998</v>
      </c>
      <c r="T26" s="79">
        <v>55.44</v>
      </c>
      <c r="U26" s="36" t="s">
        <v>28</v>
      </c>
      <c r="V26" s="9">
        <v>3635471486</v>
      </c>
      <c r="W26" s="222">
        <f t="shared" si="5"/>
        <v>94.970830818748738</v>
      </c>
      <c r="X26" s="18" t="s">
        <v>28</v>
      </c>
      <c r="Y26" s="289">
        <f t="shared" si="7"/>
        <v>95.950324203258504</v>
      </c>
      <c r="Z26" s="222">
        <f t="shared" si="6"/>
        <v>100</v>
      </c>
      <c r="AA26" s="18" t="s">
        <v>28</v>
      </c>
      <c r="AB26" s="289">
        <f t="shared" si="8"/>
        <v>95.879723765065805</v>
      </c>
      <c r="AC26" s="78">
        <f t="shared" si="4"/>
        <v>55.44</v>
      </c>
      <c r="AD26" s="156" t="s">
        <v>28</v>
      </c>
      <c r="AE26" s="338">
        <f t="shared" si="9"/>
        <v>7545511484</v>
      </c>
      <c r="AF26" s="8"/>
      <c r="AG26" s="8"/>
      <c r="AH26" s="8"/>
      <c r="AI26" s="8"/>
      <c r="AM26" s="134">
        <f t="shared" si="2"/>
        <v>3910039998</v>
      </c>
    </row>
    <row r="27" spans="1:39" ht="94.5" x14ac:dyDescent="0.25">
      <c r="A27" s="17"/>
      <c r="B27" s="64"/>
      <c r="C27" s="14"/>
      <c r="D27" s="66" t="s">
        <v>370</v>
      </c>
      <c r="E27" s="318">
        <v>14</v>
      </c>
      <c r="F27" s="274" t="s">
        <v>28</v>
      </c>
      <c r="G27" s="319">
        <f>SUM(G28:G31)</f>
        <v>21823166100</v>
      </c>
      <c r="H27" s="322">
        <v>100</v>
      </c>
      <c r="I27" s="274" t="s">
        <v>28</v>
      </c>
      <c r="J27" s="319">
        <f>SUM(J28:J31)</f>
        <v>328675704255</v>
      </c>
      <c r="K27" s="318">
        <v>24</v>
      </c>
      <c r="L27" s="274" t="s">
        <v>28</v>
      </c>
      <c r="M27" s="319">
        <f>SUM(M28:M31)</f>
        <v>26968340851</v>
      </c>
      <c r="N27" s="318">
        <v>48</v>
      </c>
      <c r="O27" s="274" t="s">
        <v>28</v>
      </c>
      <c r="P27" s="319">
        <f>SUM(P28:P31)</f>
        <v>29589744973</v>
      </c>
      <c r="Q27" s="318">
        <f>5/21*100</f>
        <v>23.809523809523807</v>
      </c>
      <c r="R27" s="274" t="s">
        <v>28</v>
      </c>
      <c r="S27" s="319">
        <f>SUM(S28:S31)</f>
        <v>26278300141</v>
      </c>
      <c r="T27" s="318">
        <f>11/21*100</f>
        <v>52.380952380952387</v>
      </c>
      <c r="U27" s="274" t="s">
        <v>28</v>
      </c>
      <c r="V27" s="319">
        <f>SUM(V28:V31)</f>
        <v>25158585271</v>
      </c>
      <c r="W27" s="312">
        <f>Q27/K27*100</f>
        <v>99.206349206349202</v>
      </c>
      <c r="X27" s="282" t="s">
        <v>28</v>
      </c>
      <c r="Y27" s="294">
        <f t="shared" si="7"/>
        <v>97.441293426939112</v>
      </c>
      <c r="Z27" s="312">
        <f>T27/N27*100</f>
        <v>109.12698412698414</v>
      </c>
      <c r="AA27" s="282" t="s">
        <v>28</v>
      </c>
      <c r="AB27" s="294">
        <f t="shared" si="8"/>
        <v>85.024677617048283</v>
      </c>
      <c r="AC27" s="277">
        <f t="shared" si="4"/>
        <v>52.380952380952387</v>
      </c>
      <c r="AD27" s="378" t="s">
        <v>28</v>
      </c>
      <c r="AE27" s="357">
        <f t="shared" si="9"/>
        <v>51436885412</v>
      </c>
      <c r="AF27" s="275"/>
      <c r="AG27" s="275"/>
      <c r="AH27" s="275"/>
      <c r="AI27" s="275"/>
      <c r="AM27" s="134">
        <f t="shared" si="2"/>
        <v>26278300141</v>
      </c>
    </row>
    <row r="28" spans="1:39" ht="90" x14ac:dyDescent="0.2">
      <c r="A28" s="17"/>
      <c r="B28" s="25"/>
      <c r="C28" s="14" t="s">
        <v>50</v>
      </c>
      <c r="D28" s="14" t="s">
        <v>342</v>
      </c>
      <c r="E28" s="32">
        <v>3</v>
      </c>
      <c r="F28" s="36" t="s">
        <v>245</v>
      </c>
      <c r="G28" s="23">
        <v>10214698000</v>
      </c>
      <c r="H28" s="32">
        <v>21</v>
      </c>
      <c r="I28" s="36" t="s">
        <v>245</v>
      </c>
      <c r="J28" s="9">
        <v>284258975000</v>
      </c>
      <c r="K28" s="32">
        <v>5</v>
      </c>
      <c r="L28" s="36" t="s">
        <v>245</v>
      </c>
      <c r="M28" s="10">
        <v>17593000000</v>
      </c>
      <c r="N28" s="32">
        <v>5</v>
      </c>
      <c r="O28" s="36" t="s">
        <v>245</v>
      </c>
      <c r="P28" s="10">
        <v>20470034975</v>
      </c>
      <c r="Q28" s="32">
        <v>5</v>
      </c>
      <c r="R28" s="36" t="s">
        <v>245</v>
      </c>
      <c r="S28" s="23">
        <v>17172543911</v>
      </c>
      <c r="T28" s="32">
        <v>6</v>
      </c>
      <c r="U28" s="36" t="s">
        <v>245</v>
      </c>
      <c r="V28" s="9">
        <v>16777231845</v>
      </c>
      <c r="W28" s="222">
        <f t="shared" si="5"/>
        <v>100</v>
      </c>
      <c r="X28" s="18" t="s">
        <v>28</v>
      </c>
      <c r="Y28" s="289">
        <f t="shared" si="7"/>
        <v>97.610094418234524</v>
      </c>
      <c r="Z28" s="222">
        <f t="shared" si="6"/>
        <v>120</v>
      </c>
      <c r="AA28" s="18" t="s">
        <v>28</v>
      </c>
      <c r="AB28" s="289">
        <f t="shared" si="8"/>
        <v>81.959956910137137</v>
      </c>
      <c r="AC28" s="78">
        <f>Q28+T28</f>
        <v>11</v>
      </c>
      <c r="AD28" s="36" t="s">
        <v>245</v>
      </c>
      <c r="AE28" s="11">
        <f t="shared" si="9"/>
        <v>33949775756</v>
      </c>
      <c r="AF28" s="8"/>
      <c r="AG28" s="8"/>
      <c r="AH28" s="8"/>
      <c r="AI28" s="8"/>
      <c r="AM28" s="134">
        <f t="shared" si="2"/>
        <v>17172543911</v>
      </c>
    </row>
    <row r="29" spans="1:39" ht="75" x14ac:dyDescent="0.2">
      <c r="A29" s="17"/>
      <c r="B29" s="25"/>
      <c r="C29" s="101" t="s">
        <v>343</v>
      </c>
      <c r="D29" s="14" t="s">
        <v>344</v>
      </c>
      <c r="E29" s="32">
        <v>59</v>
      </c>
      <c r="F29" s="36" t="s">
        <v>28</v>
      </c>
      <c r="G29" s="247">
        <v>11579574000</v>
      </c>
      <c r="H29" s="32">
        <v>73</v>
      </c>
      <c r="I29" s="36" t="s">
        <v>28</v>
      </c>
      <c r="J29" s="233">
        <v>44041923005</v>
      </c>
      <c r="K29" s="78">
        <v>59</v>
      </c>
      <c r="L29" s="36" t="s">
        <v>28</v>
      </c>
      <c r="M29" s="230">
        <v>9300534601</v>
      </c>
      <c r="N29" s="78">
        <v>63</v>
      </c>
      <c r="O29" s="36" t="s">
        <v>28</v>
      </c>
      <c r="P29" s="230">
        <v>9119709998</v>
      </c>
      <c r="Q29" s="79">
        <v>24.62</v>
      </c>
      <c r="R29" s="36" t="s">
        <v>28</v>
      </c>
      <c r="S29" s="247">
        <v>9061009230</v>
      </c>
      <c r="T29" s="78">
        <v>50.675871391329537</v>
      </c>
      <c r="U29" s="36" t="s">
        <v>28</v>
      </c>
      <c r="V29" s="233">
        <v>8381353426</v>
      </c>
      <c r="W29" s="222">
        <f t="shared" ref="W29:W37" si="10">Q29/K29*100</f>
        <v>41.728813559322035</v>
      </c>
      <c r="X29" s="18" t="s">
        <v>28</v>
      </c>
      <c r="Y29" s="291">
        <f t="shared" si="7"/>
        <v>97.424606420213252</v>
      </c>
      <c r="Z29" s="222">
        <f>T29/N29*100</f>
        <v>80.437891097348469</v>
      </c>
      <c r="AA29" s="18" t="s">
        <v>28</v>
      </c>
      <c r="AB29" s="291">
        <f t="shared" si="8"/>
        <v>91.903727507103554</v>
      </c>
      <c r="AC29" s="78">
        <f t="shared" si="4"/>
        <v>50.675871391329537</v>
      </c>
      <c r="AD29" s="36" t="s">
        <v>28</v>
      </c>
      <c r="AE29" s="245">
        <f t="shared" si="9"/>
        <v>17442362656</v>
      </c>
      <c r="AF29" s="8"/>
      <c r="AG29" s="8"/>
      <c r="AH29" s="8"/>
      <c r="AI29" s="8"/>
      <c r="AM29" s="134">
        <f t="shared" si="2"/>
        <v>9061009230</v>
      </c>
    </row>
    <row r="30" spans="1:39" ht="75" x14ac:dyDescent="0.2">
      <c r="A30" s="64"/>
      <c r="B30" s="64"/>
      <c r="C30" s="20"/>
      <c r="D30" s="14" t="s">
        <v>345</v>
      </c>
      <c r="E30" s="32">
        <v>79.680000000000007</v>
      </c>
      <c r="F30" s="36" t="s">
        <v>28</v>
      </c>
      <c r="G30" s="246"/>
      <c r="H30" s="32">
        <v>7.43</v>
      </c>
      <c r="I30" s="36" t="s">
        <v>28</v>
      </c>
      <c r="J30" s="50"/>
      <c r="K30" s="78">
        <v>6.98</v>
      </c>
      <c r="L30" s="36" t="s">
        <v>28</v>
      </c>
      <c r="M30" s="232"/>
      <c r="N30" s="78">
        <v>7.1</v>
      </c>
      <c r="O30" s="36" t="s">
        <v>28</v>
      </c>
      <c r="P30" s="232"/>
      <c r="Q30" s="79">
        <v>9.2200000000000006</v>
      </c>
      <c r="R30" s="36" t="s">
        <v>28</v>
      </c>
      <c r="S30" s="246"/>
      <c r="T30" s="32">
        <v>6.98</v>
      </c>
      <c r="U30" s="36" t="s">
        <v>28</v>
      </c>
      <c r="V30" s="50"/>
      <c r="W30" s="222">
        <f t="shared" si="10"/>
        <v>132.09169054441261</v>
      </c>
      <c r="X30" s="18" t="s">
        <v>28</v>
      </c>
      <c r="Y30" s="292"/>
      <c r="Z30" s="222">
        <f t="shared" ref="Z30" si="11">T30/N30*100</f>
        <v>98.309859154929597</v>
      </c>
      <c r="AA30" s="18" t="s">
        <v>28</v>
      </c>
      <c r="AB30" s="292"/>
      <c r="AC30" s="78">
        <f t="shared" si="4"/>
        <v>6.98</v>
      </c>
      <c r="AD30" s="36" t="s">
        <v>28</v>
      </c>
      <c r="AE30" s="5"/>
      <c r="AF30" s="8"/>
      <c r="AG30" s="8"/>
      <c r="AH30" s="8"/>
      <c r="AI30" s="8"/>
      <c r="AM30" s="134">
        <f t="shared" si="2"/>
        <v>0</v>
      </c>
    </row>
    <row r="31" spans="1:39" ht="75" x14ac:dyDescent="0.2">
      <c r="A31" s="17"/>
      <c r="B31" s="25"/>
      <c r="C31" s="14" t="s">
        <v>346</v>
      </c>
      <c r="D31" s="14" t="s">
        <v>347</v>
      </c>
      <c r="E31" s="32">
        <v>1.0900000000000001</v>
      </c>
      <c r="F31" s="36" t="s">
        <v>28</v>
      </c>
      <c r="G31" s="23">
        <v>28894100</v>
      </c>
      <c r="H31" s="32">
        <v>9.07</v>
      </c>
      <c r="I31" s="36" t="s">
        <v>28</v>
      </c>
      <c r="J31" s="9">
        <v>374806250</v>
      </c>
      <c r="K31" s="32">
        <v>1.81</v>
      </c>
      <c r="L31" s="36" t="s">
        <v>28</v>
      </c>
      <c r="M31" s="10">
        <v>74806250</v>
      </c>
      <c r="N31" s="32"/>
      <c r="O31" s="36"/>
      <c r="P31" s="10"/>
      <c r="Q31" s="79">
        <v>1.81</v>
      </c>
      <c r="R31" s="36" t="s">
        <v>28</v>
      </c>
      <c r="S31" s="23">
        <v>44747000</v>
      </c>
      <c r="T31" s="32"/>
      <c r="U31" s="36"/>
      <c r="V31" s="9"/>
      <c r="W31" s="222">
        <f t="shared" si="10"/>
        <v>100</v>
      </c>
      <c r="X31" s="18" t="s">
        <v>28</v>
      </c>
      <c r="Y31" s="289">
        <f t="shared" ref="Y31:Y37" si="12">S31/M31*100</f>
        <v>59.817194418915534</v>
      </c>
      <c r="Z31" s="222"/>
      <c r="AA31" s="18"/>
      <c r="AB31" s="289"/>
      <c r="AC31" s="78">
        <f>Q31</f>
        <v>1.81</v>
      </c>
      <c r="AD31" s="36" t="s">
        <v>28</v>
      </c>
      <c r="AE31" s="245">
        <f t="shared" ref="AE31:AE37" si="13">S31+V31</f>
        <v>44747000</v>
      </c>
      <c r="AF31" s="8"/>
      <c r="AG31" s="8"/>
      <c r="AH31" s="8"/>
      <c r="AI31" s="8"/>
      <c r="AM31" s="134">
        <f t="shared" si="2"/>
        <v>44747000</v>
      </c>
    </row>
    <row r="32" spans="1:39" ht="105" x14ac:dyDescent="0.25">
      <c r="A32" s="64"/>
      <c r="B32" s="64"/>
      <c r="C32" s="14"/>
      <c r="D32" s="66" t="s">
        <v>371</v>
      </c>
      <c r="E32" s="318">
        <v>24.83</v>
      </c>
      <c r="F32" s="274" t="s">
        <v>28</v>
      </c>
      <c r="G32" s="275"/>
      <c r="H32" s="318">
        <v>24.87</v>
      </c>
      <c r="I32" s="274" t="s">
        <v>28</v>
      </c>
      <c r="J32" s="276">
        <f>SUM(J33:J34)</f>
        <v>72136255000</v>
      </c>
      <c r="K32" s="318">
        <v>24.84</v>
      </c>
      <c r="L32" s="274" t="s">
        <v>28</v>
      </c>
      <c r="M32" s="276">
        <f>SUM(M33:M34)</f>
        <v>19475120000</v>
      </c>
      <c r="N32" s="318">
        <f>N33</f>
        <v>24.85</v>
      </c>
      <c r="O32" s="274" t="s">
        <v>28</v>
      </c>
      <c r="P32" s="276">
        <f>SUM(P33:P34)</f>
        <v>5835830000</v>
      </c>
      <c r="Q32" s="318">
        <v>24.84</v>
      </c>
      <c r="R32" s="274" t="s">
        <v>28</v>
      </c>
      <c r="S32" s="276">
        <f>SUM(S33:S34)</f>
        <v>18435277940</v>
      </c>
      <c r="T32" s="318">
        <f>T33</f>
        <v>24.877929002385294</v>
      </c>
      <c r="U32" s="274" t="s">
        <v>28</v>
      </c>
      <c r="V32" s="276">
        <f>SUM(V33:V34)</f>
        <v>5461836664</v>
      </c>
      <c r="W32" s="312">
        <f t="shared" si="10"/>
        <v>100</v>
      </c>
      <c r="X32" s="282" t="s">
        <v>28</v>
      </c>
      <c r="Y32" s="294">
        <f t="shared" si="12"/>
        <v>94.66066417049035</v>
      </c>
      <c r="Z32" s="312">
        <f>T32/N32*100</f>
        <v>100.11239035165107</v>
      </c>
      <c r="AA32" s="282" t="s">
        <v>28</v>
      </c>
      <c r="AB32" s="294">
        <f t="shared" ref="AB32:AB37" si="14">V32/P32*100</f>
        <v>93.591428537157526</v>
      </c>
      <c r="AC32" s="277">
        <f t="shared" ref="AC32:AC37" si="15">T32</f>
        <v>24.877929002385294</v>
      </c>
      <c r="AD32" s="378" t="s">
        <v>28</v>
      </c>
      <c r="AE32" s="357">
        <f t="shared" si="13"/>
        <v>23897114604</v>
      </c>
      <c r="AF32" s="275"/>
      <c r="AG32" s="275"/>
      <c r="AH32" s="275"/>
      <c r="AI32" s="275"/>
      <c r="AJ32" s="150" t="s">
        <v>354</v>
      </c>
      <c r="AM32" s="134">
        <f t="shared" si="2"/>
        <v>18435277940</v>
      </c>
    </row>
    <row r="33" spans="1:39" ht="105" x14ac:dyDescent="0.2">
      <c r="A33" s="64"/>
      <c r="B33" s="64"/>
      <c r="C33" s="14" t="s">
        <v>351</v>
      </c>
      <c r="D33" s="14" t="s">
        <v>348</v>
      </c>
      <c r="E33" s="79">
        <v>24.83</v>
      </c>
      <c r="F33" s="36" t="s">
        <v>28</v>
      </c>
      <c r="G33" s="8"/>
      <c r="H33" s="79">
        <v>24.87</v>
      </c>
      <c r="I33" s="36" t="s">
        <v>28</v>
      </c>
      <c r="J33" s="9">
        <v>17619755000</v>
      </c>
      <c r="K33" s="79">
        <v>24.84</v>
      </c>
      <c r="L33" s="36" t="s">
        <v>28</v>
      </c>
      <c r="M33" s="10">
        <v>4635450000</v>
      </c>
      <c r="N33" s="79">
        <v>24.85</v>
      </c>
      <c r="O33" s="36" t="s">
        <v>28</v>
      </c>
      <c r="P33" s="10">
        <v>2545330000</v>
      </c>
      <c r="Q33" s="79">
        <v>24.84</v>
      </c>
      <c r="R33" s="36" t="s">
        <v>28</v>
      </c>
      <c r="S33" s="10">
        <v>4548259000</v>
      </c>
      <c r="T33" s="79">
        <f>106.383/427.62*100</f>
        <v>24.877929002385294</v>
      </c>
      <c r="U33" s="36" t="s">
        <v>28</v>
      </c>
      <c r="V33" s="10">
        <v>2406911989</v>
      </c>
      <c r="W33" s="222">
        <f t="shared" si="10"/>
        <v>100</v>
      </c>
      <c r="X33" s="18" t="s">
        <v>28</v>
      </c>
      <c r="Y33" s="289">
        <f t="shared" si="12"/>
        <v>98.119039143988175</v>
      </c>
      <c r="Z33" s="222">
        <f t="shared" ref="Z33:Z34" si="16">T33/N33*100</f>
        <v>100.11239035165107</v>
      </c>
      <c r="AA33" s="18" t="s">
        <v>28</v>
      </c>
      <c r="AB33" s="289">
        <f t="shared" si="14"/>
        <v>94.561883488584968</v>
      </c>
      <c r="AC33" s="78">
        <f t="shared" si="15"/>
        <v>24.877929002385294</v>
      </c>
      <c r="AD33" s="156" t="s">
        <v>28</v>
      </c>
      <c r="AE33" s="11">
        <f t="shared" si="13"/>
        <v>6955170989</v>
      </c>
      <c r="AF33" s="8"/>
      <c r="AG33" s="8"/>
      <c r="AH33" s="8"/>
      <c r="AI33" s="8"/>
      <c r="AM33" s="134">
        <f t="shared" si="2"/>
        <v>4548259000</v>
      </c>
    </row>
    <row r="34" spans="1:39" ht="90" x14ac:dyDescent="0.2">
      <c r="A34" s="64"/>
      <c r="B34" s="64"/>
      <c r="C34" s="14" t="s">
        <v>349</v>
      </c>
      <c r="D34" s="14" t="s">
        <v>350</v>
      </c>
      <c r="E34" s="79">
        <v>8</v>
      </c>
      <c r="F34" s="36" t="s">
        <v>28</v>
      </c>
      <c r="G34" s="8"/>
      <c r="H34" s="79">
        <v>60</v>
      </c>
      <c r="I34" s="36" t="s">
        <v>28</v>
      </c>
      <c r="J34" s="9">
        <v>54516500000</v>
      </c>
      <c r="K34" s="79">
        <v>12</v>
      </c>
      <c r="L34" s="36" t="s">
        <v>28</v>
      </c>
      <c r="M34" s="10">
        <v>14839670000</v>
      </c>
      <c r="N34" s="79">
        <v>53</v>
      </c>
      <c r="O34" s="36" t="s">
        <v>28</v>
      </c>
      <c r="P34" s="10">
        <v>3290500000</v>
      </c>
      <c r="Q34" s="79">
        <v>11.95</v>
      </c>
      <c r="R34" s="36" t="s">
        <v>28</v>
      </c>
      <c r="S34" s="10">
        <v>13887018940</v>
      </c>
      <c r="T34" s="79">
        <f>21/31*100</f>
        <v>67.741935483870961</v>
      </c>
      <c r="U34" s="36" t="s">
        <v>28</v>
      </c>
      <c r="V34" s="10">
        <v>3054924675</v>
      </c>
      <c r="W34" s="222">
        <f t="shared" si="10"/>
        <v>99.583333333333329</v>
      </c>
      <c r="X34" s="18" t="s">
        <v>28</v>
      </c>
      <c r="Y34" s="289">
        <f t="shared" si="12"/>
        <v>93.580375709163349</v>
      </c>
      <c r="Z34" s="222">
        <f t="shared" si="16"/>
        <v>127.81497261107728</v>
      </c>
      <c r="AA34" s="18" t="s">
        <v>28</v>
      </c>
      <c r="AB34" s="289">
        <f t="shared" si="14"/>
        <v>92.840743807931929</v>
      </c>
      <c r="AC34" s="78">
        <f t="shared" si="15"/>
        <v>67.741935483870961</v>
      </c>
      <c r="AD34" s="156" t="s">
        <v>28</v>
      </c>
      <c r="AE34" s="11">
        <f t="shared" si="13"/>
        <v>16941943615</v>
      </c>
      <c r="AF34" s="8"/>
      <c r="AG34" s="8"/>
      <c r="AH34" s="8"/>
      <c r="AI34" s="8"/>
      <c r="AM34" s="134">
        <f t="shared" si="2"/>
        <v>13887018940</v>
      </c>
    </row>
    <row r="35" spans="1:39" ht="126" x14ac:dyDescent="0.25">
      <c r="A35" s="15"/>
      <c r="B35" s="15"/>
      <c r="C35" s="14"/>
      <c r="D35" s="66" t="s">
        <v>372</v>
      </c>
      <c r="E35" s="318">
        <v>40.659999999999997</v>
      </c>
      <c r="F35" s="274" t="s">
        <v>28</v>
      </c>
      <c r="G35" s="275"/>
      <c r="H35" s="318">
        <v>82.32</v>
      </c>
      <c r="I35" s="274" t="s">
        <v>28</v>
      </c>
      <c r="J35" s="276">
        <f>J36</f>
        <v>75333630000</v>
      </c>
      <c r="K35" s="318">
        <f>K36</f>
        <v>53.05</v>
      </c>
      <c r="L35" s="274" t="s">
        <v>28</v>
      </c>
      <c r="M35" s="276">
        <f>M36</f>
        <v>9529106000</v>
      </c>
      <c r="N35" s="318">
        <f>N36</f>
        <v>59.98</v>
      </c>
      <c r="O35" s="274" t="s">
        <v>28</v>
      </c>
      <c r="P35" s="276">
        <f>P36</f>
        <v>6481625000</v>
      </c>
      <c r="Q35" s="318">
        <f>Q36</f>
        <v>50.84</v>
      </c>
      <c r="R35" s="274" t="s">
        <v>28</v>
      </c>
      <c r="S35" s="276">
        <f>S36</f>
        <v>9342807596</v>
      </c>
      <c r="T35" s="318">
        <f>T36</f>
        <v>53.24</v>
      </c>
      <c r="U35" s="274" t="s">
        <v>28</v>
      </c>
      <c r="V35" s="276">
        <f>V36</f>
        <v>6354775772</v>
      </c>
      <c r="W35" s="312">
        <f t="shared" si="10"/>
        <v>95.834118755890685</v>
      </c>
      <c r="X35" s="282" t="s">
        <v>28</v>
      </c>
      <c r="Y35" s="294">
        <f t="shared" si="12"/>
        <v>98.044954017722119</v>
      </c>
      <c r="Z35" s="312">
        <f>T35/N35*100</f>
        <v>88.762920973657899</v>
      </c>
      <c r="AA35" s="282" t="s">
        <v>28</v>
      </c>
      <c r="AB35" s="294">
        <f t="shared" si="14"/>
        <v>98.042940960021596</v>
      </c>
      <c r="AC35" s="277">
        <f t="shared" si="15"/>
        <v>53.24</v>
      </c>
      <c r="AD35" s="378" t="s">
        <v>28</v>
      </c>
      <c r="AE35" s="357">
        <f t="shared" si="13"/>
        <v>15697583368</v>
      </c>
      <c r="AF35" s="275"/>
      <c r="AG35" s="275"/>
      <c r="AH35" s="275"/>
      <c r="AI35" s="275"/>
      <c r="AM35" s="134">
        <f t="shared" si="2"/>
        <v>9342807596</v>
      </c>
    </row>
    <row r="36" spans="1:39" ht="105" x14ac:dyDescent="0.2">
      <c r="A36" s="64"/>
      <c r="B36" s="64"/>
      <c r="C36" s="14" t="s">
        <v>188</v>
      </c>
      <c r="D36" s="14" t="s">
        <v>189</v>
      </c>
      <c r="E36" s="32">
        <v>40.659999999999997</v>
      </c>
      <c r="F36" s="32" t="s">
        <v>28</v>
      </c>
      <c r="G36" s="8"/>
      <c r="H36" s="18">
        <v>82.32</v>
      </c>
      <c r="I36" s="32" t="s">
        <v>28</v>
      </c>
      <c r="J36" s="9">
        <v>75333630000</v>
      </c>
      <c r="K36" s="32">
        <v>53.05</v>
      </c>
      <c r="L36" s="32" t="s">
        <v>28</v>
      </c>
      <c r="M36" s="10">
        <v>9529106000</v>
      </c>
      <c r="N36" s="32">
        <v>59.98</v>
      </c>
      <c r="O36" s="32" t="s">
        <v>28</v>
      </c>
      <c r="P36" s="10">
        <v>6481625000</v>
      </c>
      <c r="Q36" s="32">
        <v>50.84</v>
      </c>
      <c r="R36" s="32" t="s">
        <v>28</v>
      </c>
      <c r="S36" s="63">
        <v>9342807596</v>
      </c>
      <c r="T36" s="78">
        <v>53.24</v>
      </c>
      <c r="U36" s="32" t="s">
        <v>28</v>
      </c>
      <c r="V36" s="63">
        <v>6354775772</v>
      </c>
      <c r="W36" s="222">
        <f t="shared" si="10"/>
        <v>95.834118755890685</v>
      </c>
      <c r="X36" s="18" t="s">
        <v>28</v>
      </c>
      <c r="Y36" s="289">
        <f t="shared" si="12"/>
        <v>98.044954017722119</v>
      </c>
      <c r="Z36" s="222">
        <f>T36/N36*100</f>
        <v>88.762920973657899</v>
      </c>
      <c r="AA36" s="18" t="s">
        <v>28</v>
      </c>
      <c r="AB36" s="289">
        <f t="shared" si="14"/>
        <v>98.042940960021596</v>
      </c>
      <c r="AC36" s="78">
        <f t="shared" si="15"/>
        <v>53.24</v>
      </c>
      <c r="AD36" s="156" t="s">
        <v>28</v>
      </c>
      <c r="AE36" s="11">
        <f t="shared" si="13"/>
        <v>15697583368</v>
      </c>
      <c r="AF36" s="8"/>
      <c r="AG36" s="8"/>
      <c r="AH36" s="8"/>
      <c r="AI36" s="8"/>
      <c r="AJ36" s="198" t="s">
        <v>354</v>
      </c>
      <c r="AM36" s="134">
        <f t="shared" si="2"/>
        <v>9342807596</v>
      </c>
    </row>
    <row r="37" spans="1:39" ht="60" x14ac:dyDescent="0.2">
      <c r="A37" s="16"/>
      <c r="B37" s="16"/>
      <c r="C37" s="14" t="s">
        <v>352</v>
      </c>
      <c r="D37" s="14" t="s">
        <v>353</v>
      </c>
      <c r="E37" s="79">
        <v>18.78</v>
      </c>
      <c r="F37" s="36" t="s">
        <v>28</v>
      </c>
      <c r="G37" s="8"/>
      <c r="H37" s="79">
        <v>44.01</v>
      </c>
      <c r="I37" s="36" t="s">
        <v>28</v>
      </c>
      <c r="J37" s="9">
        <v>34814402500</v>
      </c>
      <c r="K37" s="79">
        <v>23.97</v>
      </c>
      <c r="L37" s="36" t="s">
        <v>28</v>
      </c>
      <c r="M37" s="10">
        <v>7357100000</v>
      </c>
      <c r="N37" s="79">
        <v>28.98</v>
      </c>
      <c r="O37" s="36" t="s">
        <v>28</v>
      </c>
      <c r="P37" s="10">
        <v>6496030000</v>
      </c>
      <c r="Q37" s="79">
        <f>6959/19975*100</f>
        <v>34.838548185231538</v>
      </c>
      <c r="R37" s="36" t="s">
        <v>28</v>
      </c>
      <c r="S37" s="10">
        <v>7211519710</v>
      </c>
      <c r="T37" s="79">
        <f>7910/19975*100</f>
        <v>39.599499374217771</v>
      </c>
      <c r="U37" s="36" t="s">
        <v>28</v>
      </c>
      <c r="V37" s="10">
        <v>6409375999</v>
      </c>
      <c r="W37" s="222">
        <f t="shared" si="10"/>
        <v>145.34229530759924</v>
      </c>
      <c r="X37" s="18" t="s">
        <v>28</v>
      </c>
      <c r="Y37" s="289">
        <f t="shared" si="12"/>
        <v>98.021227249867465</v>
      </c>
      <c r="Z37" s="222">
        <f>T37/N37*100</f>
        <v>136.64423524574801</v>
      </c>
      <c r="AA37" s="18" t="s">
        <v>28</v>
      </c>
      <c r="AB37" s="289">
        <f t="shared" si="14"/>
        <v>98.666046785498224</v>
      </c>
      <c r="AC37" s="78">
        <f t="shared" si="15"/>
        <v>39.599499374217771</v>
      </c>
      <c r="AD37" s="156" t="s">
        <v>28</v>
      </c>
      <c r="AE37" s="11">
        <f t="shared" si="13"/>
        <v>13620895709</v>
      </c>
      <c r="AF37" s="8"/>
      <c r="AG37" s="8"/>
      <c r="AH37" s="8"/>
      <c r="AI37" s="8"/>
      <c r="AM37" s="134">
        <f t="shared" si="2"/>
        <v>7211519710</v>
      </c>
    </row>
    <row r="38" spans="1:39" ht="15" x14ac:dyDescent="0.2">
      <c r="A38" s="446" t="s">
        <v>5</v>
      </c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121">
        <f>AVERAGE(W17:W37)</f>
        <v>104.23299391169891</v>
      </c>
      <c r="X38" s="122"/>
      <c r="Y38" s="121"/>
      <c r="Z38" s="121">
        <f>AVERAGE(Z17:Z37)</f>
        <v>110.10815308423291</v>
      </c>
      <c r="AA38" s="102"/>
      <c r="AB38" s="102"/>
      <c r="AC38" s="102"/>
      <c r="AD38" s="102"/>
      <c r="AE38" s="102"/>
      <c r="AF38" s="102"/>
      <c r="AG38" s="102"/>
      <c r="AH38" s="102"/>
      <c r="AI38" s="102"/>
      <c r="AJ38" s="126"/>
    </row>
    <row r="39" spans="1:39" ht="15" x14ac:dyDescent="0.2">
      <c r="A39" s="446" t="s">
        <v>6</v>
      </c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195" t="str">
        <f>IF(W38&gt;=91,"Sangat Tinggi",IF(W38&gt;=76,"Tinggi",IF(W38&gt;=66,"Sedang",IF(W38&gt;=51,"Rendah",IF(W38&lt;=50,"Sangat Rendah")))))</f>
        <v>Sangat Tinggi</v>
      </c>
      <c r="X39" s="122"/>
      <c r="Y39" s="102"/>
      <c r="Z39" s="195" t="str">
        <f>IF(Z38&gt;=91,"Sangat Tinggi",IF(Z38&gt;=76,"Tinggi",IF(Z38&gt;=66,"Sedang",IF(Z38&gt;=51,"Rendah",IF(Z38&lt;=50,"Sangat Rendah")))))</f>
        <v>Sangat Tinggi</v>
      </c>
      <c r="AA39" s="102"/>
      <c r="AB39" s="102"/>
      <c r="AC39" s="102"/>
      <c r="AD39" s="102"/>
      <c r="AE39" s="102"/>
      <c r="AF39" s="102"/>
      <c r="AG39" s="102"/>
      <c r="AH39" s="102"/>
      <c r="AI39" s="102"/>
      <c r="AJ39" s="126"/>
    </row>
    <row r="40" spans="1:39" ht="15" x14ac:dyDescent="0.2">
      <c r="A40" s="429" t="s">
        <v>7</v>
      </c>
      <c r="B40" s="429"/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429"/>
      <c r="Q40" s="429"/>
      <c r="R40" s="429"/>
      <c r="S40" s="429"/>
      <c r="T40" s="429"/>
      <c r="U40" s="429"/>
      <c r="V40" s="429"/>
      <c r="W40" s="429"/>
      <c r="X40" s="429"/>
      <c r="Y40" s="429"/>
      <c r="Z40" s="429"/>
      <c r="AA40" s="429"/>
      <c r="AB40" s="429"/>
      <c r="AC40" s="429"/>
      <c r="AD40" s="429"/>
      <c r="AE40" s="429"/>
      <c r="AF40" s="429"/>
      <c r="AG40" s="429"/>
      <c r="AH40" s="429"/>
      <c r="AI40" s="429"/>
      <c r="AJ40" s="126"/>
    </row>
    <row r="41" spans="1:39" ht="15" x14ac:dyDescent="0.2">
      <c r="A41" s="429" t="s">
        <v>8</v>
      </c>
      <c r="B41" s="429"/>
      <c r="C41" s="429"/>
      <c r="D41" s="429"/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429"/>
      <c r="Q41" s="429"/>
      <c r="R41" s="429"/>
      <c r="S41" s="429"/>
      <c r="T41" s="429"/>
      <c r="U41" s="429"/>
      <c r="V41" s="429"/>
      <c r="W41" s="429"/>
      <c r="X41" s="429"/>
      <c r="Y41" s="429"/>
      <c r="Z41" s="429"/>
      <c r="AA41" s="429"/>
      <c r="AB41" s="429"/>
      <c r="AC41" s="429"/>
      <c r="AD41" s="429"/>
      <c r="AE41" s="429"/>
      <c r="AF41" s="429"/>
      <c r="AG41" s="429"/>
      <c r="AH41" s="429"/>
      <c r="AI41" s="429"/>
      <c r="AJ41" s="126"/>
    </row>
    <row r="42" spans="1:39" ht="15" x14ac:dyDescent="0.2">
      <c r="A42" s="429" t="s">
        <v>9</v>
      </c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29"/>
      <c r="S42" s="429"/>
      <c r="T42" s="429"/>
      <c r="U42" s="429"/>
      <c r="V42" s="429"/>
      <c r="W42" s="429"/>
      <c r="X42" s="429"/>
      <c r="Y42" s="429"/>
      <c r="Z42" s="429"/>
      <c r="AA42" s="429"/>
      <c r="AB42" s="429"/>
      <c r="AC42" s="429"/>
      <c r="AD42" s="429"/>
      <c r="AE42" s="429"/>
      <c r="AF42" s="429"/>
      <c r="AG42" s="429"/>
      <c r="AH42" s="429"/>
      <c r="AI42" s="429"/>
      <c r="AJ42" s="126"/>
    </row>
    <row r="43" spans="1:39" ht="15" x14ac:dyDescent="0.2">
      <c r="A43" s="429" t="s">
        <v>10</v>
      </c>
      <c r="B43" s="429"/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29"/>
      <c r="O43" s="429"/>
      <c r="P43" s="429"/>
      <c r="Q43" s="429"/>
      <c r="R43" s="429"/>
      <c r="S43" s="429"/>
      <c r="T43" s="429"/>
      <c r="U43" s="429"/>
      <c r="V43" s="429"/>
      <c r="W43" s="429"/>
      <c r="X43" s="429"/>
      <c r="Y43" s="429"/>
      <c r="Z43" s="429"/>
      <c r="AA43" s="429"/>
      <c r="AB43" s="429"/>
      <c r="AC43" s="429"/>
      <c r="AD43" s="429"/>
      <c r="AE43" s="429"/>
      <c r="AF43" s="429"/>
      <c r="AG43" s="429"/>
      <c r="AH43" s="429"/>
      <c r="AI43" s="429"/>
      <c r="AJ43" s="127"/>
    </row>
    <row r="44" spans="1:39" ht="15" x14ac:dyDescent="0.2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61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</row>
    <row r="45" spans="1:39" ht="15.75" x14ac:dyDescent="0.25">
      <c r="A45" s="60" t="s">
        <v>11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215"/>
      <c r="X45" s="61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</row>
    <row r="46" spans="1:39" ht="15" x14ac:dyDescent="0.2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61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</row>
    <row r="47" spans="1:39" ht="15" x14ac:dyDescent="0.2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61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</row>
    <row r="48" spans="1:39" ht="15" x14ac:dyDescent="0.2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61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</row>
    <row r="49" spans="1:36" ht="15" x14ac:dyDescent="0.2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61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</row>
    <row r="50" spans="1:36" s="103" customFormat="1" ht="15" x14ac:dyDescent="0.2">
      <c r="A50" s="138" t="s">
        <v>513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40">
        <f>W38</f>
        <v>104.23299391169891</v>
      </c>
      <c r="X50" s="141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7"/>
    </row>
    <row r="51" spans="1:36" s="103" customFormat="1" ht="15" x14ac:dyDescent="0.2">
      <c r="A51" s="424" t="s">
        <v>5</v>
      </c>
      <c r="B51" s="424"/>
      <c r="C51" s="424"/>
      <c r="D51" s="424"/>
      <c r="E51" s="424"/>
      <c r="F51" s="424"/>
      <c r="G51" s="424"/>
      <c r="H51" s="424"/>
      <c r="I51" s="424"/>
      <c r="J51" s="424"/>
      <c r="K51" s="424"/>
      <c r="L51" s="424"/>
      <c r="M51" s="424"/>
      <c r="N51" s="424"/>
      <c r="O51" s="424"/>
      <c r="P51" s="424"/>
      <c r="Q51" s="424"/>
      <c r="R51" s="424"/>
      <c r="S51" s="424"/>
      <c r="T51" s="424"/>
      <c r="U51" s="424"/>
      <c r="V51" s="424"/>
      <c r="W51" s="143">
        <f>AVERAGE(W50:W50)</f>
        <v>104.23299391169891</v>
      </c>
      <c r="X51" s="144"/>
      <c r="Y51" s="143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8"/>
    </row>
    <row r="52" spans="1:36" s="103" customFormat="1" ht="15" x14ac:dyDescent="0.2">
      <c r="A52" s="424" t="s">
        <v>6</v>
      </c>
      <c r="B52" s="424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4"/>
      <c r="V52" s="424"/>
      <c r="W52" s="196" t="str">
        <f>IF(W51&gt;=91,"Sangat Tinggi",IF(W51&gt;=76,"Tinggi",IF(W51&gt;=66,"Sedang",IF(W51&gt;=51,"Rendah",IF(W51&lt;=50,"Sangat Rendah")))))</f>
        <v>Sangat Tinggi</v>
      </c>
      <c r="X52" s="144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8"/>
    </row>
    <row r="53" spans="1:36" s="103" customFormat="1" ht="15" x14ac:dyDescent="0.2">
      <c r="A53" s="423" t="s">
        <v>7</v>
      </c>
      <c r="B53" s="423"/>
      <c r="C53" s="423"/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3"/>
      <c r="AD53" s="423"/>
      <c r="AE53" s="423"/>
      <c r="AF53" s="423"/>
      <c r="AG53" s="423"/>
      <c r="AH53" s="423"/>
      <c r="AI53" s="423"/>
      <c r="AJ53" s="148"/>
    </row>
    <row r="54" spans="1:36" s="103" customFormat="1" ht="15" x14ac:dyDescent="0.2">
      <c r="A54" s="423" t="s">
        <v>8</v>
      </c>
      <c r="B54" s="423"/>
      <c r="C54" s="423"/>
      <c r="D54" s="423"/>
      <c r="E54" s="423"/>
      <c r="F54" s="423"/>
      <c r="G54" s="423"/>
      <c r="H54" s="423"/>
      <c r="I54" s="423"/>
      <c r="J54" s="423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3"/>
      <c r="AJ54" s="148"/>
    </row>
    <row r="55" spans="1:36" s="103" customFormat="1" ht="15" x14ac:dyDescent="0.2">
      <c r="A55" s="423" t="s">
        <v>9</v>
      </c>
      <c r="B55" s="423"/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  <c r="AD55" s="423"/>
      <c r="AE55" s="423"/>
      <c r="AF55" s="423"/>
      <c r="AG55" s="423"/>
      <c r="AH55" s="423"/>
      <c r="AI55" s="423"/>
      <c r="AJ55" s="148"/>
    </row>
    <row r="56" spans="1:36" s="103" customFormat="1" ht="15" x14ac:dyDescent="0.2">
      <c r="A56" s="423" t="s">
        <v>10</v>
      </c>
      <c r="B56" s="423"/>
      <c r="C56" s="423"/>
      <c r="D56" s="423"/>
      <c r="E56" s="423"/>
      <c r="F56" s="423"/>
      <c r="G56" s="423"/>
      <c r="H56" s="423"/>
      <c r="I56" s="423"/>
      <c r="J56" s="423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3"/>
      <c r="AJ56" s="148"/>
    </row>
    <row r="57" spans="1:36" ht="15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61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</row>
    <row r="60" spans="1:36" ht="51" x14ac:dyDescent="0.2">
      <c r="A60" s="192" t="s">
        <v>537</v>
      </c>
      <c r="B60" s="192" t="s">
        <v>538</v>
      </c>
      <c r="C60" s="192" t="s">
        <v>539</v>
      </c>
    </row>
    <row r="61" spans="1:36" ht="25.5" x14ac:dyDescent="0.2">
      <c r="A61" s="193" t="s">
        <v>540</v>
      </c>
      <c r="B61" s="193" t="s">
        <v>541</v>
      </c>
      <c r="C61" s="193" t="s">
        <v>542</v>
      </c>
    </row>
    <row r="62" spans="1:36" ht="25.5" x14ac:dyDescent="0.2">
      <c r="A62" s="193" t="s">
        <v>543</v>
      </c>
      <c r="B62" s="193" t="s">
        <v>544</v>
      </c>
      <c r="C62" s="193" t="s">
        <v>545</v>
      </c>
    </row>
    <row r="63" spans="1:36" ht="25.5" x14ac:dyDescent="0.2">
      <c r="A63" s="193" t="s">
        <v>546</v>
      </c>
      <c r="B63" s="193" t="s">
        <v>547</v>
      </c>
      <c r="C63" s="193" t="s">
        <v>280</v>
      </c>
    </row>
    <row r="64" spans="1:36" ht="25.5" x14ac:dyDescent="0.2">
      <c r="A64" s="193" t="s">
        <v>548</v>
      </c>
      <c r="B64" s="193" t="s">
        <v>549</v>
      </c>
      <c r="C64" s="193" t="s">
        <v>550</v>
      </c>
    </row>
    <row r="65" spans="1:3" ht="25.5" x14ac:dyDescent="0.2">
      <c r="A65" s="193" t="s">
        <v>551</v>
      </c>
      <c r="B65" s="194" t="s">
        <v>552</v>
      </c>
      <c r="C65" s="193" t="s">
        <v>553</v>
      </c>
    </row>
  </sheetData>
  <mergeCells count="84">
    <mergeCell ref="A42:AI42"/>
    <mergeCell ref="A43:AI43"/>
    <mergeCell ref="W7:AB8"/>
    <mergeCell ref="Z9:AB9"/>
    <mergeCell ref="W9:Y9"/>
    <mergeCell ref="N9:P9"/>
    <mergeCell ref="Q9:S9"/>
    <mergeCell ref="T9:V9"/>
    <mergeCell ref="H10:J10"/>
    <mergeCell ref="E11:F12"/>
    <mergeCell ref="G11:G12"/>
    <mergeCell ref="H11:I12"/>
    <mergeCell ref="J11:J12"/>
    <mergeCell ref="A10:A12"/>
    <mergeCell ref="B10:B12"/>
    <mergeCell ref="C10:C12"/>
    <mergeCell ref="A55:AI55"/>
    <mergeCell ref="A56:AI56"/>
    <mergeCell ref="A51:V51"/>
    <mergeCell ref="A52:V52"/>
    <mergeCell ref="A53:AI53"/>
    <mergeCell ref="A54:AI54"/>
    <mergeCell ref="K11:L12"/>
    <mergeCell ref="M11:M12"/>
    <mergeCell ref="AJ7:AJ8"/>
    <mergeCell ref="A4:AI4"/>
    <mergeCell ref="A5:AI5"/>
    <mergeCell ref="A6:AI6"/>
    <mergeCell ref="A7:A9"/>
    <mergeCell ref="B7:B9"/>
    <mergeCell ref="C7:C9"/>
    <mergeCell ref="D7:D9"/>
    <mergeCell ref="E7:G9"/>
    <mergeCell ref="AC7:AE9"/>
    <mergeCell ref="AF7:AI9"/>
    <mergeCell ref="H7:J9"/>
    <mergeCell ref="Q7:V8"/>
    <mergeCell ref="K7:P8"/>
    <mergeCell ref="N11:O12"/>
    <mergeCell ref="P11:P12"/>
    <mergeCell ref="Q11:R12"/>
    <mergeCell ref="S11:S12"/>
    <mergeCell ref="T11:U12"/>
    <mergeCell ref="A38:V38"/>
    <mergeCell ref="A39:V39"/>
    <mergeCell ref="A40:AI40"/>
    <mergeCell ref="A41:AI41"/>
    <mergeCell ref="G13:G15"/>
    <mergeCell ref="H13:I15"/>
    <mergeCell ref="J13:J15"/>
    <mergeCell ref="N13:O15"/>
    <mergeCell ref="P13:P15"/>
    <mergeCell ref="A13:A15"/>
    <mergeCell ref="B13:B15"/>
    <mergeCell ref="C13:C15"/>
    <mergeCell ref="D13:D15"/>
    <mergeCell ref="E13:F15"/>
    <mergeCell ref="K13:L15"/>
    <mergeCell ref="M13:M15"/>
    <mergeCell ref="A1:AJ1"/>
    <mergeCell ref="A2:AJ2"/>
    <mergeCell ref="A3:AJ3"/>
    <mergeCell ref="K9:M9"/>
    <mergeCell ref="K10:M10"/>
    <mergeCell ref="AF10:AI10"/>
    <mergeCell ref="N10:P10"/>
    <mergeCell ref="Q10:S10"/>
    <mergeCell ref="T10:V10"/>
    <mergeCell ref="W10:Y10"/>
    <mergeCell ref="D10:D12"/>
    <mergeCell ref="E10:G10"/>
    <mergeCell ref="Z10:AB10"/>
    <mergeCell ref="W11:X11"/>
    <mergeCell ref="AC10:AE10"/>
    <mergeCell ref="AE11:AE12"/>
    <mergeCell ref="Q13:R15"/>
    <mergeCell ref="AH11:AH12"/>
    <mergeCell ref="W12:X12"/>
    <mergeCell ref="Z12:AA12"/>
    <mergeCell ref="AF12:AG12"/>
    <mergeCell ref="AF11:AG11"/>
    <mergeCell ref="AC11:AD12"/>
    <mergeCell ref="Z11:AA11"/>
    <mergeCell ref="V11:V12"/>
  </mergeCells>
  <printOptions horizontalCentered="1"/>
  <pageMargins left="1.1499999999999999" right="0.25" top="3.9370078740157501E-2" bottom="3.9370078740157501E-2" header="0" footer="0"/>
  <pageSetup paperSize="5" scale="38" orientation="landscape" horizontalDpi="4294967293" r:id="rId1"/>
  <rowBreaks count="1" manualBreakCount="1">
    <brk id="31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M96"/>
  <sheetViews>
    <sheetView showRuler="0" view="pageBreakPreview" zoomScale="70" zoomScaleNormal="40" zoomScaleSheetLayoutView="70" zoomScalePageLayoutView="55" workbookViewId="0">
      <selection activeCell="Z36" sqref="Z36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5" width="8" style="2" customWidth="1"/>
    <col min="6" max="6" width="9" style="2" customWidth="1"/>
    <col min="7" max="7" width="20.7109375" style="2" bestFit="1" customWidth="1"/>
    <col min="8" max="8" width="9.7109375" style="2" customWidth="1"/>
    <col min="9" max="9" width="8.85546875" style="2" customWidth="1"/>
    <col min="10" max="10" width="19.140625" style="2" customWidth="1"/>
    <col min="11" max="11" width="9" style="2" customWidth="1"/>
    <col min="12" max="12" width="8.85546875" style="2" customWidth="1"/>
    <col min="13" max="13" width="19.28515625" style="2" customWidth="1"/>
    <col min="14" max="14" width="9" style="2" customWidth="1"/>
    <col min="15" max="15" width="9.140625" style="2" customWidth="1"/>
    <col min="16" max="16" width="19.28515625" style="2" customWidth="1"/>
    <col min="17" max="17" width="7.7109375" style="2" customWidth="1"/>
    <col min="18" max="18" width="8.7109375" style="2" customWidth="1"/>
    <col min="19" max="19" width="18.28515625" style="2" customWidth="1"/>
    <col min="20" max="20" width="7.7109375" style="2" customWidth="1"/>
    <col min="21" max="21" width="8.7109375" style="2" customWidth="1"/>
    <col min="22" max="22" width="17.7109375" style="2" customWidth="1"/>
    <col min="23" max="23" width="11.140625" style="2" customWidth="1"/>
    <col min="24" max="24" width="5.5703125" style="62" customWidth="1"/>
    <col min="25" max="25" width="10.7109375" style="2" customWidth="1"/>
    <col min="26" max="26" width="8.42578125" style="2" customWidth="1"/>
    <col min="27" max="27" width="8.5703125" style="2" customWidth="1"/>
    <col min="28" max="28" width="10.5703125" style="2" customWidth="1"/>
    <col min="29" max="29" width="8.7109375" style="2" customWidth="1"/>
    <col min="30" max="30" width="9.140625" style="2" customWidth="1"/>
    <col min="31" max="31" width="16.85546875" style="2" customWidth="1"/>
    <col min="32" max="32" width="8.5703125" style="2" customWidth="1"/>
    <col min="33" max="33" width="10.140625" style="2" customWidth="1"/>
    <col min="34" max="34" width="11.5703125" style="2" customWidth="1"/>
    <col min="35" max="35" width="15.140625" style="2" customWidth="1"/>
    <col min="36" max="36" width="17.85546875" style="2" customWidth="1"/>
    <col min="37" max="38" width="9.140625" style="2"/>
    <col min="39" max="39" width="18.5703125" style="2" customWidth="1"/>
    <col min="40" max="16384" width="9.140625" style="2"/>
  </cols>
  <sheetData>
    <row r="1" spans="1:39" ht="23.25" x14ac:dyDescent="0.35">
      <c r="A1" s="410" t="s">
        <v>24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0"/>
      <c r="AG1" s="410"/>
      <c r="AH1" s="410"/>
      <c r="AI1" s="410"/>
      <c r="AJ1" s="410"/>
    </row>
    <row r="2" spans="1:39" ht="23.25" x14ac:dyDescent="0.35">
      <c r="A2" s="410" t="s">
        <v>25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</row>
    <row r="3" spans="1:39" ht="23.25" x14ac:dyDescent="0.2">
      <c r="A3" s="418" t="s">
        <v>607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</row>
    <row r="4" spans="1:39" ht="18" x14ac:dyDescent="0.2">
      <c r="A4" s="447" t="s">
        <v>12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</row>
    <row r="5" spans="1:39" ht="18" customHeight="1" x14ac:dyDescent="0.2">
      <c r="A5" s="447" t="s">
        <v>389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</row>
    <row r="6" spans="1:39" ht="18" customHeight="1" x14ac:dyDescent="0.2">
      <c r="A6" s="447" t="s">
        <v>390</v>
      </c>
      <c r="B6" s="447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  <c r="AH6" s="447"/>
      <c r="AI6" s="447"/>
    </row>
    <row r="7" spans="1:39" ht="18" customHeight="1" x14ac:dyDescent="0.2">
      <c r="A7" s="447" t="s">
        <v>391</v>
      </c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47"/>
    </row>
    <row r="8" spans="1:39" ht="15" x14ac:dyDescent="0.2">
      <c r="A8" s="448"/>
      <c r="B8" s="448"/>
      <c r="C8" s="448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8"/>
      <c r="AC8" s="448"/>
      <c r="AD8" s="448"/>
      <c r="AE8" s="448"/>
      <c r="AF8" s="448"/>
      <c r="AG8" s="448"/>
      <c r="AH8" s="448"/>
      <c r="AI8" s="448"/>
    </row>
    <row r="9" spans="1:39" s="133" customFormat="1" ht="68.25" customHeight="1" x14ac:dyDescent="0.2">
      <c r="A9" s="444" t="s">
        <v>0</v>
      </c>
      <c r="B9" s="444" t="s">
        <v>272</v>
      </c>
      <c r="C9" s="445" t="s">
        <v>1</v>
      </c>
      <c r="D9" s="445" t="s">
        <v>327</v>
      </c>
      <c r="E9" s="435" t="s">
        <v>21</v>
      </c>
      <c r="F9" s="436"/>
      <c r="G9" s="437"/>
      <c r="H9" s="435" t="s">
        <v>20</v>
      </c>
      <c r="I9" s="436"/>
      <c r="J9" s="437"/>
      <c r="K9" s="412" t="s">
        <v>582</v>
      </c>
      <c r="L9" s="413"/>
      <c r="M9" s="413"/>
      <c r="N9" s="413"/>
      <c r="O9" s="413"/>
      <c r="P9" s="414"/>
      <c r="Q9" s="412" t="s">
        <v>583</v>
      </c>
      <c r="R9" s="413"/>
      <c r="S9" s="413"/>
      <c r="T9" s="413"/>
      <c r="U9" s="413"/>
      <c r="V9" s="413"/>
      <c r="W9" s="412" t="s">
        <v>584</v>
      </c>
      <c r="X9" s="413"/>
      <c r="Y9" s="413"/>
      <c r="Z9" s="413"/>
      <c r="AA9" s="413"/>
      <c r="AB9" s="413"/>
      <c r="AC9" s="412" t="s">
        <v>19</v>
      </c>
      <c r="AD9" s="413"/>
      <c r="AE9" s="414"/>
      <c r="AF9" s="412" t="s">
        <v>4</v>
      </c>
      <c r="AG9" s="413"/>
      <c r="AH9" s="413"/>
      <c r="AI9" s="414"/>
      <c r="AJ9" s="433" t="s">
        <v>294</v>
      </c>
    </row>
    <row r="10" spans="1:39" s="133" customFormat="1" ht="18" customHeight="1" x14ac:dyDescent="0.2">
      <c r="A10" s="444"/>
      <c r="B10" s="444"/>
      <c r="C10" s="445"/>
      <c r="D10" s="445"/>
      <c r="E10" s="438"/>
      <c r="F10" s="439"/>
      <c r="G10" s="440"/>
      <c r="H10" s="438"/>
      <c r="I10" s="439"/>
      <c r="J10" s="440"/>
      <c r="K10" s="415"/>
      <c r="L10" s="416"/>
      <c r="M10" s="416"/>
      <c r="N10" s="416"/>
      <c r="O10" s="416"/>
      <c r="P10" s="417"/>
      <c r="Q10" s="415"/>
      <c r="R10" s="416"/>
      <c r="S10" s="416"/>
      <c r="T10" s="416"/>
      <c r="U10" s="416"/>
      <c r="V10" s="416"/>
      <c r="W10" s="415"/>
      <c r="X10" s="416"/>
      <c r="Y10" s="416"/>
      <c r="Z10" s="416"/>
      <c r="AA10" s="416"/>
      <c r="AB10" s="416"/>
      <c r="AC10" s="430"/>
      <c r="AD10" s="431"/>
      <c r="AE10" s="432"/>
      <c r="AF10" s="430"/>
      <c r="AG10" s="431"/>
      <c r="AH10" s="431"/>
      <c r="AI10" s="432"/>
      <c r="AJ10" s="434"/>
    </row>
    <row r="11" spans="1:39" s="133" customFormat="1" ht="15.75" customHeight="1" x14ac:dyDescent="0.2">
      <c r="A11" s="444"/>
      <c r="B11" s="444"/>
      <c r="C11" s="445"/>
      <c r="D11" s="445"/>
      <c r="E11" s="441"/>
      <c r="F11" s="442"/>
      <c r="G11" s="443"/>
      <c r="H11" s="441"/>
      <c r="I11" s="442"/>
      <c r="J11" s="443"/>
      <c r="K11" s="398" t="s">
        <v>580</v>
      </c>
      <c r="L11" s="399"/>
      <c r="M11" s="400"/>
      <c r="N11" s="398" t="s">
        <v>581</v>
      </c>
      <c r="O11" s="399"/>
      <c r="P11" s="400"/>
      <c r="Q11" s="398" t="s">
        <v>580</v>
      </c>
      <c r="R11" s="399"/>
      <c r="S11" s="400"/>
      <c r="T11" s="398" t="s">
        <v>581</v>
      </c>
      <c r="U11" s="399"/>
      <c r="V11" s="400"/>
      <c r="W11" s="398" t="s">
        <v>580</v>
      </c>
      <c r="X11" s="399"/>
      <c r="Y11" s="400"/>
      <c r="Z11" s="398" t="s">
        <v>581</v>
      </c>
      <c r="AA11" s="399"/>
      <c r="AB11" s="400"/>
      <c r="AC11" s="415"/>
      <c r="AD11" s="416"/>
      <c r="AE11" s="417"/>
      <c r="AF11" s="415"/>
      <c r="AG11" s="416"/>
      <c r="AH11" s="416"/>
      <c r="AI11" s="417"/>
      <c r="AJ11" s="128"/>
    </row>
    <row r="12" spans="1:39" s="103" customFormat="1" ht="15.75" x14ac:dyDescent="0.25">
      <c r="A12" s="411">
        <v>1</v>
      </c>
      <c r="B12" s="411">
        <v>2</v>
      </c>
      <c r="C12" s="411">
        <v>3</v>
      </c>
      <c r="D12" s="411">
        <v>4</v>
      </c>
      <c r="E12" s="420">
        <v>5</v>
      </c>
      <c r="F12" s="421"/>
      <c r="G12" s="422"/>
      <c r="H12" s="420">
        <v>6</v>
      </c>
      <c r="I12" s="421"/>
      <c r="J12" s="422"/>
      <c r="K12" s="401">
        <v>7</v>
      </c>
      <c r="L12" s="402"/>
      <c r="M12" s="403"/>
      <c r="N12" s="401">
        <v>8</v>
      </c>
      <c r="O12" s="402"/>
      <c r="P12" s="403"/>
      <c r="Q12" s="401">
        <v>12</v>
      </c>
      <c r="R12" s="402"/>
      <c r="S12" s="403"/>
      <c r="T12" s="401">
        <v>13</v>
      </c>
      <c r="U12" s="402"/>
      <c r="V12" s="403"/>
      <c r="W12" s="395">
        <v>17</v>
      </c>
      <c r="X12" s="396"/>
      <c r="Y12" s="397"/>
      <c r="Z12" s="395">
        <v>18</v>
      </c>
      <c r="AA12" s="396"/>
      <c r="AB12" s="397"/>
      <c r="AC12" s="395">
        <v>22</v>
      </c>
      <c r="AD12" s="396"/>
      <c r="AE12" s="397"/>
      <c r="AF12" s="395">
        <v>23</v>
      </c>
      <c r="AG12" s="396"/>
      <c r="AH12" s="396"/>
      <c r="AI12" s="397"/>
      <c r="AJ12" s="129"/>
    </row>
    <row r="13" spans="1:39" s="103" customFormat="1" ht="87" customHeight="1" x14ac:dyDescent="0.2">
      <c r="A13" s="419"/>
      <c r="B13" s="419"/>
      <c r="C13" s="419"/>
      <c r="D13" s="419"/>
      <c r="E13" s="404" t="s">
        <v>2</v>
      </c>
      <c r="F13" s="405"/>
      <c r="G13" s="408" t="s">
        <v>3</v>
      </c>
      <c r="H13" s="404" t="s">
        <v>2</v>
      </c>
      <c r="I13" s="405"/>
      <c r="J13" s="408" t="s">
        <v>3</v>
      </c>
      <c r="K13" s="404" t="s">
        <v>2</v>
      </c>
      <c r="L13" s="405"/>
      <c r="M13" s="411" t="s">
        <v>3</v>
      </c>
      <c r="N13" s="404" t="s">
        <v>2</v>
      </c>
      <c r="O13" s="405"/>
      <c r="P13" s="411" t="s">
        <v>3</v>
      </c>
      <c r="Q13" s="404" t="s">
        <v>2</v>
      </c>
      <c r="R13" s="405"/>
      <c r="S13" s="411" t="s">
        <v>3</v>
      </c>
      <c r="T13" s="404" t="s">
        <v>2</v>
      </c>
      <c r="U13" s="405"/>
      <c r="V13" s="411" t="s">
        <v>3</v>
      </c>
      <c r="W13" s="420" t="s">
        <v>13</v>
      </c>
      <c r="X13" s="422"/>
      <c r="Y13" s="106" t="s">
        <v>14</v>
      </c>
      <c r="Z13" s="420" t="s">
        <v>15</v>
      </c>
      <c r="AA13" s="422"/>
      <c r="AB13" s="106" t="s">
        <v>16</v>
      </c>
      <c r="AC13" s="404" t="s">
        <v>2</v>
      </c>
      <c r="AD13" s="405"/>
      <c r="AE13" s="405" t="s">
        <v>3</v>
      </c>
      <c r="AF13" s="420" t="s">
        <v>18</v>
      </c>
      <c r="AG13" s="422"/>
      <c r="AH13" s="425" t="s">
        <v>22</v>
      </c>
      <c r="AI13" s="106" t="s">
        <v>17</v>
      </c>
      <c r="AJ13" s="130"/>
    </row>
    <row r="14" spans="1:39" s="103" customFormat="1" ht="15.75" x14ac:dyDescent="0.2">
      <c r="A14" s="408"/>
      <c r="B14" s="408"/>
      <c r="C14" s="408"/>
      <c r="D14" s="408"/>
      <c r="E14" s="406"/>
      <c r="F14" s="407"/>
      <c r="G14" s="409"/>
      <c r="H14" s="406"/>
      <c r="I14" s="407"/>
      <c r="J14" s="409"/>
      <c r="K14" s="406"/>
      <c r="L14" s="407"/>
      <c r="M14" s="408"/>
      <c r="N14" s="406"/>
      <c r="O14" s="407"/>
      <c r="P14" s="408"/>
      <c r="Q14" s="406"/>
      <c r="R14" s="407"/>
      <c r="S14" s="408"/>
      <c r="T14" s="406"/>
      <c r="U14" s="407"/>
      <c r="V14" s="408"/>
      <c r="W14" s="406" t="s">
        <v>2</v>
      </c>
      <c r="X14" s="407"/>
      <c r="Y14" s="226" t="s">
        <v>3</v>
      </c>
      <c r="Z14" s="427" t="s">
        <v>2</v>
      </c>
      <c r="AA14" s="428"/>
      <c r="AB14" s="226" t="s">
        <v>3</v>
      </c>
      <c r="AC14" s="406"/>
      <c r="AD14" s="407"/>
      <c r="AE14" s="407"/>
      <c r="AF14" s="406" t="s">
        <v>2</v>
      </c>
      <c r="AG14" s="407"/>
      <c r="AH14" s="426"/>
      <c r="AI14" s="226" t="s">
        <v>3</v>
      </c>
      <c r="AJ14" s="130"/>
    </row>
    <row r="15" spans="1:39" ht="144.75" customHeight="1" x14ac:dyDescent="0.25">
      <c r="A15" s="114" t="s">
        <v>355</v>
      </c>
      <c r="B15" s="115" t="s">
        <v>356</v>
      </c>
      <c r="C15" s="110"/>
      <c r="D15" s="111" t="s">
        <v>357</v>
      </c>
      <c r="E15" s="266">
        <v>0.62</v>
      </c>
      <c r="F15" s="267" t="s">
        <v>26</v>
      </c>
      <c r="G15" s="268"/>
      <c r="H15" s="266">
        <v>0.71</v>
      </c>
      <c r="I15" s="267" t="s">
        <v>26</v>
      </c>
      <c r="J15" s="270">
        <f>J16</f>
        <v>1202202500</v>
      </c>
      <c r="K15" s="269">
        <v>0.64</v>
      </c>
      <c r="L15" s="267" t="s">
        <v>26</v>
      </c>
      <c r="M15" s="270">
        <v>240440500</v>
      </c>
      <c r="N15" s="269">
        <f>N16</f>
        <v>0.65</v>
      </c>
      <c r="O15" s="267" t="s">
        <v>26</v>
      </c>
      <c r="P15" s="270">
        <f>P16</f>
        <v>28131000</v>
      </c>
      <c r="Q15" s="266">
        <v>0.65</v>
      </c>
      <c r="R15" s="267" t="s">
        <v>26</v>
      </c>
      <c r="S15" s="270">
        <f>S16</f>
        <v>181272400</v>
      </c>
      <c r="T15" s="266">
        <v>0.67</v>
      </c>
      <c r="U15" s="267" t="s">
        <v>26</v>
      </c>
      <c r="V15" s="270">
        <f>V16</f>
        <v>6364000</v>
      </c>
      <c r="W15" s="320">
        <f>Q15/K15*100</f>
        <v>101.5625</v>
      </c>
      <c r="X15" s="317" t="s">
        <v>28</v>
      </c>
      <c r="Y15" s="321">
        <f t="shared" ref="Y15:Z18" si="0">S15/M15*100</f>
        <v>75.391791316354769</v>
      </c>
      <c r="Z15" s="320">
        <f t="shared" si="0"/>
        <v>103.07692307692309</v>
      </c>
      <c r="AA15" s="317" t="s">
        <v>28</v>
      </c>
      <c r="AB15" s="321">
        <f>V15/P15*100</f>
        <v>22.622729373289253</v>
      </c>
      <c r="AC15" s="266">
        <f>T15</f>
        <v>0.67</v>
      </c>
      <c r="AD15" s="267" t="s">
        <v>26</v>
      </c>
      <c r="AE15" s="372">
        <f t="shared" ref="AE15:AE20" si="1">S15+V15</f>
        <v>187636400</v>
      </c>
      <c r="AF15" s="272"/>
      <c r="AG15" s="272"/>
      <c r="AH15" s="272"/>
      <c r="AI15" s="272"/>
      <c r="AJ15" s="155" t="s">
        <v>374</v>
      </c>
      <c r="AM15" s="134">
        <f t="shared" ref="AM15:AM20" si="2">S15</f>
        <v>181272400</v>
      </c>
    </row>
    <row r="16" spans="1:39" ht="78.75" x14ac:dyDescent="0.25">
      <c r="A16" s="70">
        <v>13</v>
      </c>
      <c r="B16" s="65" t="s">
        <v>120</v>
      </c>
      <c r="C16" s="14"/>
      <c r="D16" s="66" t="s">
        <v>373</v>
      </c>
      <c r="E16" s="273">
        <v>0.62</v>
      </c>
      <c r="F16" s="274" t="s">
        <v>26</v>
      </c>
      <c r="G16" s="275"/>
      <c r="H16" s="273">
        <v>0.71</v>
      </c>
      <c r="I16" s="274" t="s">
        <v>26</v>
      </c>
      <c r="J16" s="276">
        <f>SUM(J17:J18)</f>
        <v>1202202500</v>
      </c>
      <c r="K16" s="273">
        <v>0.64</v>
      </c>
      <c r="L16" s="274" t="s">
        <v>26</v>
      </c>
      <c r="M16" s="276">
        <f>SUM(M17:M18)</f>
        <v>205615000</v>
      </c>
      <c r="N16" s="273">
        <v>0.65</v>
      </c>
      <c r="O16" s="274" t="s">
        <v>26</v>
      </c>
      <c r="P16" s="276">
        <f>SUM(P17:P18)</f>
        <v>28131000</v>
      </c>
      <c r="Q16" s="324">
        <v>0.65</v>
      </c>
      <c r="R16" s="274" t="s">
        <v>26</v>
      </c>
      <c r="S16" s="276">
        <f>SUM(S17:S18)</f>
        <v>181272400</v>
      </c>
      <c r="T16" s="277">
        <v>0.67</v>
      </c>
      <c r="U16" s="274" t="s">
        <v>26</v>
      </c>
      <c r="V16" s="276">
        <f>SUM(V17:V18)</f>
        <v>6364000</v>
      </c>
      <c r="W16" s="312">
        <f>Q16/K16*100</f>
        <v>101.5625</v>
      </c>
      <c r="X16" s="282" t="s">
        <v>28</v>
      </c>
      <c r="Y16" s="294">
        <f t="shared" si="0"/>
        <v>88.161077742382616</v>
      </c>
      <c r="Z16" s="312">
        <f t="shared" si="0"/>
        <v>103.07692307692309</v>
      </c>
      <c r="AA16" s="282" t="s">
        <v>28</v>
      </c>
      <c r="AB16" s="294">
        <f>V16/P16*100</f>
        <v>22.622729373289253</v>
      </c>
      <c r="AC16" s="277">
        <f>T16</f>
        <v>0.67</v>
      </c>
      <c r="AD16" s="373" t="s">
        <v>26</v>
      </c>
      <c r="AE16" s="374">
        <f t="shared" si="1"/>
        <v>187636400</v>
      </c>
      <c r="AF16" s="275"/>
      <c r="AG16" s="275"/>
      <c r="AH16" s="275"/>
      <c r="AI16" s="275"/>
      <c r="AM16" s="134">
        <f t="shared" si="2"/>
        <v>181272400</v>
      </c>
    </row>
    <row r="17" spans="1:39" ht="90" x14ac:dyDescent="0.2">
      <c r="A17" s="64"/>
      <c r="B17" s="64"/>
      <c r="C17" s="14" t="s">
        <v>121</v>
      </c>
      <c r="D17" s="14" t="s">
        <v>600</v>
      </c>
      <c r="E17" s="78">
        <v>70</v>
      </c>
      <c r="F17" s="36" t="s">
        <v>28</v>
      </c>
      <c r="G17" s="8"/>
      <c r="H17" s="78">
        <v>88.38</v>
      </c>
      <c r="I17" s="36" t="s">
        <v>28</v>
      </c>
      <c r="J17" s="9">
        <v>1006377500</v>
      </c>
      <c r="K17" s="32">
        <v>73.63</v>
      </c>
      <c r="L17" s="36" t="s">
        <v>28</v>
      </c>
      <c r="M17" s="10">
        <v>166665000</v>
      </c>
      <c r="N17" s="32">
        <v>77.319999999999993</v>
      </c>
      <c r="O17" s="36" t="s">
        <v>28</v>
      </c>
      <c r="P17" s="10">
        <v>28131000</v>
      </c>
      <c r="Q17" s="78">
        <f>1202/1627*100</f>
        <v>73.878303626306092</v>
      </c>
      <c r="R17" s="36" t="s">
        <v>28</v>
      </c>
      <c r="S17" s="10">
        <v>153972400</v>
      </c>
      <c r="T17" s="78">
        <f>1258/1627*100</f>
        <v>77.320221266133998</v>
      </c>
      <c r="U17" s="36" t="s">
        <v>28</v>
      </c>
      <c r="V17" s="10">
        <v>6364000</v>
      </c>
      <c r="W17" s="222">
        <f>Q17/K17*100</f>
        <v>100.33723159894893</v>
      </c>
      <c r="X17" s="18" t="s">
        <v>28</v>
      </c>
      <c r="Y17" s="289">
        <f t="shared" si="0"/>
        <v>92.38436384363844</v>
      </c>
      <c r="Z17" s="222">
        <f t="shared" si="0"/>
        <v>100.0002861693404</v>
      </c>
      <c r="AA17" s="18" t="s">
        <v>28</v>
      </c>
      <c r="AB17" s="289">
        <f>V17/P17*100</f>
        <v>22.622729373289253</v>
      </c>
      <c r="AC17" s="78">
        <f>Q17+T17</f>
        <v>151.1985248924401</v>
      </c>
      <c r="AD17" s="36" t="s">
        <v>28</v>
      </c>
      <c r="AE17" s="338">
        <f t="shared" si="1"/>
        <v>160336400</v>
      </c>
      <c r="AF17" s="8"/>
      <c r="AG17" s="8"/>
      <c r="AH17" s="8"/>
      <c r="AI17" s="8"/>
      <c r="AM17" s="134">
        <f t="shared" si="2"/>
        <v>153972400</v>
      </c>
    </row>
    <row r="18" spans="1:39" ht="75" x14ac:dyDescent="0.2">
      <c r="A18" s="64"/>
      <c r="B18" s="64"/>
      <c r="C18" s="14" t="s">
        <v>62</v>
      </c>
      <c r="D18" s="14" t="s">
        <v>130</v>
      </c>
      <c r="E18" s="78">
        <v>4.16</v>
      </c>
      <c r="F18" s="36" t="s">
        <v>28</v>
      </c>
      <c r="G18" s="8"/>
      <c r="H18" s="78">
        <v>44.44</v>
      </c>
      <c r="I18" s="36" t="s">
        <v>28</v>
      </c>
      <c r="J18" s="9">
        <v>195825000</v>
      </c>
      <c r="K18" s="32">
        <v>13.88</v>
      </c>
      <c r="L18" s="36" t="s">
        <v>28</v>
      </c>
      <c r="M18" s="10">
        <v>38950000</v>
      </c>
      <c r="N18" s="32">
        <v>21.52</v>
      </c>
      <c r="O18" s="36" t="s">
        <v>28</v>
      </c>
      <c r="P18" s="10">
        <v>0</v>
      </c>
      <c r="Q18" s="78">
        <f>20/144*100</f>
        <v>13.888888888888889</v>
      </c>
      <c r="R18" s="36" t="s">
        <v>28</v>
      </c>
      <c r="S18" s="10">
        <v>27300000</v>
      </c>
      <c r="T18" s="78">
        <f>31/144*100</f>
        <v>21.527777777777779</v>
      </c>
      <c r="U18" s="36" t="s">
        <v>28</v>
      </c>
      <c r="V18" s="10">
        <v>0</v>
      </c>
      <c r="W18" s="222">
        <f>Q18/K18*100</f>
        <v>100.06404098623119</v>
      </c>
      <c r="X18" s="18" t="s">
        <v>28</v>
      </c>
      <c r="Y18" s="289">
        <f t="shared" si="0"/>
        <v>70.08985879332478</v>
      </c>
      <c r="Z18" s="222">
        <f t="shared" si="0"/>
        <v>100.03614209004543</v>
      </c>
      <c r="AA18" s="18" t="s">
        <v>28</v>
      </c>
      <c r="AB18" s="289" t="e">
        <f>V18/P18*100</f>
        <v>#DIV/0!</v>
      </c>
      <c r="AC18" s="78">
        <f>Q18+T18</f>
        <v>35.416666666666671</v>
      </c>
      <c r="AD18" s="36" t="s">
        <v>28</v>
      </c>
      <c r="AE18" s="338">
        <f t="shared" si="1"/>
        <v>27300000</v>
      </c>
      <c r="AF18" s="8"/>
      <c r="AG18" s="8"/>
      <c r="AH18" s="8"/>
      <c r="AI18" s="8"/>
      <c r="AM18" s="134">
        <f t="shared" si="2"/>
        <v>27300000</v>
      </c>
    </row>
    <row r="19" spans="1:39" ht="165" x14ac:dyDescent="0.2">
      <c r="A19" s="64"/>
      <c r="B19" s="64"/>
      <c r="C19" s="14" t="s">
        <v>375</v>
      </c>
      <c r="D19" s="14" t="s">
        <v>376</v>
      </c>
      <c r="E19" s="78">
        <v>66.67</v>
      </c>
      <c r="F19" s="36" t="s">
        <v>28</v>
      </c>
      <c r="G19" s="8"/>
      <c r="H19" s="96">
        <v>100</v>
      </c>
      <c r="I19" s="36" t="s">
        <v>28</v>
      </c>
      <c r="J19" s="9">
        <v>2398405000</v>
      </c>
      <c r="K19" s="78">
        <v>77.78</v>
      </c>
      <c r="L19" s="36" t="s">
        <v>28</v>
      </c>
      <c r="M19" s="10">
        <v>479656000</v>
      </c>
      <c r="N19" s="78">
        <v>88.89</v>
      </c>
      <c r="O19" s="36" t="s">
        <v>28</v>
      </c>
      <c r="P19" s="10">
        <v>23325000</v>
      </c>
      <c r="Q19" s="78">
        <v>94.68</v>
      </c>
      <c r="R19" s="36" t="s">
        <v>28</v>
      </c>
      <c r="S19" s="10">
        <v>447204300</v>
      </c>
      <c r="T19" s="78">
        <v>0</v>
      </c>
      <c r="U19" s="36" t="s">
        <v>28</v>
      </c>
      <c r="V19" s="10">
        <v>22825000</v>
      </c>
      <c r="W19" s="222">
        <f t="shared" ref="W19" si="3">Q19/K19*100</f>
        <v>121.727950629982</v>
      </c>
      <c r="X19" s="18" t="s">
        <v>28</v>
      </c>
      <c r="Y19" s="289">
        <f t="shared" ref="Y19:Y20" si="4">S19/M19*100</f>
        <v>93.234380472672086</v>
      </c>
      <c r="Z19" s="222">
        <f t="shared" ref="Z19:Z20" si="5">T19/N19*100</f>
        <v>0</v>
      </c>
      <c r="AA19" s="18" t="s">
        <v>28</v>
      </c>
      <c r="AB19" s="289">
        <f t="shared" ref="AB19:AB20" si="6">V19/P19*100</f>
        <v>97.856377277599137</v>
      </c>
      <c r="AC19" s="78">
        <f>T19</f>
        <v>0</v>
      </c>
      <c r="AD19" s="36" t="s">
        <v>28</v>
      </c>
      <c r="AE19" s="338">
        <f t="shared" si="1"/>
        <v>470029300</v>
      </c>
      <c r="AF19" s="8"/>
      <c r="AG19" s="8"/>
      <c r="AH19" s="8"/>
      <c r="AI19" s="8"/>
      <c r="AJ19" s="150" t="s">
        <v>314</v>
      </c>
      <c r="AM19" s="134">
        <f t="shared" si="2"/>
        <v>447204300</v>
      </c>
    </row>
    <row r="20" spans="1:39" ht="135" x14ac:dyDescent="0.2">
      <c r="A20" s="64"/>
      <c r="B20" s="64"/>
      <c r="C20" s="14" t="s">
        <v>377</v>
      </c>
      <c r="D20" s="14" t="s">
        <v>378</v>
      </c>
      <c r="E20" s="78">
        <v>31.25</v>
      </c>
      <c r="F20" s="36" t="s">
        <v>28</v>
      </c>
      <c r="G20" s="8"/>
      <c r="H20" s="78">
        <v>71.88</v>
      </c>
      <c r="I20" s="36" t="s">
        <v>28</v>
      </c>
      <c r="J20" s="9">
        <v>4764078750</v>
      </c>
      <c r="K20" s="78">
        <v>31.25</v>
      </c>
      <c r="L20" s="36" t="s">
        <v>28</v>
      </c>
      <c r="M20" s="10">
        <v>952296000</v>
      </c>
      <c r="N20" s="78">
        <v>43.75</v>
      </c>
      <c r="O20" s="36" t="s">
        <v>28</v>
      </c>
      <c r="P20" s="10">
        <v>1080166000</v>
      </c>
      <c r="Q20" s="78">
        <v>33.07</v>
      </c>
      <c r="R20" s="36" t="s">
        <v>28</v>
      </c>
      <c r="S20" s="10">
        <v>908390750</v>
      </c>
      <c r="T20" s="78">
        <v>0</v>
      </c>
      <c r="U20" s="36" t="s">
        <v>28</v>
      </c>
      <c r="V20" s="10">
        <v>1025251640</v>
      </c>
      <c r="W20" s="222">
        <f>Q20/K20*100</f>
        <v>105.82400000000001</v>
      </c>
      <c r="X20" s="18" t="s">
        <v>28</v>
      </c>
      <c r="Y20" s="289">
        <f t="shared" si="4"/>
        <v>95.389537496744708</v>
      </c>
      <c r="Z20" s="222">
        <f t="shared" si="5"/>
        <v>0</v>
      </c>
      <c r="AA20" s="18" t="s">
        <v>28</v>
      </c>
      <c r="AB20" s="289">
        <f t="shared" si="6"/>
        <v>94.916118448460693</v>
      </c>
      <c r="AC20" s="78">
        <f>T20</f>
        <v>0</v>
      </c>
      <c r="AD20" s="36" t="s">
        <v>28</v>
      </c>
      <c r="AE20" s="338">
        <f t="shared" si="1"/>
        <v>1933642390</v>
      </c>
      <c r="AF20" s="8"/>
      <c r="AG20" s="8"/>
      <c r="AH20" s="8"/>
      <c r="AI20" s="8"/>
      <c r="AM20" s="134">
        <f t="shared" si="2"/>
        <v>908390750</v>
      </c>
    </row>
    <row r="21" spans="1:39" ht="15" x14ac:dyDescent="0.2">
      <c r="A21" s="446" t="s">
        <v>5</v>
      </c>
      <c r="B21" s="446"/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121">
        <f>AVERAGE(W16:W20)</f>
        <v>105.90314464303242</v>
      </c>
      <c r="X21" s="122"/>
      <c r="Y21" s="121"/>
      <c r="Z21" s="121">
        <f>AVERAGE(Z16:Z20)</f>
        <v>60.622670267261789</v>
      </c>
      <c r="AA21" s="102"/>
      <c r="AB21" s="102"/>
      <c r="AC21" s="102"/>
      <c r="AD21" s="102"/>
      <c r="AE21" s="102"/>
      <c r="AF21" s="102"/>
      <c r="AG21" s="102"/>
      <c r="AH21" s="102"/>
      <c r="AI21" s="102"/>
      <c r="AJ21" s="126"/>
    </row>
    <row r="22" spans="1:39" ht="15" x14ac:dyDescent="0.2">
      <c r="A22" s="446" t="s">
        <v>6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6"/>
      <c r="P22" s="446"/>
      <c r="Q22" s="446"/>
      <c r="R22" s="446"/>
      <c r="S22" s="446"/>
      <c r="T22" s="446"/>
      <c r="U22" s="446"/>
      <c r="V22" s="446"/>
      <c r="W22" s="195" t="str">
        <f>IF(W21&gt;=91,"Sangat Tinggi",IF(W21&gt;=76,"Tinggi",IF(W21&gt;=66,"Sedang",IF(W21&gt;=51,"Rendah",IF(W21&lt;=50,"Sangat Rendah")))))</f>
        <v>Sangat Tinggi</v>
      </c>
      <c r="X22" s="122"/>
      <c r="Y22" s="102"/>
      <c r="Z22" s="195" t="str">
        <f>IF(Z21&gt;=91,"Sangat Tinggi",IF(Z21&gt;=76,"Tinggi",IF(Z21&gt;=66,"Sedang",IF(Z21&gt;=51,"Rendah",IF(Z21&lt;=50,"Sangat Rendah")))))</f>
        <v>Rendah</v>
      </c>
      <c r="AA22" s="102"/>
      <c r="AB22" s="102"/>
      <c r="AC22" s="102"/>
      <c r="AD22" s="102"/>
      <c r="AE22" s="102"/>
      <c r="AF22" s="102"/>
      <c r="AG22" s="102"/>
      <c r="AH22" s="102"/>
      <c r="AI22" s="102"/>
      <c r="AJ22" s="126"/>
    </row>
    <row r="23" spans="1:39" ht="15" x14ac:dyDescent="0.2">
      <c r="A23" s="429" t="s">
        <v>7</v>
      </c>
      <c r="B23" s="429"/>
      <c r="C23" s="429"/>
      <c r="D23" s="429"/>
      <c r="E23" s="429"/>
      <c r="F23" s="429"/>
      <c r="G23" s="429"/>
      <c r="H23" s="429"/>
      <c r="I23" s="429"/>
      <c r="J23" s="429"/>
      <c r="K23" s="429"/>
      <c r="L23" s="429"/>
      <c r="M23" s="429"/>
      <c r="N23" s="429"/>
      <c r="O23" s="429"/>
      <c r="P23" s="429"/>
      <c r="Q23" s="429"/>
      <c r="R23" s="429"/>
      <c r="S23" s="429"/>
      <c r="T23" s="429"/>
      <c r="U23" s="429"/>
      <c r="V23" s="429"/>
      <c r="W23" s="429"/>
      <c r="X23" s="429"/>
      <c r="Y23" s="429"/>
      <c r="Z23" s="429"/>
      <c r="AA23" s="429"/>
      <c r="AB23" s="429"/>
      <c r="AC23" s="429"/>
      <c r="AD23" s="429"/>
      <c r="AE23" s="429"/>
      <c r="AF23" s="429"/>
      <c r="AG23" s="429"/>
      <c r="AH23" s="429"/>
      <c r="AI23" s="429"/>
      <c r="AJ23" s="126"/>
    </row>
    <row r="24" spans="1:39" ht="15" x14ac:dyDescent="0.2">
      <c r="A24" s="429" t="s">
        <v>8</v>
      </c>
      <c r="B24" s="429"/>
      <c r="C24" s="429"/>
      <c r="D24" s="429"/>
      <c r="E24" s="429"/>
      <c r="F24" s="429"/>
      <c r="G24" s="429"/>
      <c r="H24" s="429"/>
      <c r="I24" s="429"/>
      <c r="J24" s="429"/>
      <c r="K24" s="429"/>
      <c r="L24" s="429"/>
      <c r="M24" s="429"/>
      <c r="N24" s="429"/>
      <c r="O24" s="429"/>
      <c r="P24" s="429"/>
      <c r="Q24" s="429"/>
      <c r="R24" s="429"/>
      <c r="S24" s="429"/>
      <c r="T24" s="429"/>
      <c r="U24" s="429"/>
      <c r="V24" s="429"/>
      <c r="W24" s="429"/>
      <c r="X24" s="429"/>
      <c r="Y24" s="429"/>
      <c r="Z24" s="429"/>
      <c r="AA24" s="429"/>
      <c r="AB24" s="429"/>
      <c r="AC24" s="429"/>
      <c r="AD24" s="429"/>
      <c r="AE24" s="429"/>
      <c r="AF24" s="429"/>
      <c r="AG24" s="429"/>
      <c r="AH24" s="429"/>
      <c r="AI24" s="429"/>
      <c r="AJ24" s="126"/>
    </row>
    <row r="25" spans="1:39" ht="15" x14ac:dyDescent="0.2">
      <c r="A25" s="429" t="s">
        <v>9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  <c r="U25" s="429"/>
      <c r="V25" s="429"/>
      <c r="W25" s="429"/>
      <c r="X25" s="429"/>
      <c r="Y25" s="429"/>
      <c r="Z25" s="429"/>
      <c r="AA25" s="429"/>
      <c r="AB25" s="429"/>
      <c r="AC25" s="429"/>
      <c r="AD25" s="429"/>
      <c r="AE25" s="429"/>
      <c r="AF25" s="429"/>
      <c r="AG25" s="429"/>
      <c r="AH25" s="429"/>
      <c r="AI25" s="429"/>
      <c r="AJ25" s="126"/>
    </row>
    <row r="26" spans="1:39" ht="15" x14ac:dyDescent="0.2">
      <c r="A26" s="429" t="s">
        <v>10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29"/>
      <c r="U26" s="429"/>
      <c r="V26" s="429"/>
      <c r="W26" s="429"/>
      <c r="X26" s="429"/>
      <c r="Y26" s="429"/>
      <c r="Z26" s="429"/>
      <c r="AA26" s="429"/>
      <c r="AB26" s="429"/>
      <c r="AC26" s="429"/>
      <c r="AD26" s="429"/>
      <c r="AE26" s="429"/>
      <c r="AF26" s="429"/>
      <c r="AG26" s="429"/>
      <c r="AH26" s="429"/>
      <c r="AI26" s="429"/>
      <c r="AJ26" s="127"/>
    </row>
    <row r="27" spans="1:39" ht="15" x14ac:dyDescent="0.2">
      <c r="A27" s="12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</row>
    <row r="28" spans="1:39" ht="15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</row>
    <row r="29" spans="1:39" ht="15" x14ac:dyDescent="0.2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</row>
    <row r="30" spans="1:39" s="133" customFormat="1" ht="68.25" customHeight="1" x14ac:dyDescent="0.2">
      <c r="A30" s="444" t="s">
        <v>0</v>
      </c>
      <c r="B30" s="444" t="s">
        <v>272</v>
      </c>
      <c r="C30" s="445" t="s">
        <v>1</v>
      </c>
      <c r="D30" s="445" t="s">
        <v>327</v>
      </c>
      <c r="E30" s="435" t="s">
        <v>21</v>
      </c>
      <c r="F30" s="436"/>
      <c r="G30" s="437"/>
      <c r="H30" s="435" t="s">
        <v>20</v>
      </c>
      <c r="I30" s="436"/>
      <c r="J30" s="437"/>
      <c r="K30" s="412" t="s">
        <v>582</v>
      </c>
      <c r="L30" s="413"/>
      <c r="M30" s="413"/>
      <c r="N30" s="413"/>
      <c r="O30" s="413"/>
      <c r="P30" s="414"/>
      <c r="Q30" s="412" t="s">
        <v>583</v>
      </c>
      <c r="R30" s="413"/>
      <c r="S30" s="413"/>
      <c r="T30" s="413"/>
      <c r="U30" s="413"/>
      <c r="V30" s="413"/>
      <c r="W30" s="412" t="s">
        <v>584</v>
      </c>
      <c r="X30" s="413"/>
      <c r="Y30" s="413"/>
      <c r="Z30" s="413"/>
      <c r="AA30" s="413"/>
      <c r="AB30" s="413"/>
      <c r="AC30" s="412" t="s">
        <v>19</v>
      </c>
      <c r="AD30" s="413"/>
      <c r="AE30" s="414"/>
      <c r="AF30" s="412" t="s">
        <v>4</v>
      </c>
      <c r="AG30" s="413"/>
      <c r="AH30" s="413"/>
      <c r="AI30" s="414"/>
      <c r="AJ30" s="433" t="s">
        <v>294</v>
      </c>
    </row>
    <row r="31" spans="1:39" s="133" customFormat="1" ht="18" customHeight="1" x14ac:dyDescent="0.2">
      <c r="A31" s="444"/>
      <c r="B31" s="444"/>
      <c r="C31" s="445"/>
      <c r="D31" s="445"/>
      <c r="E31" s="438"/>
      <c r="F31" s="439"/>
      <c r="G31" s="440"/>
      <c r="H31" s="438"/>
      <c r="I31" s="439"/>
      <c r="J31" s="440"/>
      <c r="K31" s="415"/>
      <c r="L31" s="416"/>
      <c r="M31" s="416"/>
      <c r="N31" s="416"/>
      <c r="O31" s="416"/>
      <c r="P31" s="417"/>
      <c r="Q31" s="415"/>
      <c r="R31" s="416"/>
      <c r="S31" s="416"/>
      <c r="T31" s="416"/>
      <c r="U31" s="416"/>
      <c r="V31" s="416"/>
      <c r="W31" s="415"/>
      <c r="X31" s="416"/>
      <c r="Y31" s="416"/>
      <c r="Z31" s="416"/>
      <c r="AA31" s="416"/>
      <c r="AB31" s="416"/>
      <c r="AC31" s="430"/>
      <c r="AD31" s="431"/>
      <c r="AE31" s="432"/>
      <c r="AF31" s="430"/>
      <c r="AG31" s="431"/>
      <c r="AH31" s="431"/>
      <c r="AI31" s="432"/>
      <c r="AJ31" s="434"/>
    </row>
    <row r="32" spans="1:39" s="133" customFormat="1" ht="15.75" customHeight="1" x14ac:dyDescent="0.2">
      <c r="A32" s="444"/>
      <c r="B32" s="444"/>
      <c r="C32" s="445"/>
      <c r="D32" s="445"/>
      <c r="E32" s="441"/>
      <c r="F32" s="442"/>
      <c r="G32" s="443"/>
      <c r="H32" s="441"/>
      <c r="I32" s="442"/>
      <c r="J32" s="443"/>
      <c r="K32" s="398" t="s">
        <v>580</v>
      </c>
      <c r="L32" s="399"/>
      <c r="M32" s="400"/>
      <c r="N32" s="398" t="s">
        <v>581</v>
      </c>
      <c r="O32" s="399"/>
      <c r="P32" s="400"/>
      <c r="Q32" s="398" t="s">
        <v>580</v>
      </c>
      <c r="R32" s="399"/>
      <c r="S32" s="400"/>
      <c r="T32" s="398" t="s">
        <v>581</v>
      </c>
      <c r="U32" s="399"/>
      <c r="V32" s="400"/>
      <c r="W32" s="398" t="s">
        <v>580</v>
      </c>
      <c r="X32" s="399"/>
      <c r="Y32" s="400"/>
      <c r="Z32" s="398" t="s">
        <v>581</v>
      </c>
      <c r="AA32" s="399"/>
      <c r="AB32" s="400"/>
      <c r="AC32" s="415"/>
      <c r="AD32" s="416"/>
      <c r="AE32" s="417"/>
      <c r="AF32" s="415"/>
      <c r="AG32" s="416"/>
      <c r="AH32" s="416"/>
      <c r="AI32" s="417"/>
      <c r="AJ32" s="128"/>
    </row>
    <row r="33" spans="1:39" s="103" customFormat="1" ht="15.75" x14ac:dyDescent="0.25">
      <c r="A33" s="411">
        <v>1</v>
      </c>
      <c r="B33" s="411">
        <v>2</v>
      </c>
      <c r="C33" s="411">
        <v>3</v>
      </c>
      <c r="D33" s="411">
        <v>4</v>
      </c>
      <c r="E33" s="420">
        <v>5</v>
      </c>
      <c r="F33" s="421"/>
      <c r="G33" s="422"/>
      <c r="H33" s="420">
        <v>6</v>
      </c>
      <c r="I33" s="421"/>
      <c r="J33" s="422"/>
      <c r="K33" s="401">
        <v>7</v>
      </c>
      <c r="L33" s="402"/>
      <c r="M33" s="403"/>
      <c r="N33" s="401">
        <v>8</v>
      </c>
      <c r="O33" s="402"/>
      <c r="P33" s="403"/>
      <c r="Q33" s="401">
        <v>12</v>
      </c>
      <c r="R33" s="402"/>
      <c r="S33" s="403"/>
      <c r="T33" s="401">
        <v>13</v>
      </c>
      <c r="U33" s="402"/>
      <c r="V33" s="403"/>
      <c r="W33" s="395">
        <v>17</v>
      </c>
      <c r="X33" s="396"/>
      <c r="Y33" s="397"/>
      <c r="Z33" s="395">
        <v>18</v>
      </c>
      <c r="AA33" s="396"/>
      <c r="AB33" s="397"/>
      <c r="AC33" s="395">
        <v>22</v>
      </c>
      <c r="AD33" s="396"/>
      <c r="AE33" s="397"/>
      <c r="AF33" s="395">
        <v>23</v>
      </c>
      <c r="AG33" s="396"/>
      <c r="AH33" s="396"/>
      <c r="AI33" s="397"/>
      <c r="AJ33" s="129"/>
    </row>
    <row r="34" spans="1:39" s="103" customFormat="1" ht="87" customHeight="1" x14ac:dyDescent="0.2">
      <c r="A34" s="419"/>
      <c r="B34" s="419"/>
      <c r="C34" s="419"/>
      <c r="D34" s="419"/>
      <c r="E34" s="404" t="s">
        <v>2</v>
      </c>
      <c r="F34" s="405"/>
      <c r="G34" s="408" t="s">
        <v>3</v>
      </c>
      <c r="H34" s="404" t="s">
        <v>2</v>
      </c>
      <c r="I34" s="405"/>
      <c r="J34" s="408" t="s">
        <v>3</v>
      </c>
      <c r="K34" s="404" t="s">
        <v>2</v>
      </c>
      <c r="L34" s="405"/>
      <c r="M34" s="411" t="s">
        <v>3</v>
      </c>
      <c r="N34" s="404" t="s">
        <v>2</v>
      </c>
      <c r="O34" s="405"/>
      <c r="P34" s="411" t="s">
        <v>3</v>
      </c>
      <c r="Q34" s="404" t="s">
        <v>2</v>
      </c>
      <c r="R34" s="405"/>
      <c r="S34" s="411" t="s">
        <v>3</v>
      </c>
      <c r="T34" s="404" t="s">
        <v>2</v>
      </c>
      <c r="U34" s="405"/>
      <c r="V34" s="411" t="s">
        <v>3</v>
      </c>
      <c r="W34" s="420" t="s">
        <v>13</v>
      </c>
      <c r="X34" s="422"/>
      <c r="Y34" s="106" t="s">
        <v>14</v>
      </c>
      <c r="Z34" s="420" t="s">
        <v>15</v>
      </c>
      <c r="AA34" s="422"/>
      <c r="AB34" s="106" t="s">
        <v>16</v>
      </c>
      <c r="AC34" s="404" t="s">
        <v>2</v>
      </c>
      <c r="AD34" s="405"/>
      <c r="AE34" s="405" t="s">
        <v>3</v>
      </c>
      <c r="AF34" s="420" t="s">
        <v>18</v>
      </c>
      <c r="AG34" s="422"/>
      <c r="AH34" s="425" t="s">
        <v>22</v>
      </c>
      <c r="AI34" s="106" t="s">
        <v>17</v>
      </c>
      <c r="AJ34" s="130"/>
    </row>
    <row r="35" spans="1:39" s="103" customFormat="1" ht="15.75" x14ac:dyDescent="0.2">
      <c r="A35" s="408"/>
      <c r="B35" s="408"/>
      <c r="C35" s="408"/>
      <c r="D35" s="408"/>
      <c r="E35" s="406"/>
      <c r="F35" s="407"/>
      <c r="G35" s="409"/>
      <c r="H35" s="406"/>
      <c r="I35" s="407"/>
      <c r="J35" s="409"/>
      <c r="K35" s="406"/>
      <c r="L35" s="407"/>
      <c r="M35" s="408"/>
      <c r="N35" s="406"/>
      <c r="O35" s="407"/>
      <c r="P35" s="408"/>
      <c r="Q35" s="406"/>
      <c r="R35" s="407"/>
      <c r="S35" s="408"/>
      <c r="T35" s="406"/>
      <c r="U35" s="407"/>
      <c r="V35" s="408"/>
      <c r="W35" s="406" t="s">
        <v>2</v>
      </c>
      <c r="X35" s="407"/>
      <c r="Y35" s="226" t="s">
        <v>3</v>
      </c>
      <c r="Z35" s="427" t="s">
        <v>2</v>
      </c>
      <c r="AA35" s="428"/>
      <c r="AB35" s="226" t="s">
        <v>3</v>
      </c>
      <c r="AC35" s="406"/>
      <c r="AD35" s="407"/>
      <c r="AE35" s="407"/>
      <c r="AF35" s="406" t="s">
        <v>2</v>
      </c>
      <c r="AG35" s="407"/>
      <c r="AH35" s="426"/>
      <c r="AI35" s="226" t="s">
        <v>3</v>
      </c>
      <c r="AJ35" s="130"/>
    </row>
    <row r="36" spans="1:39" ht="144.75" customHeight="1" x14ac:dyDescent="0.25">
      <c r="A36" s="114"/>
      <c r="B36" s="115"/>
      <c r="C36" s="110"/>
      <c r="D36" s="111" t="s">
        <v>379</v>
      </c>
      <c r="E36" s="266">
        <v>89.96</v>
      </c>
      <c r="F36" s="267" t="s">
        <v>26</v>
      </c>
      <c r="G36" s="268"/>
      <c r="H36" s="266">
        <f>H37</f>
        <v>91.27</v>
      </c>
      <c r="I36" s="267" t="s">
        <v>26</v>
      </c>
      <c r="J36" s="325">
        <f>J37</f>
        <v>242712500</v>
      </c>
      <c r="K36" s="266">
        <v>90.27</v>
      </c>
      <c r="L36" s="267" t="s">
        <v>26</v>
      </c>
      <c r="M36" s="325">
        <f>M37</f>
        <v>48542500</v>
      </c>
      <c r="N36" s="266">
        <f>N37</f>
        <v>90.58</v>
      </c>
      <c r="O36" s="267" t="s">
        <v>26</v>
      </c>
      <c r="P36" s="325">
        <f>P37</f>
        <v>48542300</v>
      </c>
      <c r="Q36" s="266">
        <v>89.21</v>
      </c>
      <c r="R36" s="267" t="s">
        <v>26</v>
      </c>
      <c r="S36" s="325">
        <f>S37</f>
        <v>40047500</v>
      </c>
      <c r="T36" s="266">
        <v>89.23</v>
      </c>
      <c r="U36" s="267" t="s">
        <v>26</v>
      </c>
      <c r="V36" s="325">
        <f>V37</f>
        <v>29030300</v>
      </c>
      <c r="W36" s="320">
        <f t="shared" ref="W36:W42" si="7">Q36/K36*100</f>
        <v>98.825744987260435</v>
      </c>
      <c r="X36" s="317" t="s">
        <v>28</v>
      </c>
      <c r="Y36" s="321">
        <f t="shared" ref="Y36:Z42" si="8">S36/M36*100</f>
        <v>82.499871246845544</v>
      </c>
      <c r="Z36" s="320">
        <f>T36/N36*100</f>
        <v>98.50960476926474</v>
      </c>
      <c r="AA36" s="317" t="s">
        <v>28</v>
      </c>
      <c r="AB36" s="321">
        <f t="shared" ref="AB36:AB42" si="9">V36/P36*100</f>
        <v>59.804129594188979</v>
      </c>
      <c r="AC36" s="266">
        <f>T36</f>
        <v>89.23</v>
      </c>
      <c r="AD36" s="267" t="s">
        <v>26</v>
      </c>
      <c r="AE36" s="372">
        <f t="shared" ref="AE36:AE42" si="10">S36+V36</f>
        <v>69077800</v>
      </c>
      <c r="AF36" s="242"/>
      <c r="AG36" s="242"/>
      <c r="AH36" s="242"/>
      <c r="AI36" s="242"/>
      <c r="AJ36" s="155" t="s">
        <v>298</v>
      </c>
    </row>
    <row r="37" spans="1:39" ht="102.75" customHeight="1" x14ac:dyDescent="0.25">
      <c r="A37" s="70">
        <v>14</v>
      </c>
      <c r="B37" s="65" t="s">
        <v>122</v>
      </c>
      <c r="C37" s="66"/>
      <c r="D37" s="66" t="s">
        <v>382</v>
      </c>
      <c r="E37" s="273">
        <v>89.96</v>
      </c>
      <c r="F37" s="274" t="s">
        <v>26</v>
      </c>
      <c r="G37" s="275"/>
      <c r="H37" s="273">
        <v>91.27</v>
      </c>
      <c r="I37" s="326" t="s">
        <v>26</v>
      </c>
      <c r="J37" s="276">
        <f>SUM(J38:J39)</f>
        <v>242712500</v>
      </c>
      <c r="K37" s="273">
        <v>90.27</v>
      </c>
      <c r="L37" s="274" t="s">
        <v>26</v>
      </c>
      <c r="M37" s="276">
        <f>SUM(M38:M39)</f>
        <v>48542500</v>
      </c>
      <c r="N37" s="273">
        <v>90.58</v>
      </c>
      <c r="O37" s="274" t="s">
        <v>26</v>
      </c>
      <c r="P37" s="276">
        <f>SUM(P38:P39)</f>
        <v>48542300</v>
      </c>
      <c r="Q37" s="277">
        <v>89.21</v>
      </c>
      <c r="R37" s="274" t="s">
        <v>26</v>
      </c>
      <c r="S37" s="276">
        <f>SUM(S38:S39)</f>
        <v>40047500</v>
      </c>
      <c r="T37" s="277">
        <v>89.23</v>
      </c>
      <c r="U37" s="274" t="s">
        <v>26</v>
      </c>
      <c r="V37" s="276">
        <f>SUM(V38:V39)</f>
        <v>29030300</v>
      </c>
      <c r="W37" s="312">
        <f t="shared" si="7"/>
        <v>98.825744987260435</v>
      </c>
      <c r="X37" s="282" t="s">
        <v>28</v>
      </c>
      <c r="Y37" s="294">
        <f t="shared" si="8"/>
        <v>82.499871246845544</v>
      </c>
      <c r="Z37" s="312">
        <f t="shared" si="8"/>
        <v>98.50960476926474</v>
      </c>
      <c r="AA37" s="282" t="s">
        <v>28</v>
      </c>
      <c r="AB37" s="294">
        <f t="shared" si="9"/>
        <v>59.804129594188979</v>
      </c>
      <c r="AC37" s="277">
        <f>T37</f>
        <v>89.23</v>
      </c>
      <c r="AD37" s="373" t="s">
        <v>26</v>
      </c>
      <c r="AE37" s="374">
        <f t="shared" si="10"/>
        <v>69077800</v>
      </c>
      <c r="AF37" s="8"/>
      <c r="AG37" s="8"/>
      <c r="AH37" s="8"/>
      <c r="AI37" s="8"/>
      <c r="AM37" s="134">
        <f t="shared" ref="AM37:AM42" si="11">S37</f>
        <v>40047500</v>
      </c>
    </row>
    <row r="38" spans="1:39" ht="135" x14ac:dyDescent="0.2">
      <c r="A38" s="64"/>
      <c r="B38" s="64"/>
      <c r="C38" s="14" t="s">
        <v>82</v>
      </c>
      <c r="D38" s="14" t="s">
        <v>556</v>
      </c>
      <c r="E38" s="32">
        <v>36.840000000000003</v>
      </c>
      <c r="F38" s="36" t="s">
        <v>28</v>
      </c>
      <c r="G38" s="8"/>
      <c r="H38" s="32">
        <v>100</v>
      </c>
      <c r="I38" s="36" t="s">
        <v>28</v>
      </c>
      <c r="J38" s="9">
        <v>192487500</v>
      </c>
      <c r="K38" s="32">
        <v>36.840000000000003</v>
      </c>
      <c r="L38" s="36" t="s">
        <v>28</v>
      </c>
      <c r="M38" s="10">
        <v>38497500</v>
      </c>
      <c r="N38" s="32">
        <v>52.63</v>
      </c>
      <c r="O38" s="36" t="s">
        <v>28</v>
      </c>
      <c r="P38" s="10">
        <v>29999800</v>
      </c>
      <c r="Q38" s="78">
        <f>14/38*100</f>
        <v>36.84210526315789</v>
      </c>
      <c r="R38" s="36" t="s">
        <v>28</v>
      </c>
      <c r="S38" s="10">
        <v>32397500</v>
      </c>
      <c r="T38" s="78">
        <f>20/38*100</f>
        <v>52.631578947368418</v>
      </c>
      <c r="U38" s="36" t="s">
        <v>28</v>
      </c>
      <c r="V38" s="10">
        <v>19417800</v>
      </c>
      <c r="W38" s="222">
        <f t="shared" si="7"/>
        <v>100.00571461226353</v>
      </c>
      <c r="X38" s="18" t="s">
        <v>28</v>
      </c>
      <c r="Y38" s="289">
        <f t="shared" si="8"/>
        <v>84.154815247743358</v>
      </c>
      <c r="Z38" s="222">
        <f t="shared" si="8"/>
        <v>100.00300009000269</v>
      </c>
      <c r="AA38" s="18" t="s">
        <v>28</v>
      </c>
      <c r="AB38" s="289">
        <f t="shared" si="9"/>
        <v>64.726431509543389</v>
      </c>
      <c r="AC38" s="78">
        <f>Q38+T38</f>
        <v>89.473684210526301</v>
      </c>
      <c r="AD38" s="174" t="s">
        <v>28</v>
      </c>
      <c r="AE38" s="338">
        <f t="shared" si="10"/>
        <v>51815300</v>
      </c>
      <c r="AF38" s="8"/>
      <c r="AG38" s="8"/>
      <c r="AH38" s="8"/>
      <c r="AI38" s="8"/>
      <c r="AM38" s="134">
        <f t="shared" si="11"/>
        <v>32397500</v>
      </c>
    </row>
    <row r="39" spans="1:39" ht="120.75" customHeight="1" x14ac:dyDescent="0.2">
      <c r="A39" s="64"/>
      <c r="B39" s="64"/>
      <c r="C39" s="14" t="s">
        <v>83</v>
      </c>
      <c r="D39" s="14" t="s">
        <v>380</v>
      </c>
      <c r="E39" s="32">
        <v>8.11</v>
      </c>
      <c r="F39" s="36" t="s">
        <v>28</v>
      </c>
      <c r="G39" s="8"/>
      <c r="H39" s="78">
        <v>37.299999999999997</v>
      </c>
      <c r="I39" s="36" t="s">
        <v>28</v>
      </c>
      <c r="J39" s="9">
        <v>50225000</v>
      </c>
      <c r="K39" s="32">
        <v>8.11</v>
      </c>
      <c r="L39" s="36" t="s">
        <v>28</v>
      </c>
      <c r="M39" s="10">
        <v>10045000</v>
      </c>
      <c r="N39" s="32">
        <v>12.43</v>
      </c>
      <c r="O39" s="36" t="s">
        <v>28</v>
      </c>
      <c r="P39" s="10">
        <v>18542500</v>
      </c>
      <c r="Q39" s="78">
        <f>15/185*100</f>
        <v>8.1081081081081088</v>
      </c>
      <c r="R39" s="36" t="s">
        <v>28</v>
      </c>
      <c r="S39" s="10">
        <v>7650000</v>
      </c>
      <c r="T39" s="78">
        <f>23/185*100</f>
        <v>12.432432432432433</v>
      </c>
      <c r="U39" s="36" t="s">
        <v>28</v>
      </c>
      <c r="V39" s="10">
        <v>9612500</v>
      </c>
      <c r="W39" s="222">
        <f t="shared" si="7"/>
        <v>99.976672109841047</v>
      </c>
      <c r="X39" s="18" t="s">
        <v>28</v>
      </c>
      <c r="Y39" s="289">
        <f t="shared" si="8"/>
        <v>76.157292185166753</v>
      </c>
      <c r="Z39" s="222">
        <f>T39/N39*100</f>
        <v>100.01956904611772</v>
      </c>
      <c r="AA39" s="18" t="s">
        <v>28</v>
      </c>
      <c r="AB39" s="289">
        <f t="shared" si="9"/>
        <v>51.840366725091002</v>
      </c>
      <c r="AC39" s="78">
        <f>Q39+T39</f>
        <v>20.54054054054054</v>
      </c>
      <c r="AD39" s="174" t="s">
        <v>28</v>
      </c>
      <c r="AE39" s="338">
        <f t="shared" si="10"/>
        <v>17262500</v>
      </c>
      <c r="AF39" s="8"/>
      <c r="AG39" s="8"/>
      <c r="AH39" s="8"/>
      <c r="AI39" s="8"/>
      <c r="AM39" s="134">
        <f t="shared" si="11"/>
        <v>7650000</v>
      </c>
    </row>
    <row r="40" spans="1:39" ht="78.75" x14ac:dyDescent="0.25">
      <c r="A40" s="64"/>
      <c r="B40" s="64"/>
      <c r="C40" s="66"/>
      <c r="D40" s="66" t="s">
        <v>383</v>
      </c>
      <c r="E40" s="273">
        <v>0.68</v>
      </c>
      <c r="F40" s="274" t="s">
        <v>28</v>
      </c>
      <c r="G40" s="275"/>
      <c r="H40" s="273">
        <v>7.43</v>
      </c>
      <c r="I40" s="274" t="s">
        <v>28</v>
      </c>
      <c r="J40" s="276">
        <f>SUM(J41:J42)</f>
        <v>583451500</v>
      </c>
      <c r="K40" s="273">
        <v>2.0299999999999998</v>
      </c>
      <c r="L40" s="274" t="s">
        <v>28</v>
      </c>
      <c r="M40" s="276">
        <f>SUM(M41:M42)</f>
        <v>116690300</v>
      </c>
      <c r="N40" s="273">
        <v>3.38</v>
      </c>
      <c r="O40" s="274" t="s">
        <v>28</v>
      </c>
      <c r="P40" s="276">
        <f>SUM(P41:P42)</f>
        <v>108690100</v>
      </c>
      <c r="Q40" s="277">
        <f>3/148*100</f>
        <v>2.0270270270270272</v>
      </c>
      <c r="R40" s="274" t="s">
        <v>28</v>
      </c>
      <c r="S40" s="276">
        <f>SUM(S41:S42)</f>
        <v>103080890</v>
      </c>
      <c r="T40" s="277">
        <f>5/148*100</f>
        <v>3.3783783783783785</v>
      </c>
      <c r="U40" s="274" t="s">
        <v>28</v>
      </c>
      <c r="V40" s="276">
        <f>SUM(V41:V42)</f>
        <v>90358700</v>
      </c>
      <c r="W40" s="312">
        <f t="shared" si="7"/>
        <v>99.853548129410214</v>
      </c>
      <c r="X40" s="282" t="s">
        <v>28</v>
      </c>
      <c r="Y40" s="294">
        <f t="shared" si="8"/>
        <v>88.337153987949307</v>
      </c>
      <c r="Z40" s="312">
        <f t="shared" si="8"/>
        <v>99.952023028946115</v>
      </c>
      <c r="AA40" s="282" t="s">
        <v>28</v>
      </c>
      <c r="AB40" s="294">
        <f t="shared" si="9"/>
        <v>83.13425049751541</v>
      </c>
      <c r="AC40" s="277">
        <f>Q40+T40</f>
        <v>5.4054054054054053</v>
      </c>
      <c r="AD40" s="386" t="s">
        <v>28</v>
      </c>
      <c r="AE40" s="374">
        <f t="shared" si="10"/>
        <v>193439590</v>
      </c>
      <c r="AF40" s="8"/>
      <c r="AG40" s="8"/>
      <c r="AH40" s="8"/>
      <c r="AI40" s="8"/>
      <c r="AM40" s="134">
        <f t="shared" si="11"/>
        <v>103080890</v>
      </c>
    </row>
    <row r="41" spans="1:39" ht="120" x14ac:dyDescent="0.2">
      <c r="A41" s="64"/>
      <c r="B41" s="64"/>
      <c r="C41" s="14" t="s">
        <v>85</v>
      </c>
      <c r="D41" s="14" t="s">
        <v>381</v>
      </c>
      <c r="E41" s="32">
        <v>27.78</v>
      </c>
      <c r="F41" s="36" t="s">
        <v>28</v>
      </c>
      <c r="G41" s="8"/>
      <c r="H41" s="32">
        <v>100</v>
      </c>
      <c r="I41" s="36" t="s">
        <v>28</v>
      </c>
      <c r="J41" s="9">
        <v>463621500</v>
      </c>
      <c r="K41" s="32">
        <v>27.78</v>
      </c>
      <c r="L41" s="36" t="s">
        <v>28</v>
      </c>
      <c r="M41" s="10">
        <v>92724300</v>
      </c>
      <c r="N41" s="32">
        <v>55.56</v>
      </c>
      <c r="O41" s="36" t="s">
        <v>28</v>
      </c>
      <c r="P41" s="10">
        <v>84724100</v>
      </c>
      <c r="Q41" s="32">
        <f>15/54*100</f>
        <v>27.777777777777779</v>
      </c>
      <c r="R41" s="36" t="s">
        <v>28</v>
      </c>
      <c r="S41" s="10">
        <v>82294300</v>
      </c>
      <c r="T41" s="78">
        <f>30/54*100</f>
        <v>55.555555555555557</v>
      </c>
      <c r="U41" s="36" t="s">
        <v>28</v>
      </c>
      <c r="V41" s="10">
        <v>75224100</v>
      </c>
      <c r="W41" s="222">
        <f t="shared" si="7"/>
        <v>99.992000639948813</v>
      </c>
      <c r="X41" s="18" t="s">
        <v>28</v>
      </c>
      <c r="Y41" s="289">
        <f t="shared" si="8"/>
        <v>88.751600173848715</v>
      </c>
      <c r="Z41" s="222">
        <f t="shared" si="8"/>
        <v>99.992000639948813</v>
      </c>
      <c r="AA41" s="18" t="s">
        <v>28</v>
      </c>
      <c r="AB41" s="289">
        <f t="shared" si="9"/>
        <v>88.787133767133554</v>
      </c>
      <c r="AC41" s="78">
        <f>Q41+T41</f>
        <v>83.333333333333343</v>
      </c>
      <c r="AD41" s="174" t="s">
        <v>28</v>
      </c>
      <c r="AE41" s="338">
        <f t="shared" si="10"/>
        <v>157518400</v>
      </c>
      <c r="AF41" s="8"/>
      <c r="AG41" s="8"/>
      <c r="AH41" s="8"/>
      <c r="AI41" s="8"/>
      <c r="AM41" s="134">
        <f t="shared" si="11"/>
        <v>82294300</v>
      </c>
    </row>
    <row r="42" spans="1:39" ht="90" x14ac:dyDescent="0.2">
      <c r="A42" s="64"/>
      <c r="B42" s="64"/>
      <c r="C42" s="14" t="s">
        <v>84</v>
      </c>
      <c r="D42" s="14" t="s">
        <v>557</v>
      </c>
      <c r="E42" s="32">
        <v>100</v>
      </c>
      <c r="F42" s="36" t="s">
        <v>28</v>
      </c>
      <c r="G42" s="8"/>
      <c r="H42" s="32">
        <v>100</v>
      </c>
      <c r="I42" s="36" t="s">
        <v>28</v>
      </c>
      <c r="J42" s="9">
        <v>119830000</v>
      </c>
      <c r="K42" s="32">
        <v>100</v>
      </c>
      <c r="L42" s="36" t="s">
        <v>28</v>
      </c>
      <c r="M42" s="10">
        <v>23966000</v>
      </c>
      <c r="N42" s="32">
        <v>100</v>
      </c>
      <c r="O42" s="36" t="s">
        <v>28</v>
      </c>
      <c r="P42" s="10">
        <v>23966000</v>
      </c>
      <c r="Q42" s="78">
        <v>100</v>
      </c>
      <c r="R42" s="36" t="s">
        <v>28</v>
      </c>
      <c r="S42" s="10">
        <v>20786590</v>
      </c>
      <c r="T42" s="32">
        <v>100</v>
      </c>
      <c r="U42" s="36" t="s">
        <v>28</v>
      </c>
      <c r="V42" s="10">
        <v>15134600</v>
      </c>
      <c r="W42" s="222">
        <f t="shared" si="7"/>
        <v>100</v>
      </c>
      <c r="X42" s="18" t="s">
        <v>28</v>
      </c>
      <c r="Y42" s="289">
        <f t="shared" si="8"/>
        <v>86.733664357840283</v>
      </c>
      <c r="Z42" s="327">
        <f t="shared" si="8"/>
        <v>100</v>
      </c>
      <c r="AA42" s="18" t="s">
        <v>28</v>
      </c>
      <c r="AB42" s="289">
        <f t="shared" si="9"/>
        <v>63.150296253025118</v>
      </c>
      <c r="AC42" s="78">
        <f>Q42+T42</f>
        <v>200</v>
      </c>
      <c r="AD42" s="174" t="s">
        <v>28</v>
      </c>
      <c r="AE42" s="338">
        <f t="shared" si="10"/>
        <v>35921190</v>
      </c>
      <c r="AF42" s="8"/>
      <c r="AG42" s="8"/>
      <c r="AH42" s="8"/>
      <c r="AI42" s="8"/>
      <c r="AM42" s="134">
        <f t="shared" si="11"/>
        <v>20786590</v>
      </c>
    </row>
    <row r="43" spans="1:39" ht="15" x14ac:dyDescent="0.2">
      <c r="A43" s="446" t="s">
        <v>5</v>
      </c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121">
        <f>AVERAGE(W37:W42)</f>
        <v>99.775613413120666</v>
      </c>
      <c r="X43" s="122"/>
      <c r="Y43" s="121"/>
      <c r="Z43" s="121">
        <f>AVERAGE(Z37:Z42)</f>
        <v>99.746032929046692</v>
      </c>
      <c r="AA43" s="102"/>
      <c r="AB43" s="102"/>
      <c r="AC43" s="102"/>
      <c r="AD43" s="102"/>
      <c r="AE43" s="102"/>
      <c r="AF43" s="102"/>
      <c r="AG43" s="102"/>
      <c r="AH43" s="102"/>
      <c r="AI43" s="102"/>
      <c r="AJ43" s="126"/>
    </row>
    <row r="44" spans="1:39" ht="15" x14ac:dyDescent="0.2">
      <c r="A44" s="446" t="s">
        <v>6</v>
      </c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195" t="str">
        <f>IF(W43&gt;=91,"Sangat Tinggi",IF(W43&gt;=76,"Tinggi",IF(W43&gt;=66,"Sedang",IF(W43&gt;=51,"Rendah",IF(W43&lt;=50,"Sangat Rendah")))))</f>
        <v>Sangat Tinggi</v>
      </c>
      <c r="X44" s="122"/>
      <c r="Y44" s="102"/>
      <c r="Z44" s="195" t="str">
        <f>IF(Z43&gt;=91,"Sangat Tinggi",IF(Z43&gt;=76,"Tinggi",IF(Z43&gt;=66,"Sedang",IF(Z43&gt;=51,"Rendah",IF(Z43&lt;=50,"Sangat Rendah")))))</f>
        <v>Sangat Tinggi</v>
      </c>
      <c r="AA44" s="102"/>
      <c r="AB44" s="102"/>
      <c r="AC44" s="102"/>
      <c r="AD44" s="102"/>
      <c r="AE44" s="102"/>
      <c r="AF44" s="102"/>
      <c r="AG44" s="102"/>
      <c r="AH44" s="102"/>
      <c r="AI44" s="102"/>
      <c r="AJ44" s="126"/>
    </row>
    <row r="45" spans="1:39" ht="15" x14ac:dyDescent="0.2">
      <c r="A45" s="429" t="s">
        <v>7</v>
      </c>
      <c r="B45" s="429"/>
      <c r="C45" s="429"/>
      <c r="D45" s="429"/>
      <c r="E45" s="429"/>
      <c r="F45" s="429"/>
      <c r="G45" s="429"/>
      <c r="H45" s="429"/>
      <c r="I45" s="429"/>
      <c r="J45" s="429"/>
      <c r="K45" s="429"/>
      <c r="L45" s="429"/>
      <c r="M45" s="429"/>
      <c r="N45" s="429"/>
      <c r="O45" s="429"/>
      <c r="P45" s="429"/>
      <c r="Q45" s="429"/>
      <c r="R45" s="429"/>
      <c r="S45" s="429"/>
      <c r="T45" s="429"/>
      <c r="U45" s="429"/>
      <c r="V45" s="429"/>
      <c r="W45" s="429"/>
      <c r="X45" s="429"/>
      <c r="Y45" s="429"/>
      <c r="Z45" s="429"/>
      <c r="AA45" s="429"/>
      <c r="AB45" s="429"/>
      <c r="AC45" s="429"/>
      <c r="AD45" s="429"/>
      <c r="AE45" s="429"/>
      <c r="AF45" s="429"/>
      <c r="AG45" s="429"/>
      <c r="AH45" s="429"/>
      <c r="AI45" s="429"/>
      <c r="AJ45" s="126"/>
    </row>
    <row r="46" spans="1:39" ht="15" x14ac:dyDescent="0.2">
      <c r="A46" s="429" t="s">
        <v>8</v>
      </c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29"/>
      <c r="V46" s="429"/>
      <c r="W46" s="429"/>
      <c r="X46" s="429"/>
      <c r="Y46" s="429"/>
      <c r="Z46" s="429"/>
      <c r="AA46" s="429"/>
      <c r="AB46" s="429"/>
      <c r="AC46" s="429"/>
      <c r="AD46" s="429"/>
      <c r="AE46" s="429"/>
      <c r="AF46" s="429"/>
      <c r="AG46" s="429"/>
      <c r="AH46" s="429"/>
      <c r="AI46" s="429"/>
      <c r="AJ46" s="126"/>
    </row>
    <row r="47" spans="1:39" ht="15" x14ac:dyDescent="0.2">
      <c r="A47" s="429" t="s">
        <v>9</v>
      </c>
      <c r="B47" s="429"/>
      <c r="C47" s="429"/>
      <c r="D47" s="429"/>
      <c r="E47" s="429"/>
      <c r="F47" s="429"/>
      <c r="G47" s="429"/>
      <c r="H47" s="429"/>
      <c r="I47" s="429"/>
      <c r="J47" s="429"/>
      <c r="K47" s="429"/>
      <c r="L47" s="429"/>
      <c r="M47" s="429"/>
      <c r="N47" s="429"/>
      <c r="O47" s="429"/>
      <c r="P47" s="429"/>
      <c r="Q47" s="429"/>
      <c r="R47" s="429"/>
      <c r="S47" s="429"/>
      <c r="T47" s="429"/>
      <c r="U47" s="429"/>
      <c r="V47" s="429"/>
      <c r="W47" s="429"/>
      <c r="X47" s="429"/>
      <c r="Y47" s="429"/>
      <c r="Z47" s="429"/>
      <c r="AA47" s="429"/>
      <c r="AB47" s="429"/>
      <c r="AC47" s="429"/>
      <c r="AD47" s="429"/>
      <c r="AE47" s="429"/>
      <c r="AF47" s="429"/>
      <c r="AG47" s="429"/>
      <c r="AH47" s="429"/>
      <c r="AI47" s="429"/>
      <c r="AJ47" s="126"/>
    </row>
    <row r="48" spans="1:39" ht="15" x14ac:dyDescent="0.2">
      <c r="A48" s="429" t="s">
        <v>10</v>
      </c>
      <c r="B48" s="429"/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29"/>
      <c r="Q48" s="429"/>
      <c r="R48" s="429"/>
      <c r="S48" s="429"/>
      <c r="T48" s="429"/>
      <c r="U48" s="429"/>
      <c r="V48" s="429"/>
      <c r="W48" s="429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29"/>
      <c r="AJ48" s="127"/>
    </row>
    <row r="49" spans="1:39" ht="15" x14ac:dyDescent="0.2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</row>
    <row r="50" spans="1:39" ht="15" x14ac:dyDescent="0.2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</row>
    <row r="51" spans="1:39" ht="15" x14ac:dyDescent="0.2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</row>
    <row r="52" spans="1:39" s="133" customFormat="1" ht="68.25" customHeight="1" x14ac:dyDescent="0.2">
      <c r="A52" s="444" t="s">
        <v>0</v>
      </c>
      <c r="B52" s="444" t="s">
        <v>272</v>
      </c>
      <c r="C52" s="445" t="s">
        <v>1</v>
      </c>
      <c r="D52" s="445" t="s">
        <v>327</v>
      </c>
      <c r="E52" s="435" t="s">
        <v>21</v>
      </c>
      <c r="F52" s="436"/>
      <c r="G52" s="437"/>
      <c r="H52" s="435" t="s">
        <v>20</v>
      </c>
      <c r="I52" s="436"/>
      <c r="J52" s="437"/>
      <c r="K52" s="412" t="s">
        <v>582</v>
      </c>
      <c r="L52" s="413"/>
      <c r="M52" s="413"/>
      <c r="N52" s="413"/>
      <c r="O52" s="413"/>
      <c r="P52" s="414"/>
      <c r="Q52" s="412" t="s">
        <v>583</v>
      </c>
      <c r="R52" s="413"/>
      <c r="S52" s="413"/>
      <c r="T52" s="413"/>
      <c r="U52" s="413"/>
      <c r="V52" s="413"/>
      <c r="W52" s="412" t="s">
        <v>584</v>
      </c>
      <c r="X52" s="413"/>
      <c r="Y52" s="413"/>
      <c r="Z52" s="413"/>
      <c r="AA52" s="413"/>
      <c r="AB52" s="413"/>
      <c r="AC52" s="412" t="s">
        <v>19</v>
      </c>
      <c r="AD52" s="413"/>
      <c r="AE52" s="414"/>
      <c r="AF52" s="412" t="s">
        <v>4</v>
      </c>
      <c r="AG52" s="413"/>
      <c r="AH52" s="413"/>
      <c r="AI52" s="414"/>
      <c r="AJ52" s="433" t="s">
        <v>294</v>
      </c>
    </row>
    <row r="53" spans="1:39" s="133" customFormat="1" ht="18" customHeight="1" x14ac:dyDescent="0.2">
      <c r="A53" s="444"/>
      <c r="B53" s="444"/>
      <c r="C53" s="445"/>
      <c r="D53" s="445"/>
      <c r="E53" s="438"/>
      <c r="F53" s="439"/>
      <c r="G53" s="440"/>
      <c r="H53" s="438"/>
      <c r="I53" s="439"/>
      <c r="J53" s="440"/>
      <c r="K53" s="415"/>
      <c r="L53" s="416"/>
      <c r="M53" s="416"/>
      <c r="N53" s="416"/>
      <c r="O53" s="416"/>
      <c r="P53" s="417"/>
      <c r="Q53" s="415"/>
      <c r="R53" s="416"/>
      <c r="S53" s="416"/>
      <c r="T53" s="416"/>
      <c r="U53" s="416"/>
      <c r="V53" s="416"/>
      <c r="W53" s="415"/>
      <c r="X53" s="416"/>
      <c r="Y53" s="416"/>
      <c r="Z53" s="416"/>
      <c r="AA53" s="416"/>
      <c r="AB53" s="416"/>
      <c r="AC53" s="430"/>
      <c r="AD53" s="431"/>
      <c r="AE53" s="432"/>
      <c r="AF53" s="430"/>
      <c r="AG53" s="431"/>
      <c r="AH53" s="431"/>
      <c r="AI53" s="432"/>
      <c r="AJ53" s="434"/>
    </row>
    <row r="54" spans="1:39" s="133" customFormat="1" ht="15.75" customHeight="1" x14ac:dyDescent="0.2">
      <c r="A54" s="444"/>
      <c r="B54" s="444"/>
      <c r="C54" s="445"/>
      <c r="D54" s="445"/>
      <c r="E54" s="441"/>
      <c r="F54" s="442"/>
      <c r="G54" s="443"/>
      <c r="H54" s="441"/>
      <c r="I54" s="442"/>
      <c r="J54" s="443"/>
      <c r="K54" s="398" t="s">
        <v>580</v>
      </c>
      <c r="L54" s="399"/>
      <c r="M54" s="400"/>
      <c r="N54" s="398" t="s">
        <v>581</v>
      </c>
      <c r="O54" s="399"/>
      <c r="P54" s="400"/>
      <c r="Q54" s="398" t="s">
        <v>580</v>
      </c>
      <c r="R54" s="399"/>
      <c r="S54" s="400"/>
      <c r="T54" s="398" t="s">
        <v>581</v>
      </c>
      <c r="U54" s="399"/>
      <c r="V54" s="400"/>
      <c r="W54" s="398" t="s">
        <v>580</v>
      </c>
      <c r="X54" s="399"/>
      <c r="Y54" s="400"/>
      <c r="Z54" s="398" t="s">
        <v>581</v>
      </c>
      <c r="AA54" s="399"/>
      <c r="AB54" s="400"/>
      <c r="AC54" s="415"/>
      <c r="AD54" s="416"/>
      <c r="AE54" s="417"/>
      <c r="AF54" s="415"/>
      <c r="AG54" s="416"/>
      <c r="AH54" s="416"/>
      <c r="AI54" s="417"/>
      <c r="AJ54" s="128"/>
    </row>
    <row r="55" spans="1:39" s="103" customFormat="1" ht="15.75" x14ac:dyDescent="0.25">
      <c r="A55" s="411">
        <v>1</v>
      </c>
      <c r="B55" s="411">
        <v>2</v>
      </c>
      <c r="C55" s="411">
        <v>3</v>
      </c>
      <c r="D55" s="411">
        <v>4</v>
      </c>
      <c r="E55" s="420">
        <v>5</v>
      </c>
      <c r="F55" s="421"/>
      <c r="G55" s="422"/>
      <c r="H55" s="420">
        <v>6</v>
      </c>
      <c r="I55" s="421"/>
      <c r="J55" s="422"/>
      <c r="K55" s="401">
        <v>7</v>
      </c>
      <c r="L55" s="402"/>
      <c r="M55" s="403"/>
      <c r="N55" s="401">
        <v>8</v>
      </c>
      <c r="O55" s="402"/>
      <c r="P55" s="403"/>
      <c r="Q55" s="401">
        <v>12</v>
      </c>
      <c r="R55" s="402"/>
      <c r="S55" s="403"/>
      <c r="T55" s="401">
        <v>13</v>
      </c>
      <c r="U55" s="402"/>
      <c r="V55" s="403"/>
      <c r="W55" s="395">
        <v>17</v>
      </c>
      <c r="X55" s="396"/>
      <c r="Y55" s="397"/>
      <c r="Z55" s="395">
        <v>18</v>
      </c>
      <c r="AA55" s="396"/>
      <c r="AB55" s="397"/>
      <c r="AC55" s="395">
        <v>22</v>
      </c>
      <c r="AD55" s="396"/>
      <c r="AE55" s="397"/>
      <c r="AF55" s="395">
        <v>23</v>
      </c>
      <c r="AG55" s="396"/>
      <c r="AH55" s="396"/>
      <c r="AI55" s="397"/>
      <c r="AJ55" s="129"/>
    </row>
    <row r="56" spans="1:39" s="103" customFormat="1" ht="87" customHeight="1" x14ac:dyDescent="0.2">
      <c r="A56" s="419"/>
      <c r="B56" s="419"/>
      <c r="C56" s="419"/>
      <c r="D56" s="419"/>
      <c r="E56" s="404" t="s">
        <v>2</v>
      </c>
      <c r="F56" s="405"/>
      <c r="G56" s="408" t="s">
        <v>3</v>
      </c>
      <c r="H56" s="404" t="s">
        <v>2</v>
      </c>
      <c r="I56" s="405"/>
      <c r="J56" s="408" t="s">
        <v>3</v>
      </c>
      <c r="K56" s="404" t="s">
        <v>2</v>
      </c>
      <c r="L56" s="405"/>
      <c r="M56" s="411" t="s">
        <v>3</v>
      </c>
      <c r="N56" s="404" t="s">
        <v>2</v>
      </c>
      <c r="O56" s="405"/>
      <c r="P56" s="411" t="s">
        <v>3</v>
      </c>
      <c r="Q56" s="404" t="s">
        <v>2</v>
      </c>
      <c r="R56" s="405"/>
      <c r="S56" s="411" t="s">
        <v>3</v>
      </c>
      <c r="T56" s="404" t="s">
        <v>2</v>
      </c>
      <c r="U56" s="405"/>
      <c r="V56" s="411" t="s">
        <v>3</v>
      </c>
      <c r="W56" s="420" t="s">
        <v>13</v>
      </c>
      <c r="X56" s="422"/>
      <c r="Y56" s="106" t="s">
        <v>14</v>
      </c>
      <c r="Z56" s="420" t="s">
        <v>15</v>
      </c>
      <c r="AA56" s="422"/>
      <c r="AB56" s="106" t="s">
        <v>16</v>
      </c>
      <c r="AC56" s="404" t="s">
        <v>2</v>
      </c>
      <c r="AD56" s="405"/>
      <c r="AE56" s="405" t="s">
        <v>3</v>
      </c>
      <c r="AF56" s="420" t="s">
        <v>18</v>
      </c>
      <c r="AG56" s="422"/>
      <c r="AH56" s="425" t="s">
        <v>22</v>
      </c>
      <c r="AI56" s="106" t="s">
        <v>17</v>
      </c>
      <c r="AJ56" s="130"/>
    </row>
    <row r="57" spans="1:39" s="103" customFormat="1" ht="15.75" x14ac:dyDescent="0.2">
      <c r="A57" s="408"/>
      <c r="B57" s="408"/>
      <c r="C57" s="408"/>
      <c r="D57" s="408"/>
      <c r="E57" s="406"/>
      <c r="F57" s="407"/>
      <c r="G57" s="409"/>
      <c r="H57" s="406"/>
      <c r="I57" s="407"/>
      <c r="J57" s="409"/>
      <c r="K57" s="406"/>
      <c r="L57" s="407"/>
      <c r="M57" s="408"/>
      <c r="N57" s="406"/>
      <c r="O57" s="407"/>
      <c r="P57" s="408"/>
      <c r="Q57" s="406"/>
      <c r="R57" s="407"/>
      <c r="S57" s="408"/>
      <c r="T57" s="406"/>
      <c r="U57" s="407"/>
      <c r="V57" s="408"/>
      <c r="W57" s="406" t="s">
        <v>2</v>
      </c>
      <c r="X57" s="407"/>
      <c r="Y57" s="226" t="s">
        <v>3</v>
      </c>
      <c r="Z57" s="427" t="s">
        <v>2</v>
      </c>
      <c r="AA57" s="428"/>
      <c r="AB57" s="226" t="s">
        <v>3</v>
      </c>
      <c r="AC57" s="406"/>
      <c r="AD57" s="407"/>
      <c r="AE57" s="407"/>
      <c r="AF57" s="406" t="s">
        <v>2</v>
      </c>
      <c r="AG57" s="407"/>
      <c r="AH57" s="426"/>
      <c r="AI57" s="226" t="s">
        <v>3</v>
      </c>
      <c r="AJ57" s="130"/>
    </row>
    <row r="58" spans="1:39" ht="114.75" customHeight="1" x14ac:dyDescent="0.25">
      <c r="A58" s="114"/>
      <c r="B58" s="115"/>
      <c r="C58" s="110"/>
      <c r="D58" s="111" t="s">
        <v>385</v>
      </c>
      <c r="E58" s="266">
        <v>54.94</v>
      </c>
      <c r="F58" s="267" t="s">
        <v>26</v>
      </c>
      <c r="G58" s="268"/>
      <c r="H58" s="266">
        <f>H59</f>
        <v>55.77</v>
      </c>
      <c r="I58" s="267" t="s">
        <v>26</v>
      </c>
      <c r="J58" s="270">
        <f>J59</f>
        <v>45141321000</v>
      </c>
      <c r="K58" s="266">
        <v>55.08</v>
      </c>
      <c r="L58" s="267" t="s">
        <v>26</v>
      </c>
      <c r="M58" s="270">
        <f>M59</f>
        <v>8355577200</v>
      </c>
      <c r="N58" s="266">
        <f>N59</f>
        <v>55.27</v>
      </c>
      <c r="O58" s="267" t="s">
        <v>26</v>
      </c>
      <c r="P58" s="270">
        <f>P59</f>
        <v>7619870200</v>
      </c>
      <c r="Q58" s="266">
        <v>55.96</v>
      </c>
      <c r="R58" s="267" t="s">
        <v>26</v>
      </c>
      <c r="S58" s="270">
        <f>S59</f>
        <v>6634378081</v>
      </c>
      <c r="T58" s="266">
        <f>(90.92*30%)+(52.5*30%)+(47.75*40%)</f>
        <v>62.125999999999998</v>
      </c>
      <c r="U58" s="267" t="s">
        <v>26</v>
      </c>
      <c r="V58" s="270">
        <f>V59</f>
        <v>4880990691</v>
      </c>
      <c r="W58" s="320">
        <f>Q58/K58*100</f>
        <v>101.59767610748003</v>
      </c>
      <c r="X58" s="317" t="s">
        <v>28</v>
      </c>
      <c r="Y58" s="321">
        <f t="shared" ref="Y58:Z60" si="12">S58/M58*100</f>
        <v>79.400595819999126</v>
      </c>
      <c r="Z58" s="320">
        <f t="shared" si="12"/>
        <v>112.40455943549846</v>
      </c>
      <c r="AA58" s="317" t="s">
        <v>28</v>
      </c>
      <c r="AB58" s="321">
        <f>V58/P58*100</f>
        <v>64.056087084003082</v>
      </c>
      <c r="AC58" s="266">
        <f t="shared" ref="AC58:AC63" si="13">T58</f>
        <v>62.125999999999998</v>
      </c>
      <c r="AD58" s="267" t="s">
        <v>26</v>
      </c>
      <c r="AE58" s="372">
        <f>S58+V58</f>
        <v>11515368772</v>
      </c>
      <c r="AF58" s="242"/>
      <c r="AG58" s="242"/>
      <c r="AH58" s="242"/>
      <c r="AI58" s="242"/>
      <c r="AJ58" s="155" t="s">
        <v>354</v>
      </c>
      <c r="AM58" s="134">
        <f>S58</f>
        <v>6634378081</v>
      </c>
    </row>
    <row r="59" spans="1:39" ht="69" customHeight="1" x14ac:dyDescent="0.25">
      <c r="A59" s="70">
        <v>15</v>
      </c>
      <c r="B59" s="65" t="s">
        <v>86</v>
      </c>
      <c r="C59" s="14"/>
      <c r="D59" s="66" t="s">
        <v>384</v>
      </c>
      <c r="E59" s="273">
        <v>54.94</v>
      </c>
      <c r="F59" s="274" t="s">
        <v>26</v>
      </c>
      <c r="G59" s="275"/>
      <c r="H59" s="273">
        <v>55.77</v>
      </c>
      <c r="I59" s="274" t="s">
        <v>26</v>
      </c>
      <c r="J59" s="276">
        <f>SUM(J60:J65)</f>
        <v>45141321000</v>
      </c>
      <c r="K59" s="273">
        <v>55.08</v>
      </c>
      <c r="L59" s="274" t="s">
        <v>26</v>
      </c>
      <c r="M59" s="276">
        <f>SUM(M60:M65)</f>
        <v>8355577200</v>
      </c>
      <c r="N59" s="273">
        <v>55.27</v>
      </c>
      <c r="O59" s="274" t="s">
        <v>26</v>
      </c>
      <c r="P59" s="276">
        <f>SUM(P60:P65)</f>
        <v>7619870200</v>
      </c>
      <c r="Q59" s="324">
        <v>55.96</v>
      </c>
      <c r="R59" s="274" t="s">
        <v>26</v>
      </c>
      <c r="S59" s="276">
        <f>SUM(S60:S65)</f>
        <v>6634378081</v>
      </c>
      <c r="T59" s="277">
        <f>(90.92*30%)+(52.5*30%)+(47.75*40%)</f>
        <v>62.125999999999998</v>
      </c>
      <c r="U59" s="274" t="s">
        <v>26</v>
      </c>
      <c r="V59" s="276">
        <f>SUM(V60:V65)</f>
        <v>4880990691</v>
      </c>
      <c r="W59" s="288">
        <f>Q59/K59*100</f>
        <v>101.59767610748003</v>
      </c>
      <c r="X59" s="282" t="s">
        <v>28</v>
      </c>
      <c r="Y59" s="294">
        <f t="shared" si="12"/>
        <v>79.400595819999126</v>
      </c>
      <c r="Z59" s="288">
        <f t="shared" si="12"/>
        <v>112.40455943549846</v>
      </c>
      <c r="AA59" s="282" t="s">
        <v>28</v>
      </c>
      <c r="AB59" s="294">
        <f>V59/P59*100</f>
        <v>64.056087084003082</v>
      </c>
      <c r="AC59" s="277">
        <f t="shared" si="13"/>
        <v>62.125999999999998</v>
      </c>
      <c r="AD59" s="373" t="s">
        <v>26</v>
      </c>
      <c r="AE59" s="374">
        <f>S59+V59</f>
        <v>11515368772</v>
      </c>
      <c r="AF59" s="8"/>
      <c r="AG59" s="8"/>
      <c r="AH59" s="8"/>
      <c r="AI59" s="8"/>
      <c r="AM59" s="134">
        <f t="shared" ref="AM59:AM65" si="14">S59</f>
        <v>6634378081</v>
      </c>
    </row>
    <row r="60" spans="1:39" ht="111.75" customHeight="1" x14ac:dyDescent="0.2">
      <c r="A60" s="15"/>
      <c r="B60" s="26"/>
      <c r="C60" s="186" t="s">
        <v>60</v>
      </c>
      <c r="D60" s="1" t="s">
        <v>594</v>
      </c>
      <c r="E60" s="32">
        <v>85</v>
      </c>
      <c r="F60" s="36" t="s">
        <v>26</v>
      </c>
      <c r="G60" s="290"/>
      <c r="H60" s="32">
        <v>85</v>
      </c>
      <c r="I60" s="36" t="s">
        <v>26</v>
      </c>
      <c r="J60" s="245">
        <v>11017391000</v>
      </c>
      <c r="K60" s="32">
        <v>85</v>
      </c>
      <c r="L60" s="36" t="s">
        <v>26</v>
      </c>
      <c r="M60" s="245">
        <v>1214019200</v>
      </c>
      <c r="N60" s="32">
        <v>85</v>
      </c>
      <c r="O60" s="36" t="s">
        <v>26</v>
      </c>
      <c r="P60" s="245">
        <v>1779845200</v>
      </c>
      <c r="Q60" s="178">
        <v>88.03</v>
      </c>
      <c r="R60" s="36" t="s">
        <v>26</v>
      </c>
      <c r="S60" s="245">
        <v>659740000</v>
      </c>
      <c r="T60" s="78">
        <v>90.92</v>
      </c>
      <c r="U60" s="36" t="s">
        <v>26</v>
      </c>
      <c r="V60" s="328">
        <v>52385000</v>
      </c>
      <c r="W60" s="58">
        <f>Q60/K60*100</f>
        <v>103.56470588235294</v>
      </c>
      <c r="X60" s="18" t="s">
        <v>28</v>
      </c>
      <c r="Y60" s="291">
        <f t="shared" si="12"/>
        <v>54.343456841539236</v>
      </c>
      <c r="Z60" s="58">
        <f t="shared" si="12"/>
        <v>106.96470588235294</v>
      </c>
      <c r="AA60" s="18" t="s">
        <v>28</v>
      </c>
      <c r="AB60" s="291">
        <f>V60/P60*100</f>
        <v>2.9432334901934167</v>
      </c>
      <c r="AC60" s="78">
        <f t="shared" si="13"/>
        <v>90.92</v>
      </c>
      <c r="AD60" s="330" t="s">
        <v>26</v>
      </c>
      <c r="AE60" s="245">
        <f>S60+V60</f>
        <v>712125000</v>
      </c>
      <c r="AF60" s="8"/>
      <c r="AG60" s="8"/>
      <c r="AH60" s="8"/>
      <c r="AI60" s="8"/>
      <c r="AM60" s="134">
        <f t="shared" si="14"/>
        <v>659740000</v>
      </c>
    </row>
    <row r="61" spans="1:39" ht="111.75" customHeight="1" x14ac:dyDescent="0.2">
      <c r="A61" s="15"/>
      <c r="B61" s="26"/>
      <c r="C61" s="187"/>
      <c r="D61" s="71" t="s">
        <v>595</v>
      </c>
      <c r="E61" s="149">
        <v>51</v>
      </c>
      <c r="F61" s="36" t="s">
        <v>26</v>
      </c>
      <c r="G61" s="296"/>
      <c r="H61" s="149">
        <v>53</v>
      </c>
      <c r="I61" s="36" t="s">
        <v>26</v>
      </c>
      <c r="J61" s="231"/>
      <c r="K61" s="223">
        <v>51</v>
      </c>
      <c r="L61" s="36" t="s">
        <v>26</v>
      </c>
      <c r="M61" s="231"/>
      <c r="N61" s="223">
        <v>51.5</v>
      </c>
      <c r="O61" s="36" t="s">
        <v>26</v>
      </c>
      <c r="P61" s="231"/>
      <c r="Q61" s="178">
        <v>51.67</v>
      </c>
      <c r="R61" s="36" t="s">
        <v>26</v>
      </c>
      <c r="S61" s="231"/>
      <c r="T61" s="223">
        <v>52.5</v>
      </c>
      <c r="U61" s="36" t="s">
        <v>26</v>
      </c>
      <c r="V61" s="231"/>
      <c r="W61" s="58">
        <f t="shared" ref="W61:W62" si="15">Q61/K61*100</f>
        <v>101.31372549019608</v>
      </c>
      <c r="X61" s="18" t="s">
        <v>28</v>
      </c>
      <c r="Y61" s="297"/>
      <c r="Z61" s="58">
        <f t="shared" ref="Z61:Z62" si="16">T61/N61*100</f>
        <v>101.94174757281553</v>
      </c>
      <c r="AA61" s="18" t="s">
        <v>28</v>
      </c>
      <c r="AB61" s="297"/>
      <c r="AC61" s="78">
        <f t="shared" si="13"/>
        <v>52.5</v>
      </c>
      <c r="AD61" s="330" t="s">
        <v>26</v>
      </c>
      <c r="AE61" s="4"/>
      <c r="AF61" s="5"/>
      <c r="AG61" s="5"/>
      <c r="AH61" s="5"/>
      <c r="AI61" s="5"/>
      <c r="AM61" s="134">
        <f t="shared" si="14"/>
        <v>0</v>
      </c>
    </row>
    <row r="62" spans="1:39" ht="111.75" customHeight="1" x14ac:dyDescent="0.2">
      <c r="A62" s="15"/>
      <c r="B62" s="26"/>
      <c r="C62" s="71"/>
      <c r="D62" s="71" t="s">
        <v>596</v>
      </c>
      <c r="E62" s="149">
        <v>35.340000000000003</v>
      </c>
      <c r="F62" s="36" t="s">
        <v>26</v>
      </c>
      <c r="G62" s="29"/>
      <c r="H62" s="149">
        <v>35.93</v>
      </c>
      <c r="I62" s="36" t="s">
        <v>26</v>
      </c>
      <c r="J62" s="232"/>
      <c r="K62" s="227">
        <v>35.340000000000003</v>
      </c>
      <c r="L62" s="36" t="s">
        <v>26</v>
      </c>
      <c r="M62" s="232"/>
      <c r="N62" s="149">
        <v>35.49</v>
      </c>
      <c r="O62" s="36" t="s">
        <v>26</v>
      </c>
      <c r="P62" s="232"/>
      <c r="Q62" s="178">
        <v>35.119999999999997</v>
      </c>
      <c r="R62" s="36" t="s">
        <v>26</v>
      </c>
      <c r="S62" s="232"/>
      <c r="T62" s="223">
        <v>47.75</v>
      </c>
      <c r="U62" s="36" t="s">
        <v>26</v>
      </c>
      <c r="V62" s="232"/>
      <c r="W62" s="58">
        <f t="shared" si="15"/>
        <v>99.377475947934329</v>
      </c>
      <c r="X62" s="18" t="s">
        <v>28</v>
      </c>
      <c r="Y62" s="292"/>
      <c r="Z62" s="58">
        <f t="shared" si="16"/>
        <v>134.54494223724993</v>
      </c>
      <c r="AA62" s="18" t="s">
        <v>28</v>
      </c>
      <c r="AB62" s="292"/>
      <c r="AC62" s="78">
        <f t="shared" si="13"/>
        <v>47.75</v>
      </c>
      <c r="AD62" s="330" t="s">
        <v>26</v>
      </c>
      <c r="AE62" s="5"/>
      <c r="AF62" s="5"/>
      <c r="AG62" s="5"/>
      <c r="AH62" s="5"/>
      <c r="AI62" s="5"/>
      <c r="AM62" s="134">
        <f t="shared" si="14"/>
        <v>0</v>
      </c>
    </row>
    <row r="63" spans="1:39" ht="105" x14ac:dyDescent="0.2">
      <c r="A63" s="15"/>
      <c r="B63" s="26"/>
      <c r="C63" s="71" t="s">
        <v>61</v>
      </c>
      <c r="D63" s="71" t="s">
        <v>386</v>
      </c>
      <c r="E63" s="156">
        <v>52</v>
      </c>
      <c r="F63" s="36" t="s">
        <v>28</v>
      </c>
      <c r="G63" s="290"/>
      <c r="H63" s="156">
        <v>44.06</v>
      </c>
      <c r="I63" s="36" t="s">
        <v>28</v>
      </c>
      <c r="J63" s="245">
        <v>34123930000</v>
      </c>
      <c r="K63" s="156">
        <v>52.53</v>
      </c>
      <c r="L63" s="36" t="s">
        <v>28</v>
      </c>
      <c r="M63" s="245">
        <v>7141558000</v>
      </c>
      <c r="N63" s="156">
        <v>48.38</v>
      </c>
      <c r="O63" s="36" t="s">
        <v>28</v>
      </c>
      <c r="P63" s="245">
        <v>5840025000</v>
      </c>
      <c r="Q63" s="178">
        <v>55.72</v>
      </c>
      <c r="R63" s="36" t="s">
        <v>28</v>
      </c>
      <c r="S63" s="329">
        <v>5974638081</v>
      </c>
      <c r="T63" s="78">
        <f>14418/24893.3*100</f>
        <v>57.919199141937796</v>
      </c>
      <c r="U63" s="36" t="s">
        <v>28</v>
      </c>
      <c r="V63" s="328">
        <v>4828605691</v>
      </c>
      <c r="W63" s="58">
        <f>Q63/K63*100</f>
        <v>106.07272035027601</v>
      </c>
      <c r="X63" s="18" t="s">
        <v>28</v>
      </c>
      <c r="Y63" s="291">
        <f>S63/M63*100</f>
        <v>83.660149241944126</v>
      </c>
      <c r="Z63" s="58">
        <f>T63/N63*100</f>
        <v>119.7172367547288</v>
      </c>
      <c r="AA63" s="18" t="s">
        <v>28</v>
      </c>
      <c r="AB63" s="291">
        <f>V63/P63*100</f>
        <v>82.681250354236496</v>
      </c>
      <c r="AC63" s="78">
        <f t="shared" si="13"/>
        <v>57.919199141937796</v>
      </c>
      <c r="AD63" s="36" t="s">
        <v>28</v>
      </c>
      <c r="AE63" s="245">
        <f>S63+V63</f>
        <v>10803243772</v>
      </c>
      <c r="AF63" s="5"/>
      <c r="AG63" s="5"/>
      <c r="AH63" s="5"/>
      <c r="AI63" s="5"/>
      <c r="AM63" s="134">
        <f t="shared" si="14"/>
        <v>5974638081</v>
      </c>
    </row>
    <row r="64" spans="1:39" ht="90" x14ac:dyDescent="0.2">
      <c r="A64" s="15"/>
      <c r="B64" s="26"/>
      <c r="C64" s="71"/>
      <c r="D64" s="71" t="s">
        <v>387</v>
      </c>
      <c r="E64" s="156">
        <v>27</v>
      </c>
      <c r="F64" s="36" t="s">
        <v>28</v>
      </c>
      <c r="G64" s="296"/>
      <c r="H64" s="156">
        <v>27.94</v>
      </c>
      <c r="I64" s="36" t="s">
        <v>28</v>
      </c>
      <c r="J64" s="231"/>
      <c r="K64" s="156">
        <v>27.47</v>
      </c>
      <c r="L64" s="36" t="s">
        <v>28</v>
      </c>
      <c r="M64" s="231"/>
      <c r="N64" s="156">
        <v>26.63</v>
      </c>
      <c r="O64" s="36" t="s">
        <v>28</v>
      </c>
      <c r="P64" s="231"/>
      <c r="Q64" s="81">
        <v>35.26</v>
      </c>
      <c r="R64" s="36" t="s">
        <v>28</v>
      </c>
      <c r="S64" s="231"/>
      <c r="T64" s="78">
        <f>7906/24893.3*100</f>
        <v>31.759549758368717</v>
      </c>
      <c r="U64" s="36" t="s">
        <v>28</v>
      </c>
      <c r="V64" s="231"/>
      <c r="W64" s="58">
        <f>Q64/K64*100</f>
        <v>128.35820895522389</v>
      </c>
      <c r="X64" s="18" t="s">
        <v>28</v>
      </c>
      <c r="Y64" s="297"/>
      <c r="Z64" s="58">
        <f>T64/N64*100</f>
        <v>119.26229725260502</v>
      </c>
      <c r="AA64" s="18" t="s">
        <v>28</v>
      </c>
      <c r="AB64" s="297"/>
      <c r="AC64" s="78">
        <f t="shared" ref="AC64:AC65" si="17">T64</f>
        <v>31.759549758368717</v>
      </c>
      <c r="AD64" s="36" t="s">
        <v>28</v>
      </c>
      <c r="AE64" s="4"/>
      <c r="AF64" s="5"/>
      <c r="AG64" s="5"/>
      <c r="AH64" s="5"/>
      <c r="AI64" s="5"/>
      <c r="AM64" s="134">
        <f t="shared" si="14"/>
        <v>0</v>
      </c>
    </row>
    <row r="65" spans="1:39" ht="75" x14ac:dyDescent="0.2">
      <c r="A65" s="15"/>
      <c r="B65" s="26"/>
      <c r="C65" s="71"/>
      <c r="D65" s="71" t="s">
        <v>388</v>
      </c>
      <c r="E65" s="156">
        <v>72</v>
      </c>
      <c r="F65" s="36" t="s">
        <v>28</v>
      </c>
      <c r="G65" s="29"/>
      <c r="H65" s="156">
        <v>100</v>
      </c>
      <c r="I65" s="36" t="s">
        <v>28</v>
      </c>
      <c r="J65" s="232"/>
      <c r="K65" s="81">
        <v>72.599999999999994</v>
      </c>
      <c r="L65" s="36" t="s">
        <v>28</v>
      </c>
      <c r="M65" s="232"/>
      <c r="N65" s="81">
        <v>80.819999999999993</v>
      </c>
      <c r="O65" s="36" t="s">
        <v>28</v>
      </c>
      <c r="P65" s="232"/>
      <c r="Q65" s="81">
        <v>73.290000000000006</v>
      </c>
      <c r="R65" s="36" t="s">
        <v>28</v>
      </c>
      <c r="S65" s="232"/>
      <c r="T65" s="156">
        <f>112/146*100</f>
        <v>76.712328767123282</v>
      </c>
      <c r="U65" s="36" t="s">
        <v>28</v>
      </c>
      <c r="V65" s="232"/>
      <c r="W65" s="58">
        <f>Q65/K65*100</f>
        <v>100.95041322314052</v>
      </c>
      <c r="X65" s="18" t="s">
        <v>28</v>
      </c>
      <c r="Y65" s="292"/>
      <c r="Z65" s="58">
        <f>T65/N65*100</f>
        <v>94.917506517103803</v>
      </c>
      <c r="AA65" s="18" t="s">
        <v>28</v>
      </c>
      <c r="AB65" s="292"/>
      <c r="AC65" s="78">
        <f t="shared" si="17"/>
        <v>76.712328767123282</v>
      </c>
      <c r="AD65" s="36" t="s">
        <v>28</v>
      </c>
      <c r="AE65" s="5"/>
      <c r="AF65" s="5"/>
      <c r="AG65" s="5"/>
      <c r="AH65" s="5"/>
      <c r="AI65" s="5"/>
      <c r="AM65" s="134">
        <f t="shared" si="14"/>
        <v>0</v>
      </c>
    </row>
    <row r="66" spans="1:39" ht="15" x14ac:dyDescent="0.2">
      <c r="A66" s="446" t="s">
        <v>5</v>
      </c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121">
        <f>AVERAGE(W59:W65)</f>
        <v>105.89070370808625</v>
      </c>
      <c r="X66" s="122"/>
      <c r="Y66" s="121"/>
      <c r="Z66" s="121">
        <f>AVERAGE(Z59:Z65)</f>
        <v>112.82185652176493</v>
      </c>
      <c r="AA66" s="102"/>
      <c r="AB66" s="102"/>
      <c r="AC66" s="102"/>
      <c r="AD66" s="102"/>
      <c r="AE66" s="102"/>
      <c r="AF66" s="102"/>
      <c r="AG66" s="102"/>
      <c r="AH66" s="102"/>
      <c r="AI66" s="102"/>
      <c r="AJ66" s="126"/>
    </row>
    <row r="67" spans="1:39" ht="15" x14ac:dyDescent="0.2">
      <c r="A67" s="446" t="s">
        <v>6</v>
      </c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46"/>
      <c r="N67" s="446"/>
      <c r="O67" s="446"/>
      <c r="P67" s="446"/>
      <c r="Q67" s="446"/>
      <c r="R67" s="446"/>
      <c r="S67" s="446"/>
      <c r="T67" s="446"/>
      <c r="U67" s="446"/>
      <c r="V67" s="446"/>
      <c r="W67" s="195" t="str">
        <f>IF(W66&gt;=91,"Sangat Tinggi",IF(W66&gt;=76,"Tinggi",IF(W66&gt;=66,"Sedang",IF(W66&gt;=51,"Rendah",IF(W66&lt;=50,"Sangat Rendah")))))</f>
        <v>Sangat Tinggi</v>
      </c>
      <c r="X67" s="122"/>
      <c r="Y67" s="102"/>
      <c r="Z67" s="195" t="str">
        <f>IF(Z66&gt;=91,"Sangat Tinggi",IF(Z66&gt;=76,"Tinggi",IF(Z66&gt;=66,"Sedang",IF(Z66&gt;=51,"Rendah",IF(Z66&lt;=50,"Sangat Rendah")))))</f>
        <v>Sangat Tinggi</v>
      </c>
      <c r="AA67" s="102"/>
      <c r="AB67" s="102"/>
      <c r="AC67" s="102"/>
      <c r="AD67" s="102"/>
      <c r="AE67" s="102"/>
      <c r="AF67" s="102"/>
      <c r="AG67" s="102"/>
      <c r="AH67" s="102"/>
      <c r="AI67" s="102"/>
      <c r="AJ67" s="126"/>
    </row>
    <row r="68" spans="1:39" ht="15" x14ac:dyDescent="0.2">
      <c r="A68" s="429" t="s">
        <v>7</v>
      </c>
      <c r="B68" s="429"/>
      <c r="C68" s="429"/>
      <c r="D68" s="429"/>
      <c r="E68" s="429"/>
      <c r="F68" s="429"/>
      <c r="G68" s="429"/>
      <c r="H68" s="429"/>
      <c r="I68" s="429"/>
      <c r="J68" s="429"/>
      <c r="K68" s="429"/>
      <c r="L68" s="429"/>
      <c r="M68" s="429"/>
      <c r="N68" s="429"/>
      <c r="O68" s="429"/>
      <c r="P68" s="429"/>
      <c r="Q68" s="429"/>
      <c r="R68" s="429"/>
      <c r="S68" s="429"/>
      <c r="T68" s="429"/>
      <c r="U68" s="429"/>
      <c r="V68" s="429"/>
      <c r="W68" s="429"/>
      <c r="X68" s="429"/>
      <c r="Y68" s="429"/>
      <c r="Z68" s="429"/>
      <c r="AA68" s="429"/>
      <c r="AB68" s="429"/>
      <c r="AC68" s="429"/>
      <c r="AD68" s="429"/>
      <c r="AE68" s="429"/>
      <c r="AF68" s="429"/>
      <c r="AG68" s="429"/>
      <c r="AH68" s="429"/>
      <c r="AI68" s="429"/>
      <c r="AJ68" s="126"/>
    </row>
    <row r="69" spans="1:39" ht="15" x14ac:dyDescent="0.2">
      <c r="A69" s="429" t="s">
        <v>8</v>
      </c>
      <c r="B69" s="429"/>
      <c r="C69" s="429"/>
      <c r="D69" s="429"/>
      <c r="E69" s="429"/>
      <c r="F69" s="429"/>
      <c r="G69" s="429"/>
      <c r="H69" s="429"/>
      <c r="I69" s="429"/>
      <c r="J69" s="429"/>
      <c r="K69" s="429"/>
      <c r="L69" s="429"/>
      <c r="M69" s="429"/>
      <c r="N69" s="429"/>
      <c r="O69" s="429"/>
      <c r="P69" s="429"/>
      <c r="Q69" s="429"/>
      <c r="R69" s="429"/>
      <c r="S69" s="429"/>
      <c r="T69" s="429"/>
      <c r="U69" s="429"/>
      <c r="V69" s="429"/>
      <c r="W69" s="429"/>
      <c r="X69" s="429"/>
      <c r="Y69" s="429"/>
      <c r="Z69" s="429"/>
      <c r="AA69" s="429"/>
      <c r="AB69" s="429"/>
      <c r="AC69" s="429"/>
      <c r="AD69" s="429"/>
      <c r="AE69" s="429"/>
      <c r="AF69" s="429"/>
      <c r="AG69" s="429"/>
      <c r="AH69" s="429"/>
      <c r="AI69" s="429"/>
      <c r="AJ69" s="126"/>
    </row>
    <row r="70" spans="1:39" ht="15" x14ac:dyDescent="0.2">
      <c r="A70" s="429" t="s">
        <v>9</v>
      </c>
      <c r="B70" s="429"/>
      <c r="C70" s="429"/>
      <c r="D70" s="429"/>
      <c r="E70" s="429"/>
      <c r="F70" s="429"/>
      <c r="G70" s="429"/>
      <c r="H70" s="429"/>
      <c r="I70" s="429"/>
      <c r="J70" s="429"/>
      <c r="K70" s="429"/>
      <c r="L70" s="429"/>
      <c r="M70" s="429"/>
      <c r="N70" s="429"/>
      <c r="O70" s="429"/>
      <c r="P70" s="429"/>
      <c r="Q70" s="429"/>
      <c r="R70" s="429"/>
      <c r="S70" s="429"/>
      <c r="T70" s="429"/>
      <c r="U70" s="429"/>
      <c r="V70" s="429"/>
      <c r="W70" s="429"/>
      <c r="X70" s="429"/>
      <c r="Y70" s="429"/>
      <c r="Z70" s="429"/>
      <c r="AA70" s="429"/>
      <c r="AB70" s="429"/>
      <c r="AC70" s="429"/>
      <c r="AD70" s="429"/>
      <c r="AE70" s="429"/>
      <c r="AF70" s="429"/>
      <c r="AG70" s="429"/>
      <c r="AH70" s="429"/>
      <c r="AI70" s="429"/>
      <c r="AJ70" s="126"/>
    </row>
    <row r="71" spans="1:39" ht="15" x14ac:dyDescent="0.2">
      <c r="A71" s="429" t="s">
        <v>10</v>
      </c>
      <c r="B71" s="429"/>
      <c r="C71" s="429"/>
      <c r="D71" s="429"/>
      <c r="E71" s="429"/>
      <c r="F71" s="429"/>
      <c r="G71" s="429"/>
      <c r="H71" s="429"/>
      <c r="I71" s="429"/>
      <c r="J71" s="429"/>
      <c r="K71" s="429"/>
      <c r="L71" s="429"/>
      <c r="M71" s="429"/>
      <c r="N71" s="429"/>
      <c r="O71" s="429"/>
      <c r="P71" s="429"/>
      <c r="Q71" s="429"/>
      <c r="R71" s="429"/>
      <c r="S71" s="429"/>
      <c r="T71" s="429"/>
      <c r="U71" s="429"/>
      <c r="V71" s="429"/>
      <c r="W71" s="429"/>
      <c r="X71" s="429"/>
      <c r="Y71" s="429"/>
      <c r="Z71" s="429"/>
      <c r="AA71" s="429"/>
      <c r="AB71" s="429"/>
      <c r="AC71" s="429"/>
      <c r="AD71" s="429"/>
      <c r="AE71" s="429"/>
      <c r="AF71" s="429"/>
      <c r="AG71" s="429"/>
      <c r="AH71" s="429"/>
      <c r="AI71" s="429"/>
      <c r="AJ71" s="127"/>
    </row>
    <row r="72" spans="1:39" ht="15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61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</row>
    <row r="73" spans="1:39" ht="15.75" x14ac:dyDescent="0.25">
      <c r="A73" s="60" t="s">
        <v>11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61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</row>
    <row r="74" spans="1:39" ht="15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61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</row>
    <row r="75" spans="1:39" ht="15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61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</row>
    <row r="76" spans="1:39" ht="15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61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</row>
    <row r="77" spans="1:39" ht="15" x14ac:dyDescent="0.2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61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</row>
    <row r="78" spans="1:39" s="103" customFormat="1" ht="15" x14ac:dyDescent="0.2">
      <c r="A78" s="138" t="s">
        <v>514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40">
        <f>W21</f>
        <v>105.90314464303242</v>
      </c>
      <c r="X78" s="141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7"/>
    </row>
    <row r="79" spans="1:39" s="103" customFormat="1" ht="15" x14ac:dyDescent="0.2">
      <c r="A79" s="138" t="s">
        <v>515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40">
        <f>W43</f>
        <v>99.775613413120666</v>
      </c>
      <c r="X79" s="141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7"/>
    </row>
    <row r="80" spans="1:39" s="103" customFormat="1" ht="15" x14ac:dyDescent="0.2">
      <c r="A80" s="138" t="s">
        <v>516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40">
        <f>W66</f>
        <v>105.89070370808625</v>
      </c>
      <c r="X80" s="141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7"/>
    </row>
    <row r="81" spans="1:36" s="103" customFormat="1" ht="15" x14ac:dyDescent="0.2">
      <c r="A81" s="424" t="s">
        <v>5</v>
      </c>
      <c r="B81" s="424"/>
      <c r="C81" s="424"/>
      <c r="D81" s="424"/>
      <c r="E81" s="424"/>
      <c r="F81" s="424"/>
      <c r="G81" s="424"/>
      <c r="H81" s="424"/>
      <c r="I81" s="424"/>
      <c r="J81" s="424"/>
      <c r="K81" s="424"/>
      <c r="L81" s="424"/>
      <c r="M81" s="424"/>
      <c r="N81" s="424"/>
      <c r="O81" s="424"/>
      <c r="P81" s="424"/>
      <c r="Q81" s="424"/>
      <c r="R81" s="424"/>
      <c r="S81" s="424"/>
      <c r="T81" s="424"/>
      <c r="U81" s="424"/>
      <c r="V81" s="424"/>
      <c r="W81" s="143">
        <f>AVERAGE(W78:W80)</f>
        <v>103.85648725474645</v>
      </c>
      <c r="X81" s="144"/>
      <c r="Y81" s="143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8"/>
    </row>
    <row r="82" spans="1:36" s="103" customFormat="1" ht="15" x14ac:dyDescent="0.2">
      <c r="A82" s="424" t="s">
        <v>6</v>
      </c>
      <c r="B82" s="424"/>
      <c r="C82" s="424"/>
      <c r="D82" s="424"/>
      <c r="E82" s="424"/>
      <c r="F82" s="424"/>
      <c r="G82" s="424"/>
      <c r="H82" s="424"/>
      <c r="I82" s="424"/>
      <c r="J82" s="424"/>
      <c r="K82" s="424"/>
      <c r="L82" s="424"/>
      <c r="M82" s="424"/>
      <c r="N82" s="424"/>
      <c r="O82" s="424"/>
      <c r="P82" s="424"/>
      <c r="Q82" s="424"/>
      <c r="R82" s="424"/>
      <c r="S82" s="424"/>
      <c r="T82" s="424"/>
      <c r="U82" s="424"/>
      <c r="V82" s="424"/>
      <c r="W82" s="196" t="str">
        <f>IF(W81&gt;=91,"Sangat Tinggi",IF(W81&gt;=76,"Tinggi",IF(W81&gt;=66,"Sedang",IF(W81&gt;=51,"Rendah",IF(W81&lt;=50,"Sangat Rendah")))))</f>
        <v>Sangat Tinggi</v>
      </c>
      <c r="X82" s="144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8"/>
    </row>
    <row r="83" spans="1:36" s="103" customFormat="1" ht="15" x14ac:dyDescent="0.2">
      <c r="A83" s="423" t="s">
        <v>7</v>
      </c>
      <c r="B83" s="423"/>
      <c r="C83" s="423"/>
      <c r="D83" s="423"/>
      <c r="E83" s="423"/>
      <c r="F83" s="423"/>
      <c r="G83" s="423"/>
      <c r="H83" s="423"/>
      <c r="I83" s="423"/>
      <c r="J83" s="423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3"/>
      <c r="AD83" s="423"/>
      <c r="AE83" s="423"/>
      <c r="AF83" s="423"/>
      <c r="AG83" s="423"/>
      <c r="AH83" s="423"/>
      <c r="AI83" s="423"/>
      <c r="AJ83" s="148"/>
    </row>
    <row r="84" spans="1:36" s="103" customFormat="1" ht="15" x14ac:dyDescent="0.2">
      <c r="A84" s="423" t="s">
        <v>8</v>
      </c>
      <c r="B84" s="423"/>
      <c r="C84" s="423"/>
      <c r="D84" s="423"/>
      <c r="E84" s="423"/>
      <c r="F84" s="423"/>
      <c r="G84" s="423"/>
      <c r="H84" s="423"/>
      <c r="I84" s="423"/>
      <c r="J84" s="423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  <c r="AC84" s="423"/>
      <c r="AD84" s="423"/>
      <c r="AE84" s="423"/>
      <c r="AF84" s="423"/>
      <c r="AG84" s="423"/>
      <c r="AH84" s="423"/>
      <c r="AI84" s="423"/>
      <c r="AJ84" s="148"/>
    </row>
    <row r="85" spans="1:36" s="103" customFormat="1" ht="15" x14ac:dyDescent="0.2">
      <c r="A85" s="423" t="s">
        <v>9</v>
      </c>
      <c r="B85" s="423"/>
      <c r="C85" s="423"/>
      <c r="D85" s="423"/>
      <c r="E85" s="423"/>
      <c r="F85" s="423"/>
      <c r="G85" s="423"/>
      <c r="H85" s="423"/>
      <c r="I85" s="423"/>
      <c r="J85" s="423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  <c r="AC85" s="423"/>
      <c r="AD85" s="423"/>
      <c r="AE85" s="423"/>
      <c r="AF85" s="423"/>
      <c r="AG85" s="423"/>
      <c r="AH85" s="423"/>
      <c r="AI85" s="423"/>
      <c r="AJ85" s="148"/>
    </row>
    <row r="86" spans="1:36" s="103" customFormat="1" ht="15" x14ac:dyDescent="0.2">
      <c r="A86" s="423" t="s">
        <v>10</v>
      </c>
      <c r="B86" s="423"/>
      <c r="C86" s="423"/>
      <c r="D86" s="423"/>
      <c r="E86" s="423"/>
      <c r="F86" s="423"/>
      <c r="G86" s="423"/>
      <c r="H86" s="423"/>
      <c r="I86" s="423"/>
      <c r="J86" s="423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  <c r="AC86" s="423"/>
      <c r="AD86" s="423"/>
      <c r="AE86" s="423"/>
      <c r="AF86" s="423"/>
      <c r="AG86" s="423"/>
      <c r="AH86" s="423"/>
      <c r="AI86" s="423"/>
      <c r="AJ86" s="148"/>
    </row>
    <row r="87" spans="1:36" ht="15" x14ac:dyDescent="0.2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61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</row>
    <row r="91" spans="1:36" ht="51" x14ac:dyDescent="0.2">
      <c r="A91" s="192" t="s">
        <v>537</v>
      </c>
      <c r="B91" s="192" t="s">
        <v>538</v>
      </c>
      <c r="C91" s="192" t="s">
        <v>539</v>
      </c>
    </row>
    <row r="92" spans="1:36" ht="25.5" x14ac:dyDescent="0.2">
      <c r="A92" s="193" t="s">
        <v>540</v>
      </c>
      <c r="B92" s="193" t="s">
        <v>541</v>
      </c>
      <c r="C92" s="193" t="s">
        <v>542</v>
      </c>
    </row>
    <row r="93" spans="1:36" ht="25.5" x14ac:dyDescent="0.2">
      <c r="A93" s="193" t="s">
        <v>543</v>
      </c>
      <c r="B93" s="193" t="s">
        <v>544</v>
      </c>
      <c r="C93" s="193" t="s">
        <v>545</v>
      </c>
    </row>
    <row r="94" spans="1:36" ht="25.5" x14ac:dyDescent="0.2">
      <c r="A94" s="193" t="s">
        <v>546</v>
      </c>
      <c r="B94" s="193" t="s">
        <v>547</v>
      </c>
      <c r="C94" s="193" t="s">
        <v>280</v>
      </c>
    </row>
    <row r="95" spans="1:36" ht="25.5" x14ac:dyDescent="0.2">
      <c r="A95" s="193" t="s">
        <v>548</v>
      </c>
      <c r="B95" s="193" t="s">
        <v>549</v>
      </c>
      <c r="C95" s="193" t="s">
        <v>550</v>
      </c>
    </row>
    <row r="96" spans="1:36" ht="25.5" x14ac:dyDescent="0.2">
      <c r="A96" s="193" t="s">
        <v>551</v>
      </c>
      <c r="B96" s="194" t="s">
        <v>552</v>
      </c>
      <c r="C96" s="193" t="s">
        <v>553</v>
      </c>
    </row>
  </sheetData>
  <mergeCells count="191">
    <mergeCell ref="A81:V81"/>
    <mergeCell ref="A82:V82"/>
    <mergeCell ref="A83:AI83"/>
    <mergeCell ref="A84:AI84"/>
    <mergeCell ref="A85:AI85"/>
    <mergeCell ref="A86:AI86"/>
    <mergeCell ref="A66:V66"/>
    <mergeCell ref="A67:V67"/>
    <mergeCell ref="A68:AI68"/>
    <mergeCell ref="A69:AI69"/>
    <mergeCell ref="A70:AI70"/>
    <mergeCell ref="A71:AI71"/>
    <mergeCell ref="Z55:AB55"/>
    <mergeCell ref="AC55:AE55"/>
    <mergeCell ref="AF55:AI55"/>
    <mergeCell ref="N55:P55"/>
    <mergeCell ref="Q55:S55"/>
    <mergeCell ref="T55:V55"/>
    <mergeCell ref="W55:Y55"/>
    <mergeCell ref="AE56:AE57"/>
    <mergeCell ref="AF56:AG56"/>
    <mergeCell ref="W56:X56"/>
    <mergeCell ref="Z56:AA56"/>
    <mergeCell ref="N56:O57"/>
    <mergeCell ref="P56:P57"/>
    <mergeCell ref="Q56:R57"/>
    <mergeCell ref="S56:S57"/>
    <mergeCell ref="T56:U57"/>
    <mergeCell ref="V56:V57"/>
    <mergeCell ref="AH56:AH57"/>
    <mergeCell ref="W57:X57"/>
    <mergeCell ref="Z57:AA57"/>
    <mergeCell ref="AF57:AG57"/>
    <mergeCell ref="AC56:AD57"/>
    <mergeCell ref="A55:A57"/>
    <mergeCell ref="B55:B57"/>
    <mergeCell ref="C55:C57"/>
    <mergeCell ref="D55:D57"/>
    <mergeCell ref="E55:G55"/>
    <mergeCell ref="H55:J55"/>
    <mergeCell ref="E56:F57"/>
    <mergeCell ref="G56:G57"/>
    <mergeCell ref="H56:I57"/>
    <mergeCell ref="J56:J57"/>
    <mergeCell ref="AC52:AE54"/>
    <mergeCell ref="AF52:AI54"/>
    <mergeCell ref="AJ52:AJ53"/>
    <mergeCell ref="N54:P54"/>
    <mergeCell ref="Q54:S54"/>
    <mergeCell ref="T54:V54"/>
    <mergeCell ref="W54:Y54"/>
    <mergeCell ref="A52:A54"/>
    <mergeCell ref="B52:B54"/>
    <mergeCell ref="C52:C54"/>
    <mergeCell ref="D52:D54"/>
    <mergeCell ref="E52:G54"/>
    <mergeCell ref="H52:J54"/>
    <mergeCell ref="Z54:AB54"/>
    <mergeCell ref="Q52:V53"/>
    <mergeCell ref="W52:AB53"/>
    <mergeCell ref="K54:M54"/>
    <mergeCell ref="A43:V43"/>
    <mergeCell ref="A44:V44"/>
    <mergeCell ref="A45:AI45"/>
    <mergeCell ref="A46:AI46"/>
    <mergeCell ref="A47:AI47"/>
    <mergeCell ref="A48:AI48"/>
    <mergeCell ref="AH34:AH35"/>
    <mergeCell ref="W35:X35"/>
    <mergeCell ref="Z35:AA35"/>
    <mergeCell ref="AF35:AG35"/>
    <mergeCell ref="AF34:AG34"/>
    <mergeCell ref="AC34:AD35"/>
    <mergeCell ref="AE34:AE35"/>
    <mergeCell ref="W34:X34"/>
    <mergeCell ref="A33:A35"/>
    <mergeCell ref="B33:B35"/>
    <mergeCell ref="C33:C35"/>
    <mergeCell ref="D33:D35"/>
    <mergeCell ref="E33:G33"/>
    <mergeCell ref="H33:J33"/>
    <mergeCell ref="E34:F35"/>
    <mergeCell ref="G34:G35"/>
    <mergeCell ref="H34:I35"/>
    <mergeCell ref="J34:J35"/>
    <mergeCell ref="AC33:AE33"/>
    <mergeCell ref="AF33:AI33"/>
    <mergeCell ref="N33:P33"/>
    <mergeCell ref="Q33:S33"/>
    <mergeCell ref="T33:V33"/>
    <mergeCell ref="W33:Y33"/>
    <mergeCell ref="Z33:AB33"/>
    <mergeCell ref="Z34:AA34"/>
    <mergeCell ref="N34:O35"/>
    <mergeCell ref="P34:P35"/>
    <mergeCell ref="Q34:R35"/>
    <mergeCell ref="S34:S35"/>
    <mergeCell ref="T34:U35"/>
    <mergeCell ref="V34:V35"/>
    <mergeCell ref="AC30:AE32"/>
    <mergeCell ref="AF30:AI32"/>
    <mergeCell ref="AJ30:AJ31"/>
    <mergeCell ref="N32:P32"/>
    <mergeCell ref="Q32:S32"/>
    <mergeCell ref="T32:V32"/>
    <mergeCell ref="W32:Y32"/>
    <mergeCell ref="A30:A32"/>
    <mergeCell ref="B30:B32"/>
    <mergeCell ref="C30:C32"/>
    <mergeCell ref="D30:D32"/>
    <mergeCell ref="E30:G32"/>
    <mergeCell ref="H30:J32"/>
    <mergeCell ref="Z32:AB32"/>
    <mergeCell ref="Q30:V31"/>
    <mergeCell ref="W30:AB31"/>
    <mergeCell ref="A21:V21"/>
    <mergeCell ref="A22:V22"/>
    <mergeCell ref="A23:AI23"/>
    <mergeCell ref="A24:AI24"/>
    <mergeCell ref="A25:AI25"/>
    <mergeCell ref="A26:AI26"/>
    <mergeCell ref="AH13:AH14"/>
    <mergeCell ref="W14:X14"/>
    <mergeCell ref="Z14:AA14"/>
    <mergeCell ref="AF14:AG14"/>
    <mergeCell ref="AF13:AG13"/>
    <mergeCell ref="AC13:AD14"/>
    <mergeCell ref="AE13:AE14"/>
    <mergeCell ref="W13:X13"/>
    <mergeCell ref="Z13:AA13"/>
    <mergeCell ref="N13:O14"/>
    <mergeCell ref="P13:P14"/>
    <mergeCell ref="Q13:R14"/>
    <mergeCell ref="S13:S14"/>
    <mergeCell ref="T13:U14"/>
    <mergeCell ref="V13:V14"/>
    <mergeCell ref="AC12:AE12"/>
    <mergeCell ref="AF12:AI12"/>
    <mergeCell ref="N12:P12"/>
    <mergeCell ref="Q12:S12"/>
    <mergeCell ref="T12:V12"/>
    <mergeCell ref="W12:Y12"/>
    <mergeCell ref="Z12:AB12"/>
    <mergeCell ref="A12:A14"/>
    <mergeCell ref="B12:B14"/>
    <mergeCell ref="C12:C14"/>
    <mergeCell ref="D12:D14"/>
    <mergeCell ref="E12:G12"/>
    <mergeCell ref="H12:J12"/>
    <mergeCell ref="E13:F14"/>
    <mergeCell ref="G13:G14"/>
    <mergeCell ref="H13:I14"/>
    <mergeCell ref="J13:J14"/>
    <mergeCell ref="A8:AI8"/>
    <mergeCell ref="A6:AI6"/>
    <mergeCell ref="H9:J11"/>
    <mergeCell ref="Q9:V10"/>
    <mergeCell ref="W9:AB10"/>
    <mergeCell ref="AC9:AE11"/>
    <mergeCell ref="AF9:AI11"/>
    <mergeCell ref="A9:A11"/>
    <mergeCell ref="B9:B11"/>
    <mergeCell ref="C9:C11"/>
    <mergeCell ref="D9:D11"/>
    <mergeCell ref="E9:G11"/>
    <mergeCell ref="W11:Y11"/>
    <mergeCell ref="Z11:AB11"/>
    <mergeCell ref="K55:M55"/>
    <mergeCell ref="K56:L57"/>
    <mergeCell ref="M56:M57"/>
    <mergeCell ref="K9:P10"/>
    <mergeCell ref="K30:P31"/>
    <mergeCell ref="K52:P53"/>
    <mergeCell ref="A1:AJ1"/>
    <mergeCell ref="A2:AJ2"/>
    <mergeCell ref="A3:AJ3"/>
    <mergeCell ref="K11:M11"/>
    <mergeCell ref="K12:M12"/>
    <mergeCell ref="K13:L14"/>
    <mergeCell ref="M13:M14"/>
    <mergeCell ref="K32:M32"/>
    <mergeCell ref="K33:M33"/>
    <mergeCell ref="K34:L35"/>
    <mergeCell ref="M34:M35"/>
    <mergeCell ref="AJ9:AJ10"/>
    <mergeCell ref="N11:P11"/>
    <mergeCell ref="Q11:S11"/>
    <mergeCell ref="T11:V11"/>
    <mergeCell ref="A7:AI7"/>
    <mergeCell ref="A4:AI4"/>
    <mergeCell ref="A5:AI5"/>
  </mergeCells>
  <printOptions horizontalCentered="1"/>
  <pageMargins left="1.1499999999999999" right="0.25" top="3.9370078740157501E-2" bottom="3.9370078740157501E-2" header="0" footer="0"/>
  <pageSetup paperSize="5" scale="39" orientation="landscape" horizontalDpi="4294967293" r:id="rId1"/>
  <rowBreaks count="1" manualBreakCount="1">
    <brk id="6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S159"/>
  <sheetViews>
    <sheetView showRuler="0" view="pageBreakPreview" topLeftCell="H1" zoomScale="70" zoomScaleNormal="40" zoomScaleSheetLayoutView="70" zoomScalePageLayoutView="55" workbookViewId="0">
      <selection activeCell="M21" sqref="M21"/>
    </sheetView>
  </sheetViews>
  <sheetFormatPr defaultColWidth="9.140625" defaultRowHeight="14.25" x14ac:dyDescent="0.2"/>
  <cols>
    <col min="1" max="1" width="6.42578125" style="2" customWidth="1"/>
    <col min="2" max="2" width="18" style="2" customWidth="1"/>
    <col min="3" max="3" width="14.85546875" style="2" customWidth="1"/>
    <col min="4" max="4" width="15" style="2" customWidth="1"/>
    <col min="5" max="5" width="8.5703125" style="2" customWidth="1"/>
    <col min="6" max="6" width="9.42578125" style="2" customWidth="1"/>
    <col min="7" max="7" width="20.7109375" style="2" bestFit="1" customWidth="1"/>
    <col min="8" max="8" width="8.140625" style="2" customWidth="1"/>
    <col min="9" max="9" width="9.140625" style="2" customWidth="1"/>
    <col min="10" max="10" width="17.7109375" style="2" customWidth="1"/>
    <col min="11" max="11" width="9" style="2" customWidth="1"/>
    <col min="12" max="12" width="8.7109375" style="2" customWidth="1"/>
    <col min="13" max="13" width="19.28515625" style="2" customWidth="1"/>
    <col min="14" max="14" width="9" style="2" customWidth="1"/>
    <col min="15" max="15" width="8.7109375" style="2" customWidth="1"/>
    <col min="16" max="16" width="19.28515625" style="2" customWidth="1"/>
    <col min="17" max="17" width="8.5703125" style="2" customWidth="1"/>
    <col min="18" max="18" width="9" style="2" customWidth="1"/>
    <col min="19" max="19" width="18.28515625" style="2" customWidth="1"/>
    <col min="20" max="20" width="8.7109375" style="2" customWidth="1"/>
    <col min="21" max="21" width="8.85546875" style="2" customWidth="1"/>
    <col min="22" max="22" width="18.7109375" style="2" customWidth="1"/>
    <col min="23" max="23" width="8.7109375" style="2" customWidth="1"/>
    <col min="24" max="24" width="5.5703125" style="62" customWidth="1"/>
    <col min="25" max="25" width="10.7109375" style="2" customWidth="1"/>
    <col min="26" max="26" width="11.140625" style="2" customWidth="1"/>
    <col min="27" max="27" width="4.7109375" style="2" customWidth="1"/>
    <col min="28" max="28" width="10.7109375" style="2" customWidth="1"/>
    <col min="29" max="29" width="8.140625" style="2" customWidth="1"/>
    <col min="30" max="30" width="9.5703125" style="2" customWidth="1"/>
    <col min="31" max="31" width="18" style="2" customWidth="1"/>
    <col min="32" max="32" width="8.5703125" style="2" customWidth="1"/>
    <col min="33" max="33" width="10.140625" style="2" customWidth="1"/>
    <col min="34" max="34" width="11.5703125" style="2" customWidth="1"/>
    <col min="35" max="35" width="15.140625" style="2" customWidth="1"/>
    <col min="36" max="36" width="17.85546875" style="2" customWidth="1"/>
    <col min="37" max="37" width="9.140625" style="2"/>
    <col min="38" max="38" width="16.85546875" style="2" bestFit="1" customWidth="1"/>
    <col min="39" max="39" width="18.5703125" style="2" customWidth="1"/>
    <col min="40" max="16384" width="9.140625" style="2"/>
  </cols>
  <sheetData>
    <row r="1" spans="1:39" ht="23.25" x14ac:dyDescent="0.35">
      <c r="A1" s="410" t="s">
        <v>24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0"/>
      <c r="AG1" s="410"/>
      <c r="AH1" s="410"/>
      <c r="AI1" s="410"/>
      <c r="AJ1" s="410"/>
    </row>
    <row r="2" spans="1:39" ht="23.25" x14ac:dyDescent="0.35">
      <c r="A2" s="410" t="s">
        <v>25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</row>
    <row r="3" spans="1:39" ht="23.25" x14ac:dyDescent="0.2">
      <c r="A3" s="418" t="s">
        <v>607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</row>
    <row r="4" spans="1:39" ht="18" x14ac:dyDescent="0.2">
      <c r="A4" s="447" t="s">
        <v>12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</row>
    <row r="5" spans="1:39" ht="18" customHeight="1" x14ac:dyDescent="0.2">
      <c r="A5" s="447" t="s">
        <v>392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</row>
    <row r="6" spans="1:39" ht="18" customHeight="1" x14ac:dyDescent="0.2">
      <c r="A6" s="447" t="s">
        <v>393</v>
      </c>
      <c r="B6" s="447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  <c r="AH6" s="447"/>
      <c r="AI6" s="447"/>
    </row>
    <row r="7" spans="1:39" ht="18" customHeight="1" x14ac:dyDescent="0.2">
      <c r="A7" s="447" t="s">
        <v>394</v>
      </c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47"/>
    </row>
    <row r="8" spans="1:39" ht="18" customHeight="1" x14ac:dyDescent="0.2">
      <c r="A8" s="447" t="s">
        <v>395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7"/>
      <c r="AH8" s="447"/>
      <c r="AI8" s="447"/>
    </row>
    <row r="9" spans="1:39" ht="15" x14ac:dyDescent="0.2">
      <c r="A9" s="448"/>
      <c r="B9" s="448"/>
      <c r="C9" s="448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8"/>
      <c r="AI9" s="448"/>
    </row>
    <row r="10" spans="1:39" s="133" customFormat="1" ht="68.25" customHeight="1" x14ac:dyDescent="0.2">
      <c r="A10" s="444" t="s">
        <v>0</v>
      </c>
      <c r="B10" s="444" t="s">
        <v>272</v>
      </c>
      <c r="C10" s="445" t="s">
        <v>1</v>
      </c>
      <c r="D10" s="445" t="s">
        <v>327</v>
      </c>
      <c r="E10" s="435" t="s">
        <v>21</v>
      </c>
      <c r="F10" s="436"/>
      <c r="G10" s="437"/>
      <c r="H10" s="435" t="s">
        <v>20</v>
      </c>
      <c r="I10" s="436"/>
      <c r="J10" s="437"/>
      <c r="K10" s="412" t="s">
        <v>582</v>
      </c>
      <c r="L10" s="413"/>
      <c r="M10" s="413"/>
      <c r="N10" s="413"/>
      <c r="O10" s="413"/>
      <c r="P10" s="414"/>
      <c r="Q10" s="412" t="s">
        <v>583</v>
      </c>
      <c r="R10" s="413"/>
      <c r="S10" s="413"/>
      <c r="T10" s="413"/>
      <c r="U10" s="413"/>
      <c r="V10" s="413"/>
      <c r="W10" s="412" t="s">
        <v>584</v>
      </c>
      <c r="X10" s="413"/>
      <c r="Y10" s="413"/>
      <c r="Z10" s="413"/>
      <c r="AA10" s="413"/>
      <c r="AB10" s="413"/>
      <c r="AC10" s="412" t="s">
        <v>19</v>
      </c>
      <c r="AD10" s="413"/>
      <c r="AE10" s="414"/>
      <c r="AF10" s="412" t="s">
        <v>4</v>
      </c>
      <c r="AG10" s="413"/>
      <c r="AH10" s="413"/>
      <c r="AI10" s="414"/>
      <c r="AJ10" s="433" t="s">
        <v>294</v>
      </c>
    </row>
    <row r="11" spans="1:39" s="133" customFormat="1" ht="18" customHeight="1" x14ac:dyDescent="0.2">
      <c r="A11" s="444"/>
      <c r="B11" s="444"/>
      <c r="C11" s="445"/>
      <c r="D11" s="445"/>
      <c r="E11" s="438"/>
      <c r="F11" s="439"/>
      <c r="G11" s="440"/>
      <c r="H11" s="438"/>
      <c r="I11" s="439"/>
      <c r="J11" s="440"/>
      <c r="K11" s="415"/>
      <c r="L11" s="416"/>
      <c r="M11" s="416"/>
      <c r="N11" s="416"/>
      <c r="O11" s="416"/>
      <c r="P11" s="417"/>
      <c r="Q11" s="415"/>
      <c r="R11" s="416"/>
      <c r="S11" s="416"/>
      <c r="T11" s="416"/>
      <c r="U11" s="416"/>
      <c r="V11" s="416"/>
      <c r="W11" s="415"/>
      <c r="X11" s="416"/>
      <c r="Y11" s="416"/>
      <c r="Z11" s="416"/>
      <c r="AA11" s="416"/>
      <c r="AB11" s="416"/>
      <c r="AC11" s="430"/>
      <c r="AD11" s="431"/>
      <c r="AE11" s="432"/>
      <c r="AF11" s="430"/>
      <c r="AG11" s="431"/>
      <c r="AH11" s="431"/>
      <c r="AI11" s="432"/>
      <c r="AJ11" s="434"/>
    </row>
    <row r="12" spans="1:39" s="133" customFormat="1" ht="15.75" customHeight="1" x14ac:dyDescent="0.2">
      <c r="A12" s="444"/>
      <c r="B12" s="444"/>
      <c r="C12" s="445"/>
      <c r="D12" s="445"/>
      <c r="E12" s="441"/>
      <c r="F12" s="442"/>
      <c r="G12" s="443"/>
      <c r="H12" s="441"/>
      <c r="I12" s="442"/>
      <c r="J12" s="443"/>
      <c r="K12" s="398" t="s">
        <v>580</v>
      </c>
      <c r="L12" s="399"/>
      <c r="M12" s="400"/>
      <c r="N12" s="398" t="s">
        <v>581</v>
      </c>
      <c r="O12" s="399"/>
      <c r="P12" s="400"/>
      <c r="Q12" s="398" t="s">
        <v>580</v>
      </c>
      <c r="R12" s="399"/>
      <c r="S12" s="400"/>
      <c r="T12" s="398" t="s">
        <v>581</v>
      </c>
      <c r="U12" s="399"/>
      <c r="V12" s="400"/>
      <c r="W12" s="398" t="s">
        <v>580</v>
      </c>
      <c r="X12" s="399"/>
      <c r="Y12" s="400"/>
      <c r="Z12" s="398" t="s">
        <v>581</v>
      </c>
      <c r="AA12" s="399"/>
      <c r="AB12" s="400"/>
      <c r="AC12" s="415"/>
      <c r="AD12" s="416"/>
      <c r="AE12" s="417"/>
      <c r="AF12" s="415"/>
      <c r="AG12" s="416"/>
      <c r="AH12" s="416"/>
      <c r="AI12" s="417"/>
      <c r="AJ12" s="128"/>
    </row>
    <row r="13" spans="1:39" s="103" customFormat="1" ht="15.75" x14ac:dyDescent="0.25">
      <c r="A13" s="411">
        <v>1</v>
      </c>
      <c r="B13" s="411">
        <v>2</v>
      </c>
      <c r="C13" s="411">
        <v>3</v>
      </c>
      <c r="D13" s="411">
        <v>4</v>
      </c>
      <c r="E13" s="420">
        <v>5</v>
      </c>
      <c r="F13" s="421"/>
      <c r="G13" s="422"/>
      <c r="H13" s="420">
        <v>6</v>
      </c>
      <c r="I13" s="421"/>
      <c r="J13" s="422"/>
      <c r="K13" s="401">
        <v>7</v>
      </c>
      <c r="L13" s="402"/>
      <c r="M13" s="403"/>
      <c r="N13" s="401">
        <v>8</v>
      </c>
      <c r="O13" s="402"/>
      <c r="P13" s="403"/>
      <c r="Q13" s="401">
        <v>12</v>
      </c>
      <c r="R13" s="402"/>
      <c r="S13" s="403"/>
      <c r="T13" s="401">
        <v>13</v>
      </c>
      <c r="U13" s="402"/>
      <c r="V13" s="403"/>
      <c r="W13" s="395">
        <v>17</v>
      </c>
      <c r="X13" s="396"/>
      <c r="Y13" s="397"/>
      <c r="Z13" s="395">
        <v>18</v>
      </c>
      <c r="AA13" s="396"/>
      <c r="AB13" s="397"/>
      <c r="AC13" s="395">
        <v>22</v>
      </c>
      <c r="AD13" s="396"/>
      <c r="AE13" s="397"/>
      <c r="AF13" s="395">
        <v>23</v>
      </c>
      <c r="AG13" s="396"/>
      <c r="AH13" s="396"/>
      <c r="AI13" s="397"/>
      <c r="AJ13" s="129"/>
    </row>
    <row r="14" spans="1:39" s="103" customFormat="1" ht="87" customHeight="1" x14ac:dyDescent="0.2">
      <c r="A14" s="419"/>
      <c r="B14" s="419"/>
      <c r="C14" s="419"/>
      <c r="D14" s="419"/>
      <c r="E14" s="404" t="s">
        <v>2</v>
      </c>
      <c r="F14" s="405"/>
      <c r="G14" s="408" t="s">
        <v>3</v>
      </c>
      <c r="H14" s="404" t="s">
        <v>2</v>
      </c>
      <c r="I14" s="405"/>
      <c r="J14" s="408" t="s">
        <v>3</v>
      </c>
      <c r="K14" s="404" t="s">
        <v>2</v>
      </c>
      <c r="L14" s="405"/>
      <c r="M14" s="411" t="s">
        <v>3</v>
      </c>
      <c r="N14" s="404" t="s">
        <v>2</v>
      </c>
      <c r="O14" s="405"/>
      <c r="P14" s="411" t="s">
        <v>3</v>
      </c>
      <c r="Q14" s="404" t="s">
        <v>2</v>
      </c>
      <c r="R14" s="405"/>
      <c r="S14" s="411" t="s">
        <v>3</v>
      </c>
      <c r="T14" s="404" t="s">
        <v>2</v>
      </c>
      <c r="U14" s="405"/>
      <c r="V14" s="411" t="s">
        <v>3</v>
      </c>
      <c r="W14" s="420" t="s">
        <v>13</v>
      </c>
      <c r="X14" s="422"/>
      <c r="Y14" s="106" t="s">
        <v>14</v>
      </c>
      <c r="Z14" s="420" t="s">
        <v>15</v>
      </c>
      <c r="AA14" s="422"/>
      <c r="AB14" s="106" t="s">
        <v>16</v>
      </c>
      <c r="AC14" s="404" t="s">
        <v>2</v>
      </c>
      <c r="AD14" s="405"/>
      <c r="AE14" s="405" t="s">
        <v>3</v>
      </c>
      <c r="AF14" s="420" t="s">
        <v>18</v>
      </c>
      <c r="AG14" s="422"/>
      <c r="AH14" s="425" t="s">
        <v>22</v>
      </c>
      <c r="AI14" s="106" t="s">
        <v>17</v>
      </c>
      <c r="AJ14" s="130"/>
    </row>
    <row r="15" spans="1:39" s="103" customFormat="1" ht="15.75" x14ac:dyDescent="0.2">
      <c r="A15" s="408"/>
      <c r="B15" s="408"/>
      <c r="C15" s="408"/>
      <c r="D15" s="408"/>
      <c r="E15" s="406"/>
      <c r="F15" s="407"/>
      <c r="G15" s="409"/>
      <c r="H15" s="406"/>
      <c r="I15" s="407"/>
      <c r="J15" s="409"/>
      <c r="K15" s="406"/>
      <c r="L15" s="407"/>
      <c r="M15" s="408"/>
      <c r="N15" s="406"/>
      <c r="O15" s="407"/>
      <c r="P15" s="408"/>
      <c r="Q15" s="406"/>
      <c r="R15" s="407"/>
      <c r="S15" s="408"/>
      <c r="T15" s="406"/>
      <c r="U15" s="407"/>
      <c r="V15" s="408"/>
      <c r="W15" s="406" t="s">
        <v>2</v>
      </c>
      <c r="X15" s="407"/>
      <c r="Y15" s="226" t="s">
        <v>3</v>
      </c>
      <c r="Z15" s="427" t="s">
        <v>2</v>
      </c>
      <c r="AA15" s="428"/>
      <c r="AB15" s="226" t="s">
        <v>3</v>
      </c>
      <c r="AC15" s="406"/>
      <c r="AD15" s="407"/>
      <c r="AE15" s="407"/>
      <c r="AF15" s="406" t="s">
        <v>2</v>
      </c>
      <c r="AG15" s="407"/>
      <c r="AH15" s="426"/>
      <c r="AI15" s="226" t="s">
        <v>3</v>
      </c>
      <c r="AJ15" s="130"/>
    </row>
    <row r="16" spans="1:39" ht="181.5" customHeight="1" x14ac:dyDescent="0.25">
      <c r="A16" s="114" t="s">
        <v>396</v>
      </c>
      <c r="B16" s="115" t="s">
        <v>397</v>
      </c>
      <c r="C16" s="110"/>
      <c r="D16" s="111" t="s">
        <v>398</v>
      </c>
      <c r="E16" s="266">
        <v>62.93</v>
      </c>
      <c r="F16" s="267" t="s">
        <v>26</v>
      </c>
      <c r="G16" s="268"/>
      <c r="H16" s="266">
        <v>88</v>
      </c>
      <c r="I16" s="267" t="s">
        <v>26</v>
      </c>
      <c r="J16" s="270">
        <v>176774444730</v>
      </c>
      <c r="K16" s="266">
        <v>68</v>
      </c>
      <c r="L16" s="267" t="s">
        <v>26</v>
      </c>
      <c r="M16" s="270">
        <v>34493888946</v>
      </c>
      <c r="N16" s="266">
        <v>72</v>
      </c>
      <c r="O16" s="267" t="s">
        <v>26</v>
      </c>
      <c r="P16" s="270">
        <v>34493888946</v>
      </c>
      <c r="Q16" s="266">
        <v>64.66</v>
      </c>
      <c r="R16" s="267" t="s">
        <v>26</v>
      </c>
      <c r="S16" s="316">
        <v>0</v>
      </c>
      <c r="T16" s="266">
        <v>0</v>
      </c>
      <c r="U16" s="267" t="s">
        <v>26</v>
      </c>
      <c r="V16" s="316">
        <v>0</v>
      </c>
      <c r="W16" s="320">
        <f>Q16/K16*100</f>
        <v>95.088235294117638</v>
      </c>
      <c r="X16" s="317" t="s">
        <v>28</v>
      </c>
      <c r="Y16" s="321">
        <f>S16/M16*100</f>
        <v>0</v>
      </c>
      <c r="Z16" s="320">
        <f>T16/N16*100</f>
        <v>0</v>
      </c>
      <c r="AA16" s="317" t="s">
        <v>28</v>
      </c>
      <c r="AB16" s="321">
        <f>V16/P16*100</f>
        <v>0</v>
      </c>
      <c r="AC16" s="266">
        <f>T16</f>
        <v>0</v>
      </c>
      <c r="AD16" s="267" t="s">
        <v>26</v>
      </c>
      <c r="AE16" s="372">
        <f>S16+V16</f>
        <v>0</v>
      </c>
      <c r="AF16" s="272"/>
      <c r="AG16" s="272"/>
      <c r="AH16" s="272"/>
      <c r="AI16" s="272"/>
      <c r="AJ16" s="155" t="s">
        <v>399</v>
      </c>
      <c r="AK16" s="185" t="s">
        <v>533</v>
      </c>
      <c r="AM16" s="134">
        <f t="shared" ref="AM16:AM50" si="0">S16</f>
        <v>0</v>
      </c>
    </row>
    <row r="17" spans="1:45" ht="120" x14ac:dyDescent="0.2">
      <c r="A17" s="69">
        <v>16</v>
      </c>
      <c r="B17" s="74" t="s">
        <v>64</v>
      </c>
      <c r="C17" s="67"/>
      <c r="D17" s="67" t="s">
        <v>521</v>
      </c>
      <c r="E17" s="334" t="s">
        <v>613</v>
      </c>
      <c r="F17" s="273" t="s">
        <v>126</v>
      </c>
      <c r="G17" s="333"/>
      <c r="H17" s="334" t="s">
        <v>561</v>
      </c>
      <c r="I17" s="273" t="s">
        <v>126</v>
      </c>
      <c r="J17" s="335">
        <f>SUM(J18:J23)</f>
        <v>6443040550</v>
      </c>
      <c r="K17" s="334" t="s">
        <v>579</v>
      </c>
      <c r="L17" s="273" t="s">
        <v>126</v>
      </c>
      <c r="M17" s="335">
        <f>SUM(M18:M23)</f>
        <v>1839701850</v>
      </c>
      <c r="N17" s="334" t="s">
        <v>568</v>
      </c>
      <c r="O17" s="273" t="s">
        <v>126</v>
      </c>
      <c r="P17" s="335">
        <f>SUM(P18:P23)</f>
        <v>2115055950</v>
      </c>
      <c r="Q17" s="334" t="s">
        <v>560</v>
      </c>
      <c r="R17" s="273" t="s">
        <v>126</v>
      </c>
      <c r="S17" s="335">
        <f>SUM(S18:S23)</f>
        <v>1276374806</v>
      </c>
      <c r="T17" s="334">
        <v>0</v>
      </c>
      <c r="U17" s="273" t="s">
        <v>126</v>
      </c>
      <c r="V17" s="335">
        <f>SUM(V18:V23)</f>
        <v>1361261445</v>
      </c>
      <c r="W17" s="288">
        <f>76.23/70.01*100</f>
        <v>108.8844450792744</v>
      </c>
      <c r="X17" s="282" t="s">
        <v>28</v>
      </c>
      <c r="Y17" s="294">
        <f>S17/M17*100</f>
        <v>69.379438086666056</v>
      </c>
      <c r="Z17" s="288">
        <v>0</v>
      </c>
      <c r="AA17" s="282" t="s">
        <v>28</v>
      </c>
      <c r="AB17" s="294">
        <f>V17/P17*100</f>
        <v>64.360540675058743</v>
      </c>
      <c r="AC17" s="277">
        <f>T17</f>
        <v>0</v>
      </c>
      <c r="AD17" s="373" t="s">
        <v>126</v>
      </c>
      <c r="AE17" s="374">
        <f>S17+V17</f>
        <v>2637636251</v>
      </c>
      <c r="AF17" s="8"/>
      <c r="AG17" s="8"/>
      <c r="AH17" s="8"/>
      <c r="AI17" s="8"/>
      <c r="AK17" s="185" t="s">
        <v>534</v>
      </c>
      <c r="AM17" s="134">
        <f t="shared" si="0"/>
        <v>1276374806</v>
      </c>
      <c r="AP17" s="92">
        <v>80.010000000000005</v>
      </c>
      <c r="AQ17" s="92">
        <v>0</v>
      </c>
    </row>
    <row r="18" spans="1:45" ht="105" x14ac:dyDescent="0.2">
      <c r="A18" s="163"/>
      <c r="B18" s="75"/>
      <c r="C18" s="72" t="s">
        <v>123</v>
      </c>
      <c r="D18" s="1" t="s">
        <v>400</v>
      </c>
      <c r="E18" s="80">
        <v>10.66</v>
      </c>
      <c r="F18" s="32" t="s">
        <v>31</v>
      </c>
      <c r="G18" s="12"/>
      <c r="H18" s="80">
        <v>14.38</v>
      </c>
      <c r="I18" s="32" t="s">
        <v>31</v>
      </c>
      <c r="J18" s="11">
        <v>1278656300</v>
      </c>
      <c r="K18" s="58">
        <v>12.06</v>
      </c>
      <c r="L18" s="32" t="s">
        <v>31</v>
      </c>
      <c r="M18" s="11">
        <v>309081100</v>
      </c>
      <c r="N18" s="58">
        <v>12.4</v>
      </c>
      <c r="O18" s="32" t="s">
        <v>31</v>
      </c>
      <c r="P18" s="11">
        <v>231465600</v>
      </c>
      <c r="Q18" s="55">
        <v>11.49</v>
      </c>
      <c r="R18" s="32" t="s">
        <v>31</v>
      </c>
      <c r="S18" s="85">
        <v>207946516</v>
      </c>
      <c r="T18" s="58">
        <v>0</v>
      </c>
      <c r="U18" s="32" t="s">
        <v>31</v>
      </c>
      <c r="V18" s="85">
        <v>184817600</v>
      </c>
      <c r="W18" s="58">
        <f>Q18/K18*100</f>
        <v>95.273631840796014</v>
      </c>
      <c r="X18" s="18" t="s">
        <v>28</v>
      </c>
      <c r="Y18" s="289">
        <f>S18/M18*100</f>
        <v>67.278949117238156</v>
      </c>
      <c r="Z18" s="58">
        <f>T18/N18*100</f>
        <v>0</v>
      </c>
      <c r="AA18" s="18" t="s">
        <v>28</v>
      </c>
      <c r="AB18" s="289">
        <f>V18/P18*100</f>
        <v>79.846681321112072</v>
      </c>
      <c r="AC18" s="78">
        <f>T18</f>
        <v>0</v>
      </c>
      <c r="AD18" s="32" t="s">
        <v>31</v>
      </c>
      <c r="AE18" s="338">
        <f>S18+V18</f>
        <v>392764116</v>
      </c>
      <c r="AF18" s="8"/>
      <c r="AG18" s="8"/>
      <c r="AH18" s="8"/>
      <c r="AI18" s="8"/>
      <c r="AM18" s="134">
        <f t="shared" si="0"/>
        <v>207946516</v>
      </c>
    </row>
    <row r="19" spans="1:45" ht="90" x14ac:dyDescent="0.2">
      <c r="A19" s="163"/>
      <c r="B19" s="75"/>
      <c r="C19" s="164" t="s">
        <v>401</v>
      </c>
      <c r="D19" s="1" t="s">
        <v>402</v>
      </c>
      <c r="E19" s="214">
        <v>3.0356000000000001</v>
      </c>
      <c r="F19" s="32" t="s">
        <v>31</v>
      </c>
      <c r="G19" s="290"/>
      <c r="H19" s="80">
        <v>3.2639999999999998</v>
      </c>
      <c r="I19" s="32" t="s">
        <v>31</v>
      </c>
      <c r="J19" s="245">
        <v>3114475000</v>
      </c>
      <c r="K19" s="80">
        <v>3.1173000000000002</v>
      </c>
      <c r="L19" s="32" t="s">
        <v>31</v>
      </c>
      <c r="M19" s="245">
        <v>1136503900</v>
      </c>
      <c r="N19" s="80">
        <v>3.1745999999999999</v>
      </c>
      <c r="O19" s="32" t="s">
        <v>31</v>
      </c>
      <c r="P19" s="245">
        <v>1489473500</v>
      </c>
      <c r="Q19" s="80">
        <v>3.0356000000000001</v>
      </c>
      <c r="R19" s="32" t="s">
        <v>31</v>
      </c>
      <c r="S19" s="337">
        <v>727287050</v>
      </c>
      <c r="T19" s="80">
        <v>0</v>
      </c>
      <c r="U19" s="32" t="s">
        <v>31</v>
      </c>
      <c r="V19" s="337">
        <v>1176443845</v>
      </c>
      <c r="W19" s="58">
        <f t="shared" ref="W19:W24" si="1">Q19/K19*100</f>
        <v>97.379142206396565</v>
      </c>
      <c r="X19" s="18" t="s">
        <v>28</v>
      </c>
      <c r="Y19" s="291">
        <f>S19/M19*100</f>
        <v>63.993361571394523</v>
      </c>
      <c r="Z19" s="58">
        <f t="shared" ref="Z19:Z20" si="2">T19/N19*100</f>
        <v>0</v>
      </c>
      <c r="AA19" s="18" t="s">
        <v>28</v>
      </c>
      <c r="AB19" s="291">
        <f>V19/P19*100</f>
        <v>78.983872153482423</v>
      </c>
      <c r="AC19" s="78">
        <f>T19</f>
        <v>0</v>
      </c>
      <c r="AD19" s="32" t="s">
        <v>31</v>
      </c>
      <c r="AE19" s="245">
        <f>S19+V19</f>
        <v>1903730895</v>
      </c>
      <c r="AF19" s="8"/>
      <c r="AG19" s="8"/>
      <c r="AH19" s="8"/>
      <c r="AI19" s="8"/>
      <c r="AJ19" s="152" t="s">
        <v>413</v>
      </c>
      <c r="AM19" s="134">
        <f t="shared" si="0"/>
        <v>727287050</v>
      </c>
    </row>
    <row r="20" spans="1:45" ht="90" x14ac:dyDescent="0.2">
      <c r="A20" s="163"/>
      <c r="B20" s="75"/>
      <c r="C20" s="165"/>
      <c r="D20" s="1" t="s">
        <v>403</v>
      </c>
      <c r="E20" s="160">
        <v>100</v>
      </c>
      <c r="F20" s="49" t="s">
        <v>28</v>
      </c>
      <c r="G20" s="29"/>
      <c r="H20" s="160">
        <v>100</v>
      </c>
      <c r="I20" s="49" t="s">
        <v>28</v>
      </c>
      <c r="J20" s="338"/>
      <c r="K20" s="160">
        <v>100</v>
      </c>
      <c r="L20" s="49" t="s">
        <v>28</v>
      </c>
      <c r="M20" s="338"/>
      <c r="N20" s="160">
        <v>100</v>
      </c>
      <c r="O20" s="49" t="s">
        <v>28</v>
      </c>
      <c r="P20" s="338"/>
      <c r="Q20" s="339">
        <v>100</v>
      </c>
      <c r="R20" s="49" t="s">
        <v>28</v>
      </c>
      <c r="S20" s="310"/>
      <c r="T20" s="160">
        <v>0</v>
      </c>
      <c r="U20" s="49" t="s">
        <v>28</v>
      </c>
      <c r="V20" s="310"/>
      <c r="W20" s="58">
        <f t="shared" si="1"/>
        <v>100</v>
      </c>
      <c r="X20" s="18" t="s">
        <v>28</v>
      </c>
      <c r="Y20" s="292"/>
      <c r="Z20" s="58">
        <f t="shared" si="2"/>
        <v>0</v>
      </c>
      <c r="AA20" s="18" t="s">
        <v>28</v>
      </c>
      <c r="AB20" s="292"/>
      <c r="AC20" s="78">
        <f>T20</f>
        <v>0</v>
      </c>
      <c r="AD20" s="32" t="s">
        <v>28</v>
      </c>
      <c r="AE20" s="5"/>
      <c r="AF20" s="8"/>
      <c r="AG20" s="8"/>
      <c r="AH20" s="8"/>
      <c r="AI20" s="8"/>
      <c r="AM20" s="134">
        <f t="shared" si="0"/>
        <v>0</v>
      </c>
    </row>
    <row r="21" spans="1:45" ht="135" x14ac:dyDescent="0.2">
      <c r="A21" s="163"/>
      <c r="B21" s="75"/>
      <c r="C21" s="340" t="s">
        <v>417</v>
      </c>
      <c r="D21" s="340" t="s">
        <v>404</v>
      </c>
      <c r="E21" s="160">
        <v>100</v>
      </c>
      <c r="F21" s="49" t="s">
        <v>28</v>
      </c>
      <c r="G21" s="27"/>
      <c r="H21" s="160">
        <v>100</v>
      </c>
      <c r="I21" s="49" t="s">
        <v>28</v>
      </c>
      <c r="J21" s="30">
        <v>79325000</v>
      </c>
      <c r="K21" s="160"/>
      <c r="L21" s="49"/>
      <c r="M21" s="30"/>
      <c r="N21" s="160"/>
      <c r="O21" s="49"/>
      <c r="P21" s="30"/>
      <c r="Q21" s="224"/>
      <c r="R21" s="49"/>
      <c r="S21" s="85"/>
      <c r="T21" s="160"/>
      <c r="U21" s="49"/>
      <c r="V21" s="33"/>
      <c r="W21" s="58"/>
      <c r="X21" s="18"/>
      <c r="Y21" s="289"/>
      <c r="Z21" s="58"/>
      <c r="AA21" s="18"/>
      <c r="AB21" s="289"/>
      <c r="AC21" s="8"/>
      <c r="AD21" s="8"/>
      <c r="AE21" s="8"/>
      <c r="AF21" s="8"/>
      <c r="AG21" s="8"/>
      <c r="AH21" s="8"/>
      <c r="AI21" s="8"/>
      <c r="AJ21" s="159" t="s">
        <v>414</v>
      </c>
      <c r="AM21" s="134">
        <f t="shared" si="0"/>
        <v>0</v>
      </c>
    </row>
    <row r="22" spans="1:45" ht="105" x14ac:dyDescent="0.2">
      <c r="A22" s="163"/>
      <c r="B22" s="75"/>
      <c r="C22" s="186" t="s">
        <v>23</v>
      </c>
      <c r="D22" s="1" t="s">
        <v>405</v>
      </c>
      <c r="E22" s="80">
        <v>78.56</v>
      </c>
      <c r="F22" s="32" t="s">
        <v>31</v>
      </c>
      <c r="G22" s="336"/>
      <c r="H22" s="80">
        <v>89.02</v>
      </c>
      <c r="I22" s="32" t="s">
        <v>31</v>
      </c>
      <c r="J22" s="248">
        <v>1970584250</v>
      </c>
      <c r="K22" s="80">
        <v>81.89</v>
      </c>
      <c r="L22" s="32" t="s">
        <v>31</v>
      </c>
      <c r="M22" s="248">
        <v>394116850</v>
      </c>
      <c r="N22" s="80">
        <v>83.79</v>
      </c>
      <c r="O22" s="32" t="s">
        <v>31</v>
      </c>
      <c r="P22" s="248">
        <v>394116850</v>
      </c>
      <c r="Q22" s="224">
        <v>79.78</v>
      </c>
      <c r="R22" s="32" t="s">
        <v>31</v>
      </c>
      <c r="S22" s="233">
        <v>341141240</v>
      </c>
      <c r="T22" s="58">
        <v>0</v>
      </c>
      <c r="U22" s="32" t="s">
        <v>31</v>
      </c>
      <c r="V22" s="233"/>
      <c r="W22" s="58">
        <f>Q22/K22*100</f>
        <v>97.423372817193794</v>
      </c>
      <c r="X22" s="18" t="s">
        <v>28</v>
      </c>
      <c r="Y22" s="291">
        <f>S22/M22*100</f>
        <v>86.558400129301745</v>
      </c>
      <c r="Z22" s="58">
        <f t="shared" ref="Z22:Z25" si="3">T22/N22*100</f>
        <v>0</v>
      </c>
      <c r="AA22" s="18" t="s">
        <v>28</v>
      </c>
      <c r="AB22" s="291">
        <f>V22/P22*100</f>
        <v>0</v>
      </c>
      <c r="AC22" s="78">
        <f t="shared" ref="AC22:AC50" si="4">T22</f>
        <v>0</v>
      </c>
      <c r="AD22" s="32" t="s">
        <v>31</v>
      </c>
      <c r="AE22" s="245">
        <f>S22+V22</f>
        <v>341141240</v>
      </c>
      <c r="AF22" s="8"/>
      <c r="AG22" s="8"/>
      <c r="AH22" s="8"/>
      <c r="AI22" s="8"/>
      <c r="AJ22" s="197" t="s">
        <v>570</v>
      </c>
      <c r="AM22" s="134">
        <f t="shared" si="0"/>
        <v>341141240</v>
      </c>
    </row>
    <row r="23" spans="1:45" ht="105" x14ac:dyDescent="0.2">
      <c r="A23" s="163"/>
      <c r="B23" s="75"/>
      <c r="C23" s="71"/>
      <c r="D23" s="1" t="s">
        <v>406</v>
      </c>
      <c r="E23" s="160">
        <v>100</v>
      </c>
      <c r="F23" s="32" t="s">
        <v>28</v>
      </c>
      <c r="G23" s="28"/>
      <c r="H23" s="160">
        <v>100</v>
      </c>
      <c r="I23" s="32" t="s">
        <v>28</v>
      </c>
      <c r="J23" s="86"/>
      <c r="K23" s="160">
        <v>100</v>
      </c>
      <c r="L23" s="32" t="s">
        <v>28</v>
      </c>
      <c r="M23" s="86"/>
      <c r="N23" s="160">
        <v>100</v>
      </c>
      <c r="O23" s="32" t="s">
        <v>28</v>
      </c>
      <c r="P23" s="86"/>
      <c r="Q23" s="339">
        <v>100</v>
      </c>
      <c r="R23" s="32" t="s">
        <v>28</v>
      </c>
      <c r="S23" s="86"/>
      <c r="T23" s="82">
        <v>58.33</v>
      </c>
      <c r="U23" s="32" t="s">
        <v>28</v>
      </c>
      <c r="V23" s="86"/>
      <c r="W23" s="58">
        <f t="shared" si="1"/>
        <v>100</v>
      </c>
      <c r="X23" s="18" t="s">
        <v>28</v>
      </c>
      <c r="Y23" s="292"/>
      <c r="Z23" s="58">
        <f t="shared" si="3"/>
        <v>58.329999999999991</v>
      </c>
      <c r="AA23" s="18" t="s">
        <v>28</v>
      </c>
      <c r="AB23" s="292"/>
      <c r="AC23" s="78">
        <f t="shared" si="4"/>
        <v>58.33</v>
      </c>
      <c r="AD23" s="32" t="s">
        <v>28</v>
      </c>
      <c r="AE23" s="5"/>
      <c r="AF23" s="8"/>
      <c r="AG23" s="8"/>
      <c r="AH23" s="8"/>
      <c r="AI23" s="8"/>
      <c r="AM23" s="134">
        <f t="shared" si="0"/>
        <v>0</v>
      </c>
    </row>
    <row r="24" spans="1:45" ht="90" x14ac:dyDescent="0.2">
      <c r="A24" s="163"/>
      <c r="B24" s="75"/>
      <c r="C24" s="1" t="s">
        <v>407</v>
      </c>
      <c r="D24" s="1" t="s">
        <v>441</v>
      </c>
      <c r="E24" s="160">
        <v>100</v>
      </c>
      <c r="F24" s="32" t="s">
        <v>28</v>
      </c>
      <c r="G24" s="27"/>
      <c r="H24" s="160">
        <v>100</v>
      </c>
      <c r="I24" s="32" t="s">
        <v>28</v>
      </c>
      <c r="J24" s="9">
        <v>6212383375</v>
      </c>
      <c r="K24" s="160">
        <v>100</v>
      </c>
      <c r="L24" s="32" t="s">
        <v>28</v>
      </c>
      <c r="M24" s="85">
        <v>3447580585</v>
      </c>
      <c r="N24" s="160">
        <v>100</v>
      </c>
      <c r="O24" s="32" t="s">
        <v>28</v>
      </c>
      <c r="P24" s="85">
        <v>633150000</v>
      </c>
      <c r="Q24" s="160">
        <v>100</v>
      </c>
      <c r="R24" s="32" t="s">
        <v>28</v>
      </c>
      <c r="S24" s="85">
        <v>3447580585</v>
      </c>
      <c r="T24" s="160">
        <v>100</v>
      </c>
      <c r="U24" s="32" t="s">
        <v>28</v>
      </c>
      <c r="V24" s="85">
        <v>577800000</v>
      </c>
      <c r="W24" s="58">
        <f t="shared" si="1"/>
        <v>100</v>
      </c>
      <c r="X24" s="18" t="s">
        <v>28</v>
      </c>
      <c r="Y24" s="289">
        <f t="shared" ref="Y24:Y29" si="5">S24/M24*100</f>
        <v>100</v>
      </c>
      <c r="Z24" s="58">
        <f t="shared" si="3"/>
        <v>100</v>
      </c>
      <c r="AA24" s="18" t="s">
        <v>28</v>
      </c>
      <c r="AB24" s="289">
        <f t="shared" ref="AB24:AB29" si="6">V24/P24*100</f>
        <v>91.257995735607679</v>
      </c>
      <c r="AC24" s="78">
        <f t="shared" si="4"/>
        <v>100</v>
      </c>
      <c r="AD24" s="32" t="s">
        <v>28</v>
      </c>
      <c r="AE24" s="245">
        <f t="shared" ref="AE24:AE43" si="7">S24+V24</f>
        <v>4025380585</v>
      </c>
      <c r="AF24" s="8"/>
      <c r="AG24" s="8"/>
      <c r="AH24" s="8"/>
      <c r="AI24" s="8"/>
      <c r="AJ24" s="152" t="s">
        <v>415</v>
      </c>
      <c r="AM24" s="134">
        <f t="shared" si="0"/>
        <v>3447580585</v>
      </c>
    </row>
    <row r="25" spans="1:45" ht="105" x14ac:dyDescent="0.2">
      <c r="A25" s="163"/>
      <c r="B25" s="75"/>
      <c r="C25" s="1" t="s">
        <v>408</v>
      </c>
      <c r="D25" s="1" t="s">
        <v>441</v>
      </c>
      <c r="E25" s="160">
        <v>100</v>
      </c>
      <c r="F25" s="32" t="s">
        <v>28</v>
      </c>
      <c r="G25" s="27"/>
      <c r="H25" s="160">
        <v>100</v>
      </c>
      <c r="I25" s="32" t="s">
        <v>28</v>
      </c>
      <c r="J25" s="9">
        <v>372759375</v>
      </c>
      <c r="K25" s="160">
        <v>100</v>
      </c>
      <c r="L25" s="32" t="s">
        <v>28</v>
      </c>
      <c r="M25" s="85">
        <v>376217550</v>
      </c>
      <c r="N25" s="160">
        <v>100</v>
      </c>
      <c r="O25" s="32" t="s">
        <v>28</v>
      </c>
      <c r="P25" s="85">
        <v>216261302</v>
      </c>
      <c r="Q25" s="160">
        <v>100</v>
      </c>
      <c r="R25" s="32" t="s">
        <v>28</v>
      </c>
      <c r="S25" s="85">
        <v>376217550</v>
      </c>
      <c r="T25" s="160">
        <v>100</v>
      </c>
      <c r="U25" s="32" t="s">
        <v>28</v>
      </c>
      <c r="V25" s="85">
        <v>149606850</v>
      </c>
      <c r="W25" s="58">
        <f>Q25/K25*100</f>
        <v>100</v>
      </c>
      <c r="X25" s="18" t="s">
        <v>28</v>
      </c>
      <c r="Y25" s="289">
        <f t="shared" si="5"/>
        <v>100</v>
      </c>
      <c r="Z25" s="58">
        <f t="shared" si="3"/>
        <v>100</v>
      </c>
      <c r="AA25" s="18" t="s">
        <v>28</v>
      </c>
      <c r="AB25" s="289">
        <f t="shared" si="6"/>
        <v>69.178742852477598</v>
      </c>
      <c r="AC25" s="78">
        <f t="shared" si="4"/>
        <v>100</v>
      </c>
      <c r="AD25" s="32" t="s">
        <v>28</v>
      </c>
      <c r="AE25" s="245">
        <f t="shared" si="7"/>
        <v>525824400</v>
      </c>
      <c r="AF25" s="8"/>
      <c r="AG25" s="8"/>
      <c r="AH25" s="8"/>
      <c r="AI25" s="8"/>
      <c r="AM25" s="134">
        <f t="shared" si="0"/>
        <v>376217550</v>
      </c>
    </row>
    <row r="26" spans="1:45" ht="135" x14ac:dyDescent="0.2">
      <c r="A26" s="163"/>
      <c r="B26" s="75"/>
      <c r="C26" s="186" t="s">
        <v>409</v>
      </c>
      <c r="D26" s="186" t="s">
        <v>410</v>
      </c>
      <c r="E26" s="160">
        <v>100</v>
      </c>
      <c r="F26" s="49" t="s">
        <v>28</v>
      </c>
      <c r="G26" s="27"/>
      <c r="H26" s="160">
        <v>100</v>
      </c>
      <c r="I26" s="49" t="s">
        <v>28</v>
      </c>
      <c r="J26" s="30">
        <v>29261651000</v>
      </c>
      <c r="K26" s="160">
        <v>100</v>
      </c>
      <c r="L26" s="49" t="s">
        <v>28</v>
      </c>
      <c r="M26" s="30">
        <v>3163087700</v>
      </c>
      <c r="N26" s="160">
        <v>100</v>
      </c>
      <c r="O26" s="49" t="s">
        <v>28</v>
      </c>
      <c r="P26" s="30">
        <v>3446166100</v>
      </c>
      <c r="Q26" s="339">
        <v>100</v>
      </c>
      <c r="R26" s="49" t="s">
        <v>28</v>
      </c>
      <c r="S26" s="85">
        <v>2854701570</v>
      </c>
      <c r="T26" s="160">
        <v>100</v>
      </c>
      <c r="U26" s="49" t="s">
        <v>28</v>
      </c>
      <c r="V26" s="85">
        <v>687658073</v>
      </c>
      <c r="W26" s="58">
        <f>Q26/K26*100</f>
        <v>100</v>
      </c>
      <c r="X26" s="18" t="s">
        <v>28</v>
      </c>
      <c r="Y26" s="289">
        <f t="shared" si="5"/>
        <v>90.250471714710912</v>
      </c>
      <c r="Z26" s="93">
        <f>T26/N26*100</f>
        <v>100</v>
      </c>
      <c r="AA26" s="18" t="s">
        <v>28</v>
      </c>
      <c r="AB26" s="289">
        <f t="shared" si="6"/>
        <v>19.954292771900924</v>
      </c>
      <c r="AC26" s="96">
        <f t="shared" si="4"/>
        <v>100</v>
      </c>
      <c r="AD26" s="96" t="s">
        <v>28</v>
      </c>
      <c r="AE26" s="247">
        <f t="shared" si="7"/>
        <v>3542359643</v>
      </c>
      <c r="AF26" s="8"/>
      <c r="AG26" s="8"/>
      <c r="AH26" s="8"/>
      <c r="AI26" s="8"/>
      <c r="AJ26" s="323" t="s">
        <v>416</v>
      </c>
      <c r="AM26" s="113">
        <f t="shared" si="0"/>
        <v>2854701570</v>
      </c>
    </row>
    <row r="27" spans="1:45" ht="105" x14ac:dyDescent="0.2">
      <c r="A27" s="163"/>
      <c r="B27" s="75"/>
      <c r="C27" s="1" t="s">
        <v>411</v>
      </c>
      <c r="D27" s="1" t="s">
        <v>412</v>
      </c>
      <c r="E27" s="160">
        <v>70</v>
      </c>
      <c r="F27" s="49" t="s">
        <v>28</v>
      </c>
      <c r="G27" s="27"/>
      <c r="H27" s="160">
        <v>75</v>
      </c>
      <c r="I27" s="49" t="s">
        <v>28</v>
      </c>
      <c r="J27" s="30">
        <v>561975000</v>
      </c>
      <c r="K27" s="160">
        <v>71</v>
      </c>
      <c r="L27" s="49" t="s">
        <v>28</v>
      </c>
      <c r="M27" s="30">
        <v>112395000</v>
      </c>
      <c r="N27" s="160">
        <v>72</v>
      </c>
      <c r="O27" s="49" t="s">
        <v>28</v>
      </c>
      <c r="P27" s="30">
        <v>58575000</v>
      </c>
      <c r="Q27" s="224">
        <v>70</v>
      </c>
      <c r="R27" s="49" t="s">
        <v>28</v>
      </c>
      <c r="S27" s="85">
        <v>81720000</v>
      </c>
      <c r="T27" s="160">
        <v>0</v>
      </c>
      <c r="U27" s="49" t="s">
        <v>28</v>
      </c>
      <c r="V27" s="85">
        <v>46910000</v>
      </c>
      <c r="W27" s="58">
        <f>Q27/K27*100</f>
        <v>98.591549295774655</v>
      </c>
      <c r="X27" s="18" t="s">
        <v>28</v>
      </c>
      <c r="Y27" s="289">
        <f t="shared" si="5"/>
        <v>72.70786066995862</v>
      </c>
      <c r="Z27" s="58">
        <f>T27/N27*100</f>
        <v>0</v>
      </c>
      <c r="AA27" s="18" t="s">
        <v>28</v>
      </c>
      <c r="AB27" s="289">
        <f t="shared" si="6"/>
        <v>80.085360648740931</v>
      </c>
      <c r="AC27" s="96">
        <f t="shared" si="4"/>
        <v>0</v>
      </c>
      <c r="AD27" s="96" t="s">
        <v>28</v>
      </c>
      <c r="AE27" s="247">
        <f t="shared" si="7"/>
        <v>128630000</v>
      </c>
      <c r="AF27" s="8"/>
      <c r="AG27" s="8"/>
      <c r="AH27" s="8"/>
      <c r="AI27" s="8"/>
      <c r="AJ27" s="219" t="s">
        <v>304</v>
      </c>
      <c r="AM27" s="134">
        <f t="shared" si="0"/>
        <v>81720000</v>
      </c>
    </row>
    <row r="28" spans="1:45" ht="180" x14ac:dyDescent="0.2">
      <c r="A28" s="17"/>
      <c r="B28" s="65"/>
      <c r="C28" s="67"/>
      <c r="D28" s="67" t="s">
        <v>522</v>
      </c>
      <c r="E28" s="332" t="s">
        <v>127</v>
      </c>
      <c r="F28" s="273" t="s">
        <v>126</v>
      </c>
      <c r="G28" s="333"/>
      <c r="H28" s="332" t="s">
        <v>45</v>
      </c>
      <c r="I28" s="273" t="s">
        <v>126</v>
      </c>
      <c r="J28" s="335">
        <f>SUM(J29:J36)</f>
        <v>103637987680</v>
      </c>
      <c r="K28" s="334" t="s">
        <v>562</v>
      </c>
      <c r="L28" s="273" t="s">
        <v>126</v>
      </c>
      <c r="M28" s="335">
        <f>SUM(M29:M36)</f>
        <v>20610356037</v>
      </c>
      <c r="N28" s="334" t="s">
        <v>562</v>
      </c>
      <c r="O28" s="273" t="s">
        <v>126</v>
      </c>
      <c r="P28" s="335">
        <f>SUM(P29:P36)</f>
        <v>20735095613</v>
      </c>
      <c r="Q28" s="334" t="s">
        <v>597</v>
      </c>
      <c r="R28" s="273" t="s">
        <v>126</v>
      </c>
      <c r="S28" s="335">
        <f>SUM(S29:S36)</f>
        <v>17898200818</v>
      </c>
      <c r="T28" s="332">
        <v>0</v>
      </c>
      <c r="U28" s="273" t="s">
        <v>126</v>
      </c>
      <c r="V28" s="335">
        <f>SUM(V29:V36)</f>
        <v>20206388355</v>
      </c>
      <c r="W28" s="288">
        <f>3.97/4.51*100</f>
        <v>88.026607538802665</v>
      </c>
      <c r="X28" s="282" t="s">
        <v>28</v>
      </c>
      <c r="Y28" s="294">
        <f t="shared" si="5"/>
        <v>86.840813355523309</v>
      </c>
      <c r="Z28" s="288">
        <f>3.97/4.51*100</f>
        <v>88.026607538802665</v>
      </c>
      <c r="AA28" s="282" t="s">
        <v>28</v>
      </c>
      <c r="AB28" s="294">
        <f t="shared" si="6"/>
        <v>97.450181721522782</v>
      </c>
      <c r="AC28" s="387">
        <f t="shared" si="4"/>
        <v>0</v>
      </c>
      <c r="AD28" s="273" t="s">
        <v>126</v>
      </c>
      <c r="AE28" s="388">
        <f t="shared" si="7"/>
        <v>38104589173</v>
      </c>
      <c r="AF28" s="8"/>
      <c r="AG28" s="8"/>
      <c r="AH28" s="8"/>
      <c r="AI28" s="8"/>
      <c r="AJ28" s="200" t="s">
        <v>559</v>
      </c>
      <c r="AM28" s="134">
        <f t="shared" si="0"/>
        <v>17898200818</v>
      </c>
      <c r="AO28" s="92">
        <v>4.51</v>
      </c>
      <c r="AP28" s="217">
        <v>4.0999999999999996</v>
      </c>
      <c r="AQ28" s="92">
        <v>3.98</v>
      </c>
      <c r="AR28" s="92">
        <v>3.83</v>
      </c>
      <c r="AS28" s="217">
        <f>AVERAGE(AP28:AR28)</f>
        <v>3.97</v>
      </c>
    </row>
    <row r="29" spans="1:45" ht="105" x14ac:dyDescent="0.2">
      <c r="A29" s="17"/>
      <c r="B29" s="65"/>
      <c r="C29" s="71" t="s">
        <v>101</v>
      </c>
      <c r="D29" s="71" t="s">
        <v>418</v>
      </c>
      <c r="E29" s="156">
        <v>3</v>
      </c>
      <c r="F29" s="156" t="s">
        <v>245</v>
      </c>
      <c r="G29" s="28"/>
      <c r="H29" s="156">
        <v>3</v>
      </c>
      <c r="I29" s="156" t="s">
        <v>245</v>
      </c>
      <c r="J29" s="31">
        <v>1428579500</v>
      </c>
      <c r="K29" s="156">
        <v>3</v>
      </c>
      <c r="L29" s="156" t="s">
        <v>245</v>
      </c>
      <c r="M29" s="31">
        <v>241665900</v>
      </c>
      <c r="N29" s="156">
        <v>3</v>
      </c>
      <c r="O29" s="156" t="s">
        <v>245</v>
      </c>
      <c r="P29" s="31">
        <v>246802936</v>
      </c>
      <c r="Q29" s="156">
        <v>0</v>
      </c>
      <c r="R29" s="156" t="s">
        <v>245</v>
      </c>
      <c r="S29" s="50">
        <v>151633570</v>
      </c>
      <c r="T29" s="156">
        <v>2</v>
      </c>
      <c r="U29" s="156" t="s">
        <v>245</v>
      </c>
      <c r="V29" s="50">
        <v>161619000</v>
      </c>
      <c r="W29" s="58">
        <f>Q29/K29*100</f>
        <v>0</v>
      </c>
      <c r="X29" s="18" t="s">
        <v>28</v>
      </c>
      <c r="Y29" s="289">
        <f t="shared" si="5"/>
        <v>62.745124570740018</v>
      </c>
      <c r="Z29" s="58">
        <f>T29/N29*100</f>
        <v>66.666666666666657</v>
      </c>
      <c r="AA29" s="18" t="s">
        <v>28</v>
      </c>
      <c r="AB29" s="289">
        <f t="shared" si="6"/>
        <v>65.485039448639299</v>
      </c>
      <c r="AC29" s="96">
        <f t="shared" si="4"/>
        <v>2</v>
      </c>
      <c r="AD29" s="156" t="s">
        <v>245</v>
      </c>
      <c r="AE29" s="247">
        <f t="shared" si="7"/>
        <v>313252570</v>
      </c>
      <c r="AF29" s="5"/>
      <c r="AG29" s="5"/>
      <c r="AH29" s="5"/>
      <c r="AI29" s="5"/>
      <c r="AJ29" s="207" t="s">
        <v>399</v>
      </c>
      <c r="AM29" s="134">
        <f t="shared" si="0"/>
        <v>151633570</v>
      </c>
    </row>
    <row r="30" spans="1:45" ht="129" customHeight="1" x14ac:dyDescent="0.2">
      <c r="A30" s="17"/>
      <c r="B30" s="65"/>
      <c r="C30" s="14" t="s">
        <v>66</v>
      </c>
      <c r="D30" s="14" t="s">
        <v>419</v>
      </c>
      <c r="E30" s="81">
        <v>3.9</v>
      </c>
      <c r="F30" s="154" t="s">
        <v>31</v>
      </c>
      <c r="G30" s="12"/>
      <c r="H30" s="81">
        <v>5</v>
      </c>
      <c r="I30" s="154" t="s">
        <v>31</v>
      </c>
      <c r="J30" s="30">
        <v>835375000</v>
      </c>
      <c r="K30" s="81">
        <v>4.51</v>
      </c>
      <c r="L30" s="227" t="s">
        <v>31</v>
      </c>
      <c r="M30" s="30">
        <v>151762500</v>
      </c>
      <c r="N30" s="81">
        <v>4.5999999999999996</v>
      </c>
      <c r="O30" s="154" t="s">
        <v>31</v>
      </c>
      <c r="P30" s="30">
        <v>280100000</v>
      </c>
      <c r="Q30" s="81">
        <v>4.45</v>
      </c>
      <c r="R30" s="154" t="s">
        <v>31</v>
      </c>
      <c r="S30" s="50">
        <v>145959800</v>
      </c>
      <c r="T30" s="81">
        <v>0</v>
      </c>
      <c r="U30" s="154" t="s">
        <v>31</v>
      </c>
      <c r="V30" s="50">
        <v>255564500</v>
      </c>
      <c r="W30" s="58">
        <f t="shared" ref="W30:W50" si="8">Q30/K30*100</f>
        <v>98.669623059866979</v>
      </c>
      <c r="X30" s="18" t="s">
        <v>28</v>
      </c>
      <c r="Y30" s="289">
        <f t="shared" ref="Y30:Y41" si="9">S30/M30*100</f>
        <v>96.176459929165631</v>
      </c>
      <c r="Z30" s="58">
        <f t="shared" ref="Z30:Z49" si="10">T30/N30*100</f>
        <v>0</v>
      </c>
      <c r="AA30" s="18" t="s">
        <v>28</v>
      </c>
      <c r="AB30" s="289">
        <f>V30/P30*100</f>
        <v>91.2404498393431</v>
      </c>
      <c r="AC30" s="96">
        <f t="shared" si="4"/>
        <v>0</v>
      </c>
      <c r="AD30" s="331" t="s">
        <v>31</v>
      </c>
      <c r="AE30" s="247">
        <f t="shared" si="7"/>
        <v>401524300</v>
      </c>
      <c r="AF30" s="8"/>
      <c r="AG30" s="8"/>
      <c r="AH30" s="8"/>
      <c r="AI30" s="8"/>
      <c r="AJ30" s="153" t="s">
        <v>313</v>
      </c>
      <c r="AM30" s="134">
        <f t="shared" si="0"/>
        <v>145959800</v>
      </c>
    </row>
    <row r="31" spans="1:45" ht="137.44999999999999" customHeight="1" x14ac:dyDescent="0.2">
      <c r="A31" s="17"/>
      <c r="B31" s="65"/>
      <c r="C31" s="14" t="s">
        <v>420</v>
      </c>
      <c r="D31" s="14" t="s">
        <v>421</v>
      </c>
      <c r="E31" s="82">
        <v>0.71</v>
      </c>
      <c r="F31" s="49" t="s">
        <v>28</v>
      </c>
      <c r="G31" s="12"/>
      <c r="H31" s="82">
        <v>1.43</v>
      </c>
      <c r="I31" s="49" t="s">
        <v>28</v>
      </c>
      <c r="J31" s="30">
        <v>85126698180</v>
      </c>
      <c r="K31" s="82">
        <v>0.89</v>
      </c>
      <c r="L31" s="49" t="s">
        <v>28</v>
      </c>
      <c r="M31" s="30">
        <v>17766614637</v>
      </c>
      <c r="N31" s="82">
        <v>0.98</v>
      </c>
      <c r="O31" s="49" t="s">
        <v>28</v>
      </c>
      <c r="P31" s="30">
        <v>18660064977</v>
      </c>
      <c r="Q31" s="82">
        <v>0.8</v>
      </c>
      <c r="R31" s="49" t="s">
        <v>28</v>
      </c>
      <c r="S31" s="50">
        <v>15395305789</v>
      </c>
      <c r="T31" s="82">
        <f>V31/P31*N31</f>
        <v>0.96397432703430619</v>
      </c>
      <c r="U31" s="49" t="s">
        <v>28</v>
      </c>
      <c r="V31" s="50">
        <v>18354922019</v>
      </c>
      <c r="W31" s="58">
        <f t="shared" si="8"/>
        <v>89.887640449438209</v>
      </c>
      <c r="X31" s="18" t="s">
        <v>28</v>
      </c>
      <c r="Y31" s="289">
        <f t="shared" si="9"/>
        <v>86.653006797020225</v>
      </c>
      <c r="Z31" s="58">
        <f t="shared" si="10"/>
        <v>98.364727248398594</v>
      </c>
      <c r="AA31" s="18" t="s">
        <v>28</v>
      </c>
      <c r="AB31" s="289">
        <f t="shared" ref="AB31:AB32" si="11">V31/P31*100</f>
        <v>98.36472724839858</v>
      </c>
      <c r="AC31" s="78">
        <f t="shared" si="4"/>
        <v>0.96397432703430619</v>
      </c>
      <c r="AD31" s="49" t="s">
        <v>28</v>
      </c>
      <c r="AE31" s="247">
        <f t="shared" si="7"/>
        <v>33750227808</v>
      </c>
      <c r="AF31" s="8"/>
      <c r="AG31" s="8"/>
      <c r="AH31" s="8"/>
      <c r="AI31" s="8"/>
      <c r="AJ31" s="153" t="s">
        <v>299</v>
      </c>
      <c r="AM31" s="134">
        <f t="shared" si="0"/>
        <v>15395305789</v>
      </c>
    </row>
    <row r="32" spans="1:45" ht="137.44999999999999" customHeight="1" x14ac:dyDescent="0.2">
      <c r="A32" s="17"/>
      <c r="B32" s="65"/>
      <c r="C32" s="14" t="s">
        <v>422</v>
      </c>
      <c r="D32" s="14" t="s">
        <v>423</v>
      </c>
      <c r="E32" s="162">
        <v>98</v>
      </c>
      <c r="F32" s="49" t="s">
        <v>28</v>
      </c>
      <c r="G32" s="12"/>
      <c r="H32" s="162">
        <v>99</v>
      </c>
      <c r="I32" s="49" t="s">
        <v>28</v>
      </c>
      <c r="J32" s="30">
        <v>8589025000</v>
      </c>
      <c r="K32" s="162">
        <v>98</v>
      </c>
      <c r="L32" s="49" t="s">
        <v>28</v>
      </c>
      <c r="M32" s="30">
        <v>940795000</v>
      </c>
      <c r="N32" s="162">
        <v>99</v>
      </c>
      <c r="O32" s="49" t="s">
        <v>28</v>
      </c>
      <c r="P32" s="30">
        <v>369426650</v>
      </c>
      <c r="Q32" s="82">
        <v>96</v>
      </c>
      <c r="R32" s="49" t="s">
        <v>28</v>
      </c>
      <c r="S32" s="50">
        <v>865843009</v>
      </c>
      <c r="T32" s="81">
        <v>0</v>
      </c>
      <c r="U32" s="49" t="s">
        <v>28</v>
      </c>
      <c r="V32" s="50">
        <v>354690900</v>
      </c>
      <c r="W32" s="58">
        <f t="shared" si="8"/>
        <v>97.959183673469383</v>
      </c>
      <c r="X32" s="18" t="s">
        <v>28</v>
      </c>
      <c r="Y32" s="289">
        <f t="shared" si="9"/>
        <v>92.033121880962369</v>
      </c>
      <c r="Z32" s="58">
        <f t="shared" si="10"/>
        <v>0</v>
      </c>
      <c r="AA32" s="18" t="s">
        <v>28</v>
      </c>
      <c r="AB32" s="289">
        <f t="shared" si="11"/>
        <v>96.011183816868652</v>
      </c>
      <c r="AC32" s="78">
        <f t="shared" si="4"/>
        <v>0</v>
      </c>
      <c r="AD32" s="49" t="s">
        <v>28</v>
      </c>
      <c r="AE32" s="247">
        <f t="shared" si="7"/>
        <v>1220533909</v>
      </c>
      <c r="AF32" s="8"/>
      <c r="AG32" s="8"/>
      <c r="AH32" s="8"/>
      <c r="AI32" s="8"/>
      <c r="AJ32" s="153" t="s">
        <v>455</v>
      </c>
      <c r="AM32" s="134">
        <f t="shared" si="0"/>
        <v>865843009</v>
      </c>
    </row>
    <row r="33" spans="1:39" ht="137.44999999999999" customHeight="1" x14ac:dyDescent="0.2">
      <c r="A33" s="17"/>
      <c r="B33" s="65"/>
      <c r="C33" s="14" t="s">
        <v>424</v>
      </c>
      <c r="D33" s="14" t="s">
        <v>425</v>
      </c>
      <c r="E33" s="162">
        <v>80</v>
      </c>
      <c r="F33" s="49" t="s">
        <v>28</v>
      </c>
      <c r="G33" s="12"/>
      <c r="H33" s="162">
        <v>99</v>
      </c>
      <c r="I33" s="49" t="s">
        <v>28</v>
      </c>
      <c r="J33" s="30">
        <v>1229890000</v>
      </c>
      <c r="K33" s="162">
        <v>95</v>
      </c>
      <c r="L33" s="49" t="s">
        <v>28</v>
      </c>
      <c r="M33" s="30">
        <v>242118000</v>
      </c>
      <c r="N33" s="162">
        <v>96</v>
      </c>
      <c r="O33" s="49" t="s">
        <v>28</v>
      </c>
      <c r="P33" s="30">
        <v>22010000</v>
      </c>
      <c r="Q33" s="82">
        <v>96</v>
      </c>
      <c r="R33" s="49" t="s">
        <v>28</v>
      </c>
      <c r="S33" s="50">
        <v>170142000</v>
      </c>
      <c r="T33" s="162">
        <v>0</v>
      </c>
      <c r="U33" s="49" t="s">
        <v>28</v>
      </c>
      <c r="V33" s="50">
        <v>19610000</v>
      </c>
      <c r="W33" s="58">
        <f t="shared" si="8"/>
        <v>101.05263157894737</v>
      </c>
      <c r="X33" s="18" t="s">
        <v>28</v>
      </c>
      <c r="Y33" s="289">
        <f>S33/M33*100</f>
        <v>70.272346541768897</v>
      </c>
      <c r="Z33" s="58">
        <f t="shared" si="10"/>
        <v>0</v>
      </c>
      <c r="AA33" s="18" t="s">
        <v>28</v>
      </c>
      <c r="AB33" s="289">
        <f>V33/P33*100</f>
        <v>89.095865515674689</v>
      </c>
      <c r="AC33" s="78">
        <f t="shared" si="4"/>
        <v>0</v>
      </c>
      <c r="AD33" s="49" t="s">
        <v>28</v>
      </c>
      <c r="AE33" s="247">
        <f t="shared" si="7"/>
        <v>189752000</v>
      </c>
      <c r="AF33" s="8"/>
      <c r="AG33" s="8"/>
      <c r="AH33" s="8"/>
      <c r="AI33" s="8"/>
      <c r="AJ33" s="151"/>
      <c r="AM33" s="134">
        <f t="shared" si="0"/>
        <v>170142000</v>
      </c>
    </row>
    <row r="34" spans="1:39" ht="137.44999999999999" customHeight="1" x14ac:dyDescent="0.2">
      <c r="A34" s="17"/>
      <c r="B34" s="65"/>
      <c r="C34" s="14" t="s">
        <v>426</v>
      </c>
      <c r="D34" s="14" t="s">
        <v>427</v>
      </c>
      <c r="E34" s="162">
        <v>90</v>
      </c>
      <c r="F34" s="49" t="s">
        <v>28</v>
      </c>
      <c r="G34" s="12"/>
      <c r="H34" s="162">
        <v>92</v>
      </c>
      <c r="I34" s="49" t="s">
        <v>28</v>
      </c>
      <c r="J34" s="30">
        <v>985050000</v>
      </c>
      <c r="K34" s="162">
        <v>90</v>
      </c>
      <c r="L34" s="49" t="s">
        <v>28</v>
      </c>
      <c r="M34" s="30">
        <v>167880000</v>
      </c>
      <c r="N34" s="162">
        <v>91</v>
      </c>
      <c r="O34" s="49" t="s">
        <v>28</v>
      </c>
      <c r="P34" s="30">
        <v>115936650</v>
      </c>
      <c r="Q34" s="82">
        <v>93</v>
      </c>
      <c r="R34" s="49" t="s">
        <v>28</v>
      </c>
      <c r="S34" s="50">
        <v>147386000</v>
      </c>
      <c r="T34" s="81">
        <v>0</v>
      </c>
      <c r="U34" s="49" t="s">
        <v>28</v>
      </c>
      <c r="V34" s="50">
        <v>103260750</v>
      </c>
      <c r="W34" s="58">
        <f t="shared" si="8"/>
        <v>103.33333333333334</v>
      </c>
      <c r="X34" s="18" t="s">
        <v>28</v>
      </c>
      <c r="Y34" s="289">
        <f t="shared" si="9"/>
        <v>87.792470812485107</v>
      </c>
      <c r="Z34" s="58">
        <f t="shared" si="10"/>
        <v>0</v>
      </c>
      <c r="AA34" s="18" t="s">
        <v>28</v>
      </c>
      <c r="AB34" s="289">
        <f t="shared" ref="AB34:AB35" si="12">V34/P34*100</f>
        <v>89.066529005280032</v>
      </c>
      <c r="AC34" s="78">
        <f t="shared" si="4"/>
        <v>0</v>
      </c>
      <c r="AD34" s="49" t="s">
        <v>28</v>
      </c>
      <c r="AE34" s="247">
        <f t="shared" si="7"/>
        <v>250646750</v>
      </c>
      <c r="AF34" s="8"/>
      <c r="AG34" s="8"/>
      <c r="AH34" s="8"/>
      <c r="AI34" s="8"/>
      <c r="AJ34" s="151"/>
      <c r="AM34" s="134">
        <f t="shared" si="0"/>
        <v>147386000</v>
      </c>
    </row>
    <row r="35" spans="1:39" ht="137.44999999999999" customHeight="1" x14ac:dyDescent="0.2">
      <c r="A35" s="17"/>
      <c r="B35" s="65"/>
      <c r="C35" s="14" t="s">
        <v>428</v>
      </c>
      <c r="D35" s="14" t="s">
        <v>429</v>
      </c>
      <c r="E35" s="162">
        <v>100</v>
      </c>
      <c r="F35" s="49" t="s">
        <v>28</v>
      </c>
      <c r="G35" s="12"/>
      <c r="H35" s="162">
        <v>100</v>
      </c>
      <c r="I35" s="49" t="s">
        <v>28</v>
      </c>
      <c r="J35" s="30">
        <v>5443370000</v>
      </c>
      <c r="K35" s="162">
        <v>100</v>
      </c>
      <c r="L35" s="49" t="s">
        <v>28</v>
      </c>
      <c r="M35" s="30">
        <v>956804000</v>
      </c>
      <c r="N35" s="162">
        <v>100</v>
      </c>
      <c r="O35" s="49" t="s">
        <v>28</v>
      </c>
      <c r="P35" s="30">
        <v>914490000</v>
      </c>
      <c r="Q35" s="82">
        <v>100</v>
      </c>
      <c r="R35" s="49" t="s">
        <v>28</v>
      </c>
      <c r="S35" s="50">
        <v>880027150</v>
      </c>
      <c r="T35" s="162">
        <v>100</v>
      </c>
      <c r="U35" s="49" t="s">
        <v>28</v>
      </c>
      <c r="V35" s="50">
        <v>834206786</v>
      </c>
      <c r="W35" s="58">
        <f t="shared" si="8"/>
        <v>100</v>
      </c>
      <c r="X35" s="18" t="s">
        <v>28</v>
      </c>
      <c r="Y35" s="289">
        <f t="shared" si="9"/>
        <v>91.975697216984869</v>
      </c>
      <c r="Z35" s="93">
        <f>T35/N35*100</f>
        <v>100</v>
      </c>
      <c r="AA35" s="18" t="s">
        <v>28</v>
      </c>
      <c r="AB35" s="289">
        <f t="shared" si="12"/>
        <v>91.220985029907382</v>
      </c>
      <c r="AC35" s="96">
        <f t="shared" si="4"/>
        <v>100</v>
      </c>
      <c r="AD35" s="49" t="s">
        <v>28</v>
      </c>
      <c r="AE35" s="247">
        <f t="shared" si="7"/>
        <v>1714233936</v>
      </c>
      <c r="AF35" s="8"/>
      <c r="AG35" s="8"/>
      <c r="AH35" s="8"/>
      <c r="AI35" s="8"/>
      <c r="AJ35" s="159" t="s">
        <v>414</v>
      </c>
      <c r="AM35" s="134">
        <f t="shared" si="0"/>
        <v>880027150</v>
      </c>
    </row>
    <row r="36" spans="1:39" ht="137.44999999999999" customHeight="1" x14ac:dyDescent="0.2">
      <c r="A36" s="17"/>
      <c r="B36" s="65"/>
      <c r="C36" s="14" t="s">
        <v>430</v>
      </c>
      <c r="D36" s="14" t="s">
        <v>431</v>
      </c>
      <c r="E36" s="81">
        <v>26</v>
      </c>
      <c r="F36" s="49" t="s">
        <v>28</v>
      </c>
      <c r="G36" s="12"/>
      <c r="H36" s="81">
        <v>92.1</v>
      </c>
      <c r="I36" s="49" t="s">
        <v>28</v>
      </c>
      <c r="J36" s="30" t="s">
        <v>456</v>
      </c>
      <c r="K36" s="81">
        <v>39.47</v>
      </c>
      <c r="L36" s="49" t="s">
        <v>28</v>
      </c>
      <c r="M36" s="30">
        <v>142716000</v>
      </c>
      <c r="N36" s="81">
        <v>52.63</v>
      </c>
      <c r="O36" s="49" t="s">
        <v>28</v>
      </c>
      <c r="P36" s="30">
        <v>126264400</v>
      </c>
      <c r="Q36" s="81">
        <v>39.47</v>
      </c>
      <c r="R36" s="49" t="s">
        <v>28</v>
      </c>
      <c r="S36" s="50">
        <v>141903500</v>
      </c>
      <c r="T36" s="81">
        <f>20/38*100</f>
        <v>52.631578947368418</v>
      </c>
      <c r="U36" s="49" t="s">
        <v>28</v>
      </c>
      <c r="V36" s="50">
        <v>122514400</v>
      </c>
      <c r="W36" s="58">
        <f t="shared" si="8"/>
        <v>100</v>
      </c>
      <c r="X36" s="18" t="s">
        <v>28</v>
      </c>
      <c r="Y36" s="289">
        <f>S36/M36*100</f>
        <v>99.430687519269028</v>
      </c>
      <c r="Z36" s="58">
        <f t="shared" si="10"/>
        <v>100.00300009000269</v>
      </c>
      <c r="AA36" s="18" t="s">
        <v>28</v>
      </c>
      <c r="AB36" s="289">
        <f>V36/P36*100</f>
        <v>97.030041721973888</v>
      </c>
      <c r="AC36" s="78">
        <f t="shared" si="4"/>
        <v>52.631578947368418</v>
      </c>
      <c r="AD36" s="49" t="s">
        <v>28</v>
      </c>
      <c r="AE36" s="247">
        <f t="shared" si="7"/>
        <v>264417900</v>
      </c>
      <c r="AF36" s="8"/>
      <c r="AG36" s="8"/>
      <c r="AH36" s="8"/>
      <c r="AI36" s="8"/>
      <c r="AJ36" s="153" t="s">
        <v>296</v>
      </c>
      <c r="AM36" s="134">
        <f t="shared" si="0"/>
        <v>141903500</v>
      </c>
    </row>
    <row r="37" spans="1:39" ht="137.44999999999999" customHeight="1" x14ac:dyDescent="0.2">
      <c r="A37" s="17"/>
      <c r="B37" s="65"/>
      <c r="C37" s="14" t="s">
        <v>432</v>
      </c>
      <c r="D37" s="14" t="s">
        <v>433</v>
      </c>
      <c r="E37" s="162">
        <v>100</v>
      </c>
      <c r="F37" s="213" t="s">
        <v>28</v>
      </c>
      <c r="G37" s="12"/>
      <c r="H37" s="162">
        <v>100</v>
      </c>
      <c r="I37" s="213" t="s">
        <v>28</v>
      </c>
      <c r="J37" s="30">
        <v>284250963445</v>
      </c>
      <c r="K37" s="162">
        <v>100</v>
      </c>
      <c r="L37" s="227" t="s">
        <v>28</v>
      </c>
      <c r="M37" s="30">
        <v>62101609689</v>
      </c>
      <c r="N37" s="162">
        <v>100</v>
      </c>
      <c r="O37" s="213" t="s">
        <v>28</v>
      </c>
      <c r="P37" s="30">
        <v>0</v>
      </c>
      <c r="Q37" s="81">
        <v>100</v>
      </c>
      <c r="R37" s="213" t="s">
        <v>28</v>
      </c>
      <c r="S37" s="50">
        <v>57720693748</v>
      </c>
      <c r="T37" s="162">
        <v>100</v>
      </c>
      <c r="U37" s="213" t="s">
        <v>28</v>
      </c>
      <c r="V37" s="50">
        <v>0</v>
      </c>
      <c r="W37" s="58">
        <f t="shared" si="8"/>
        <v>100</v>
      </c>
      <c r="X37" s="18" t="s">
        <v>28</v>
      </c>
      <c r="Y37" s="289">
        <f t="shared" si="9"/>
        <v>92.945567815489355</v>
      </c>
      <c r="Z37" s="93">
        <f>T37/N37*100</f>
        <v>100</v>
      </c>
      <c r="AA37" s="18" t="s">
        <v>28</v>
      </c>
      <c r="AB37" s="289" t="e">
        <f>V37/P37*100</f>
        <v>#DIV/0!</v>
      </c>
      <c r="AC37" s="96">
        <f t="shared" si="4"/>
        <v>100</v>
      </c>
      <c r="AD37" s="49" t="s">
        <v>28</v>
      </c>
      <c r="AE37" s="247">
        <f t="shared" si="7"/>
        <v>57720693748</v>
      </c>
      <c r="AF37" s="8"/>
      <c r="AG37" s="8"/>
      <c r="AH37" s="8"/>
      <c r="AI37" s="8"/>
      <c r="AJ37" s="212" t="s">
        <v>571</v>
      </c>
      <c r="AM37" s="134">
        <f t="shared" si="0"/>
        <v>57720693748</v>
      </c>
    </row>
    <row r="38" spans="1:39" ht="137.44999999999999" customHeight="1" x14ac:dyDescent="0.2">
      <c r="A38" s="17"/>
      <c r="B38" s="65"/>
      <c r="C38" s="14" t="s">
        <v>434</v>
      </c>
      <c r="D38" s="14" t="s">
        <v>433</v>
      </c>
      <c r="E38" s="162">
        <v>100</v>
      </c>
      <c r="F38" s="213" t="s">
        <v>28</v>
      </c>
      <c r="G38" s="12"/>
      <c r="H38" s="162">
        <v>100</v>
      </c>
      <c r="I38" s="213" t="s">
        <v>28</v>
      </c>
      <c r="J38" s="30">
        <v>108755971805</v>
      </c>
      <c r="K38" s="162">
        <v>100</v>
      </c>
      <c r="L38" s="227" t="s">
        <v>28</v>
      </c>
      <c r="M38" s="30">
        <v>0</v>
      </c>
      <c r="N38" s="162">
        <v>100</v>
      </c>
      <c r="O38" s="213" t="s">
        <v>28</v>
      </c>
      <c r="P38" s="30">
        <v>0</v>
      </c>
      <c r="Q38" s="81">
        <v>100</v>
      </c>
      <c r="R38" s="213" t="s">
        <v>28</v>
      </c>
      <c r="S38" s="50">
        <v>28243411401</v>
      </c>
      <c r="T38" s="162">
        <v>100</v>
      </c>
      <c r="U38" s="213" t="s">
        <v>28</v>
      </c>
      <c r="V38" s="50">
        <v>0</v>
      </c>
      <c r="W38" s="58">
        <f t="shared" si="8"/>
        <v>100</v>
      </c>
      <c r="X38" s="18" t="s">
        <v>28</v>
      </c>
      <c r="Y38" s="289" t="e">
        <f>S38/M38*100</f>
        <v>#DIV/0!</v>
      </c>
      <c r="Z38" s="93">
        <f t="shared" si="10"/>
        <v>100</v>
      </c>
      <c r="AA38" s="18" t="s">
        <v>28</v>
      </c>
      <c r="AB38" s="289" t="e">
        <f>V38/P38*100</f>
        <v>#DIV/0!</v>
      </c>
      <c r="AC38" s="96">
        <f t="shared" si="4"/>
        <v>100</v>
      </c>
      <c r="AD38" s="49" t="s">
        <v>28</v>
      </c>
      <c r="AE38" s="247">
        <f t="shared" si="7"/>
        <v>28243411401</v>
      </c>
      <c r="AF38" s="8"/>
      <c r="AG38" s="8"/>
      <c r="AH38" s="8"/>
      <c r="AI38" s="8"/>
      <c r="AJ38" s="213"/>
      <c r="AM38" s="134">
        <f t="shared" si="0"/>
        <v>28243411401</v>
      </c>
    </row>
    <row r="39" spans="1:39" ht="137.44999999999999" customHeight="1" x14ac:dyDescent="0.2">
      <c r="A39" s="17"/>
      <c r="B39" s="65"/>
      <c r="C39" s="14" t="s">
        <v>457</v>
      </c>
      <c r="D39" s="14" t="s">
        <v>435</v>
      </c>
      <c r="E39" s="81">
        <v>61.11</v>
      </c>
      <c r="F39" s="49" t="s">
        <v>28</v>
      </c>
      <c r="G39" s="12"/>
      <c r="H39" s="162">
        <v>100</v>
      </c>
      <c r="I39" s="49" t="s">
        <v>28</v>
      </c>
      <c r="J39" s="30">
        <v>1374140625</v>
      </c>
      <c r="K39" s="162">
        <v>100</v>
      </c>
      <c r="L39" s="49" t="s">
        <v>28</v>
      </c>
      <c r="M39" s="30">
        <v>220828125</v>
      </c>
      <c r="N39" s="162">
        <v>100</v>
      </c>
      <c r="O39" s="49" t="s">
        <v>28</v>
      </c>
      <c r="P39" s="30">
        <v>69191800</v>
      </c>
      <c r="Q39" s="81">
        <v>75</v>
      </c>
      <c r="R39" s="49" t="s">
        <v>28</v>
      </c>
      <c r="S39" s="50">
        <v>182018234</v>
      </c>
      <c r="T39" s="162">
        <f>27/36*100</f>
        <v>75</v>
      </c>
      <c r="U39" s="49" t="s">
        <v>28</v>
      </c>
      <c r="V39" s="50">
        <v>68511100</v>
      </c>
      <c r="W39" s="58">
        <f t="shared" si="8"/>
        <v>75</v>
      </c>
      <c r="X39" s="18" t="s">
        <v>28</v>
      </c>
      <c r="Y39" s="289">
        <f>S39/M39*100</f>
        <v>82.425295238095245</v>
      </c>
      <c r="Z39" s="93">
        <f>T39/N39*100</f>
        <v>75</v>
      </c>
      <c r="AA39" s="18" t="s">
        <v>28</v>
      </c>
      <c r="AB39" s="289">
        <f>V39/P39*100</f>
        <v>99.016212903841208</v>
      </c>
      <c r="AC39" s="96">
        <f t="shared" si="4"/>
        <v>75</v>
      </c>
      <c r="AD39" s="49" t="s">
        <v>28</v>
      </c>
      <c r="AE39" s="247">
        <f t="shared" si="7"/>
        <v>250529334</v>
      </c>
      <c r="AF39" s="8"/>
      <c r="AG39" s="8"/>
      <c r="AH39" s="8"/>
      <c r="AI39" s="8"/>
      <c r="AJ39" s="159" t="s">
        <v>414</v>
      </c>
      <c r="AM39" s="134">
        <f t="shared" si="0"/>
        <v>182018234</v>
      </c>
    </row>
    <row r="40" spans="1:39" ht="137.44999999999999" customHeight="1" x14ac:dyDescent="0.2">
      <c r="A40" s="17"/>
      <c r="B40" s="65"/>
      <c r="C40" s="14" t="s">
        <v>436</v>
      </c>
      <c r="D40" s="14" t="s">
        <v>437</v>
      </c>
      <c r="E40" s="162">
        <v>100</v>
      </c>
      <c r="F40" s="154" t="s">
        <v>28</v>
      </c>
      <c r="G40" s="12"/>
      <c r="H40" s="162">
        <v>100</v>
      </c>
      <c r="I40" s="154" t="s">
        <v>28</v>
      </c>
      <c r="J40" s="30">
        <v>2279425000</v>
      </c>
      <c r="K40" s="162">
        <v>100</v>
      </c>
      <c r="L40" s="227" t="s">
        <v>28</v>
      </c>
      <c r="M40" s="30">
        <v>485335000</v>
      </c>
      <c r="N40" s="162">
        <v>100</v>
      </c>
      <c r="O40" s="154" t="s">
        <v>28</v>
      </c>
      <c r="P40" s="30">
        <v>535672500</v>
      </c>
      <c r="Q40" s="81">
        <v>100</v>
      </c>
      <c r="R40" s="154" t="s">
        <v>28</v>
      </c>
      <c r="S40" s="50">
        <v>288419600</v>
      </c>
      <c r="T40" s="162">
        <v>100</v>
      </c>
      <c r="U40" s="154" t="s">
        <v>28</v>
      </c>
      <c r="V40" s="50">
        <v>354230200</v>
      </c>
      <c r="W40" s="58">
        <f t="shared" si="8"/>
        <v>100</v>
      </c>
      <c r="X40" s="18" t="s">
        <v>28</v>
      </c>
      <c r="Y40" s="289">
        <f t="shared" si="9"/>
        <v>59.426911308683692</v>
      </c>
      <c r="Z40" s="58">
        <f t="shared" si="10"/>
        <v>100</v>
      </c>
      <c r="AA40" s="18" t="s">
        <v>28</v>
      </c>
      <c r="AB40" s="289">
        <f t="shared" ref="AB40:AB41" si="13">V40/P40*100</f>
        <v>66.128128660702203</v>
      </c>
      <c r="AC40" s="96">
        <f t="shared" si="4"/>
        <v>100</v>
      </c>
      <c r="AD40" s="49" t="s">
        <v>28</v>
      </c>
      <c r="AE40" s="247">
        <f t="shared" si="7"/>
        <v>642649800</v>
      </c>
      <c r="AF40" s="8"/>
      <c r="AG40" s="8"/>
      <c r="AH40" s="8"/>
      <c r="AI40" s="8"/>
      <c r="AJ40" s="153" t="s">
        <v>458</v>
      </c>
      <c r="AM40" s="134">
        <f t="shared" si="0"/>
        <v>288419600</v>
      </c>
    </row>
    <row r="41" spans="1:39" ht="137.44999999999999" customHeight="1" x14ac:dyDescent="0.2">
      <c r="A41" s="17"/>
      <c r="B41" s="65"/>
      <c r="C41" s="14" t="s">
        <v>438</v>
      </c>
      <c r="D41" s="14" t="s">
        <v>439</v>
      </c>
      <c r="E41" s="162">
        <v>100</v>
      </c>
      <c r="F41" s="154" t="s">
        <v>28</v>
      </c>
      <c r="G41" s="12"/>
      <c r="H41" s="162">
        <v>100</v>
      </c>
      <c r="I41" s="154" t="s">
        <v>28</v>
      </c>
      <c r="J41" s="30">
        <v>96207800000</v>
      </c>
      <c r="K41" s="162">
        <v>100</v>
      </c>
      <c r="L41" s="227" t="s">
        <v>28</v>
      </c>
      <c r="M41" s="30">
        <v>25558160000</v>
      </c>
      <c r="N41" s="162">
        <v>100</v>
      </c>
      <c r="O41" s="154" t="s">
        <v>28</v>
      </c>
      <c r="P41" s="30">
        <v>19650780000</v>
      </c>
      <c r="Q41" s="81">
        <v>100</v>
      </c>
      <c r="R41" s="154" t="s">
        <v>28</v>
      </c>
      <c r="S41" s="50">
        <v>19798165852</v>
      </c>
      <c r="T41" s="162">
        <v>100</v>
      </c>
      <c r="U41" s="154" t="s">
        <v>28</v>
      </c>
      <c r="V41" s="50">
        <v>18437969321</v>
      </c>
      <c r="W41" s="58">
        <f t="shared" si="8"/>
        <v>100</v>
      </c>
      <c r="X41" s="18" t="s">
        <v>28</v>
      </c>
      <c r="Y41" s="289">
        <f t="shared" si="9"/>
        <v>77.4631892593207</v>
      </c>
      <c r="Z41" s="58">
        <f t="shared" si="10"/>
        <v>100</v>
      </c>
      <c r="AA41" s="18" t="s">
        <v>28</v>
      </c>
      <c r="AB41" s="289">
        <f t="shared" si="13"/>
        <v>93.82818046408336</v>
      </c>
      <c r="AC41" s="96">
        <f t="shared" si="4"/>
        <v>100</v>
      </c>
      <c r="AD41" s="49" t="s">
        <v>28</v>
      </c>
      <c r="AE41" s="247">
        <f t="shared" si="7"/>
        <v>38236135173</v>
      </c>
      <c r="AF41" s="8"/>
      <c r="AG41" s="8"/>
      <c r="AH41" s="8"/>
      <c r="AI41" s="8"/>
      <c r="AJ41" s="151"/>
      <c r="AM41" s="134">
        <f t="shared" si="0"/>
        <v>19798165852</v>
      </c>
    </row>
    <row r="42" spans="1:39" ht="137.44999999999999" customHeight="1" x14ac:dyDescent="0.2">
      <c r="A42" s="17"/>
      <c r="B42" s="65"/>
      <c r="C42" s="14" t="s">
        <v>440</v>
      </c>
      <c r="D42" s="14" t="s">
        <v>441</v>
      </c>
      <c r="E42" s="162">
        <v>100</v>
      </c>
      <c r="F42" s="154" t="s">
        <v>28</v>
      </c>
      <c r="G42" s="12"/>
      <c r="H42" s="162">
        <v>100</v>
      </c>
      <c r="I42" s="154" t="s">
        <v>28</v>
      </c>
      <c r="J42" s="30">
        <v>1580500000</v>
      </c>
      <c r="K42" s="162">
        <v>100</v>
      </c>
      <c r="L42" s="227" t="s">
        <v>28</v>
      </c>
      <c r="M42" s="30">
        <v>316100000</v>
      </c>
      <c r="N42" s="162">
        <v>100</v>
      </c>
      <c r="O42" s="154" t="s">
        <v>28</v>
      </c>
      <c r="P42" s="30">
        <v>371600000</v>
      </c>
      <c r="Q42" s="81">
        <v>100</v>
      </c>
      <c r="R42" s="154" t="s">
        <v>28</v>
      </c>
      <c r="S42" s="50">
        <v>287451600</v>
      </c>
      <c r="T42" s="162">
        <v>100</v>
      </c>
      <c r="U42" s="154" t="s">
        <v>28</v>
      </c>
      <c r="V42" s="50">
        <v>244203000</v>
      </c>
      <c r="W42" s="58">
        <f t="shared" si="8"/>
        <v>100</v>
      </c>
      <c r="X42" s="18" t="s">
        <v>28</v>
      </c>
      <c r="Y42" s="289">
        <f>S42/M42*100</f>
        <v>90.936918696614995</v>
      </c>
      <c r="Z42" s="58">
        <f t="shared" si="10"/>
        <v>100</v>
      </c>
      <c r="AA42" s="18" t="s">
        <v>28</v>
      </c>
      <c r="AB42" s="289">
        <f>V42/P42*100</f>
        <v>65.716630785791182</v>
      </c>
      <c r="AC42" s="96">
        <f t="shared" si="4"/>
        <v>100</v>
      </c>
      <c r="AD42" s="49" t="s">
        <v>28</v>
      </c>
      <c r="AE42" s="247">
        <f t="shared" si="7"/>
        <v>531654600</v>
      </c>
      <c r="AF42" s="8"/>
      <c r="AG42" s="8"/>
      <c r="AH42" s="8"/>
      <c r="AI42" s="8"/>
      <c r="AJ42" s="154"/>
      <c r="AM42" s="134">
        <f t="shared" si="0"/>
        <v>287451600</v>
      </c>
    </row>
    <row r="43" spans="1:39" ht="115.5" customHeight="1" x14ac:dyDescent="0.2">
      <c r="A43" s="17"/>
      <c r="B43" s="65"/>
      <c r="C43" s="101" t="s">
        <v>442</v>
      </c>
      <c r="D43" s="14" t="s">
        <v>443</v>
      </c>
      <c r="E43" s="162">
        <v>100</v>
      </c>
      <c r="F43" s="154" t="s">
        <v>28</v>
      </c>
      <c r="G43" s="245"/>
      <c r="H43" s="162">
        <v>100</v>
      </c>
      <c r="I43" s="154" t="s">
        <v>28</v>
      </c>
      <c r="J43" s="248">
        <v>3455224800</v>
      </c>
      <c r="K43" s="162">
        <v>100</v>
      </c>
      <c r="L43" s="227" t="s">
        <v>28</v>
      </c>
      <c r="M43" s="248">
        <v>691044380</v>
      </c>
      <c r="N43" s="162">
        <v>100</v>
      </c>
      <c r="O43" s="154" t="s">
        <v>28</v>
      </c>
      <c r="P43" s="248">
        <v>431539000</v>
      </c>
      <c r="Q43" s="81">
        <f>13/10*100</f>
        <v>130</v>
      </c>
      <c r="R43" s="154" t="s">
        <v>28</v>
      </c>
      <c r="S43" s="233">
        <v>500126470</v>
      </c>
      <c r="T43" s="162">
        <f>6/10*100</f>
        <v>60</v>
      </c>
      <c r="U43" s="154" t="s">
        <v>28</v>
      </c>
      <c r="V43" s="233">
        <v>269660000</v>
      </c>
      <c r="W43" s="58">
        <f t="shared" si="8"/>
        <v>130</v>
      </c>
      <c r="X43" s="18" t="s">
        <v>28</v>
      </c>
      <c r="Y43" s="291">
        <f>S43/M43*100</f>
        <v>72.372554422626223</v>
      </c>
      <c r="Z43" s="58">
        <f t="shared" si="10"/>
        <v>60</v>
      </c>
      <c r="AA43" s="18" t="s">
        <v>28</v>
      </c>
      <c r="AB43" s="291">
        <f>V43/P43*100</f>
        <v>62.48797907025785</v>
      </c>
      <c r="AC43" s="96">
        <f t="shared" si="4"/>
        <v>60</v>
      </c>
      <c r="AD43" s="49" t="s">
        <v>28</v>
      </c>
      <c r="AE43" s="247">
        <f t="shared" si="7"/>
        <v>769786470</v>
      </c>
      <c r="AF43" s="8"/>
      <c r="AG43" s="8"/>
      <c r="AH43" s="8"/>
      <c r="AI43" s="8"/>
      <c r="AJ43" s="153" t="s">
        <v>459</v>
      </c>
      <c r="AM43" s="134">
        <f t="shared" si="0"/>
        <v>500126470</v>
      </c>
    </row>
    <row r="44" spans="1:39" ht="78" customHeight="1" x14ac:dyDescent="0.2">
      <c r="A44" s="17"/>
      <c r="B44" s="65"/>
      <c r="C44" s="20"/>
      <c r="D44" s="14" t="s">
        <v>444</v>
      </c>
      <c r="E44" s="162">
        <v>100</v>
      </c>
      <c r="F44" s="154" t="s">
        <v>28</v>
      </c>
      <c r="G44" s="29"/>
      <c r="H44" s="162">
        <v>100</v>
      </c>
      <c r="I44" s="154" t="s">
        <v>28</v>
      </c>
      <c r="J44" s="31"/>
      <c r="K44" s="162">
        <v>100</v>
      </c>
      <c r="L44" s="227" t="s">
        <v>28</v>
      </c>
      <c r="M44" s="31"/>
      <c r="N44" s="162">
        <v>100</v>
      </c>
      <c r="O44" s="154" t="s">
        <v>28</v>
      </c>
      <c r="P44" s="31"/>
      <c r="Q44" s="81">
        <v>100</v>
      </c>
      <c r="R44" s="154" t="s">
        <v>28</v>
      </c>
      <c r="S44" s="86"/>
      <c r="T44" s="162">
        <v>100</v>
      </c>
      <c r="U44" s="154" t="s">
        <v>28</v>
      </c>
      <c r="V44" s="50"/>
      <c r="W44" s="58">
        <f t="shared" si="8"/>
        <v>100</v>
      </c>
      <c r="X44" s="18" t="s">
        <v>28</v>
      </c>
      <c r="Y44" s="292"/>
      <c r="Z44" s="58">
        <f t="shared" si="10"/>
        <v>100</v>
      </c>
      <c r="AA44" s="18" t="s">
        <v>28</v>
      </c>
      <c r="AB44" s="292"/>
      <c r="AC44" s="96">
        <f t="shared" si="4"/>
        <v>100</v>
      </c>
      <c r="AD44" s="49" t="s">
        <v>28</v>
      </c>
      <c r="AE44" s="5"/>
      <c r="AF44" s="8"/>
      <c r="AG44" s="8"/>
      <c r="AH44" s="8"/>
      <c r="AI44" s="8"/>
      <c r="AJ44" s="154"/>
      <c r="AM44" s="134">
        <f t="shared" si="0"/>
        <v>0</v>
      </c>
    </row>
    <row r="45" spans="1:39" s="161" customFormat="1" ht="102" customHeight="1" x14ac:dyDescent="0.2">
      <c r="A45" s="17"/>
      <c r="B45" s="65"/>
      <c r="C45" s="14" t="s">
        <v>445</v>
      </c>
      <c r="D45" s="14" t="s">
        <v>446</v>
      </c>
      <c r="E45" s="162">
        <v>100</v>
      </c>
      <c r="F45" s="183" t="s">
        <v>28</v>
      </c>
      <c r="G45" s="12"/>
      <c r="H45" s="162">
        <v>100</v>
      </c>
      <c r="I45" s="183" t="s">
        <v>28</v>
      </c>
      <c r="J45" s="30" t="s">
        <v>461</v>
      </c>
      <c r="K45" s="162">
        <v>100</v>
      </c>
      <c r="L45" s="227" t="s">
        <v>28</v>
      </c>
      <c r="M45" s="30">
        <v>1001250000</v>
      </c>
      <c r="N45" s="162">
        <v>100</v>
      </c>
      <c r="O45" s="183" t="s">
        <v>28</v>
      </c>
      <c r="P45" s="30">
        <v>765000000</v>
      </c>
      <c r="Q45" s="81">
        <v>100</v>
      </c>
      <c r="R45" s="183" t="s">
        <v>28</v>
      </c>
      <c r="S45" s="50">
        <v>797488500</v>
      </c>
      <c r="T45" s="81">
        <v>100</v>
      </c>
      <c r="U45" s="183" t="s">
        <v>28</v>
      </c>
      <c r="V45" s="50">
        <v>646648300</v>
      </c>
      <c r="W45" s="58">
        <f t="shared" si="8"/>
        <v>100</v>
      </c>
      <c r="X45" s="18" t="s">
        <v>28</v>
      </c>
      <c r="Y45" s="289">
        <f>S45/M45*100</f>
        <v>79.649288389513103</v>
      </c>
      <c r="Z45" s="58">
        <f>T45/N45*100</f>
        <v>100</v>
      </c>
      <c r="AA45" s="18" t="s">
        <v>28</v>
      </c>
      <c r="AB45" s="289">
        <f>V45/P45*100</f>
        <v>84.529189542483664</v>
      </c>
      <c r="AC45" s="96">
        <f t="shared" si="4"/>
        <v>100</v>
      </c>
      <c r="AD45" s="49" t="s">
        <v>28</v>
      </c>
      <c r="AE45" s="247">
        <f>S45+V45</f>
        <v>1444136800</v>
      </c>
      <c r="AF45" s="8"/>
      <c r="AG45" s="8"/>
      <c r="AH45" s="8"/>
      <c r="AI45" s="8"/>
      <c r="AJ45" s="182" t="s">
        <v>535</v>
      </c>
      <c r="AM45" s="134">
        <f t="shared" si="0"/>
        <v>797488500</v>
      </c>
    </row>
    <row r="46" spans="1:39" ht="137.44999999999999" customHeight="1" x14ac:dyDescent="0.2">
      <c r="A46" s="17"/>
      <c r="B46" s="65"/>
      <c r="C46" s="14" t="s">
        <v>447</v>
      </c>
      <c r="D46" s="14" t="s">
        <v>446</v>
      </c>
      <c r="E46" s="162">
        <v>100</v>
      </c>
      <c r="F46" s="154" t="s">
        <v>28</v>
      </c>
      <c r="G46" s="12"/>
      <c r="H46" s="162">
        <v>100</v>
      </c>
      <c r="I46" s="154" t="s">
        <v>28</v>
      </c>
      <c r="J46" s="30" t="s">
        <v>462</v>
      </c>
      <c r="K46" s="162">
        <v>100</v>
      </c>
      <c r="L46" s="227" t="s">
        <v>28</v>
      </c>
      <c r="M46" s="30">
        <v>2349742500</v>
      </c>
      <c r="N46" s="162">
        <v>100</v>
      </c>
      <c r="O46" s="154" t="s">
        <v>28</v>
      </c>
      <c r="P46" s="30">
        <v>2175155000</v>
      </c>
      <c r="Q46" s="81">
        <v>100</v>
      </c>
      <c r="R46" s="154" t="s">
        <v>28</v>
      </c>
      <c r="S46" s="50">
        <v>1766723887</v>
      </c>
      <c r="T46" s="81">
        <v>169.33</v>
      </c>
      <c r="U46" s="154" t="s">
        <v>28</v>
      </c>
      <c r="V46" s="50">
        <v>1560974445</v>
      </c>
      <c r="W46" s="58">
        <f t="shared" si="8"/>
        <v>100</v>
      </c>
      <c r="X46" s="18" t="s">
        <v>28</v>
      </c>
      <c r="Y46" s="289">
        <f>S46/M46*100</f>
        <v>75.18797855509699</v>
      </c>
      <c r="Z46" s="58">
        <f t="shared" si="10"/>
        <v>169.33</v>
      </c>
      <c r="AA46" s="18" t="s">
        <v>28</v>
      </c>
      <c r="AB46" s="289">
        <f>V46/P46*100</f>
        <v>71.76382579632255</v>
      </c>
      <c r="AC46" s="96">
        <f t="shared" si="4"/>
        <v>169.33</v>
      </c>
      <c r="AD46" s="49" t="s">
        <v>28</v>
      </c>
      <c r="AE46" s="247">
        <f>S46+V46</f>
        <v>3327698332</v>
      </c>
      <c r="AF46" s="8"/>
      <c r="AG46" s="8"/>
      <c r="AH46" s="8"/>
      <c r="AI46" s="8"/>
      <c r="AJ46" s="32" t="s">
        <v>460</v>
      </c>
      <c r="AM46" s="134">
        <f t="shared" si="0"/>
        <v>1766723887</v>
      </c>
    </row>
    <row r="47" spans="1:39" ht="137.44999999999999" customHeight="1" x14ac:dyDescent="0.2">
      <c r="A47" s="17"/>
      <c r="B47" s="65"/>
      <c r="C47" s="101" t="s">
        <v>448</v>
      </c>
      <c r="D47" s="14" t="s">
        <v>449</v>
      </c>
      <c r="E47" s="162">
        <v>100</v>
      </c>
      <c r="F47" s="154" t="s">
        <v>28</v>
      </c>
      <c r="G47" s="245"/>
      <c r="H47" s="162">
        <v>100</v>
      </c>
      <c r="I47" s="154" t="s">
        <v>28</v>
      </c>
      <c r="J47" s="248">
        <v>7492968000</v>
      </c>
      <c r="K47" s="162">
        <v>100</v>
      </c>
      <c r="L47" s="227" t="s">
        <v>28</v>
      </c>
      <c r="M47" s="248">
        <v>1159204000</v>
      </c>
      <c r="N47" s="162">
        <v>100</v>
      </c>
      <c r="O47" s="154" t="s">
        <v>28</v>
      </c>
      <c r="P47" s="248">
        <v>771169000</v>
      </c>
      <c r="Q47" s="81">
        <v>100</v>
      </c>
      <c r="R47" s="154" t="s">
        <v>28</v>
      </c>
      <c r="S47" s="233">
        <v>1039814519</v>
      </c>
      <c r="T47" s="162">
        <v>100</v>
      </c>
      <c r="U47" s="154" t="s">
        <v>28</v>
      </c>
      <c r="V47" s="233">
        <v>678571148</v>
      </c>
      <c r="W47" s="58">
        <f t="shared" si="8"/>
        <v>100</v>
      </c>
      <c r="X47" s="18" t="s">
        <v>28</v>
      </c>
      <c r="Y47" s="291">
        <f>S47/M47*100</f>
        <v>89.700735936038868</v>
      </c>
      <c r="Z47" s="58">
        <f t="shared" si="10"/>
        <v>100</v>
      </c>
      <c r="AA47" s="18" t="s">
        <v>28</v>
      </c>
      <c r="AB47" s="291">
        <f>V47/P47*100</f>
        <v>87.992534450943964</v>
      </c>
      <c r="AC47" s="96">
        <f t="shared" si="4"/>
        <v>100</v>
      </c>
      <c r="AD47" s="49" t="s">
        <v>28</v>
      </c>
      <c r="AE47" s="247">
        <f>S47+V47</f>
        <v>1718385667</v>
      </c>
      <c r="AF47" s="8"/>
      <c r="AG47" s="8"/>
      <c r="AH47" s="8"/>
      <c r="AI47" s="8"/>
      <c r="AJ47" s="153" t="s">
        <v>463</v>
      </c>
      <c r="AM47" s="134">
        <f t="shared" si="0"/>
        <v>1039814519</v>
      </c>
    </row>
    <row r="48" spans="1:39" ht="137.44999999999999" customHeight="1" x14ac:dyDescent="0.2">
      <c r="A48" s="17"/>
      <c r="B48" s="65"/>
      <c r="C48" s="20"/>
      <c r="D48" s="14" t="s">
        <v>450</v>
      </c>
      <c r="E48" s="81">
        <v>58.82</v>
      </c>
      <c r="F48" s="154" t="s">
        <v>28</v>
      </c>
      <c r="G48" s="29"/>
      <c r="H48" s="162">
        <v>100</v>
      </c>
      <c r="I48" s="154" t="s">
        <v>28</v>
      </c>
      <c r="J48" s="31"/>
      <c r="K48" s="81">
        <v>70.59</v>
      </c>
      <c r="L48" s="227" t="s">
        <v>28</v>
      </c>
      <c r="M48" s="31"/>
      <c r="N48" s="81">
        <v>88.24</v>
      </c>
      <c r="O48" s="154" t="s">
        <v>28</v>
      </c>
      <c r="P48" s="31"/>
      <c r="Q48" s="81">
        <v>70.59</v>
      </c>
      <c r="R48" s="154" t="s">
        <v>28</v>
      </c>
      <c r="S48" s="50"/>
      <c r="T48" s="81">
        <v>70.59</v>
      </c>
      <c r="U48" s="154" t="s">
        <v>28</v>
      </c>
      <c r="V48" s="50"/>
      <c r="W48" s="58">
        <f t="shared" si="8"/>
        <v>100</v>
      </c>
      <c r="X48" s="18" t="s">
        <v>28</v>
      </c>
      <c r="Y48" s="292"/>
      <c r="Z48" s="58">
        <f t="shared" si="10"/>
        <v>79.997733454215776</v>
      </c>
      <c r="AA48" s="18" t="s">
        <v>28</v>
      </c>
      <c r="AB48" s="292"/>
      <c r="AC48" s="96">
        <f t="shared" si="4"/>
        <v>70.59</v>
      </c>
      <c r="AD48" s="49" t="s">
        <v>28</v>
      </c>
      <c r="AE48" s="5"/>
      <c r="AF48" s="8"/>
      <c r="AG48" s="8"/>
      <c r="AH48" s="8"/>
      <c r="AI48" s="8"/>
      <c r="AJ48" s="154"/>
      <c r="AM48" s="134">
        <f t="shared" si="0"/>
        <v>0</v>
      </c>
    </row>
    <row r="49" spans="1:39" ht="137.44999999999999" customHeight="1" x14ac:dyDescent="0.2">
      <c r="A49" s="17"/>
      <c r="B49" s="65"/>
      <c r="C49" s="14" t="s">
        <v>451</v>
      </c>
      <c r="D49" s="14" t="s">
        <v>452</v>
      </c>
      <c r="E49" s="162">
        <v>50</v>
      </c>
      <c r="F49" s="154" t="s">
        <v>28</v>
      </c>
      <c r="G49" s="12"/>
      <c r="H49" s="162">
        <v>100</v>
      </c>
      <c r="I49" s="154" t="s">
        <v>28</v>
      </c>
      <c r="J49" s="30" t="s">
        <v>465</v>
      </c>
      <c r="K49" s="162">
        <v>75</v>
      </c>
      <c r="L49" s="227" t="s">
        <v>28</v>
      </c>
      <c r="M49" s="30">
        <v>113625000</v>
      </c>
      <c r="N49" s="162">
        <v>100</v>
      </c>
      <c r="O49" s="154" t="s">
        <v>28</v>
      </c>
      <c r="P49" s="30">
        <v>87510000</v>
      </c>
      <c r="Q49" s="81">
        <v>100</v>
      </c>
      <c r="R49" s="154" t="s">
        <v>28</v>
      </c>
      <c r="S49" s="86">
        <v>30385000</v>
      </c>
      <c r="T49" s="162">
        <v>100</v>
      </c>
      <c r="U49" s="154" t="s">
        <v>28</v>
      </c>
      <c r="V49" s="50">
        <v>45972500</v>
      </c>
      <c r="W49" s="58">
        <f t="shared" si="8"/>
        <v>133.33333333333331</v>
      </c>
      <c r="X49" s="18" t="s">
        <v>28</v>
      </c>
      <c r="Y49" s="289">
        <f>S49/M49*100</f>
        <v>26.741474147414738</v>
      </c>
      <c r="Z49" s="58">
        <f t="shared" si="10"/>
        <v>100</v>
      </c>
      <c r="AA49" s="18" t="s">
        <v>28</v>
      </c>
      <c r="AB49" s="289">
        <f>V49/P49*100</f>
        <v>52.533996114729739</v>
      </c>
      <c r="AC49" s="96">
        <f t="shared" si="4"/>
        <v>100</v>
      </c>
      <c r="AD49" s="49" t="s">
        <v>28</v>
      </c>
      <c r="AE49" s="247">
        <f>S49+V49</f>
        <v>76357500</v>
      </c>
      <c r="AF49" s="8"/>
      <c r="AG49" s="8"/>
      <c r="AH49" s="8"/>
      <c r="AI49" s="8"/>
      <c r="AJ49" s="153" t="s">
        <v>464</v>
      </c>
      <c r="AM49" s="134">
        <f t="shared" si="0"/>
        <v>30385000</v>
      </c>
    </row>
    <row r="50" spans="1:39" ht="137.44999999999999" customHeight="1" x14ac:dyDescent="0.2">
      <c r="A50" s="17"/>
      <c r="B50" s="65"/>
      <c r="C50" s="265" t="s">
        <v>453</v>
      </c>
      <c r="D50" s="265" t="s">
        <v>454</v>
      </c>
      <c r="E50" s="162">
        <v>10</v>
      </c>
      <c r="F50" s="183" t="s">
        <v>28</v>
      </c>
      <c r="G50" s="12"/>
      <c r="H50" s="162">
        <v>100</v>
      </c>
      <c r="I50" s="183" t="s">
        <v>28</v>
      </c>
      <c r="J50" s="30">
        <v>62250000</v>
      </c>
      <c r="K50" s="162">
        <v>20</v>
      </c>
      <c r="L50" s="227" t="s">
        <v>28</v>
      </c>
      <c r="M50" s="30">
        <v>62250000</v>
      </c>
      <c r="N50" s="162"/>
      <c r="O50" s="183"/>
      <c r="P50" s="30"/>
      <c r="Q50" s="162">
        <v>20</v>
      </c>
      <c r="R50" s="183" t="s">
        <v>28</v>
      </c>
      <c r="S50" s="86">
        <v>9998400</v>
      </c>
      <c r="T50" s="162"/>
      <c r="U50" s="183"/>
      <c r="V50" s="50"/>
      <c r="W50" s="58">
        <f t="shared" si="8"/>
        <v>100</v>
      </c>
      <c r="X50" s="18" t="s">
        <v>28</v>
      </c>
      <c r="Y50" s="289">
        <f>S50/M50*100</f>
        <v>16.061686746987952</v>
      </c>
      <c r="Z50" s="58"/>
      <c r="AA50" s="18"/>
      <c r="AB50" s="289"/>
      <c r="AC50" s="96">
        <f t="shared" si="4"/>
        <v>0</v>
      </c>
      <c r="AD50" s="49" t="s">
        <v>28</v>
      </c>
      <c r="AE50" s="5"/>
      <c r="AF50" s="8"/>
      <c r="AG50" s="8"/>
      <c r="AH50" s="8"/>
      <c r="AI50" s="8"/>
      <c r="AJ50" s="182" t="s">
        <v>413</v>
      </c>
      <c r="AM50" s="134">
        <f t="shared" si="0"/>
        <v>9998400</v>
      </c>
    </row>
    <row r="51" spans="1:39" ht="15" x14ac:dyDescent="0.2">
      <c r="A51" s="446" t="s">
        <v>5</v>
      </c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121">
        <f>AVERAGE(W17:W50)</f>
        <v>97.418621036564446</v>
      </c>
      <c r="X51" s="122"/>
      <c r="Y51" s="121"/>
      <c r="Z51" s="121">
        <f>AVERAGE(Z17:Z50)</f>
        <v>65.491210468690184</v>
      </c>
      <c r="AA51" s="102"/>
      <c r="AB51" s="102"/>
      <c r="AC51" s="102"/>
      <c r="AD51" s="102"/>
      <c r="AE51" s="102"/>
      <c r="AF51" s="102"/>
      <c r="AG51" s="102"/>
      <c r="AH51" s="102"/>
      <c r="AI51" s="102"/>
      <c r="AJ51" s="126"/>
    </row>
    <row r="52" spans="1:39" ht="15" x14ac:dyDescent="0.2">
      <c r="A52" s="446" t="s">
        <v>6</v>
      </c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195" t="str">
        <f>IF(W51&gt;=91,"Sangat Tinggi",IF(W51&gt;=76,"Tinggi",IF(W51&gt;=66,"Sedang",IF(W51&gt;=51,"Rendah",IF(W51&lt;=50,"Sangat Rendah")))))</f>
        <v>Sangat Tinggi</v>
      </c>
      <c r="X52" s="122"/>
      <c r="Y52" s="102"/>
      <c r="Z52" s="195" t="str">
        <f>IF(Z51&gt;=91,"Sangat Tinggi",IF(Z51&gt;=76,"Tinggi",IF(Z51&gt;=66,"Sedang",IF(Z51&gt;=51,"Rendah",IF(Z51&lt;=50,"Sangat Rendah")))))</f>
        <v>Rendah</v>
      </c>
      <c r="AA52" s="102"/>
      <c r="AB52" s="102"/>
      <c r="AC52" s="102"/>
      <c r="AD52" s="102"/>
      <c r="AE52" s="102"/>
      <c r="AF52" s="102"/>
      <c r="AG52" s="102"/>
      <c r="AH52" s="102"/>
      <c r="AI52" s="102"/>
      <c r="AJ52" s="126"/>
    </row>
    <row r="53" spans="1:39" ht="15" x14ac:dyDescent="0.2">
      <c r="A53" s="429" t="s">
        <v>7</v>
      </c>
      <c r="B53" s="429"/>
      <c r="C53" s="429"/>
      <c r="D53" s="429"/>
      <c r="E53" s="429"/>
      <c r="F53" s="429"/>
      <c r="G53" s="429"/>
      <c r="H53" s="429"/>
      <c r="I53" s="429"/>
      <c r="J53" s="429"/>
      <c r="K53" s="429"/>
      <c r="L53" s="429"/>
      <c r="M53" s="429"/>
      <c r="N53" s="429"/>
      <c r="O53" s="429"/>
      <c r="P53" s="429"/>
      <c r="Q53" s="429"/>
      <c r="R53" s="429"/>
      <c r="S53" s="429"/>
      <c r="T53" s="429"/>
      <c r="U53" s="429"/>
      <c r="V53" s="429"/>
      <c r="W53" s="429"/>
      <c r="X53" s="429"/>
      <c r="Y53" s="429"/>
      <c r="Z53" s="429"/>
      <c r="AA53" s="429"/>
      <c r="AB53" s="429"/>
      <c r="AC53" s="429"/>
      <c r="AD53" s="429"/>
      <c r="AE53" s="429"/>
      <c r="AF53" s="429"/>
      <c r="AG53" s="429"/>
      <c r="AH53" s="429"/>
      <c r="AI53" s="429"/>
      <c r="AJ53" s="126"/>
    </row>
    <row r="54" spans="1:39" ht="15" x14ac:dyDescent="0.2">
      <c r="A54" s="429" t="s">
        <v>8</v>
      </c>
      <c r="B54" s="429"/>
      <c r="C54" s="429"/>
      <c r="D54" s="429"/>
      <c r="E54" s="429"/>
      <c r="F54" s="429"/>
      <c r="G54" s="429"/>
      <c r="H54" s="429"/>
      <c r="I54" s="429"/>
      <c r="J54" s="429"/>
      <c r="K54" s="429"/>
      <c r="L54" s="429"/>
      <c r="M54" s="429"/>
      <c r="N54" s="429"/>
      <c r="O54" s="429"/>
      <c r="P54" s="429"/>
      <c r="Q54" s="429"/>
      <c r="R54" s="429"/>
      <c r="S54" s="429"/>
      <c r="T54" s="429"/>
      <c r="U54" s="429"/>
      <c r="V54" s="429"/>
      <c r="W54" s="429"/>
      <c r="X54" s="429"/>
      <c r="Y54" s="429"/>
      <c r="Z54" s="429"/>
      <c r="AA54" s="429"/>
      <c r="AB54" s="429"/>
      <c r="AC54" s="429"/>
      <c r="AD54" s="429"/>
      <c r="AE54" s="429"/>
      <c r="AF54" s="429"/>
      <c r="AG54" s="429"/>
      <c r="AH54" s="429"/>
      <c r="AI54" s="429"/>
      <c r="AJ54" s="126"/>
    </row>
    <row r="55" spans="1:39" ht="15" x14ac:dyDescent="0.2">
      <c r="A55" s="429" t="s">
        <v>9</v>
      </c>
      <c r="B55" s="429"/>
      <c r="C55" s="429"/>
      <c r="D55" s="429"/>
      <c r="E55" s="429"/>
      <c r="F55" s="429"/>
      <c r="G55" s="429"/>
      <c r="H55" s="429"/>
      <c r="I55" s="429"/>
      <c r="J55" s="429"/>
      <c r="K55" s="429"/>
      <c r="L55" s="429"/>
      <c r="M55" s="429"/>
      <c r="N55" s="429"/>
      <c r="O55" s="429"/>
      <c r="P55" s="429"/>
      <c r="Q55" s="429"/>
      <c r="R55" s="429"/>
      <c r="S55" s="429"/>
      <c r="T55" s="429"/>
      <c r="U55" s="429"/>
      <c r="V55" s="429"/>
      <c r="W55" s="429"/>
      <c r="X55" s="429"/>
      <c r="Y55" s="429"/>
      <c r="Z55" s="429"/>
      <c r="AA55" s="429"/>
      <c r="AB55" s="429"/>
      <c r="AC55" s="429"/>
      <c r="AD55" s="429"/>
      <c r="AE55" s="429"/>
      <c r="AF55" s="429"/>
      <c r="AG55" s="429"/>
      <c r="AH55" s="429"/>
      <c r="AI55" s="429"/>
      <c r="AJ55" s="126"/>
    </row>
    <row r="56" spans="1:39" ht="15" x14ac:dyDescent="0.2">
      <c r="A56" s="429" t="s">
        <v>10</v>
      </c>
      <c r="B56" s="429"/>
      <c r="C56" s="429"/>
      <c r="D56" s="429"/>
      <c r="E56" s="429"/>
      <c r="F56" s="429"/>
      <c r="G56" s="429"/>
      <c r="H56" s="429"/>
      <c r="I56" s="429"/>
      <c r="J56" s="429"/>
      <c r="K56" s="429"/>
      <c r="L56" s="429"/>
      <c r="M56" s="429"/>
      <c r="N56" s="429"/>
      <c r="O56" s="429"/>
      <c r="P56" s="429"/>
      <c r="Q56" s="429"/>
      <c r="R56" s="429"/>
      <c r="S56" s="429"/>
      <c r="T56" s="429"/>
      <c r="U56" s="429"/>
      <c r="V56" s="429"/>
      <c r="W56" s="429"/>
      <c r="X56" s="429"/>
      <c r="Y56" s="429"/>
      <c r="Z56" s="429"/>
      <c r="AA56" s="429"/>
      <c r="AB56" s="429"/>
      <c r="AC56" s="429"/>
      <c r="AD56" s="429"/>
      <c r="AE56" s="429"/>
      <c r="AF56" s="429"/>
      <c r="AG56" s="429"/>
      <c r="AH56" s="429"/>
      <c r="AI56" s="429"/>
      <c r="AJ56" s="127"/>
    </row>
    <row r="57" spans="1:39" ht="15" x14ac:dyDescent="0.2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</row>
    <row r="58" spans="1:39" ht="15" x14ac:dyDescent="0.2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</row>
    <row r="59" spans="1:39" ht="15" x14ac:dyDescent="0.2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</row>
    <row r="60" spans="1:39" s="133" customFormat="1" ht="68.25" customHeight="1" x14ac:dyDescent="0.2">
      <c r="A60" s="444" t="s">
        <v>0</v>
      </c>
      <c r="B60" s="444" t="s">
        <v>272</v>
      </c>
      <c r="C60" s="445" t="s">
        <v>1</v>
      </c>
      <c r="D60" s="445" t="s">
        <v>327</v>
      </c>
      <c r="E60" s="435" t="s">
        <v>21</v>
      </c>
      <c r="F60" s="436"/>
      <c r="G60" s="437"/>
      <c r="H60" s="435" t="s">
        <v>20</v>
      </c>
      <c r="I60" s="436"/>
      <c r="J60" s="437"/>
      <c r="K60" s="412" t="s">
        <v>582</v>
      </c>
      <c r="L60" s="413"/>
      <c r="M60" s="413"/>
      <c r="N60" s="413"/>
      <c r="O60" s="413"/>
      <c r="P60" s="414"/>
      <c r="Q60" s="412" t="s">
        <v>583</v>
      </c>
      <c r="R60" s="413"/>
      <c r="S60" s="413"/>
      <c r="T60" s="413"/>
      <c r="U60" s="413"/>
      <c r="V60" s="413"/>
      <c r="W60" s="412" t="s">
        <v>584</v>
      </c>
      <c r="X60" s="413"/>
      <c r="Y60" s="413"/>
      <c r="Z60" s="413"/>
      <c r="AA60" s="413"/>
      <c r="AB60" s="413"/>
      <c r="AC60" s="412" t="s">
        <v>19</v>
      </c>
      <c r="AD60" s="413"/>
      <c r="AE60" s="414"/>
      <c r="AF60" s="412" t="s">
        <v>4</v>
      </c>
      <c r="AG60" s="413"/>
      <c r="AH60" s="413"/>
      <c r="AI60" s="414"/>
      <c r="AJ60" s="433" t="s">
        <v>294</v>
      </c>
    </row>
    <row r="61" spans="1:39" s="133" customFormat="1" ht="18" customHeight="1" x14ac:dyDescent="0.2">
      <c r="A61" s="444"/>
      <c r="B61" s="444"/>
      <c r="C61" s="445"/>
      <c r="D61" s="445"/>
      <c r="E61" s="438"/>
      <c r="F61" s="439"/>
      <c r="G61" s="440"/>
      <c r="H61" s="438"/>
      <c r="I61" s="439"/>
      <c r="J61" s="440"/>
      <c r="K61" s="415"/>
      <c r="L61" s="416"/>
      <c r="M61" s="416"/>
      <c r="N61" s="416"/>
      <c r="O61" s="416"/>
      <c r="P61" s="417"/>
      <c r="Q61" s="415"/>
      <c r="R61" s="416"/>
      <c r="S61" s="416"/>
      <c r="T61" s="416"/>
      <c r="U61" s="416"/>
      <c r="V61" s="416"/>
      <c r="W61" s="415"/>
      <c r="X61" s="416"/>
      <c r="Y61" s="416"/>
      <c r="Z61" s="416"/>
      <c r="AA61" s="416"/>
      <c r="AB61" s="416"/>
      <c r="AC61" s="430"/>
      <c r="AD61" s="431"/>
      <c r="AE61" s="432"/>
      <c r="AF61" s="430"/>
      <c r="AG61" s="431"/>
      <c r="AH61" s="431"/>
      <c r="AI61" s="432"/>
      <c r="AJ61" s="434"/>
    </row>
    <row r="62" spans="1:39" s="133" customFormat="1" ht="15.75" customHeight="1" x14ac:dyDescent="0.2">
      <c r="A62" s="444"/>
      <c r="B62" s="444"/>
      <c r="C62" s="445"/>
      <c r="D62" s="445"/>
      <c r="E62" s="441"/>
      <c r="F62" s="442"/>
      <c r="G62" s="443"/>
      <c r="H62" s="441"/>
      <c r="I62" s="442"/>
      <c r="J62" s="443"/>
      <c r="K62" s="398" t="s">
        <v>580</v>
      </c>
      <c r="L62" s="399"/>
      <c r="M62" s="400"/>
      <c r="N62" s="398" t="s">
        <v>581</v>
      </c>
      <c r="O62" s="399"/>
      <c r="P62" s="400"/>
      <c r="Q62" s="398" t="s">
        <v>580</v>
      </c>
      <c r="R62" s="399"/>
      <c r="S62" s="400"/>
      <c r="T62" s="398" t="s">
        <v>581</v>
      </c>
      <c r="U62" s="399"/>
      <c r="V62" s="400"/>
      <c r="W62" s="398" t="s">
        <v>580</v>
      </c>
      <c r="X62" s="399"/>
      <c r="Y62" s="400"/>
      <c r="Z62" s="398" t="s">
        <v>581</v>
      </c>
      <c r="AA62" s="399"/>
      <c r="AB62" s="400"/>
      <c r="AC62" s="415"/>
      <c r="AD62" s="416"/>
      <c r="AE62" s="417"/>
      <c r="AF62" s="415"/>
      <c r="AG62" s="416"/>
      <c r="AH62" s="416"/>
      <c r="AI62" s="417"/>
      <c r="AJ62" s="128"/>
    </row>
    <row r="63" spans="1:39" s="103" customFormat="1" ht="15.75" x14ac:dyDescent="0.25">
      <c r="A63" s="411">
        <v>1</v>
      </c>
      <c r="B63" s="411">
        <v>2</v>
      </c>
      <c r="C63" s="411">
        <v>3</v>
      </c>
      <c r="D63" s="411">
        <v>4</v>
      </c>
      <c r="E63" s="420">
        <v>5</v>
      </c>
      <c r="F63" s="421"/>
      <c r="G63" s="422"/>
      <c r="H63" s="420">
        <v>6</v>
      </c>
      <c r="I63" s="421"/>
      <c r="J63" s="422"/>
      <c r="K63" s="401">
        <v>7</v>
      </c>
      <c r="L63" s="402"/>
      <c r="M63" s="403"/>
      <c r="N63" s="401">
        <v>8</v>
      </c>
      <c r="O63" s="402"/>
      <c r="P63" s="403"/>
      <c r="Q63" s="401">
        <v>12</v>
      </c>
      <c r="R63" s="402"/>
      <c r="S63" s="403"/>
      <c r="T63" s="401">
        <v>13</v>
      </c>
      <c r="U63" s="402"/>
      <c r="V63" s="403"/>
      <c r="W63" s="395">
        <v>17</v>
      </c>
      <c r="X63" s="396"/>
      <c r="Y63" s="397"/>
      <c r="Z63" s="395">
        <v>18</v>
      </c>
      <c r="AA63" s="396"/>
      <c r="AB63" s="397"/>
      <c r="AC63" s="395">
        <v>22</v>
      </c>
      <c r="AD63" s="396"/>
      <c r="AE63" s="397"/>
      <c r="AF63" s="395">
        <v>23</v>
      </c>
      <c r="AG63" s="396"/>
      <c r="AH63" s="396"/>
      <c r="AI63" s="397"/>
      <c r="AJ63" s="129"/>
    </row>
    <row r="64" spans="1:39" s="103" customFormat="1" ht="87" customHeight="1" x14ac:dyDescent="0.2">
      <c r="A64" s="419"/>
      <c r="B64" s="419"/>
      <c r="C64" s="419"/>
      <c r="D64" s="419"/>
      <c r="E64" s="404" t="s">
        <v>2</v>
      </c>
      <c r="F64" s="405"/>
      <c r="G64" s="408" t="s">
        <v>3</v>
      </c>
      <c r="H64" s="404" t="s">
        <v>2</v>
      </c>
      <c r="I64" s="405"/>
      <c r="J64" s="408" t="s">
        <v>3</v>
      </c>
      <c r="K64" s="404" t="s">
        <v>2</v>
      </c>
      <c r="L64" s="405"/>
      <c r="M64" s="411" t="s">
        <v>3</v>
      </c>
      <c r="N64" s="404" t="s">
        <v>2</v>
      </c>
      <c r="O64" s="405"/>
      <c r="P64" s="411" t="s">
        <v>3</v>
      </c>
      <c r="Q64" s="404" t="s">
        <v>2</v>
      </c>
      <c r="R64" s="405"/>
      <c r="S64" s="411" t="s">
        <v>3</v>
      </c>
      <c r="T64" s="404" t="s">
        <v>2</v>
      </c>
      <c r="U64" s="405"/>
      <c r="V64" s="411" t="s">
        <v>3</v>
      </c>
      <c r="W64" s="420" t="s">
        <v>13</v>
      </c>
      <c r="X64" s="422"/>
      <c r="Y64" s="106" t="s">
        <v>14</v>
      </c>
      <c r="Z64" s="420" t="s">
        <v>15</v>
      </c>
      <c r="AA64" s="422"/>
      <c r="AB64" s="106" t="s">
        <v>16</v>
      </c>
      <c r="AC64" s="404" t="s">
        <v>2</v>
      </c>
      <c r="AD64" s="405"/>
      <c r="AE64" s="405" t="s">
        <v>3</v>
      </c>
      <c r="AF64" s="420" t="s">
        <v>18</v>
      </c>
      <c r="AG64" s="422"/>
      <c r="AH64" s="425" t="s">
        <v>22</v>
      </c>
      <c r="AI64" s="106" t="s">
        <v>17</v>
      </c>
      <c r="AJ64" s="130"/>
    </row>
    <row r="65" spans="1:39" s="103" customFormat="1" ht="15.75" x14ac:dyDescent="0.2">
      <c r="A65" s="408"/>
      <c r="B65" s="408"/>
      <c r="C65" s="408"/>
      <c r="D65" s="408"/>
      <c r="E65" s="406"/>
      <c r="F65" s="407"/>
      <c r="G65" s="409"/>
      <c r="H65" s="406"/>
      <c r="I65" s="407"/>
      <c r="J65" s="409"/>
      <c r="K65" s="406"/>
      <c r="L65" s="407"/>
      <c r="M65" s="408"/>
      <c r="N65" s="406"/>
      <c r="O65" s="407"/>
      <c r="P65" s="408"/>
      <c r="Q65" s="406"/>
      <c r="R65" s="407"/>
      <c r="S65" s="408"/>
      <c r="T65" s="406"/>
      <c r="U65" s="407"/>
      <c r="V65" s="408"/>
      <c r="W65" s="406" t="s">
        <v>2</v>
      </c>
      <c r="X65" s="407"/>
      <c r="Y65" s="226" t="s">
        <v>3</v>
      </c>
      <c r="Z65" s="427" t="s">
        <v>2</v>
      </c>
      <c r="AA65" s="428"/>
      <c r="AB65" s="226" t="s">
        <v>3</v>
      </c>
      <c r="AC65" s="406"/>
      <c r="AD65" s="407"/>
      <c r="AE65" s="407"/>
      <c r="AF65" s="406" t="s">
        <v>2</v>
      </c>
      <c r="AG65" s="407"/>
      <c r="AH65" s="426"/>
      <c r="AI65" s="226" t="s">
        <v>3</v>
      </c>
      <c r="AJ65" s="130"/>
    </row>
    <row r="66" spans="1:39" ht="90" x14ac:dyDescent="0.2">
      <c r="A66" s="69">
        <v>17</v>
      </c>
      <c r="B66" s="6" t="s">
        <v>124</v>
      </c>
      <c r="C66" s="14"/>
      <c r="D66" s="66" t="s">
        <v>523</v>
      </c>
      <c r="E66" s="341">
        <v>56.81</v>
      </c>
      <c r="F66" s="342" t="s">
        <v>31</v>
      </c>
      <c r="G66" s="281"/>
      <c r="H66" s="341">
        <v>67.09</v>
      </c>
      <c r="I66" s="342" t="s">
        <v>31</v>
      </c>
      <c r="J66" s="335">
        <f>SUM(J67:J72)</f>
        <v>16049375000</v>
      </c>
      <c r="K66" s="341">
        <v>60.29</v>
      </c>
      <c r="L66" s="342" t="s">
        <v>31</v>
      </c>
      <c r="M66" s="335">
        <f>SUM(M67:M72)</f>
        <v>2662012000</v>
      </c>
      <c r="N66" s="341">
        <v>62.82</v>
      </c>
      <c r="O66" s="342" t="s">
        <v>31</v>
      </c>
      <c r="P66" s="335">
        <f>SUM(P67:P72)</f>
        <v>1240210000</v>
      </c>
      <c r="Q66" s="341">
        <v>62.95</v>
      </c>
      <c r="R66" s="342" t="s">
        <v>31</v>
      </c>
      <c r="S66" s="335">
        <f>SUM(S67:S72)</f>
        <v>1109186200</v>
      </c>
      <c r="T66" s="341">
        <v>0</v>
      </c>
      <c r="U66" s="342" t="s">
        <v>31</v>
      </c>
      <c r="V66" s="335">
        <f>SUM(V67:V72)</f>
        <v>810228100</v>
      </c>
      <c r="W66" s="288">
        <f>Q66/K66*100</f>
        <v>104.41200862497928</v>
      </c>
      <c r="X66" s="282" t="s">
        <v>28</v>
      </c>
      <c r="Y66" s="294">
        <f>S66/M66*100</f>
        <v>41.667212619627556</v>
      </c>
      <c r="Z66" s="288">
        <f>T66/N66*100</f>
        <v>0</v>
      </c>
      <c r="AA66" s="282" t="s">
        <v>28</v>
      </c>
      <c r="AB66" s="294">
        <f>V66/P66*100</f>
        <v>65.32991186976399</v>
      </c>
      <c r="AC66" s="277">
        <f t="shared" ref="AC66:AC76" si="14">T66</f>
        <v>0</v>
      </c>
      <c r="AD66" s="342" t="s">
        <v>31</v>
      </c>
      <c r="AE66" s="388">
        <f t="shared" ref="AE66:AE76" si="15">S66+V66</f>
        <v>1919414300</v>
      </c>
      <c r="AF66" s="8"/>
      <c r="AG66" s="8"/>
      <c r="AH66" s="8"/>
      <c r="AI66" s="8"/>
      <c r="AJ66" s="157" t="s">
        <v>483</v>
      </c>
      <c r="AM66" s="134">
        <f t="shared" ref="AM66:AM89" si="16">S66</f>
        <v>1109186200</v>
      </c>
    </row>
    <row r="67" spans="1:39" ht="75" x14ac:dyDescent="0.2">
      <c r="A67" s="17"/>
      <c r="B67" s="65"/>
      <c r="C67" s="14" t="s">
        <v>467</v>
      </c>
      <c r="D67" s="14" t="s">
        <v>466</v>
      </c>
      <c r="E67" s="162">
        <v>100</v>
      </c>
      <c r="F67" s="158" t="s">
        <v>28</v>
      </c>
      <c r="G67" s="11"/>
      <c r="H67" s="162">
        <v>100</v>
      </c>
      <c r="I67" s="158" t="s">
        <v>28</v>
      </c>
      <c r="J67" s="11">
        <v>4811150000</v>
      </c>
      <c r="K67" s="162">
        <v>100</v>
      </c>
      <c r="L67" s="227" t="s">
        <v>28</v>
      </c>
      <c r="M67" s="87">
        <v>796485000</v>
      </c>
      <c r="N67" s="162">
        <v>100</v>
      </c>
      <c r="O67" s="158" t="s">
        <v>28</v>
      </c>
      <c r="P67" s="87">
        <v>540840000</v>
      </c>
      <c r="Q67" s="162">
        <v>100</v>
      </c>
      <c r="R67" s="158" t="s">
        <v>28</v>
      </c>
      <c r="S67" s="83">
        <v>518344600</v>
      </c>
      <c r="T67" s="162">
        <v>100</v>
      </c>
      <c r="U67" s="158" t="s">
        <v>28</v>
      </c>
      <c r="V67" s="83">
        <v>349949600</v>
      </c>
      <c r="W67" s="58">
        <f>Q67/K67*100</f>
        <v>100</v>
      </c>
      <c r="X67" s="18" t="s">
        <v>28</v>
      </c>
      <c r="Y67" s="289">
        <f>S67/M67*100</f>
        <v>65.079015926225864</v>
      </c>
      <c r="Z67" s="58">
        <f>T67/N67*100</f>
        <v>100</v>
      </c>
      <c r="AA67" s="18" t="s">
        <v>28</v>
      </c>
      <c r="AB67" s="289">
        <f>V67/P67*100</f>
        <v>64.704829524443468</v>
      </c>
      <c r="AC67" s="96">
        <f t="shared" si="14"/>
        <v>100</v>
      </c>
      <c r="AD67" s="49" t="s">
        <v>28</v>
      </c>
      <c r="AE67" s="247">
        <f t="shared" si="15"/>
        <v>868294200</v>
      </c>
      <c r="AF67" s="8"/>
      <c r="AG67" s="8"/>
      <c r="AH67" s="8"/>
      <c r="AI67" s="8"/>
      <c r="AM67" s="134">
        <f t="shared" si="16"/>
        <v>518344600</v>
      </c>
    </row>
    <row r="68" spans="1:39" ht="75" x14ac:dyDescent="0.2">
      <c r="A68" s="64"/>
      <c r="B68" s="25"/>
      <c r="C68" s="14" t="s">
        <v>29</v>
      </c>
      <c r="D68" s="14" t="s">
        <v>468</v>
      </c>
      <c r="E68" s="162">
        <v>70</v>
      </c>
      <c r="F68" s="158" t="s">
        <v>28</v>
      </c>
      <c r="G68" s="11"/>
      <c r="H68" s="162">
        <v>100</v>
      </c>
      <c r="I68" s="158" t="s">
        <v>28</v>
      </c>
      <c r="J68" s="11">
        <v>536800000</v>
      </c>
      <c r="K68" s="162">
        <v>80</v>
      </c>
      <c r="L68" s="227" t="s">
        <v>28</v>
      </c>
      <c r="M68" s="87">
        <v>59600000</v>
      </c>
      <c r="N68" s="162">
        <v>90</v>
      </c>
      <c r="O68" s="158" t="s">
        <v>28</v>
      </c>
      <c r="P68" s="87">
        <v>40300000</v>
      </c>
      <c r="Q68" s="162">
        <v>100</v>
      </c>
      <c r="R68" s="158" t="s">
        <v>28</v>
      </c>
      <c r="S68" s="83">
        <v>33224300</v>
      </c>
      <c r="T68" s="162">
        <v>100</v>
      </c>
      <c r="U68" s="158" t="s">
        <v>28</v>
      </c>
      <c r="V68" s="83">
        <v>33082200</v>
      </c>
      <c r="W68" s="58">
        <f t="shared" ref="W68:W70" si="17">Q68/K68*100</f>
        <v>125</v>
      </c>
      <c r="X68" s="18" t="s">
        <v>28</v>
      </c>
      <c r="Y68" s="289">
        <f t="shared" ref="Y68:Y71" si="18">S68/M68*100</f>
        <v>55.745469798657723</v>
      </c>
      <c r="Z68" s="58">
        <f t="shared" ref="Z68:Z70" si="19">T68/N68*100</f>
        <v>111.11111111111111</v>
      </c>
      <c r="AA68" s="18" t="s">
        <v>28</v>
      </c>
      <c r="AB68" s="289">
        <f t="shared" ref="AB68:AB71" si="20">V68/P68*100</f>
        <v>82.089826302729534</v>
      </c>
      <c r="AC68" s="96">
        <f t="shared" si="14"/>
        <v>100</v>
      </c>
      <c r="AD68" s="49" t="s">
        <v>28</v>
      </c>
      <c r="AE68" s="247">
        <f t="shared" si="15"/>
        <v>66306500</v>
      </c>
      <c r="AF68" s="8"/>
      <c r="AG68" s="8"/>
      <c r="AH68" s="8"/>
      <c r="AI68" s="8"/>
      <c r="AM68" s="134">
        <f t="shared" si="16"/>
        <v>33224300</v>
      </c>
    </row>
    <row r="69" spans="1:39" ht="109.5" customHeight="1" x14ac:dyDescent="0.2">
      <c r="A69" s="17"/>
      <c r="B69" s="65"/>
      <c r="C69" s="14" t="s">
        <v>30</v>
      </c>
      <c r="D69" s="14" t="s">
        <v>469</v>
      </c>
      <c r="E69" s="162">
        <v>80</v>
      </c>
      <c r="F69" s="158" t="s">
        <v>28</v>
      </c>
      <c r="G69" s="9"/>
      <c r="H69" s="162">
        <v>90</v>
      </c>
      <c r="I69" s="158" t="s">
        <v>28</v>
      </c>
      <c r="J69" s="9">
        <v>1314100000</v>
      </c>
      <c r="K69" s="162">
        <v>80</v>
      </c>
      <c r="L69" s="227" t="s">
        <v>28</v>
      </c>
      <c r="M69" s="88">
        <v>203100000</v>
      </c>
      <c r="N69" s="162">
        <v>90</v>
      </c>
      <c r="O69" s="158" t="s">
        <v>28</v>
      </c>
      <c r="P69" s="88">
        <v>230200000</v>
      </c>
      <c r="Q69" s="162">
        <v>100</v>
      </c>
      <c r="R69" s="158" t="s">
        <v>28</v>
      </c>
      <c r="S69" s="89">
        <v>163299500</v>
      </c>
      <c r="T69" s="162">
        <v>100</v>
      </c>
      <c r="U69" s="158" t="s">
        <v>28</v>
      </c>
      <c r="V69" s="89">
        <v>220181800</v>
      </c>
      <c r="W69" s="58">
        <f t="shared" si="17"/>
        <v>125</v>
      </c>
      <c r="X69" s="18" t="s">
        <v>28</v>
      </c>
      <c r="Y69" s="289">
        <f t="shared" si="18"/>
        <v>80.403495814869515</v>
      </c>
      <c r="Z69" s="58">
        <f t="shared" si="19"/>
        <v>111.11111111111111</v>
      </c>
      <c r="AA69" s="18" t="s">
        <v>28</v>
      </c>
      <c r="AB69" s="289">
        <f t="shared" si="20"/>
        <v>95.648045178105988</v>
      </c>
      <c r="AC69" s="96">
        <f t="shared" si="14"/>
        <v>100</v>
      </c>
      <c r="AD69" s="49" t="s">
        <v>28</v>
      </c>
      <c r="AE69" s="247">
        <f t="shared" si="15"/>
        <v>383481300</v>
      </c>
      <c r="AF69" s="8"/>
      <c r="AG69" s="8"/>
      <c r="AH69" s="8"/>
      <c r="AI69" s="8"/>
      <c r="AM69" s="134">
        <f t="shared" si="16"/>
        <v>163299500</v>
      </c>
    </row>
    <row r="70" spans="1:39" ht="165" x14ac:dyDescent="0.2">
      <c r="A70" s="17"/>
      <c r="B70" s="65"/>
      <c r="C70" s="14" t="s">
        <v>470</v>
      </c>
      <c r="D70" s="14" t="s">
        <v>471</v>
      </c>
      <c r="E70" s="162">
        <v>100</v>
      </c>
      <c r="F70" s="158" t="s">
        <v>28</v>
      </c>
      <c r="G70" s="11"/>
      <c r="H70" s="162">
        <v>100</v>
      </c>
      <c r="I70" s="158" t="s">
        <v>28</v>
      </c>
      <c r="J70" s="11">
        <v>1453550000</v>
      </c>
      <c r="K70" s="162">
        <v>100</v>
      </c>
      <c r="L70" s="227" t="s">
        <v>28</v>
      </c>
      <c r="M70" s="87">
        <v>358750000</v>
      </c>
      <c r="N70" s="162">
        <v>100</v>
      </c>
      <c r="O70" s="158" t="s">
        <v>28</v>
      </c>
      <c r="P70" s="87">
        <v>132420000</v>
      </c>
      <c r="Q70" s="162">
        <v>100</v>
      </c>
      <c r="R70" s="158" t="s">
        <v>28</v>
      </c>
      <c r="S70" s="83">
        <v>164826800</v>
      </c>
      <c r="T70" s="162">
        <v>100</v>
      </c>
      <c r="U70" s="158" t="s">
        <v>28</v>
      </c>
      <c r="V70" s="83">
        <v>20214500</v>
      </c>
      <c r="W70" s="58">
        <f t="shared" si="17"/>
        <v>100</v>
      </c>
      <c r="X70" s="18" t="s">
        <v>28</v>
      </c>
      <c r="Y70" s="289">
        <f t="shared" si="18"/>
        <v>45.944752613240418</v>
      </c>
      <c r="Z70" s="58">
        <f t="shared" si="19"/>
        <v>100</v>
      </c>
      <c r="AA70" s="18" t="s">
        <v>28</v>
      </c>
      <c r="AB70" s="289">
        <f t="shared" si="20"/>
        <v>15.265443286512612</v>
      </c>
      <c r="AC70" s="96">
        <f t="shared" si="14"/>
        <v>100</v>
      </c>
      <c r="AD70" s="49" t="s">
        <v>28</v>
      </c>
      <c r="AE70" s="247">
        <f t="shared" si="15"/>
        <v>185041300</v>
      </c>
      <c r="AF70" s="8"/>
      <c r="AG70" s="8"/>
      <c r="AH70" s="8"/>
      <c r="AI70" s="8"/>
      <c r="AM70" s="134">
        <f t="shared" si="16"/>
        <v>164826800</v>
      </c>
    </row>
    <row r="71" spans="1:39" ht="165" x14ac:dyDescent="0.2">
      <c r="A71" s="64"/>
      <c r="B71" s="25"/>
      <c r="C71" s="14" t="s">
        <v>472</v>
      </c>
      <c r="D71" s="14" t="s">
        <v>473</v>
      </c>
      <c r="E71" s="162">
        <v>100</v>
      </c>
      <c r="F71" s="158" t="s">
        <v>28</v>
      </c>
      <c r="G71" s="11"/>
      <c r="H71" s="162">
        <v>100</v>
      </c>
      <c r="I71" s="158" t="s">
        <v>28</v>
      </c>
      <c r="J71" s="11">
        <v>4038125000</v>
      </c>
      <c r="K71" s="162">
        <v>100</v>
      </c>
      <c r="L71" s="227" t="s">
        <v>28</v>
      </c>
      <c r="M71" s="87">
        <v>598427000</v>
      </c>
      <c r="N71" s="162">
        <v>100</v>
      </c>
      <c r="O71" s="158" t="s">
        <v>28</v>
      </c>
      <c r="P71" s="87">
        <v>194200000</v>
      </c>
      <c r="Q71" s="162">
        <v>100</v>
      </c>
      <c r="R71" s="158" t="s">
        <v>28</v>
      </c>
      <c r="S71" s="83">
        <v>212378500</v>
      </c>
      <c r="T71" s="162">
        <v>100</v>
      </c>
      <c r="U71" s="158" t="s">
        <v>28</v>
      </c>
      <c r="V71" s="83">
        <v>179300000</v>
      </c>
      <c r="W71" s="58">
        <f>Q71/K71*100</f>
        <v>100</v>
      </c>
      <c r="X71" s="18" t="s">
        <v>28</v>
      </c>
      <c r="Y71" s="289">
        <f t="shared" si="18"/>
        <v>35.489458196237806</v>
      </c>
      <c r="Z71" s="58">
        <f>T71/N71*100</f>
        <v>100</v>
      </c>
      <c r="AA71" s="18" t="s">
        <v>28</v>
      </c>
      <c r="AB71" s="289">
        <f t="shared" si="20"/>
        <v>92.327497425334698</v>
      </c>
      <c r="AC71" s="96">
        <f t="shared" si="14"/>
        <v>100</v>
      </c>
      <c r="AD71" s="49" t="s">
        <v>28</v>
      </c>
      <c r="AE71" s="247">
        <f t="shared" si="15"/>
        <v>391678500</v>
      </c>
      <c r="AF71" s="8"/>
      <c r="AG71" s="8"/>
      <c r="AH71" s="8"/>
      <c r="AI71" s="8"/>
      <c r="AM71" s="134">
        <f t="shared" si="16"/>
        <v>212378500</v>
      </c>
    </row>
    <row r="72" spans="1:39" ht="109.5" customHeight="1" x14ac:dyDescent="0.2">
      <c r="A72" s="17"/>
      <c r="B72" s="65"/>
      <c r="C72" s="14" t="s">
        <v>474</v>
      </c>
      <c r="D72" s="14" t="s">
        <v>475</v>
      </c>
      <c r="E72" s="81">
        <v>45.45</v>
      </c>
      <c r="F72" s="158" t="s">
        <v>28</v>
      </c>
      <c r="G72" s="9">
        <v>328294000</v>
      </c>
      <c r="H72" s="81">
        <v>54.55</v>
      </c>
      <c r="I72" s="158" t="s">
        <v>28</v>
      </c>
      <c r="J72" s="9">
        <v>3895650000</v>
      </c>
      <c r="K72" s="81">
        <v>9.09</v>
      </c>
      <c r="L72" s="227" t="s">
        <v>28</v>
      </c>
      <c r="M72" s="88">
        <v>645650000</v>
      </c>
      <c r="N72" s="81">
        <v>18.18</v>
      </c>
      <c r="O72" s="158" t="s">
        <v>28</v>
      </c>
      <c r="P72" s="88">
        <v>102250000</v>
      </c>
      <c r="Q72" s="81">
        <v>45.45</v>
      </c>
      <c r="R72" s="158" t="s">
        <v>28</v>
      </c>
      <c r="S72" s="89">
        <v>17112500</v>
      </c>
      <c r="T72" s="162">
        <v>0</v>
      </c>
      <c r="U72" s="158" t="s">
        <v>28</v>
      </c>
      <c r="V72" s="89">
        <v>7500000</v>
      </c>
      <c r="W72" s="58">
        <f>Q72/K72*100</f>
        <v>500</v>
      </c>
      <c r="X72" s="18" t="s">
        <v>28</v>
      </c>
      <c r="Y72" s="289">
        <f>S72/M72*100</f>
        <v>2.6504297994269339</v>
      </c>
      <c r="Z72" s="58">
        <f>T72/N72*100</f>
        <v>0</v>
      </c>
      <c r="AA72" s="18" t="s">
        <v>28</v>
      </c>
      <c r="AB72" s="289">
        <f>V72/P72*100</f>
        <v>7.3349633251833746</v>
      </c>
      <c r="AC72" s="96">
        <f t="shared" si="14"/>
        <v>0</v>
      </c>
      <c r="AD72" s="49" t="s">
        <v>28</v>
      </c>
      <c r="AE72" s="247">
        <f t="shared" si="15"/>
        <v>24612500</v>
      </c>
      <c r="AF72" s="8"/>
      <c r="AG72" s="8"/>
      <c r="AH72" s="8"/>
      <c r="AI72" s="8"/>
      <c r="AJ72" s="180" t="s">
        <v>331</v>
      </c>
      <c r="AM72" s="134">
        <f t="shared" si="16"/>
        <v>17112500</v>
      </c>
    </row>
    <row r="73" spans="1:39" ht="135" customHeight="1" x14ac:dyDescent="0.2">
      <c r="A73" s="17"/>
      <c r="B73" s="75"/>
      <c r="C73" s="34"/>
      <c r="D73" s="73" t="s">
        <v>524</v>
      </c>
      <c r="E73" s="343" t="s">
        <v>128</v>
      </c>
      <c r="F73" s="280" t="s">
        <v>126</v>
      </c>
      <c r="G73" s="344"/>
      <c r="H73" s="343" t="s">
        <v>128</v>
      </c>
      <c r="I73" s="280" t="s">
        <v>126</v>
      </c>
      <c r="J73" s="345">
        <f>SUM(J74:J76)</f>
        <v>22745490000</v>
      </c>
      <c r="K73" s="343" t="s">
        <v>128</v>
      </c>
      <c r="L73" s="280" t="s">
        <v>126</v>
      </c>
      <c r="M73" s="345">
        <f>SUM(M74:M76)</f>
        <v>7635288000</v>
      </c>
      <c r="N73" s="343" t="s">
        <v>128</v>
      </c>
      <c r="O73" s="280" t="s">
        <v>126</v>
      </c>
      <c r="P73" s="345">
        <f>SUM(P74:P76)</f>
        <v>3431694700</v>
      </c>
      <c r="Q73" s="343" t="s">
        <v>128</v>
      </c>
      <c r="R73" s="280" t="s">
        <v>126</v>
      </c>
      <c r="S73" s="345">
        <f>SUM(S74:S76)</f>
        <v>6137598320</v>
      </c>
      <c r="T73" s="343" t="s">
        <v>128</v>
      </c>
      <c r="U73" s="280" t="s">
        <v>126</v>
      </c>
      <c r="V73" s="345">
        <f>SUM(V74:V76)</f>
        <v>2610005051</v>
      </c>
      <c r="W73" s="288">
        <v>100</v>
      </c>
      <c r="X73" s="282" t="s">
        <v>28</v>
      </c>
      <c r="Y73" s="294">
        <f>S73/M73*100</f>
        <v>80.384634083219908</v>
      </c>
      <c r="Z73" s="288">
        <v>100</v>
      </c>
      <c r="AA73" s="282" t="s">
        <v>28</v>
      </c>
      <c r="AB73" s="294">
        <f>V73/P73*100</f>
        <v>76.055863914700808</v>
      </c>
      <c r="AC73" s="387" t="str">
        <f t="shared" si="14"/>
        <v>WTP</v>
      </c>
      <c r="AD73" s="347" t="s">
        <v>126</v>
      </c>
      <c r="AE73" s="388">
        <f t="shared" si="15"/>
        <v>8747603371</v>
      </c>
      <c r="AF73" s="8"/>
      <c r="AG73" s="8"/>
      <c r="AH73" s="8"/>
      <c r="AI73" s="8"/>
      <c r="AJ73" s="157" t="s">
        <v>312</v>
      </c>
      <c r="AM73" s="134">
        <f t="shared" si="16"/>
        <v>6137598320</v>
      </c>
    </row>
    <row r="74" spans="1:39" ht="105" x14ac:dyDescent="0.2">
      <c r="A74" s="17"/>
      <c r="B74" s="75"/>
      <c r="C74" s="39" t="s">
        <v>87</v>
      </c>
      <c r="D74" s="34" t="s">
        <v>476</v>
      </c>
      <c r="E74" s="162">
        <v>100</v>
      </c>
      <c r="F74" s="158" t="s">
        <v>28</v>
      </c>
      <c r="G74" s="9"/>
      <c r="H74" s="162">
        <v>100</v>
      </c>
      <c r="I74" s="158" t="s">
        <v>28</v>
      </c>
      <c r="J74" s="38">
        <v>1220190000</v>
      </c>
      <c r="K74" s="162">
        <v>100</v>
      </c>
      <c r="L74" s="227" t="s">
        <v>28</v>
      </c>
      <c r="M74" s="38">
        <v>244038000</v>
      </c>
      <c r="N74" s="162">
        <v>100</v>
      </c>
      <c r="O74" s="158" t="s">
        <v>28</v>
      </c>
      <c r="P74" s="38">
        <v>154880700</v>
      </c>
      <c r="Q74" s="81">
        <v>100</v>
      </c>
      <c r="R74" s="158" t="s">
        <v>28</v>
      </c>
      <c r="S74" s="9">
        <v>225477000</v>
      </c>
      <c r="T74" s="162">
        <v>100</v>
      </c>
      <c r="U74" s="158" t="s">
        <v>28</v>
      </c>
      <c r="V74" s="9">
        <v>150975200</v>
      </c>
      <c r="W74" s="58">
        <f>Q74/K74*100</f>
        <v>100</v>
      </c>
      <c r="X74" s="18" t="s">
        <v>28</v>
      </c>
      <c r="Y74" s="289">
        <f>S74/M74*100</f>
        <v>92.394217294027982</v>
      </c>
      <c r="Z74" s="58">
        <f>T74/N74*100</f>
        <v>100</v>
      </c>
      <c r="AA74" s="18" t="s">
        <v>28</v>
      </c>
      <c r="AB74" s="289">
        <f>V74/P74*100</f>
        <v>97.478381748016375</v>
      </c>
      <c r="AC74" s="96">
        <f t="shared" si="14"/>
        <v>100</v>
      </c>
      <c r="AD74" s="49" t="s">
        <v>28</v>
      </c>
      <c r="AE74" s="247">
        <f t="shared" si="15"/>
        <v>376452200</v>
      </c>
      <c r="AF74" s="8"/>
      <c r="AG74" s="8"/>
      <c r="AH74" s="8"/>
      <c r="AI74" s="8"/>
      <c r="AM74" s="134">
        <f t="shared" si="16"/>
        <v>225477000</v>
      </c>
    </row>
    <row r="75" spans="1:39" ht="90" x14ac:dyDescent="0.2">
      <c r="A75" s="17"/>
      <c r="B75" s="65"/>
      <c r="C75" s="43" t="s">
        <v>477</v>
      </c>
      <c r="D75" s="44" t="s">
        <v>478</v>
      </c>
      <c r="E75" s="162">
        <v>100</v>
      </c>
      <c r="F75" s="158" t="s">
        <v>28</v>
      </c>
      <c r="G75" s="45"/>
      <c r="H75" s="162">
        <v>100</v>
      </c>
      <c r="I75" s="158" t="s">
        <v>28</v>
      </c>
      <c r="J75" s="46">
        <v>15482375000</v>
      </c>
      <c r="K75" s="162">
        <v>100</v>
      </c>
      <c r="L75" s="227" t="s">
        <v>28</v>
      </c>
      <c r="M75" s="47">
        <v>6160065000</v>
      </c>
      <c r="N75" s="162">
        <v>100</v>
      </c>
      <c r="O75" s="158" t="s">
        <v>28</v>
      </c>
      <c r="P75" s="47">
        <v>2189735000</v>
      </c>
      <c r="Q75" s="81">
        <v>100</v>
      </c>
      <c r="R75" s="158" t="s">
        <v>28</v>
      </c>
      <c r="S75" s="46">
        <v>5050798470</v>
      </c>
      <c r="T75" s="162">
        <v>100</v>
      </c>
      <c r="U75" s="158" t="s">
        <v>28</v>
      </c>
      <c r="V75" s="46">
        <v>1741235851</v>
      </c>
      <c r="W75" s="58">
        <f t="shared" ref="W75:W81" si="21">Q75/K75*100</f>
        <v>100</v>
      </c>
      <c r="X75" s="18" t="s">
        <v>28</v>
      </c>
      <c r="Y75" s="289">
        <f>S75/M75*100</f>
        <v>81.992616474014483</v>
      </c>
      <c r="Z75" s="58">
        <f t="shared" ref="Z75:Z79" si="22">T75/N75*100</f>
        <v>100</v>
      </c>
      <c r="AA75" s="18" t="s">
        <v>28</v>
      </c>
      <c r="AB75" s="289">
        <f>V75/P75*100</f>
        <v>79.518108401244902</v>
      </c>
      <c r="AC75" s="96">
        <f t="shared" si="14"/>
        <v>100</v>
      </c>
      <c r="AD75" s="49" t="s">
        <v>28</v>
      </c>
      <c r="AE75" s="247">
        <f t="shared" si="15"/>
        <v>6792034321</v>
      </c>
      <c r="AF75" s="3"/>
      <c r="AG75" s="3"/>
      <c r="AH75" s="3"/>
      <c r="AI75" s="3"/>
      <c r="AM75" s="134">
        <f t="shared" si="16"/>
        <v>5050798470</v>
      </c>
    </row>
    <row r="76" spans="1:39" ht="150" x14ac:dyDescent="0.2">
      <c r="A76" s="17"/>
      <c r="B76" s="65"/>
      <c r="C76" s="43" t="s">
        <v>72</v>
      </c>
      <c r="D76" s="34" t="s">
        <v>479</v>
      </c>
      <c r="E76" s="162">
        <v>56</v>
      </c>
      <c r="F76" s="158" t="s">
        <v>28</v>
      </c>
      <c r="G76" s="233"/>
      <c r="H76" s="162">
        <v>18</v>
      </c>
      <c r="I76" s="158" t="s">
        <v>28</v>
      </c>
      <c r="J76" s="251">
        <v>6042925000</v>
      </c>
      <c r="K76" s="162">
        <v>36</v>
      </c>
      <c r="L76" s="227" t="s">
        <v>28</v>
      </c>
      <c r="M76" s="253">
        <v>1231185000</v>
      </c>
      <c r="N76" s="162">
        <v>25</v>
      </c>
      <c r="O76" s="158" t="s">
        <v>28</v>
      </c>
      <c r="P76" s="253">
        <v>1087079000</v>
      </c>
      <c r="Q76" s="81">
        <v>51.47</v>
      </c>
      <c r="R76" s="158" t="s">
        <v>28</v>
      </c>
      <c r="S76" s="46">
        <v>861322850</v>
      </c>
      <c r="T76" s="81">
        <v>66.099999999999994</v>
      </c>
      <c r="U76" s="158" t="s">
        <v>28</v>
      </c>
      <c r="V76" s="46">
        <v>717794000</v>
      </c>
      <c r="W76" s="58">
        <f>(K76-(Q76-K76))/K76*100</f>
        <v>57.027777777777779</v>
      </c>
      <c r="X76" s="18" t="s">
        <v>28</v>
      </c>
      <c r="Y76" s="291">
        <f>S76/M76*100</f>
        <v>69.958848588961047</v>
      </c>
      <c r="Z76" s="58">
        <f>(N76-(T76-N76))/N76*100</f>
        <v>-64.399999999999977</v>
      </c>
      <c r="AA76" s="18" t="s">
        <v>28</v>
      </c>
      <c r="AB76" s="291">
        <f>V76/P76*100</f>
        <v>66.029607783794916</v>
      </c>
      <c r="AC76" s="78">
        <f t="shared" si="14"/>
        <v>66.099999999999994</v>
      </c>
      <c r="AD76" s="49" t="s">
        <v>28</v>
      </c>
      <c r="AE76" s="247">
        <f t="shared" si="15"/>
        <v>1579116850</v>
      </c>
      <c r="AF76" s="8"/>
      <c r="AG76" s="8"/>
      <c r="AH76" s="8"/>
      <c r="AI76" s="8"/>
      <c r="AJ76" s="157" t="s">
        <v>484</v>
      </c>
      <c r="AM76" s="134">
        <f t="shared" si="16"/>
        <v>861322850</v>
      </c>
    </row>
    <row r="77" spans="1:39" ht="150" x14ac:dyDescent="0.2">
      <c r="A77" s="17"/>
      <c r="B77" s="65"/>
      <c r="C77" s="249"/>
      <c r="D77" s="34" t="s">
        <v>480</v>
      </c>
      <c r="E77" s="162">
        <v>100</v>
      </c>
      <c r="F77" s="158" t="s">
        <v>28</v>
      </c>
      <c r="G77" s="229"/>
      <c r="H77" s="162">
        <v>100</v>
      </c>
      <c r="I77" s="158" t="s">
        <v>28</v>
      </c>
      <c r="J77" s="252"/>
      <c r="K77" s="162">
        <v>100</v>
      </c>
      <c r="L77" s="227" t="s">
        <v>28</v>
      </c>
      <c r="M77" s="254"/>
      <c r="N77" s="162">
        <v>100</v>
      </c>
      <c r="O77" s="158" t="s">
        <v>28</v>
      </c>
      <c r="P77" s="254"/>
      <c r="Q77" s="81">
        <v>100</v>
      </c>
      <c r="R77" s="158" t="s">
        <v>28</v>
      </c>
      <c r="S77" s="238"/>
      <c r="T77" s="162">
        <v>100</v>
      </c>
      <c r="U77" s="158" t="s">
        <v>28</v>
      </c>
      <c r="V77" s="238"/>
      <c r="W77" s="58">
        <f t="shared" si="21"/>
        <v>100</v>
      </c>
      <c r="X77" s="18" t="s">
        <v>28</v>
      </c>
      <c r="Y77" s="297"/>
      <c r="Z77" s="58">
        <f t="shared" si="22"/>
        <v>100</v>
      </c>
      <c r="AA77" s="18" t="s">
        <v>28</v>
      </c>
      <c r="AB77" s="297"/>
      <c r="AC77" s="78">
        <f t="shared" ref="AC77:AC79" si="23">T77</f>
        <v>100</v>
      </c>
      <c r="AD77" s="49" t="s">
        <v>28</v>
      </c>
      <c r="AE77" s="4"/>
      <c r="AF77" s="8"/>
      <c r="AG77" s="8"/>
      <c r="AH77" s="8"/>
      <c r="AI77" s="8"/>
      <c r="AM77" s="134">
        <f t="shared" si="16"/>
        <v>0</v>
      </c>
    </row>
    <row r="78" spans="1:39" ht="122.25" customHeight="1" x14ac:dyDescent="0.2">
      <c r="A78" s="17"/>
      <c r="B78" s="65"/>
      <c r="C78" s="249"/>
      <c r="D78" s="34" t="s">
        <v>481</v>
      </c>
      <c r="E78" s="81">
        <v>75.790000000000006</v>
      </c>
      <c r="F78" s="158" t="s">
        <v>28</v>
      </c>
      <c r="G78" s="229"/>
      <c r="H78" s="162">
        <v>82</v>
      </c>
      <c r="I78" s="158" t="s">
        <v>28</v>
      </c>
      <c r="J78" s="252"/>
      <c r="K78" s="162">
        <v>64</v>
      </c>
      <c r="L78" s="227" t="s">
        <v>28</v>
      </c>
      <c r="M78" s="254"/>
      <c r="N78" s="162">
        <v>75</v>
      </c>
      <c r="O78" s="158" t="s">
        <v>28</v>
      </c>
      <c r="P78" s="254"/>
      <c r="Q78" s="81">
        <v>81.48</v>
      </c>
      <c r="R78" s="158" t="s">
        <v>28</v>
      </c>
      <c r="S78" s="238"/>
      <c r="T78" s="81">
        <v>75</v>
      </c>
      <c r="U78" s="158" t="s">
        <v>28</v>
      </c>
      <c r="V78" s="238"/>
      <c r="W78" s="58">
        <f t="shared" si="21"/>
        <v>127.3125</v>
      </c>
      <c r="X78" s="18" t="s">
        <v>28</v>
      </c>
      <c r="Y78" s="297"/>
      <c r="Z78" s="58">
        <f t="shared" si="22"/>
        <v>100</v>
      </c>
      <c r="AA78" s="18" t="s">
        <v>28</v>
      </c>
      <c r="AB78" s="297"/>
      <c r="AC78" s="78">
        <f t="shared" si="23"/>
        <v>75</v>
      </c>
      <c r="AD78" s="49" t="s">
        <v>28</v>
      </c>
      <c r="AE78" s="4"/>
      <c r="AF78" s="8"/>
      <c r="AG78" s="8"/>
      <c r="AH78" s="8"/>
      <c r="AI78" s="8"/>
      <c r="AM78" s="134">
        <f t="shared" si="16"/>
        <v>0</v>
      </c>
    </row>
    <row r="79" spans="1:39" ht="120.75" customHeight="1" x14ac:dyDescent="0.2">
      <c r="A79" s="17"/>
      <c r="B79" s="65"/>
      <c r="C79" s="250"/>
      <c r="D79" s="34" t="s">
        <v>482</v>
      </c>
      <c r="E79" s="81">
        <v>93.75</v>
      </c>
      <c r="F79" s="158" t="s">
        <v>28</v>
      </c>
      <c r="G79" s="50"/>
      <c r="H79" s="162">
        <v>100</v>
      </c>
      <c r="I79" s="158" t="s">
        <v>28</v>
      </c>
      <c r="J79" s="239"/>
      <c r="K79" s="162">
        <v>100</v>
      </c>
      <c r="L79" s="227" t="s">
        <v>28</v>
      </c>
      <c r="M79" s="240"/>
      <c r="N79" s="162">
        <v>100</v>
      </c>
      <c r="O79" s="158" t="s">
        <v>28</v>
      </c>
      <c r="P79" s="240"/>
      <c r="Q79" s="81">
        <v>79.17</v>
      </c>
      <c r="R79" s="158" t="s">
        <v>28</v>
      </c>
      <c r="S79" s="237"/>
      <c r="T79" s="81">
        <v>76.19</v>
      </c>
      <c r="U79" s="158" t="s">
        <v>28</v>
      </c>
      <c r="V79" s="237"/>
      <c r="W79" s="58">
        <f t="shared" si="21"/>
        <v>79.17</v>
      </c>
      <c r="X79" s="18" t="s">
        <v>28</v>
      </c>
      <c r="Y79" s="292"/>
      <c r="Z79" s="58">
        <f t="shared" si="22"/>
        <v>76.19</v>
      </c>
      <c r="AA79" s="18" t="s">
        <v>28</v>
      </c>
      <c r="AB79" s="292"/>
      <c r="AC79" s="78">
        <f t="shared" si="23"/>
        <v>76.19</v>
      </c>
      <c r="AD79" s="49" t="s">
        <v>28</v>
      </c>
      <c r="AE79" s="5"/>
      <c r="AF79" s="8"/>
      <c r="AG79" s="8"/>
      <c r="AH79" s="8"/>
      <c r="AI79" s="8"/>
      <c r="AM79" s="134">
        <f t="shared" si="16"/>
        <v>0</v>
      </c>
    </row>
    <row r="80" spans="1:39" ht="75" x14ac:dyDescent="0.2">
      <c r="A80" s="17"/>
      <c r="B80" s="65"/>
      <c r="C80" s="39" t="s">
        <v>485</v>
      </c>
      <c r="D80" s="41" t="s">
        <v>486</v>
      </c>
      <c r="E80" s="37">
        <v>7</v>
      </c>
      <c r="F80" s="36" t="s">
        <v>487</v>
      </c>
      <c r="G80" s="9"/>
      <c r="H80" s="37">
        <v>7</v>
      </c>
      <c r="I80" s="36" t="s">
        <v>487</v>
      </c>
      <c r="J80" s="38">
        <v>2352620000</v>
      </c>
      <c r="K80" s="37">
        <v>7</v>
      </c>
      <c r="L80" s="36" t="s">
        <v>487</v>
      </c>
      <c r="M80" s="42">
        <v>452524000</v>
      </c>
      <c r="N80" s="37">
        <v>7</v>
      </c>
      <c r="O80" s="36" t="s">
        <v>487</v>
      </c>
      <c r="P80" s="42">
        <v>400750000</v>
      </c>
      <c r="Q80" s="37">
        <v>7</v>
      </c>
      <c r="R80" s="36" t="s">
        <v>487</v>
      </c>
      <c r="S80" s="38">
        <v>310702800</v>
      </c>
      <c r="T80" s="37">
        <v>7</v>
      </c>
      <c r="U80" s="36" t="s">
        <v>487</v>
      </c>
      <c r="V80" s="38">
        <v>284608780</v>
      </c>
      <c r="W80" s="58">
        <f>Q80/K80*100</f>
        <v>100</v>
      </c>
      <c r="X80" s="18" t="s">
        <v>28</v>
      </c>
      <c r="Y80" s="289">
        <f>S80/M80*100</f>
        <v>68.659960576676596</v>
      </c>
      <c r="Z80" s="58">
        <f>T80/N80*100</f>
        <v>100</v>
      </c>
      <c r="AA80" s="18" t="s">
        <v>28</v>
      </c>
      <c r="AB80" s="289">
        <f>V80/P80*100</f>
        <v>71.019034310667493</v>
      </c>
      <c r="AC80" s="96">
        <f>T80</f>
        <v>7</v>
      </c>
      <c r="AD80" s="36" t="s">
        <v>487</v>
      </c>
      <c r="AE80" s="247">
        <f>S80+V80</f>
        <v>595311580</v>
      </c>
      <c r="AF80" s="8"/>
      <c r="AG80" s="8"/>
      <c r="AH80" s="8"/>
      <c r="AI80" s="8"/>
      <c r="AJ80" s="157" t="s">
        <v>312</v>
      </c>
      <c r="AM80" s="134">
        <f t="shared" si="16"/>
        <v>310702800</v>
      </c>
    </row>
    <row r="81" spans="1:39" ht="135" x14ac:dyDescent="0.2">
      <c r="A81" s="17"/>
      <c r="B81" s="65"/>
      <c r="C81" s="39" t="s">
        <v>491</v>
      </c>
      <c r="D81" s="34" t="s">
        <v>488</v>
      </c>
      <c r="E81" s="162">
        <v>100</v>
      </c>
      <c r="F81" s="158" t="s">
        <v>28</v>
      </c>
      <c r="G81" s="9"/>
      <c r="H81" s="162">
        <v>100</v>
      </c>
      <c r="I81" s="158" t="s">
        <v>28</v>
      </c>
      <c r="J81" s="40">
        <v>290500000</v>
      </c>
      <c r="K81" s="162">
        <v>100</v>
      </c>
      <c r="L81" s="227" t="s">
        <v>28</v>
      </c>
      <c r="M81" s="40">
        <v>58100000</v>
      </c>
      <c r="N81" s="162">
        <v>100</v>
      </c>
      <c r="O81" s="158" t="s">
        <v>28</v>
      </c>
      <c r="P81" s="40">
        <v>37500000</v>
      </c>
      <c r="Q81" s="225">
        <v>100</v>
      </c>
      <c r="R81" s="158" t="s">
        <v>28</v>
      </c>
      <c r="S81" s="9">
        <v>55027500</v>
      </c>
      <c r="T81" s="81">
        <v>100</v>
      </c>
      <c r="U81" s="158" t="s">
        <v>28</v>
      </c>
      <c r="V81" s="9">
        <v>8900000</v>
      </c>
      <c r="W81" s="58">
        <f t="shared" si="21"/>
        <v>100</v>
      </c>
      <c r="X81" s="18" t="s">
        <v>28</v>
      </c>
      <c r="Y81" s="289">
        <f>S81/M81*100</f>
        <v>94.711703958691913</v>
      </c>
      <c r="Z81" s="58">
        <f t="shared" ref="Z81" si="24">T81/N81*100</f>
        <v>100</v>
      </c>
      <c r="AA81" s="18" t="s">
        <v>28</v>
      </c>
      <c r="AB81" s="289">
        <f>V81/P81*100</f>
        <v>23.733333333333334</v>
      </c>
      <c r="AC81" s="96">
        <f>T81</f>
        <v>100</v>
      </c>
      <c r="AD81" s="49" t="s">
        <v>28</v>
      </c>
      <c r="AE81" s="247">
        <f>S81+V81</f>
        <v>63927500</v>
      </c>
      <c r="AF81" s="8"/>
      <c r="AG81" s="8"/>
      <c r="AH81" s="8"/>
      <c r="AI81" s="8"/>
      <c r="AM81" s="134">
        <f t="shared" si="16"/>
        <v>55027500</v>
      </c>
    </row>
    <row r="82" spans="1:39" ht="75" x14ac:dyDescent="0.2">
      <c r="A82" s="17"/>
      <c r="B82" s="65"/>
      <c r="C82" s="48"/>
      <c r="D82" s="76" t="s">
        <v>525</v>
      </c>
      <c r="E82" s="346">
        <v>49.04</v>
      </c>
      <c r="F82" s="347" t="s">
        <v>26</v>
      </c>
      <c r="G82" s="348"/>
      <c r="H82" s="346">
        <v>81.33</v>
      </c>
      <c r="I82" s="347" t="s">
        <v>26</v>
      </c>
      <c r="J82" s="349">
        <f>SUM(J83:J88)</f>
        <v>21805587000</v>
      </c>
      <c r="K82" s="346">
        <v>69.77</v>
      </c>
      <c r="L82" s="347" t="s">
        <v>26</v>
      </c>
      <c r="M82" s="349">
        <f>SUM(M83:M88)</f>
        <v>2883005400</v>
      </c>
      <c r="N82" s="346">
        <v>73.17</v>
      </c>
      <c r="O82" s="347" t="s">
        <v>26</v>
      </c>
      <c r="P82" s="349">
        <f>SUM(P83:P88)</f>
        <v>2233112700</v>
      </c>
      <c r="Q82" s="346">
        <v>62.74</v>
      </c>
      <c r="R82" s="347" t="s">
        <v>26</v>
      </c>
      <c r="S82" s="349">
        <f>SUM(S83:S88)</f>
        <v>1423793450</v>
      </c>
      <c r="T82" s="346">
        <v>62.74</v>
      </c>
      <c r="U82" s="347" t="s">
        <v>26</v>
      </c>
      <c r="V82" s="349">
        <f>SUM(V83:V88)</f>
        <v>1770721322</v>
      </c>
      <c r="W82" s="288">
        <f>Q82/K82*100</f>
        <v>89.924036118675659</v>
      </c>
      <c r="X82" s="282" t="s">
        <v>28</v>
      </c>
      <c r="Y82" s="294">
        <f>S82/M82*100</f>
        <v>49.385736495672191</v>
      </c>
      <c r="Z82" s="288">
        <f>T82/N82*100</f>
        <v>85.745524121907891</v>
      </c>
      <c r="AA82" s="282" t="s">
        <v>28</v>
      </c>
      <c r="AB82" s="294">
        <f>V82/P82*100</f>
        <v>79.293862866840541</v>
      </c>
      <c r="AC82" s="387">
        <f>T82</f>
        <v>62.74</v>
      </c>
      <c r="AD82" s="347" t="s">
        <v>26</v>
      </c>
      <c r="AE82" s="388">
        <f>S82+V82</f>
        <v>3194514772</v>
      </c>
      <c r="AF82" s="5"/>
      <c r="AG82" s="5"/>
      <c r="AH82" s="5"/>
      <c r="AI82" s="5"/>
      <c r="AJ82" s="157" t="s">
        <v>490</v>
      </c>
      <c r="AM82" s="134">
        <f t="shared" si="16"/>
        <v>1423793450</v>
      </c>
    </row>
    <row r="83" spans="1:39" s="176" customFormat="1" ht="180" x14ac:dyDescent="0.2">
      <c r="A83" s="170"/>
      <c r="B83" s="171"/>
      <c r="C83" s="44" t="s">
        <v>492</v>
      </c>
      <c r="D83" s="41" t="s">
        <v>489</v>
      </c>
      <c r="E83" s="172">
        <v>21.87</v>
      </c>
      <c r="F83" s="173" t="s">
        <v>28</v>
      </c>
      <c r="G83" s="257"/>
      <c r="H83" s="172">
        <v>28.13</v>
      </c>
      <c r="I83" s="173" t="s">
        <v>28</v>
      </c>
      <c r="J83" s="46">
        <v>18103300000</v>
      </c>
      <c r="K83" s="172">
        <v>37.5</v>
      </c>
      <c r="L83" s="173" t="s">
        <v>28</v>
      </c>
      <c r="M83" s="46">
        <v>2142548000</v>
      </c>
      <c r="N83" s="172">
        <v>18.75</v>
      </c>
      <c r="O83" s="173" t="s">
        <v>28</v>
      </c>
      <c r="P83" s="46">
        <v>1601003300</v>
      </c>
      <c r="Q83" s="172">
        <v>46.88</v>
      </c>
      <c r="R83" s="173" t="s">
        <v>28</v>
      </c>
      <c r="S83" s="257">
        <v>1209834150</v>
      </c>
      <c r="T83" s="172">
        <f>20/32*100</f>
        <v>62.5</v>
      </c>
      <c r="U83" s="173" t="s">
        <v>28</v>
      </c>
      <c r="V83" s="257">
        <v>1163386800</v>
      </c>
      <c r="W83" s="58">
        <f>Q83/K83*100</f>
        <v>125.01333333333334</v>
      </c>
      <c r="X83" s="174" t="s">
        <v>28</v>
      </c>
      <c r="Y83" s="350">
        <f>S83/M83*100</f>
        <v>56.467073316443781</v>
      </c>
      <c r="Z83" s="58">
        <f t="shared" ref="Z83:Z88" si="25">T83/N83*100</f>
        <v>333.33333333333337</v>
      </c>
      <c r="AA83" s="174" t="s">
        <v>28</v>
      </c>
      <c r="AB83" s="350">
        <f>V83/P83*100</f>
        <v>72.666108808145495</v>
      </c>
      <c r="AC83" s="78">
        <f>T83</f>
        <v>62.5</v>
      </c>
      <c r="AD83" s="173" t="s">
        <v>28</v>
      </c>
      <c r="AE83" s="247">
        <f>S83+V83</f>
        <v>2373220950</v>
      </c>
      <c r="AF83" s="175"/>
      <c r="AG83" s="175"/>
      <c r="AH83" s="175"/>
      <c r="AI83" s="175"/>
      <c r="AM83" s="134">
        <f t="shared" si="16"/>
        <v>1209834150</v>
      </c>
    </row>
    <row r="84" spans="1:39" ht="120" x14ac:dyDescent="0.2">
      <c r="A84" s="17"/>
      <c r="B84" s="65"/>
      <c r="C84" s="256"/>
      <c r="D84" s="34" t="s">
        <v>529</v>
      </c>
      <c r="E84" s="81">
        <v>55.39</v>
      </c>
      <c r="F84" s="158" t="s">
        <v>28</v>
      </c>
      <c r="G84" s="229"/>
      <c r="H84" s="81">
        <v>74.5</v>
      </c>
      <c r="I84" s="158" t="s">
        <v>28</v>
      </c>
      <c r="J84" s="238"/>
      <c r="K84" s="81">
        <v>64.430000000000007</v>
      </c>
      <c r="L84" s="227" t="s">
        <v>28</v>
      </c>
      <c r="M84" s="238"/>
      <c r="N84" s="81">
        <v>67.67</v>
      </c>
      <c r="O84" s="158" t="s">
        <v>28</v>
      </c>
      <c r="P84" s="238"/>
      <c r="Q84" s="81">
        <v>63.33</v>
      </c>
      <c r="R84" s="158" t="s">
        <v>28</v>
      </c>
      <c r="S84" s="229"/>
      <c r="T84" s="81">
        <f>384/600*100</f>
        <v>64</v>
      </c>
      <c r="U84" s="158" t="s">
        <v>28</v>
      </c>
      <c r="V84" s="229"/>
      <c r="W84" s="58">
        <f>Q84/K84*100</f>
        <v>98.292720782244274</v>
      </c>
      <c r="X84" s="18" t="s">
        <v>28</v>
      </c>
      <c r="Y84" s="297"/>
      <c r="Z84" s="58">
        <f t="shared" si="25"/>
        <v>94.576621841288599</v>
      </c>
      <c r="AA84" s="18" t="s">
        <v>28</v>
      </c>
      <c r="AB84" s="297"/>
      <c r="AC84" s="78">
        <f t="shared" ref="AC84:AC85" si="26">T84</f>
        <v>64</v>
      </c>
      <c r="AD84" s="173" t="s">
        <v>28</v>
      </c>
      <c r="AE84" s="4"/>
      <c r="AF84" s="8"/>
      <c r="AG84" s="8"/>
      <c r="AH84" s="8"/>
      <c r="AI84" s="8"/>
      <c r="AM84" s="134">
        <f t="shared" si="16"/>
        <v>0</v>
      </c>
    </row>
    <row r="85" spans="1:39" ht="120" x14ac:dyDescent="0.2">
      <c r="A85" s="17"/>
      <c r="B85" s="65"/>
      <c r="C85" s="48"/>
      <c r="D85" s="34" t="s">
        <v>493</v>
      </c>
      <c r="E85" s="81">
        <v>29.52</v>
      </c>
      <c r="F85" s="158" t="s">
        <v>28</v>
      </c>
      <c r="G85" s="50"/>
      <c r="H85" s="81">
        <v>56.84</v>
      </c>
      <c r="I85" s="158" t="s">
        <v>28</v>
      </c>
      <c r="J85" s="237"/>
      <c r="K85" s="81">
        <v>43.55</v>
      </c>
      <c r="L85" s="227" t="s">
        <v>28</v>
      </c>
      <c r="M85" s="237"/>
      <c r="N85" s="81">
        <v>46.78</v>
      </c>
      <c r="O85" s="158" t="s">
        <v>28</v>
      </c>
      <c r="P85" s="237"/>
      <c r="Q85" s="81">
        <v>43.66</v>
      </c>
      <c r="R85" s="158" t="s">
        <v>28</v>
      </c>
      <c r="S85" s="50"/>
      <c r="T85" s="81">
        <f>1337/2785*100</f>
        <v>48.007181328545776</v>
      </c>
      <c r="U85" s="158" t="s">
        <v>28</v>
      </c>
      <c r="V85" s="50"/>
      <c r="W85" s="58">
        <f>Q85/K85*100</f>
        <v>100.25258323765786</v>
      </c>
      <c r="X85" s="18" t="s">
        <v>28</v>
      </c>
      <c r="Y85" s="292"/>
      <c r="Z85" s="58">
        <f t="shared" si="25"/>
        <v>102.62330339577976</v>
      </c>
      <c r="AA85" s="18" t="s">
        <v>28</v>
      </c>
      <c r="AB85" s="292"/>
      <c r="AC85" s="78">
        <f t="shared" si="26"/>
        <v>48.007181328545776</v>
      </c>
      <c r="AD85" s="173" t="s">
        <v>28</v>
      </c>
      <c r="AE85" s="5"/>
      <c r="AF85" s="8"/>
      <c r="AG85" s="8"/>
      <c r="AH85" s="8"/>
      <c r="AI85" s="8"/>
      <c r="AM85" s="134">
        <f t="shared" si="16"/>
        <v>0</v>
      </c>
    </row>
    <row r="86" spans="1:39" ht="75" x14ac:dyDescent="0.2">
      <c r="A86" s="17"/>
      <c r="B86" s="65"/>
      <c r="C86" s="34" t="s">
        <v>494</v>
      </c>
      <c r="D86" s="34" t="s">
        <v>495</v>
      </c>
      <c r="E86" s="162">
        <v>45</v>
      </c>
      <c r="F86" s="158" t="s">
        <v>28</v>
      </c>
      <c r="G86" s="9"/>
      <c r="H86" s="162">
        <v>100</v>
      </c>
      <c r="I86" s="158" t="s">
        <v>28</v>
      </c>
      <c r="J86" s="38">
        <v>585315000</v>
      </c>
      <c r="K86" s="162">
        <v>20</v>
      </c>
      <c r="L86" s="227" t="s">
        <v>28</v>
      </c>
      <c r="M86" s="38">
        <v>117063000</v>
      </c>
      <c r="N86" s="162">
        <v>20</v>
      </c>
      <c r="O86" s="158" t="s">
        <v>28</v>
      </c>
      <c r="P86" s="38">
        <v>32865000</v>
      </c>
      <c r="Q86" s="81">
        <v>20</v>
      </c>
      <c r="R86" s="158" t="s">
        <v>28</v>
      </c>
      <c r="S86" s="9">
        <v>68558000</v>
      </c>
      <c r="T86" s="162">
        <v>20</v>
      </c>
      <c r="U86" s="158" t="s">
        <v>28</v>
      </c>
      <c r="V86" s="9">
        <v>26620000</v>
      </c>
      <c r="W86" s="58">
        <f t="shared" ref="W86:W89" si="27">Q86/K86*100</f>
        <v>100</v>
      </c>
      <c r="X86" s="18" t="s">
        <v>28</v>
      </c>
      <c r="Y86" s="289">
        <f>S86/M86*100</f>
        <v>58.565046171719501</v>
      </c>
      <c r="Z86" s="58">
        <f t="shared" si="25"/>
        <v>100</v>
      </c>
      <c r="AA86" s="18" t="s">
        <v>28</v>
      </c>
      <c r="AB86" s="289">
        <f>V86/P86*100</f>
        <v>80.998022212079718</v>
      </c>
      <c r="AC86" s="78">
        <f>T86</f>
        <v>20</v>
      </c>
      <c r="AD86" s="173" t="s">
        <v>28</v>
      </c>
      <c r="AE86" s="247">
        <f>S86+V86</f>
        <v>95178000</v>
      </c>
      <c r="AF86" s="8"/>
      <c r="AG86" s="8"/>
      <c r="AH86" s="8"/>
      <c r="AI86" s="8"/>
      <c r="AM86" s="134">
        <f t="shared" si="16"/>
        <v>68558000</v>
      </c>
    </row>
    <row r="87" spans="1:39" ht="135" x14ac:dyDescent="0.2">
      <c r="A87" s="17"/>
      <c r="B87" s="65"/>
      <c r="C87" s="255" t="s">
        <v>531</v>
      </c>
      <c r="D87" s="34" t="s">
        <v>496</v>
      </c>
      <c r="E87" s="81">
        <v>88.4</v>
      </c>
      <c r="F87" s="158" t="s">
        <v>28</v>
      </c>
      <c r="G87" s="233"/>
      <c r="H87" s="162">
        <v>100</v>
      </c>
      <c r="I87" s="158" t="s">
        <v>28</v>
      </c>
      <c r="J87" s="46">
        <v>3116972000</v>
      </c>
      <c r="K87" s="162">
        <v>91</v>
      </c>
      <c r="L87" s="227" t="s">
        <v>28</v>
      </c>
      <c r="M87" s="46">
        <v>623394400</v>
      </c>
      <c r="N87" s="162">
        <v>93</v>
      </c>
      <c r="O87" s="158" t="s">
        <v>28</v>
      </c>
      <c r="P87" s="46">
        <v>599244400</v>
      </c>
      <c r="Q87" s="81">
        <v>93.54</v>
      </c>
      <c r="R87" s="158" t="s">
        <v>28</v>
      </c>
      <c r="S87" s="233">
        <v>145401300</v>
      </c>
      <c r="T87" s="81">
        <f>1556/1641*100</f>
        <v>94.820231566118224</v>
      </c>
      <c r="U87" s="177" t="s">
        <v>28</v>
      </c>
      <c r="V87" s="233">
        <v>580714522</v>
      </c>
      <c r="W87" s="58">
        <f t="shared" si="27"/>
        <v>102.7912087912088</v>
      </c>
      <c r="X87" s="18" t="s">
        <v>28</v>
      </c>
      <c r="Y87" s="291">
        <f>S87/M87*100</f>
        <v>23.324126748652219</v>
      </c>
      <c r="Z87" s="58">
        <f t="shared" si="25"/>
        <v>101.95723824313787</v>
      </c>
      <c r="AA87" s="18" t="s">
        <v>28</v>
      </c>
      <c r="AB87" s="291">
        <f>V87/P87*100</f>
        <v>96.907792880500836</v>
      </c>
      <c r="AC87" s="78">
        <f>T87</f>
        <v>94.820231566118224</v>
      </c>
      <c r="AD87" s="173" t="s">
        <v>28</v>
      </c>
      <c r="AE87" s="247">
        <f>S87+V87</f>
        <v>726115822</v>
      </c>
      <c r="AF87" s="8"/>
      <c r="AG87" s="8"/>
      <c r="AH87" s="8"/>
      <c r="AI87" s="8"/>
      <c r="AM87" s="134">
        <f t="shared" si="16"/>
        <v>145401300</v>
      </c>
    </row>
    <row r="88" spans="1:39" ht="90" x14ac:dyDescent="0.2">
      <c r="A88" s="17"/>
      <c r="B88" s="65"/>
      <c r="C88" s="48"/>
      <c r="D88" s="34" t="s">
        <v>497</v>
      </c>
      <c r="E88" s="81">
        <v>86.8</v>
      </c>
      <c r="F88" s="158" t="s">
        <v>28</v>
      </c>
      <c r="G88" s="50"/>
      <c r="H88" s="162">
        <v>100</v>
      </c>
      <c r="I88" s="158" t="s">
        <v>28</v>
      </c>
      <c r="J88" s="237"/>
      <c r="K88" s="81">
        <v>89.5</v>
      </c>
      <c r="L88" s="227" t="s">
        <v>28</v>
      </c>
      <c r="M88" s="237"/>
      <c r="N88" s="81">
        <v>92</v>
      </c>
      <c r="O88" s="158" t="s">
        <v>28</v>
      </c>
      <c r="P88" s="237"/>
      <c r="Q88" s="81">
        <v>89.5</v>
      </c>
      <c r="R88" s="158" t="s">
        <v>28</v>
      </c>
      <c r="S88" s="50"/>
      <c r="T88" s="81">
        <v>92.002274017002094</v>
      </c>
      <c r="U88" s="158" t="s">
        <v>28</v>
      </c>
      <c r="V88" s="50"/>
      <c r="W88" s="58">
        <f t="shared" si="27"/>
        <v>100</v>
      </c>
      <c r="X88" s="18" t="s">
        <v>28</v>
      </c>
      <c r="Y88" s="292"/>
      <c r="Z88" s="58">
        <f t="shared" si="25"/>
        <v>100.00247175761096</v>
      </c>
      <c r="AA88" s="18" t="s">
        <v>28</v>
      </c>
      <c r="AB88" s="292"/>
      <c r="AC88" s="78">
        <f>T88</f>
        <v>92.002274017002094</v>
      </c>
      <c r="AD88" s="173" t="s">
        <v>28</v>
      </c>
      <c r="AE88" s="5"/>
      <c r="AF88" s="8"/>
      <c r="AG88" s="8"/>
      <c r="AH88" s="8"/>
      <c r="AI88" s="8"/>
      <c r="AM88" s="134">
        <f t="shared" si="16"/>
        <v>0</v>
      </c>
    </row>
    <row r="89" spans="1:39" ht="120" x14ac:dyDescent="0.2">
      <c r="A89" s="17"/>
      <c r="B89" s="65"/>
      <c r="C89" s="34" t="s">
        <v>498</v>
      </c>
      <c r="D89" s="34" t="s">
        <v>499</v>
      </c>
      <c r="E89" s="162">
        <v>100</v>
      </c>
      <c r="F89" s="158" t="s">
        <v>28</v>
      </c>
      <c r="G89" s="9"/>
      <c r="H89" s="162">
        <v>100</v>
      </c>
      <c r="I89" s="158" t="s">
        <v>28</v>
      </c>
      <c r="J89" s="38">
        <v>737063750</v>
      </c>
      <c r="K89" s="162">
        <v>100</v>
      </c>
      <c r="L89" s="227" t="s">
        <v>28</v>
      </c>
      <c r="M89" s="38">
        <v>172012750</v>
      </c>
      <c r="N89" s="162">
        <v>100</v>
      </c>
      <c r="O89" s="158" t="s">
        <v>28</v>
      </c>
      <c r="P89" s="38">
        <v>110468800</v>
      </c>
      <c r="Q89" s="81">
        <v>100</v>
      </c>
      <c r="R89" s="158" t="s">
        <v>28</v>
      </c>
      <c r="S89" s="9">
        <v>41398750</v>
      </c>
      <c r="T89" s="162">
        <v>0</v>
      </c>
      <c r="U89" s="158" t="s">
        <v>28</v>
      </c>
      <c r="V89" s="9">
        <v>7260000</v>
      </c>
      <c r="W89" s="58">
        <f t="shared" si="27"/>
        <v>100</v>
      </c>
      <c r="X89" s="18" t="s">
        <v>28</v>
      </c>
      <c r="Y89" s="289">
        <f>S89/M89*100</f>
        <v>24.067256642312852</v>
      </c>
      <c r="Z89" s="58">
        <f t="shared" ref="Z89" si="28">T89/N89*100</f>
        <v>0</v>
      </c>
      <c r="AA89" s="18" t="s">
        <v>28</v>
      </c>
      <c r="AB89" s="289">
        <f>V89/P89*100</f>
        <v>6.5719913676983905</v>
      </c>
      <c r="AC89" s="78">
        <f>T89</f>
        <v>0</v>
      </c>
      <c r="AD89" s="173" t="s">
        <v>28</v>
      </c>
      <c r="AE89" s="247">
        <f>S89+V89</f>
        <v>48658750</v>
      </c>
      <c r="AF89" s="8"/>
      <c r="AG89" s="8"/>
      <c r="AH89" s="8"/>
      <c r="AI89" s="8"/>
      <c r="AJ89" s="157" t="s">
        <v>399</v>
      </c>
      <c r="AM89" s="134">
        <f t="shared" si="16"/>
        <v>41398750</v>
      </c>
    </row>
    <row r="90" spans="1:39" ht="15" x14ac:dyDescent="0.2">
      <c r="A90" s="446" t="s">
        <v>5</v>
      </c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121">
        <f>AVERAGE(W66:W89)</f>
        <v>118.09150702774487</v>
      </c>
      <c r="X90" s="122"/>
      <c r="Y90" s="121"/>
      <c r="Z90" s="121">
        <f>AVERAGE(Z66:Z89)</f>
        <v>89.677113121470029</v>
      </c>
      <c r="AA90" s="102"/>
      <c r="AB90" s="102"/>
      <c r="AC90" s="102"/>
      <c r="AD90" s="102"/>
      <c r="AE90" s="102"/>
      <c r="AF90" s="102"/>
      <c r="AG90" s="102"/>
      <c r="AH90" s="102"/>
      <c r="AI90" s="102"/>
      <c r="AJ90" s="126"/>
    </row>
    <row r="91" spans="1:39" ht="15" x14ac:dyDescent="0.2">
      <c r="A91" s="446" t="s">
        <v>6</v>
      </c>
      <c r="B91" s="446"/>
      <c r="C91" s="446"/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195" t="str">
        <f>IF(W90&gt;=91,"Sangat Tinggi",IF(W90&gt;=76,"Tinggi",IF(W90&gt;=66,"Sedang",IF(W90&gt;=51,"Rendah",IF(W90&lt;=50,"Sangat Rendah")))))</f>
        <v>Sangat Tinggi</v>
      </c>
      <c r="X91" s="122"/>
      <c r="Y91" s="102"/>
      <c r="Z91" s="195" t="str">
        <f>IF(Z90&gt;=91,"Sangat Tinggi",IF(Z90&gt;=76,"Tinggi",IF(Z90&gt;=66,"Sedang",IF(Z90&gt;=51,"Rendah",IF(Z90&lt;=50,"Sangat Rendah")))))</f>
        <v>Tinggi</v>
      </c>
      <c r="AA91" s="102"/>
      <c r="AB91" s="102"/>
      <c r="AC91" s="102"/>
      <c r="AD91" s="102"/>
      <c r="AE91" s="102"/>
      <c r="AF91" s="102"/>
      <c r="AG91" s="102"/>
      <c r="AH91" s="102"/>
      <c r="AI91" s="102"/>
      <c r="AJ91" s="126"/>
    </row>
    <row r="92" spans="1:39" ht="15" x14ac:dyDescent="0.2">
      <c r="A92" s="429" t="s">
        <v>7</v>
      </c>
      <c r="B92" s="429"/>
      <c r="C92" s="429"/>
      <c r="D92" s="429"/>
      <c r="E92" s="429"/>
      <c r="F92" s="429"/>
      <c r="G92" s="429"/>
      <c r="H92" s="429"/>
      <c r="I92" s="429"/>
      <c r="J92" s="429"/>
      <c r="K92" s="429"/>
      <c r="L92" s="429"/>
      <c r="M92" s="429"/>
      <c r="N92" s="429"/>
      <c r="O92" s="429"/>
      <c r="P92" s="429"/>
      <c r="Q92" s="429"/>
      <c r="R92" s="429"/>
      <c r="S92" s="429"/>
      <c r="T92" s="429"/>
      <c r="U92" s="429"/>
      <c r="V92" s="429"/>
      <c r="W92" s="429"/>
      <c r="X92" s="429"/>
      <c r="Y92" s="429"/>
      <c r="Z92" s="429"/>
      <c r="AA92" s="429"/>
      <c r="AB92" s="429"/>
      <c r="AC92" s="429"/>
      <c r="AD92" s="429"/>
      <c r="AE92" s="429"/>
      <c r="AF92" s="429"/>
      <c r="AG92" s="429"/>
      <c r="AH92" s="429"/>
      <c r="AI92" s="429"/>
      <c r="AJ92" s="126"/>
    </row>
    <row r="93" spans="1:39" ht="15" x14ac:dyDescent="0.2">
      <c r="A93" s="429" t="s">
        <v>8</v>
      </c>
      <c r="B93" s="429"/>
      <c r="C93" s="429"/>
      <c r="D93" s="429"/>
      <c r="E93" s="429"/>
      <c r="F93" s="429"/>
      <c r="G93" s="429"/>
      <c r="H93" s="429"/>
      <c r="I93" s="429"/>
      <c r="J93" s="429"/>
      <c r="K93" s="429"/>
      <c r="L93" s="429"/>
      <c r="M93" s="429"/>
      <c r="N93" s="429"/>
      <c r="O93" s="429"/>
      <c r="P93" s="429"/>
      <c r="Q93" s="429"/>
      <c r="R93" s="429"/>
      <c r="S93" s="429"/>
      <c r="T93" s="429"/>
      <c r="U93" s="429"/>
      <c r="V93" s="429"/>
      <c r="W93" s="429"/>
      <c r="X93" s="429"/>
      <c r="Y93" s="429"/>
      <c r="Z93" s="429"/>
      <c r="AA93" s="429"/>
      <c r="AB93" s="429"/>
      <c r="AC93" s="429"/>
      <c r="AD93" s="429"/>
      <c r="AE93" s="429"/>
      <c r="AF93" s="429"/>
      <c r="AG93" s="429"/>
      <c r="AH93" s="429"/>
      <c r="AI93" s="429"/>
      <c r="AJ93" s="126"/>
    </row>
    <row r="94" spans="1:39" ht="15" x14ac:dyDescent="0.2">
      <c r="A94" s="429" t="s">
        <v>9</v>
      </c>
      <c r="B94" s="429"/>
      <c r="C94" s="429"/>
      <c r="D94" s="429"/>
      <c r="E94" s="429"/>
      <c r="F94" s="429"/>
      <c r="G94" s="429"/>
      <c r="H94" s="429"/>
      <c r="I94" s="429"/>
      <c r="J94" s="429"/>
      <c r="K94" s="429"/>
      <c r="L94" s="429"/>
      <c r="M94" s="429"/>
      <c r="N94" s="429"/>
      <c r="O94" s="429"/>
      <c r="P94" s="429"/>
      <c r="Q94" s="429"/>
      <c r="R94" s="429"/>
      <c r="S94" s="429"/>
      <c r="T94" s="429"/>
      <c r="U94" s="429"/>
      <c r="V94" s="429"/>
      <c r="W94" s="429"/>
      <c r="X94" s="429"/>
      <c r="Y94" s="429"/>
      <c r="Z94" s="429"/>
      <c r="AA94" s="429"/>
      <c r="AB94" s="429"/>
      <c r="AC94" s="429"/>
      <c r="AD94" s="429"/>
      <c r="AE94" s="429"/>
      <c r="AF94" s="429"/>
      <c r="AG94" s="429"/>
      <c r="AH94" s="429"/>
      <c r="AI94" s="429"/>
      <c r="AJ94" s="126"/>
    </row>
    <row r="95" spans="1:39" ht="15" x14ac:dyDescent="0.2">
      <c r="A95" s="429" t="s">
        <v>10</v>
      </c>
      <c r="B95" s="429"/>
      <c r="C95" s="429"/>
      <c r="D95" s="429"/>
      <c r="E95" s="429"/>
      <c r="F95" s="429"/>
      <c r="G95" s="429"/>
      <c r="H95" s="429"/>
      <c r="I95" s="429"/>
      <c r="J95" s="429"/>
      <c r="K95" s="429"/>
      <c r="L95" s="429"/>
      <c r="M95" s="429"/>
      <c r="N95" s="429"/>
      <c r="O95" s="429"/>
      <c r="P95" s="429"/>
      <c r="Q95" s="429"/>
      <c r="R95" s="429"/>
      <c r="S95" s="429"/>
      <c r="T95" s="429"/>
      <c r="U95" s="429"/>
      <c r="V95" s="429"/>
      <c r="W95" s="429"/>
      <c r="X95" s="429"/>
      <c r="Y95" s="429"/>
      <c r="Z95" s="429"/>
      <c r="AA95" s="429"/>
      <c r="AB95" s="429"/>
      <c r="AC95" s="429"/>
      <c r="AD95" s="429"/>
      <c r="AE95" s="429"/>
      <c r="AF95" s="429"/>
      <c r="AG95" s="429"/>
      <c r="AH95" s="429"/>
      <c r="AI95" s="429"/>
      <c r="AJ95" s="127"/>
    </row>
    <row r="96" spans="1:39" ht="15" x14ac:dyDescent="0.2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</row>
    <row r="97" spans="1:39" ht="15" x14ac:dyDescent="0.2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</row>
    <row r="98" spans="1:39" ht="15" x14ac:dyDescent="0.2">
      <c r="A98" s="125"/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</row>
    <row r="99" spans="1:39" s="133" customFormat="1" ht="68.25" customHeight="1" x14ac:dyDescent="0.2">
      <c r="A99" s="444" t="s">
        <v>0</v>
      </c>
      <c r="B99" s="444" t="s">
        <v>272</v>
      </c>
      <c r="C99" s="445" t="s">
        <v>1</v>
      </c>
      <c r="D99" s="445" t="s">
        <v>327</v>
      </c>
      <c r="E99" s="435" t="s">
        <v>21</v>
      </c>
      <c r="F99" s="436"/>
      <c r="G99" s="437"/>
      <c r="H99" s="435" t="s">
        <v>20</v>
      </c>
      <c r="I99" s="436"/>
      <c r="J99" s="437"/>
      <c r="K99" s="412" t="s">
        <v>582</v>
      </c>
      <c r="L99" s="413"/>
      <c r="M99" s="413"/>
      <c r="N99" s="413"/>
      <c r="O99" s="413"/>
      <c r="P99" s="414"/>
      <c r="Q99" s="412" t="s">
        <v>583</v>
      </c>
      <c r="R99" s="413"/>
      <c r="S99" s="413"/>
      <c r="T99" s="413"/>
      <c r="U99" s="413"/>
      <c r="V99" s="413"/>
      <c r="W99" s="412" t="s">
        <v>584</v>
      </c>
      <c r="X99" s="413"/>
      <c r="Y99" s="413"/>
      <c r="Z99" s="413"/>
      <c r="AA99" s="413"/>
      <c r="AB99" s="413"/>
      <c r="AC99" s="412" t="s">
        <v>19</v>
      </c>
      <c r="AD99" s="413"/>
      <c r="AE99" s="414"/>
      <c r="AF99" s="412" t="s">
        <v>4</v>
      </c>
      <c r="AG99" s="413"/>
      <c r="AH99" s="413"/>
      <c r="AI99" s="414"/>
      <c r="AJ99" s="433" t="s">
        <v>294</v>
      </c>
    </row>
    <row r="100" spans="1:39" s="133" customFormat="1" ht="18" customHeight="1" x14ac:dyDescent="0.2">
      <c r="A100" s="444"/>
      <c r="B100" s="444"/>
      <c r="C100" s="445"/>
      <c r="D100" s="445"/>
      <c r="E100" s="438"/>
      <c r="F100" s="439"/>
      <c r="G100" s="440"/>
      <c r="H100" s="438"/>
      <c r="I100" s="439"/>
      <c r="J100" s="440"/>
      <c r="K100" s="415"/>
      <c r="L100" s="416"/>
      <c r="M100" s="416"/>
      <c r="N100" s="416"/>
      <c r="O100" s="416"/>
      <c r="P100" s="417"/>
      <c r="Q100" s="415"/>
      <c r="R100" s="416"/>
      <c r="S100" s="416"/>
      <c r="T100" s="416"/>
      <c r="U100" s="416"/>
      <c r="V100" s="416"/>
      <c r="W100" s="415"/>
      <c r="X100" s="416"/>
      <c r="Y100" s="416"/>
      <c r="Z100" s="416"/>
      <c r="AA100" s="416"/>
      <c r="AB100" s="416"/>
      <c r="AC100" s="430"/>
      <c r="AD100" s="431"/>
      <c r="AE100" s="432"/>
      <c r="AF100" s="430"/>
      <c r="AG100" s="431"/>
      <c r="AH100" s="431"/>
      <c r="AI100" s="432"/>
      <c r="AJ100" s="434"/>
    </row>
    <row r="101" spans="1:39" s="133" customFormat="1" ht="15.75" customHeight="1" x14ac:dyDescent="0.2">
      <c r="A101" s="444"/>
      <c r="B101" s="444"/>
      <c r="C101" s="445"/>
      <c r="D101" s="445"/>
      <c r="E101" s="441"/>
      <c r="F101" s="442"/>
      <c r="G101" s="443"/>
      <c r="H101" s="441"/>
      <c r="I101" s="442"/>
      <c r="J101" s="443"/>
      <c r="K101" s="398" t="s">
        <v>580</v>
      </c>
      <c r="L101" s="399"/>
      <c r="M101" s="400"/>
      <c r="N101" s="398" t="s">
        <v>581</v>
      </c>
      <c r="O101" s="399"/>
      <c r="P101" s="400"/>
      <c r="Q101" s="398" t="s">
        <v>580</v>
      </c>
      <c r="R101" s="399"/>
      <c r="S101" s="400"/>
      <c r="T101" s="398" t="s">
        <v>581</v>
      </c>
      <c r="U101" s="399"/>
      <c r="V101" s="400"/>
      <c r="W101" s="398" t="s">
        <v>580</v>
      </c>
      <c r="X101" s="399"/>
      <c r="Y101" s="400"/>
      <c r="Z101" s="398" t="s">
        <v>581</v>
      </c>
      <c r="AA101" s="399"/>
      <c r="AB101" s="400"/>
      <c r="AC101" s="415"/>
      <c r="AD101" s="416"/>
      <c r="AE101" s="417"/>
      <c r="AF101" s="415"/>
      <c r="AG101" s="416"/>
      <c r="AH101" s="416"/>
      <c r="AI101" s="417"/>
      <c r="AJ101" s="128"/>
    </row>
    <row r="102" spans="1:39" s="103" customFormat="1" ht="15.75" x14ac:dyDescent="0.25">
      <c r="A102" s="411">
        <v>1</v>
      </c>
      <c r="B102" s="411">
        <v>2</v>
      </c>
      <c r="C102" s="411">
        <v>3</v>
      </c>
      <c r="D102" s="411">
        <v>4</v>
      </c>
      <c r="E102" s="420">
        <v>5</v>
      </c>
      <c r="F102" s="421"/>
      <c r="G102" s="422"/>
      <c r="H102" s="420">
        <v>6</v>
      </c>
      <c r="I102" s="421"/>
      <c r="J102" s="422"/>
      <c r="K102" s="401">
        <v>7</v>
      </c>
      <c r="L102" s="402"/>
      <c r="M102" s="403"/>
      <c r="N102" s="401">
        <v>8</v>
      </c>
      <c r="O102" s="402"/>
      <c r="P102" s="403"/>
      <c r="Q102" s="401">
        <v>12</v>
      </c>
      <c r="R102" s="402"/>
      <c r="S102" s="403"/>
      <c r="T102" s="401">
        <v>13</v>
      </c>
      <c r="U102" s="402"/>
      <c r="V102" s="403"/>
      <c r="W102" s="395">
        <v>17</v>
      </c>
      <c r="X102" s="396"/>
      <c r="Y102" s="397"/>
      <c r="Z102" s="395">
        <v>18</v>
      </c>
      <c r="AA102" s="396"/>
      <c r="AB102" s="397"/>
      <c r="AC102" s="395">
        <v>22</v>
      </c>
      <c r="AD102" s="396"/>
      <c r="AE102" s="397"/>
      <c r="AF102" s="395">
        <v>23</v>
      </c>
      <c r="AG102" s="396"/>
      <c r="AH102" s="396"/>
      <c r="AI102" s="397"/>
      <c r="AJ102" s="129"/>
    </row>
    <row r="103" spans="1:39" s="103" customFormat="1" ht="87" customHeight="1" x14ac:dyDescent="0.2">
      <c r="A103" s="419"/>
      <c r="B103" s="419"/>
      <c r="C103" s="419"/>
      <c r="D103" s="419"/>
      <c r="E103" s="404" t="s">
        <v>2</v>
      </c>
      <c r="F103" s="405"/>
      <c r="G103" s="408" t="s">
        <v>3</v>
      </c>
      <c r="H103" s="404" t="s">
        <v>2</v>
      </c>
      <c r="I103" s="405"/>
      <c r="J103" s="408" t="s">
        <v>3</v>
      </c>
      <c r="K103" s="404" t="s">
        <v>2</v>
      </c>
      <c r="L103" s="405"/>
      <c r="M103" s="411" t="s">
        <v>3</v>
      </c>
      <c r="N103" s="404" t="s">
        <v>2</v>
      </c>
      <c r="O103" s="405"/>
      <c r="P103" s="411" t="s">
        <v>3</v>
      </c>
      <c r="Q103" s="404" t="s">
        <v>2</v>
      </c>
      <c r="R103" s="405"/>
      <c r="S103" s="411" t="s">
        <v>3</v>
      </c>
      <c r="T103" s="404" t="s">
        <v>2</v>
      </c>
      <c r="U103" s="405"/>
      <c r="V103" s="411" t="s">
        <v>3</v>
      </c>
      <c r="W103" s="420" t="s">
        <v>13</v>
      </c>
      <c r="X103" s="422"/>
      <c r="Y103" s="106" t="s">
        <v>14</v>
      </c>
      <c r="Z103" s="420" t="s">
        <v>15</v>
      </c>
      <c r="AA103" s="422"/>
      <c r="AB103" s="106" t="s">
        <v>16</v>
      </c>
      <c r="AC103" s="404" t="s">
        <v>2</v>
      </c>
      <c r="AD103" s="405"/>
      <c r="AE103" s="405" t="s">
        <v>3</v>
      </c>
      <c r="AF103" s="420" t="s">
        <v>18</v>
      </c>
      <c r="AG103" s="422"/>
      <c r="AH103" s="425" t="s">
        <v>22</v>
      </c>
      <c r="AI103" s="106" t="s">
        <v>17</v>
      </c>
      <c r="AJ103" s="130"/>
    </row>
    <row r="104" spans="1:39" s="103" customFormat="1" ht="15.75" x14ac:dyDescent="0.2">
      <c r="A104" s="408"/>
      <c r="B104" s="408"/>
      <c r="C104" s="408"/>
      <c r="D104" s="408"/>
      <c r="E104" s="406"/>
      <c r="F104" s="407"/>
      <c r="G104" s="409"/>
      <c r="H104" s="406"/>
      <c r="I104" s="407"/>
      <c r="J104" s="409"/>
      <c r="K104" s="406"/>
      <c r="L104" s="407"/>
      <c r="M104" s="408"/>
      <c r="N104" s="406"/>
      <c r="O104" s="407"/>
      <c r="P104" s="408"/>
      <c r="Q104" s="406"/>
      <c r="R104" s="407"/>
      <c r="S104" s="408"/>
      <c r="T104" s="406"/>
      <c r="U104" s="407"/>
      <c r="V104" s="408"/>
      <c r="W104" s="406" t="s">
        <v>2</v>
      </c>
      <c r="X104" s="407"/>
      <c r="Y104" s="226" t="s">
        <v>3</v>
      </c>
      <c r="Z104" s="427" t="s">
        <v>2</v>
      </c>
      <c r="AA104" s="428"/>
      <c r="AB104" s="226" t="s">
        <v>3</v>
      </c>
      <c r="AC104" s="406"/>
      <c r="AD104" s="407"/>
      <c r="AE104" s="407"/>
      <c r="AF104" s="406" t="s">
        <v>2</v>
      </c>
      <c r="AG104" s="407"/>
      <c r="AH104" s="426"/>
      <c r="AI104" s="226" t="s">
        <v>3</v>
      </c>
      <c r="AJ104" s="130"/>
    </row>
    <row r="105" spans="1:39" ht="168" customHeight="1" x14ac:dyDescent="0.2">
      <c r="A105" s="70">
        <v>18</v>
      </c>
      <c r="B105" s="65" t="s">
        <v>88</v>
      </c>
      <c r="C105" s="34"/>
      <c r="D105" s="73" t="s">
        <v>526</v>
      </c>
      <c r="E105" s="346">
        <v>7.89</v>
      </c>
      <c r="F105" s="347" t="s">
        <v>28</v>
      </c>
      <c r="G105" s="276"/>
      <c r="H105" s="351">
        <v>100</v>
      </c>
      <c r="I105" s="347" t="s">
        <v>28</v>
      </c>
      <c r="J105" s="352">
        <f>SUM(J106:J107)</f>
        <v>12250350000</v>
      </c>
      <c r="K105" s="346">
        <v>13.16</v>
      </c>
      <c r="L105" s="347" t="s">
        <v>28</v>
      </c>
      <c r="M105" s="352">
        <f>SUM(M106:M107)</f>
        <v>1320040000</v>
      </c>
      <c r="N105" s="346">
        <f>15/38*100</f>
        <v>39.473684210526315</v>
      </c>
      <c r="O105" s="347" t="s">
        <v>28</v>
      </c>
      <c r="P105" s="352">
        <f>SUM(P106:P107)</f>
        <v>1289308257</v>
      </c>
      <c r="Q105" s="346">
        <f>8/38*100</f>
        <v>21.052631578947366</v>
      </c>
      <c r="R105" s="347" t="s">
        <v>28</v>
      </c>
      <c r="S105" s="352">
        <f>SUM(S106:S107)</f>
        <v>1016801788</v>
      </c>
      <c r="T105" s="346">
        <f>T106/38*100</f>
        <v>60.526315789473685</v>
      </c>
      <c r="U105" s="347" t="s">
        <v>28</v>
      </c>
      <c r="V105" s="352">
        <f>SUM(V106:V107)</f>
        <v>1281264000</v>
      </c>
      <c r="W105" s="288">
        <f>Q105/K105*100</f>
        <v>159.97440409534474</v>
      </c>
      <c r="X105" s="282" t="s">
        <v>28</v>
      </c>
      <c r="Y105" s="294">
        <f>S105/M105*100</f>
        <v>77.02810429986971</v>
      </c>
      <c r="Z105" s="288">
        <f>T105/N105*100</f>
        <v>153.33333333333334</v>
      </c>
      <c r="AA105" s="282" t="s">
        <v>28</v>
      </c>
      <c r="AB105" s="294">
        <f>V105/P105*100</f>
        <v>99.376079618173108</v>
      </c>
      <c r="AC105" s="277">
        <f>T105</f>
        <v>60.526315789473685</v>
      </c>
      <c r="AD105" s="389" t="s">
        <v>28</v>
      </c>
      <c r="AE105" s="388">
        <f>S105+V105</f>
        <v>2298065788</v>
      </c>
      <c r="AF105" s="8"/>
      <c r="AG105" s="8"/>
      <c r="AH105" s="8"/>
      <c r="AI105" s="8"/>
      <c r="AJ105" s="157" t="s">
        <v>511</v>
      </c>
      <c r="AL105" s="191"/>
      <c r="AM105" s="134">
        <f t="shared" ref="AM105:AM112" si="29">S105</f>
        <v>1016801788</v>
      </c>
    </row>
    <row r="106" spans="1:39" ht="120" x14ac:dyDescent="0.2">
      <c r="A106" s="17"/>
      <c r="B106" s="65"/>
      <c r="C106" s="255" t="s">
        <v>125</v>
      </c>
      <c r="D106" s="51" t="s">
        <v>500</v>
      </c>
      <c r="E106" s="35">
        <v>0</v>
      </c>
      <c r="F106" s="36" t="s">
        <v>501</v>
      </c>
      <c r="G106" s="233"/>
      <c r="H106" s="209">
        <v>38</v>
      </c>
      <c r="I106" s="36" t="s">
        <v>501</v>
      </c>
      <c r="J106" s="47">
        <v>12250350000</v>
      </c>
      <c r="K106" s="210">
        <v>1</v>
      </c>
      <c r="L106" s="36" t="s">
        <v>501</v>
      </c>
      <c r="M106" s="47">
        <v>1320040000</v>
      </c>
      <c r="N106" s="210">
        <v>23</v>
      </c>
      <c r="O106" s="36" t="s">
        <v>501</v>
      </c>
      <c r="P106" s="47">
        <v>1289308257</v>
      </c>
      <c r="Q106" s="210">
        <v>15</v>
      </c>
      <c r="R106" s="36" t="s">
        <v>501</v>
      </c>
      <c r="S106" s="47">
        <v>1016801788</v>
      </c>
      <c r="T106" s="210">
        <v>23</v>
      </c>
      <c r="U106" s="36" t="s">
        <v>501</v>
      </c>
      <c r="V106" s="47">
        <v>1281264000</v>
      </c>
      <c r="W106" s="21">
        <f>Q106/K106*100</f>
        <v>1500</v>
      </c>
      <c r="X106" s="18" t="s">
        <v>28</v>
      </c>
      <c r="Y106" s="291">
        <f>S106/M106*100</f>
        <v>77.02810429986971</v>
      </c>
      <c r="Z106" s="93">
        <f>T106/N106*100</f>
        <v>100</v>
      </c>
      <c r="AA106" s="18" t="s">
        <v>28</v>
      </c>
      <c r="AB106" s="291">
        <f>V106/P106*100</f>
        <v>99.376079618173108</v>
      </c>
      <c r="AC106" s="78">
        <f>T106</f>
        <v>23</v>
      </c>
      <c r="AD106" s="36" t="s">
        <v>501</v>
      </c>
      <c r="AE106" s="247">
        <f>S106+V106</f>
        <v>2298065788</v>
      </c>
      <c r="AF106" s="8"/>
      <c r="AG106" s="8"/>
      <c r="AH106" s="8"/>
      <c r="AI106" s="8"/>
      <c r="AM106" s="134">
        <f t="shared" si="29"/>
        <v>1016801788</v>
      </c>
    </row>
    <row r="107" spans="1:39" ht="90" x14ac:dyDescent="0.2">
      <c r="A107" s="17"/>
      <c r="B107" s="65"/>
      <c r="C107" s="48"/>
      <c r="D107" s="51" t="s">
        <v>502</v>
      </c>
      <c r="E107" s="35">
        <v>0</v>
      </c>
      <c r="F107" s="49" t="s">
        <v>503</v>
      </c>
      <c r="G107" s="50"/>
      <c r="H107" s="209">
        <v>38</v>
      </c>
      <c r="I107" s="49" t="s">
        <v>503</v>
      </c>
      <c r="J107" s="241"/>
      <c r="K107" s="211">
        <v>5</v>
      </c>
      <c r="L107" s="49" t="s">
        <v>503</v>
      </c>
      <c r="M107" s="241"/>
      <c r="N107" s="211">
        <v>15</v>
      </c>
      <c r="O107" s="49" t="s">
        <v>503</v>
      </c>
      <c r="P107" s="241"/>
      <c r="Q107" s="211">
        <v>5</v>
      </c>
      <c r="R107" s="49" t="s">
        <v>503</v>
      </c>
      <c r="S107" s="241"/>
      <c r="T107" s="211">
        <v>15</v>
      </c>
      <c r="U107" s="49" t="s">
        <v>503</v>
      </c>
      <c r="V107" s="241"/>
      <c r="W107" s="58">
        <f t="shared" ref="W107:W110" si="30">Q107/K107*100</f>
        <v>100</v>
      </c>
      <c r="X107" s="18" t="s">
        <v>28</v>
      </c>
      <c r="Y107" s="292"/>
      <c r="Z107" s="58">
        <f t="shared" ref="Z107:Z110" si="31">T107/N107*100</f>
        <v>100</v>
      </c>
      <c r="AA107" s="18" t="s">
        <v>28</v>
      </c>
      <c r="AB107" s="292"/>
      <c r="AC107" s="78">
        <f t="shared" ref="AC107:AC109" si="32">T107</f>
        <v>15</v>
      </c>
      <c r="AD107" s="49" t="s">
        <v>503</v>
      </c>
      <c r="AE107" s="5"/>
      <c r="AF107" s="8"/>
      <c r="AG107" s="8"/>
      <c r="AH107" s="8"/>
      <c r="AI107" s="8"/>
      <c r="AM107" s="134">
        <f t="shared" si="29"/>
        <v>0</v>
      </c>
    </row>
    <row r="108" spans="1:39" ht="120" x14ac:dyDescent="0.2">
      <c r="A108" s="17"/>
      <c r="B108" s="65"/>
      <c r="C108" s="255" t="s">
        <v>504</v>
      </c>
      <c r="D108" s="51" t="s">
        <v>509</v>
      </c>
      <c r="E108" s="35">
        <v>0</v>
      </c>
      <c r="F108" s="49" t="s">
        <v>28</v>
      </c>
      <c r="G108" s="233"/>
      <c r="H108" s="209">
        <v>100</v>
      </c>
      <c r="I108" s="49" t="s">
        <v>28</v>
      </c>
      <c r="J108" s="47">
        <v>21746100000</v>
      </c>
      <c r="K108" s="209">
        <v>100</v>
      </c>
      <c r="L108" s="49" t="s">
        <v>28</v>
      </c>
      <c r="M108" s="47">
        <v>3425235000</v>
      </c>
      <c r="N108" s="209">
        <v>100</v>
      </c>
      <c r="O108" s="49" t="s">
        <v>28</v>
      </c>
      <c r="P108" s="47">
        <v>2528900000</v>
      </c>
      <c r="Q108" s="353">
        <v>100</v>
      </c>
      <c r="R108" s="49" t="s">
        <v>28</v>
      </c>
      <c r="S108" s="47">
        <v>2852881083</v>
      </c>
      <c r="T108" s="209">
        <v>100</v>
      </c>
      <c r="U108" s="49" t="s">
        <v>28</v>
      </c>
      <c r="V108" s="47">
        <v>2477755751</v>
      </c>
      <c r="W108" s="58">
        <f t="shared" si="30"/>
        <v>100</v>
      </c>
      <c r="X108" s="18" t="s">
        <v>28</v>
      </c>
      <c r="Y108" s="291">
        <f>S108/M108*100</f>
        <v>83.290083249762432</v>
      </c>
      <c r="Z108" s="58">
        <f t="shared" si="31"/>
        <v>100</v>
      </c>
      <c r="AA108" s="18" t="s">
        <v>28</v>
      </c>
      <c r="AB108" s="291">
        <f>V108/P108*100</f>
        <v>97.977608881331804</v>
      </c>
      <c r="AC108" s="96">
        <f t="shared" si="32"/>
        <v>100</v>
      </c>
      <c r="AD108" s="173" t="s">
        <v>28</v>
      </c>
      <c r="AE108" s="247">
        <f>S108+V108</f>
        <v>5330636834</v>
      </c>
      <c r="AF108" s="8"/>
      <c r="AG108" s="8"/>
      <c r="AH108" s="8"/>
      <c r="AI108" s="8"/>
      <c r="AM108" s="134">
        <f t="shared" si="29"/>
        <v>2852881083</v>
      </c>
    </row>
    <row r="109" spans="1:39" ht="90" x14ac:dyDescent="0.2">
      <c r="A109" s="17"/>
      <c r="B109" s="65"/>
      <c r="C109" s="48"/>
      <c r="D109" s="51" t="s">
        <v>505</v>
      </c>
      <c r="E109" s="166">
        <v>100</v>
      </c>
      <c r="F109" s="49" t="s">
        <v>28</v>
      </c>
      <c r="G109" s="50"/>
      <c r="H109" s="166">
        <v>100</v>
      </c>
      <c r="I109" s="49" t="s">
        <v>28</v>
      </c>
      <c r="J109" s="241"/>
      <c r="K109" s="209">
        <v>100</v>
      </c>
      <c r="L109" s="49" t="s">
        <v>28</v>
      </c>
      <c r="M109" s="241"/>
      <c r="N109" s="209">
        <v>100</v>
      </c>
      <c r="O109" s="49" t="s">
        <v>28</v>
      </c>
      <c r="P109" s="241"/>
      <c r="Q109" s="353">
        <v>100</v>
      </c>
      <c r="R109" s="49" t="s">
        <v>28</v>
      </c>
      <c r="S109" s="241"/>
      <c r="T109" s="354">
        <v>196.4</v>
      </c>
      <c r="U109" s="49" t="s">
        <v>28</v>
      </c>
      <c r="V109" s="241"/>
      <c r="W109" s="58">
        <f t="shared" si="30"/>
        <v>100</v>
      </c>
      <c r="X109" s="18" t="s">
        <v>28</v>
      </c>
      <c r="Y109" s="292"/>
      <c r="Z109" s="58">
        <f t="shared" si="31"/>
        <v>196.4</v>
      </c>
      <c r="AA109" s="18" t="s">
        <v>28</v>
      </c>
      <c r="AB109" s="292"/>
      <c r="AC109" s="78">
        <f t="shared" si="32"/>
        <v>196.4</v>
      </c>
      <c r="AD109" s="173" t="s">
        <v>28</v>
      </c>
      <c r="AE109" s="5"/>
      <c r="AF109" s="8"/>
      <c r="AG109" s="8"/>
      <c r="AH109" s="8"/>
      <c r="AI109" s="8"/>
      <c r="AM109" s="134">
        <f t="shared" si="29"/>
        <v>0</v>
      </c>
    </row>
    <row r="110" spans="1:39" ht="105" x14ac:dyDescent="0.2">
      <c r="A110" s="17"/>
      <c r="B110" s="65"/>
      <c r="C110" s="34" t="s">
        <v>506</v>
      </c>
      <c r="D110" s="51" t="s">
        <v>507</v>
      </c>
      <c r="E110" s="166">
        <v>100</v>
      </c>
      <c r="F110" s="49" t="s">
        <v>28</v>
      </c>
      <c r="G110" s="9"/>
      <c r="H110" s="166">
        <v>100</v>
      </c>
      <c r="I110" s="49" t="s">
        <v>28</v>
      </c>
      <c r="J110" s="42" t="s">
        <v>508</v>
      </c>
      <c r="K110" s="209">
        <v>100</v>
      </c>
      <c r="L110" s="49" t="s">
        <v>28</v>
      </c>
      <c r="M110" s="42">
        <v>88055000</v>
      </c>
      <c r="N110" s="209">
        <v>100</v>
      </c>
      <c r="O110" s="49" t="s">
        <v>28</v>
      </c>
      <c r="P110" s="42">
        <v>110783000</v>
      </c>
      <c r="Q110" s="353">
        <v>100</v>
      </c>
      <c r="R110" s="49" t="s">
        <v>28</v>
      </c>
      <c r="S110" s="42">
        <v>73835000</v>
      </c>
      <c r="T110" s="354">
        <v>224.58333333333331</v>
      </c>
      <c r="U110" s="49" t="s">
        <v>28</v>
      </c>
      <c r="V110" s="42">
        <v>0</v>
      </c>
      <c r="W110" s="58">
        <f t="shared" si="30"/>
        <v>100</v>
      </c>
      <c r="X110" s="18" t="s">
        <v>28</v>
      </c>
      <c r="Y110" s="289">
        <f>S110/M110*100</f>
        <v>83.85100221452501</v>
      </c>
      <c r="Z110" s="58">
        <f t="shared" si="31"/>
        <v>224.58333333333331</v>
      </c>
      <c r="AA110" s="18" t="s">
        <v>28</v>
      </c>
      <c r="AB110" s="289">
        <f>V110/P110*100</f>
        <v>0</v>
      </c>
      <c r="AC110" s="78">
        <f t="shared" ref="AC110:AC112" si="33">T110</f>
        <v>224.58333333333331</v>
      </c>
      <c r="AD110" s="173" t="s">
        <v>28</v>
      </c>
      <c r="AE110" s="247">
        <f>S110+V110</f>
        <v>73835000</v>
      </c>
      <c r="AF110" s="8"/>
      <c r="AG110" s="8"/>
      <c r="AH110" s="8"/>
      <c r="AI110" s="8"/>
      <c r="AM110" s="134">
        <f t="shared" si="29"/>
        <v>73835000</v>
      </c>
    </row>
    <row r="111" spans="1:39" ht="180.75" customHeight="1" x14ac:dyDescent="0.2">
      <c r="A111" s="64"/>
      <c r="B111" s="25"/>
      <c r="C111" s="14"/>
      <c r="D111" s="66" t="s">
        <v>527</v>
      </c>
      <c r="E111" s="346">
        <v>0.6</v>
      </c>
      <c r="F111" s="347" t="s">
        <v>28</v>
      </c>
      <c r="G111" s="355"/>
      <c r="H111" s="346">
        <v>38.880000000000003</v>
      </c>
      <c r="I111" s="347" t="s">
        <v>28</v>
      </c>
      <c r="J111" s="356">
        <f>J112</f>
        <v>1104185000</v>
      </c>
      <c r="K111" s="346">
        <v>8.33</v>
      </c>
      <c r="L111" s="347" t="s">
        <v>28</v>
      </c>
      <c r="M111" s="356">
        <f>M112</f>
        <v>217125000</v>
      </c>
      <c r="N111" s="346">
        <v>15.97</v>
      </c>
      <c r="O111" s="347" t="s">
        <v>28</v>
      </c>
      <c r="P111" s="356">
        <f>P112</f>
        <v>54974900</v>
      </c>
      <c r="Q111" s="346">
        <f>13/144*100</f>
        <v>9.0277777777777768</v>
      </c>
      <c r="R111" s="347" t="s">
        <v>28</v>
      </c>
      <c r="S111" s="356">
        <f>S112</f>
        <v>174569500</v>
      </c>
      <c r="T111" s="346">
        <f>23/144*100</f>
        <v>15.972222222222221</v>
      </c>
      <c r="U111" s="347" t="s">
        <v>28</v>
      </c>
      <c r="V111" s="356">
        <f>V112</f>
        <v>38738500</v>
      </c>
      <c r="W111" s="288">
        <f>Q111/K111*100</f>
        <v>108.3766840069361</v>
      </c>
      <c r="X111" s="282" t="s">
        <v>28</v>
      </c>
      <c r="Y111" s="294">
        <f>S111/M111*100</f>
        <v>80.400460564191135</v>
      </c>
      <c r="Z111" s="288">
        <f>T111/N111*100</f>
        <v>100.0139149794754</v>
      </c>
      <c r="AA111" s="282" t="s">
        <v>28</v>
      </c>
      <c r="AB111" s="294">
        <f>V111/P111*100</f>
        <v>70.465794389803349</v>
      </c>
      <c r="AC111" s="277">
        <f t="shared" si="33"/>
        <v>15.972222222222221</v>
      </c>
      <c r="AD111" s="389" t="s">
        <v>28</v>
      </c>
      <c r="AE111" s="388">
        <f>S111+V111</f>
        <v>213308000</v>
      </c>
      <c r="AF111" s="8"/>
      <c r="AG111" s="8"/>
      <c r="AH111" s="8"/>
      <c r="AI111" s="8"/>
      <c r="AJ111" s="157" t="s">
        <v>374</v>
      </c>
      <c r="AM111" s="134">
        <f t="shared" si="29"/>
        <v>174569500</v>
      </c>
    </row>
    <row r="112" spans="1:39" ht="102" customHeight="1" x14ac:dyDescent="0.2">
      <c r="A112" s="15"/>
      <c r="B112" s="20"/>
      <c r="C112" s="14" t="s">
        <v>63</v>
      </c>
      <c r="D112" s="14" t="s">
        <v>510</v>
      </c>
      <c r="E112" s="82">
        <v>10.41</v>
      </c>
      <c r="F112" s="49" t="s">
        <v>28</v>
      </c>
      <c r="G112" s="52"/>
      <c r="H112" s="82">
        <v>56.25</v>
      </c>
      <c r="I112" s="49" t="s">
        <v>28</v>
      </c>
      <c r="J112" s="90">
        <v>1104185000</v>
      </c>
      <c r="K112" s="82">
        <v>25.69</v>
      </c>
      <c r="L112" s="49" t="s">
        <v>28</v>
      </c>
      <c r="M112" s="167">
        <v>217125000</v>
      </c>
      <c r="N112" s="82">
        <v>33.33</v>
      </c>
      <c r="O112" s="49" t="s">
        <v>28</v>
      </c>
      <c r="P112" s="167">
        <v>54974900</v>
      </c>
      <c r="Q112" s="82">
        <f>38/144*100</f>
        <v>26.388888888888889</v>
      </c>
      <c r="R112" s="49" t="s">
        <v>28</v>
      </c>
      <c r="S112" s="42">
        <v>174569500</v>
      </c>
      <c r="T112" s="82">
        <f>48/144*100</f>
        <v>33.333333333333329</v>
      </c>
      <c r="U112" s="49" t="s">
        <v>28</v>
      </c>
      <c r="V112" s="68">
        <v>38738500</v>
      </c>
      <c r="W112" s="58">
        <f>Q112/K112*100</f>
        <v>102.720470567882</v>
      </c>
      <c r="X112" s="18" t="s">
        <v>28</v>
      </c>
      <c r="Y112" s="289">
        <f>S112/M112*100</f>
        <v>80.400460564191135</v>
      </c>
      <c r="Z112" s="58">
        <f>T112/N112*100</f>
        <v>100.0100010001</v>
      </c>
      <c r="AA112" s="18" t="s">
        <v>28</v>
      </c>
      <c r="AB112" s="289">
        <f>V112/P112*100</f>
        <v>70.465794389803349</v>
      </c>
      <c r="AC112" s="78">
        <f t="shared" si="33"/>
        <v>33.333333333333329</v>
      </c>
      <c r="AD112" s="173" t="s">
        <v>28</v>
      </c>
      <c r="AE112" s="247">
        <f>S112+V112</f>
        <v>213308000</v>
      </c>
      <c r="AF112" s="8"/>
      <c r="AG112" s="8"/>
      <c r="AH112" s="8"/>
      <c r="AI112" s="8"/>
      <c r="AM112" s="134">
        <f t="shared" si="29"/>
        <v>174569500</v>
      </c>
    </row>
    <row r="113" spans="1:39" ht="15" x14ac:dyDescent="0.2">
      <c r="A113" s="446" t="s">
        <v>5</v>
      </c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121">
        <f>AVERAGE(W105:W112)</f>
        <v>283.88394483377033</v>
      </c>
      <c r="X113" s="122"/>
      <c r="Y113" s="121"/>
      <c r="Z113" s="121">
        <f>AVERAGE(Z105:Z112)</f>
        <v>134.29257283078024</v>
      </c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26"/>
    </row>
    <row r="114" spans="1:39" ht="15" x14ac:dyDescent="0.2">
      <c r="A114" s="446" t="s">
        <v>6</v>
      </c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195" t="str">
        <f>IF(W113&gt;=91,"Sangat Tinggi",IF(W113&gt;=76,"Tinggi",IF(W113&gt;=66,"Sedang",IF(W113&gt;=51,"Rendah",IF(W113&lt;=50,"Sangat Rendah")))))</f>
        <v>Sangat Tinggi</v>
      </c>
      <c r="X114" s="122"/>
      <c r="Y114" s="102"/>
      <c r="Z114" s="195" t="str">
        <f>IF(Z113&gt;=91,"Sangat Tinggi",IF(Z113&gt;=76,"Tinggi",IF(Z113&gt;=66,"Sedang",IF(Z113&gt;=51,"Rendah",IF(Z113&lt;=50,"Sangat Rendah")))))</f>
        <v>Sangat Tinggi</v>
      </c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26"/>
    </row>
    <row r="115" spans="1:39" ht="15" x14ac:dyDescent="0.2">
      <c r="A115" s="429" t="s">
        <v>7</v>
      </c>
      <c r="B115" s="429"/>
      <c r="C115" s="429"/>
      <c r="D115" s="429"/>
      <c r="E115" s="429"/>
      <c r="F115" s="429"/>
      <c r="G115" s="429"/>
      <c r="H115" s="429"/>
      <c r="I115" s="429"/>
      <c r="J115" s="429"/>
      <c r="K115" s="429"/>
      <c r="L115" s="429"/>
      <c r="M115" s="429"/>
      <c r="N115" s="429"/>
      <c r="O115" s="429"/>
      <c r="P115" s="429"/>
      <c r="Q115" s="429"/>
      <c r="R115" s="429"/>
      <c r="S115" s="429"/>
      <c r="T115" s="429"/>
      <c r="U115" s="429"/>
      <c r="V115" s="429"/>
      <c r="W115" s="429"/>
      <c r="X115" s="429"/>
      <c r="Y115" s="429"/>
      <c r="Z115" s="429"/>
      <c r="AA115" s="429"/>
      <c r="AB115" s="429"/>
      <c r="AC115" s="429"/>
      <c r="AD115" s="429"/>
      <c r="AE115" s="429"/>
      <c r="AF115" s="429"/>
      <c r="AG115" s="429"/>
      <c r="AH115" s="429"/>
      <c r="AI115" s="429"/>
      <c r="AJ115" s="126"/>
    </row>
    <row r="116" spans="1:39" ht="15" x14ac:dyDescent="0.2">
      <c r="A116" s="429" t="s">
        <v>8</v>
      </c>
      <c r="B116" s="429"/>
      <c r="C116" s="429"/>
      <c r="D116" s="429"/>
      <c r="E116" s="429"/>
      <c r="F116" s="429"/>
      <c r="G116" s="429"/>
      <c r="H116" s="429"/>
      <c r="I116" s="429"/>
      <c r="J116" s="429"/>
      <c r="K116" s="429"/>
      <c r="L116" s="429"/>
      <c r="M116" s="429"/>
      <c r="N116" s="429"/>
      <c r="O116" s="429"/>
      <c r="P116" s="429"/>
      <c r="Q116" s="429"/>
      <c r="R116" s="429"/>
      <c r="S116" s="429"/>
      <c r="T116" s="429"/>
      <c r="U116" s="429"/>
      <c r="V116" s="429"/>
      <c r="W116" s="429"/>
      <c r="X116" s="429"/>
      <c r="Y116" s="429"/>
      <c r="Z116" s="429"/>
      <c r="AA116" s="429"/>
      <c r="AB116" s="429"/>
      <c r="AC116" s="429"/>
      <c r="AD116" s="429"/>
      <c r="AE116" s="429"/>
      <c r="AF116" s="429"/>
      <c r="AG116" s="429"/>
      <c r="AH116" s="429"/>
      <c r="AI116" s="429"/>
      <c r="AJ116" s="126"/>
    </row>
    <row r="117" spans="1:39" ht="15" x14ac:dyDescent="0.2">
      <c r="A117" s="429" t="s">
        <v>9</v>
      </c>
      <c r="B117" s="429"/>
      <c r="C117" s="429"/>
      <c r="D117" s="429"/>
      <c r="E117" s="429"/>
      <c r="F117" s="429"/>
      <c r="G117" s="429"/>
      <c r="H117" s="429"/>
      <c r="I117" s="429"/>
      <c r="J117" s="429"/>
      <c r="K117" s="429"/>
      <c r="L117" s="429"/>
      <c r="M117" s="429"/>
      <c r="N117" s="429"/>
      <c r="O117" s="429"/>
      <c r="P117" s="429"/>
      <c r="Q117" s="429"/>
      <c r="R117" s="429"/>
      <c r="S117" s="429"/>
      <c r="T117" s="429"/>
      <c r="U117" s="429"/>
      <c r="V117" s="429"/>
      <c r="W117" s="429"/>
      <c r="X117" s="429"/>
      <c r="Y117" s="429"/>
      <c r="Z117" s="429"/>
      <c r="AA117" s="429"/>
      <c r="AB117" s="429"/>
      <c r="AC117" s="429"/>
      <c r="AD117" s="429"/>
      <c r="AE117" s="429"/>
      <c r="AF117" s="429"/>
      <c r="AG117" s="429"/>
      <c r="AH117" s="429"/>
      <c r="AI117" s="429"/>
      <c r="AJ117" s="126"/>
    </row>
    <row r="118" spans="1:39" ht="15" x14ac:dyDescent="0.2">
      <c r="A118" s="429" t="s">
        <v>10</v>
      </c>
      <c r="B118" s="429"/>
      <c r="C118" s="429"/>
      <c r="D118" s="429"/>
      <c r="E118" s="429"/>
      <c r="F118" s="429"/>
      <c r="G118" s="429"/>
      <c r="H118" s="429"/>
      <c r="I118" s="429"/>
      <c r="J118" s="429"/>
      <c r="K118" s="429"/>
      <c r="L118" s="429"/>
      <c r="M118" s="429"/>
      <c r="N118" s="429"/>
      <c r="O118" s="429"/>
      <c r="P118" s="429"/>
      <c r="Q118" s="429"/>
      <c r="R118" s="429"/>
      <c r="S118" s="429"/>
      <c r="T118" s="429"/>
      <c r="U118" s="429"/>
      <c r="V118" s="429"/>
      <c r="W118" s="429"/>
      <c r="X118" s="429"/>
      <c r="Y118" s="429"/>
      <c r="Z118" s="429"/>
      <c r="AA118" s="429"/>
      <c r="AB118" s="429"/>
      <c r="AC118" s="429"/>
      <c r="AD118" s="429"/>
      <c r="AE118" s="429"/>
      <c r="AF118" s="429"/>
      <c r="AG118" s="429"/>
      <c r="AH118" s="429"/>
      <c r="AI118" s="429"/>
      <c r="AJ118" s="127"/>
    </row>
    <row r="119" spans="1:39" ht="15" x14ac:dyDescent="0.2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</row>
    <row r="120" spans="1:39" ht="15" x14ac:dyDescent="0.2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</row>
    <row r="121" spans="1:39" ht="15" x14ac:dyDescent="0.2">
      <c r="A121" s="125"/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</row>
    <row r="122" spans="1:39" s="133" customFormat="1" ht="68.25" customHeight="1" x14ac:dyDescent="0.2">
      <c r="A122" s="444" t="s">
        <v>0</v>
      </c>
      <c r="B122" s="444" t="s">
        <v>272</v>
      </c>
      <c r="C122" s="445" t="s">
        <v>1</v>
      </c>
      <c r="D122" s="445" t="s">
        <v>327</v>
      </c>
      <c r="E122" s="435" t="s">
        <v>21</v>
      </c>
      <c r="F122" s="436"/>
      <c r="G122" s="437"/>
      <c r="H122" s="435" t="s">
        <v>20</v>
      </c>
      <c r="I122" s="436"/>
      <c r="J122" s="437"/>
      <c r="K122" s="412" t="s">
        <v>582</v>
      </c>
      <c r="L122" s="413"/>
      <c r="M122" s="413"/>
      <c r="N122" s="413"/>
      <c r="O122" s="413"/>
      <c r="P122" s="414"/>
      <c r="Q122" s="412" t="s">
        <v>583</v>
      </c>
      <c r="R122" s="413"/>
      <c r="S122" s="413"/>
      <c r="T122" s="413"/>
      <c r="U122" s="413"/>
      <c r="V122" s="413"/>
      <c r="W122" s="412" t="s">
        <v>584</v>
      </c>
      <c r="X122" s="413"/>
      <c r="Y122" s="413"/>
      <c r="Z122" s="413"/>
      <c r="AA122" s="413"/>
      <c r="AB122" s="413"/>
      <c r="AC122" s="412" t="s">
        <v>19</v>
      </c>
      <c r="AD122" s="413"/>
      <c r="AE122" s="414"/>
      <c r="AF122" s="412" t="s">
        <v>4</v>
      </c>
      <c r="AG122" s="413"/>
      <c r="AH122" s="413"/>
      <c r="AI122" s="414"/>
      <c r="AJ122" s="433" t="s">
        <v>294</v>
      </c>
    </row>
    <row r="123" spans="1:39" s="133" customFormat="1" ht="18" customHeight="1" x14ac:dyDescent="0.2">
      <c r="A123" s="444"/>
      <c r="B123" s="444"/>
      <c r="C123" s="445"/>
      <c r="D123" s="445"/>
      <c r="E123" s="438"/>
      <c r="F123" s="439"/>
      <c r="G123" s="440"/>
      <c r="H123" s="438"/>
      <c r="I123" s="439"/>
      <c r="J123" s="440"/>
      <c r="K123" s="415"/>
      <c r="L123" s="416"/>
      <c r="M123" s="416"/>
      <c r="N123" s="416"/>
      <c r="O123" s="416"/>
      <c r="P123" s="417"/>
      <c r="Q123" s="415"/>
      <c r="R123" s="416"/>
      <c r="S123" s="416"/>
      <c r="T123" s="416"/>
      <c r="U123" s="416"/>
      <c r="V123" s="416"/>
      <c r="W123" s="415"/>
      <c r="X123" s="416"/>
      <c r="Y123" s="416"/>
      <c r="Z123" s="416"/>
      <c r="AA123" s="416"/>
      <c r="AB123" s="416"/>
      <c r="AC123" s="430"/>
      <c r="AD123" s="431"/>
      <c r="AE123" s="432"/>
      <c r="AF123" s="430"/>
      <c r="AG123" s="431"/>
      <c r="AH123" s="431"/>
      <c r="AI123" s="432"/>
      <c r="AJ123" s="434"/>
    </row>
    <row r="124" spans="1:39" s="133" customFormat="1" ht="15.75" customHeight="1" x14ac:dyDescent="0.2">
      <c r="A124" s="444"/>
      <c r="B124" s="444"/>
      <c r="C124" s="445"/>
      <c r="D124" s="445"/>
      <c r="E124" s="441"/>
      <c r="F124" s="442"/>
      <c r="G124" s="443"/>
      <c r="H124" s="441"/>
      <c r="I124" s="442"/>
      <c r="J124" s="443"/>
      <c r="K124" s="398" t="s">
        <v>580</v>
      </c>
      <c r="L124" s="399"/>
      <c r="M124" s="400"/>
      <c r="N124" s="398" t="s">
        <v>581</v>
      </c>
      <c r="O124" s="399"/>
      <c r="P124" s="400"/>
      <c r="Q124" s="398" t="s">
        <v>580</v>
      </c>
      <c r="R124" s="399"/>
      <c r="S124" s="400"/>
      <c r="T124" s="398" t="s">
        <v>581</v>
      </c>
      <c r="U124" s="399"/>
      <c r="V124" s="400"/>
      <c r="W124" s="398" t="s">
        <v>580</v>
      </c>
      <c r="X124" s="399"/>
      <c r="Y124" s="400"/>
      <c r="Z124" s="398" t="s">
        <v>581</v>
      </c>
      <c r="AA124" s="399"/>
      <c r="AB124" s="400"/>
      <c r="AC124" s="415"/>
      <c r="AD124" s="416"/>
      <c r="AE124" s="417"/>
      <c r="AF124" s="415"/>
      <c r="AG124" s="416"/>
      <c r="AH124" s="416"/>
      <c r="AI124" s="417"/>
      <c r="AJ124" s="128"/>
    </row>
    <row r="125" spans="1:39" s="103" customFormat="1" ht="15.75" x14ac:dyDescent="0.25">
      <c r="A125" s="411">
        <v>1</v>
      </c>
      <c r="B125" s="411">
        <v>2</v>
      </c>
      <c r="C125" s="411">
        <v>3</v>
      </c>
      <c r="D125" s="411">
        <v>4</v>
      </c>
      <c r="E125" s="420">
        <v>5</v>
      </c>
      <c r="F125" s="421"/>
      <c r="G125" s="422"/>
      <c r="H125" s="420">
        <v>6</v>
      </c>
      <c r="I125" s="421"/>
      <c r="J125" s="422"/>
      <c r="K125" s="401">
        <v>7</v>
      </c>
      <c r="L125" s="402"/>
      <c r="M125" s="403"/>
      <c r="N125" s="401">
        <v>8</v>
      </c>
      <c r="O125" s="402"/>
      <c r="P125" s="403"/>
      <c r="Q125" s="401">
        <v>12</v>
      </c>
      <c r="R125" s="402"/>
      <c r="S125" s="403"/>
      <c r="T125" s="401">
        <v>13</v>
      </c>
      <c r="U125" s="402"/>
      <c r="V125" s="403"/>
      <c r="W125" s="395">
        <v>17</v>
      </c>
      <c r="X125" s="396"/>
      <c r="Y125" s="397"/>
      <c r="Z125" s="395">
        <v>18</v>
      </c>
      <c r="AA125" s="396"/>
      <c r="AB125" s="397"/>
      <c r="AC125" s="395">
        <v>22</v>
      </c>
      <c r="AD125" s="396"/>
      <c r="AE125" s="397"/>
      <c r="AF125" s="395">
        <v>23</v>
      </c>
      <c r="AG125" s="396"/>
      <c r="AH125" s="396"/>
      <c r="AI125" s="397"/>
      <c r="AJ125" s="129"/>
    </row>
    <row r="126" spans="1:39" s="103" customFormat="1" ht="87" customHeight="1" x14ac:dyDescent="0.2">
      <c r="A126" s="419"/>
      <c r="B126" s="419"/>
      <c r="C126" s="419"/>
      <c r="D126" s="419"/>
      <c r="E126" s="404" t="s">
        <v>2</v>
      </c>
      <c r="F126" s="405"/>
      <c r="G126" s="408" t="s">
        <v>3</v>
      </c>
      <c r="H126" s="404" t="s">
        <v>2</v>
      </c>
      <c r="I126" s="405"/>
      <c r="J126" s="408" t="s">
        <v>3</v>
      </c>
      <c r="K126" s="404" t="s">
        <v>2</v>
      </c>
      <c r="L126" s="405"/>
      <c r="M126" s="411" t="s">
        <v>3</v>
      </c>
      <c r="N126" s="404" t="s">
        <v>2</v>
      </c>
      <c r="O126" s="405"/>
      <c r="P126" s="411" t="s">
        <v>3</v>
      </c>
      <c r="Q126" s="404" t="s">
        <v>2</v>
      </c>
      <c r="R126" s="405"/>
      <c r="S126" s="411" t="s">
        <v>3</v>
      </c>
      <c r="T126" s="404" t="s">
        <v>2</v>
      </c>
      <c r="U126" s="405"/>
      <c r="V126" s="411" t="s">
        <v>3</v>
      </c>
      <c r="W126" s="420" t="s">
        <v>13</v>
      </c>
      <c r="X126" s="422"/>
      <c r="Y126" s="106" t="s">
        <v>14</v>
      </c>
      <c r="Z126" s="420" t="s">
        <v>15</v>
      </c>
      <c r="AA126" s="422"/>
      <c r="AB126" s="106" t="s">
        <v>16</v>
      </c>
      <c r="AC126" s="404" t="s">
        <v>2</v>
      </c>
      <c r="AD126" s="405"/>
      <c r="AE126" s="405" t="s">
        <v>3</v>
      </c>
      <c r="AF126" s="420" t="s">
        <v>18</v>
      </c>
      <c r="AG126" s="422"/>
      <c r="AH126" s="425" t="s">
        <v>22</v>
      </c>
      <c r="AI126" s="106" t="s">
        <v>17</v>
      </c>
      <c r="AJ126" s="130"/>
    </row>
    <row r="127" spans="1:39" s="103" customFormat="1" ht="15.75" x14ac:dyDescent="0.2">
      <c r="A127" s="408"/>
      <c r="B127" s="408"/>
      <c r="C127" s="408"/>
      <c r="D127" s="408"/>
      <c r="E127" s="406"/>
      <c r="F127" s="407"/>
      <c r="G127" s="409"/>
      <c r="H127" s="406"/>
      <c r="I127" s="407"/>
      <c r="J127" s="409"/>
      <c r="K127" s="406"/>
      <c r="L127" s="407"/>
      <c r="M127" s="408"/>
      <c r="N127" s="406"/>
      <c r="O127" s="407"/>
      <c r="P127" s="408"/>
      <c r="Q127" s="406"/>
      <c r="R127" s="407"/>
      <c r="S127" s="408"/>
      <c r="T127" s="406"/>
      <c r="U127" s="407"/>
      <c r="V127" s="408"/>
      <c r="W127" s="406" t="s">
        <v>2</v>
      </c>
      <c r="X127" s="407"/>
      <c r="Y127" s="226" t="s">
        <v>3</v>
      </c>
      <c r="Z127" s="427" t="s">
        <v>2</v>
      </c>
      <c r="AA127" s="428"/>
      <c r="AB127" s="226" t="s">
        <v>3</v>
      </c>
      <c r="AC127" s="406"/>
      <c r="AD127" s="407"/>
      <c r="AE127" s="407"/>
      <c r="AF127" s="406" t="s">
        <v>2</v>
      </c>
      <c r="AG127" s="407"/>
      <c r="AH127" s="426"/>
      <c r="AI127" s="226" t="s">
        <v>3</v>
      </c>
      <c r="AJ127" s="130"/>
    </row>
    <row r="128" spans="1:39" ht="96" customHeight="1" x14ac:dyDescent="0.2">
      <c r="A128" s="69">
        <v>19</v>
      </c>
      <c r="B128" s="6" t="s">
        <v>89</v>
      </c>
      <c r="C128" s="53"/>
      <c r="D128" s="53" t="s">
        <v>528</v>
      </c>
      <c r="E128" s="346">
        <v>7</v>
      </c>
      <c r="F128" s="347" t="s">
        <v>28</v>
      </c>
      <c r="G128" s="281"/>
      <c r="H128" s="346">
        <v>12</v>
      </c>
      <c r="I128" s="347" t="s">
        <v>28</v>
      </c>
      <c r="J128" s="357">
        <f>J129</f>
        <v>323250000</v>
      </c>
      <c r="K128" s="346">
        <v>8</v>
      </c>
      <c r="L128" s="347" t="s">
        <v>28</v>
      </c>
      <c r="M128" s="357">
        <f>M129</f>
        <v>6402387500</v>
      </c>
      <c r="N128" s="346">
        <v>9</v>
      </c>
      <c r="O128" s="347" t="s">
        <v>28</v>
      </c>
      <c r="P128" s="357">
        <f>P129</f>
        <v>4856672500</v>
      </c>
      <c r="Q128" s="346">
        <f>(1113220047-900544847)/900544847*100</f>
        <v>23.616280822491898</v>
      </c>
      <c r="R128" s="347" t="s">
        <v>28</v>
      </c>
      <c r="S128" s="357">
        <f>S129</f>
        <v>4712858749</v>
      </c>
      <c r="T128" s="346">
        <f>(2483102365-1113220047)/1113220047*100</f>
        <v>123.05584342391921</v>
      </c>
      <c r="U128" s="347" t="s">
        <v>28</v>
      </c>
      <c r="V128" s="357">
        <f>V129</f>
        <v>2376340072</v>
      </c>
      <c r="W128" s="288">
        <f>Q128/K128*100</f>
        <v>295.20351028114874</v>
      </c>
      <c r="X128" s="282" t="s">
        <v>28</v>
      </c>
      <c r="Y128" s="294">
        <f>S128/M128*100</f>
        <v>73.610957615420816</v>
      </c>
      <c r="Z128" s="391">
        <f>T128/N128*100</f>
        <v>1367.287149154658</v>
      </c>
      <c r="AA128" s="282" t="s">
        <v>28</v>
      </c>
      <c r="AB128" s="294">
        <f>V128/P128*100</f>
        <v>48.929386776645941</v>
      </c>
      <c r="AC128" s="277">
        <f t="shared" ref="AC128" si="34">T128</f>
        <v>123.05584342391921</v>
      </c>
      <c r="AD128" s="389" t="s">
        <v>28</v>
      </c>
      <c r="AE128" s="388">
        <f>S128+V128</f>
        <v>7089198821</v>
      </c>
      <c r="AF128" s="19"/>
      <c r="AG128" s="18"/>
      <c r="AH128" s="8"/>
      <c r="AI128" s="56"/>
      <c r="AJ128" s="157" t="s">
        <v>512</v>
      </c>
      <c r="AM128" s="134">
        <f>S128</f>
        <v>4712858749</v>
      </c>
    </row>
    <row r="129" spans="1:39" ht="90" x14ac:dyDescent="0.2">
      <c r="A129" s="64"/>
      <c r="B129" s="64"/>
      <c r="C129" s="54" t="s">
        <v>32</v>
      </c>
      <c r="D129" s="54" t="s">
        <v>441</v>
      </c>
      <c r="E129" s="166">
        <v>100</v>
      </c>
      <c r="F129" s="49" t="s">
        <v>28</v>
      </c>
      <c r="G129" s="8"/>
      <c r="H129" s="166">
        <v>100</v>
      </c>
      <c r="I129" s="49" t="s">
        <v>28</v>
      </c>
      <c r="J129" s="11">
        <v>323250000</v>
      </c>
      <c r="K129" s="209">
        <v>100</v>
      </c>
      <c r="L129" s="49" t="s">
        <v>28</v>
      </c>
      <c r="M129" s="11">
        <v>6402387500</v>
      </c>
      <c r="N129" s="209">
        <v>100</v>
      </c>
      <c r="O129" s="49" t="s">
        <v>28</v>
      </c>
      <c r="P129" s="11">
        <v>4856672500</v>
      </c>
      <c r="Q129" s="160">
        <v>100</v>
      </c>
      <c r="R129" s="49" t="s">
        <v>28</v>
      </c>
      <c r="S129" s="91">
        <v>4712858749</v>
      </c>
      <c r="T129" s="209">
        <v>100</v>
      </c>
      <c r="U129" s="49" t="s">
        <v>28</v>
      </c>
      <c r="V129" s="91">
        <v>2376340072</v>
      </c>
      <c r="W129" s="58">
        <f>Q129/K129*100</f>
        <v>100</v>
      </c>
      <c r="X129" s="18" t="s">
        <v>28</v>
      </c>
      <c r="Y129" s="289">
        <f>S129/M129*100</f>
        <v>73.610957615420816</v>
      </c>
      <c r="Z129" s="58">
        <f>T129/N129*100</f>
        <v>100</v>
      </c>
      <c r="AA129" s="18" t="s">
        <v>28</v>
      </c>
      <c r="AB129" s="289">
        <f>V129/P129*100</f>
        <v>48.929386776645941</v>
      </c>
      <c r="AC129" s="78">
        <f t="shared" ref="AC129" si="35">T129</f>
        <v>100</v>
      </c>
      <c r="AD129" s="173" t="s">
        <v>28</v>
      </c>
      <c r="AE129" s="247">
        <f>S129+V129</f>
        <v>7089198821</v>
      </c>
      <c r="AF129" s="19"/>
      <c r="AG129" s="18"/>
      <c r="AH129" s="8"/>
      <c r="AI129" s="56"/>
      <c r="AM129" s="134">
        <f>S129</f>
        <v>4712858749</v>
      </c>
    </row>
    <row r="130" spans="1:39" ht="15" x14ac:dyDescent="0.2">
      <c r="A130" s="446" t="s">
        <v>5</v>
      </c>
      <c r="B130" s="446"/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121">
        <f>AVERAGE(W128:W129)</f>
        <v>197.60175514057437</v>
      </c>
      <c r="X130" s="122"/>
      <c r="Y130" s="121"/>
      <c r="Z130" s="121">
        <f>AVERAGE(Z128:Z129)</f>
        <v>733.64357457732899</v>
      </c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26"/>
    </row>
    <row r="131" spans="1:39" ht="15" x14ac:dyDescent="0.2">
      <c r="A131" s="446" t="s">
        <v>6</v>
      </c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195" t="str">
        <f>IF(W130&gt;=91,"Sangat Tinggi",IF(W130&gt;=76,"Tinggi",IF(W130&gt;=66,"Sedang",IF(W130&gt;=51,"Rendah",IF(W130&lt;=50,"Sangat Rendah")))))</f>
        <v>Sangat Tinggi</v>
      </c>
      <c r="X131" s="122"/>
      <c r="Y131" s="102"/>
      <c r="Z131" s="195" t="str">
        <f>IF(Z130&gt;=91,"Sangat Tinggi",IF(Z130&gt;=76,"Tinggi",IF(Z130&gt;=66,"Sedang",IF(Z130&gt;=51,"Rendah",IF(Z130&lt;=50,"Sangat Rendah")))))</f>
        <v>Sangat Tinggi</v>
      </c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26"/>
    </row>
    <row r="132" spans="1:39" ht="15" x14ac:dyDescent="0.2">
      <c r="A132" s="429" t="s">
        <v>7</v>
      </c>
      <c r="B132" s="429"/>
      <c r="C132" s="429"/>
      <c r="D132" s="429"/>
      <c r="E132" s="429"/>
      <c r="F132" s="429"/>
      <c r="G132" s="429"/>
      <c r="H132" s="429"/>
      <c r="I132" s="429"/>
      <c r="J132" s="429"/>
      <c r="K132" s="429"/>
      <c r="L132" s="429"/>
      <c r="M132" s="429"/>
      <c r="N132" s="429"/>
      <c r="O132" s="429"/>
      <c r="P132" s="429"/>
      <c r="Q132" s="429"/>
      <c r="R132" s="429"/>
      <c r="S132" s="429"/>
      <c r="T132" s="429"/>
      <c r="U132" s="429"/>
      <c r="V132" s="429"/>
      <c r="W132" s="429"/>
      <c r="X132" s="429"/>
      <c r="Y132" s="429"/>
      <c r="Z132" s="429"/>
      <c r="AA132" s="429"/>
      <c r="AB132" s="429"/>
      <c r="AC132" s="429"/>
      <c r="AD132" s="429"/>
      <c r="AE132" s="429"/>
      <c r="AF132" s="429"/>
      <c r="AG132" s="429"/>
      <c r="AH132" s="429"/>
      <c r="AI132" s="429"/>
      <c r="AJ132" s="126"/>
    </row>
    <row r="133" spans="1:39" ht="15" x14ac:dyDescent="0.2">
      <c r="A133" s="429" t="s">
        <v>8</v>
      </c>
      <c r="B133" s="429"/>
      <c r="C133" s="429"/>
      <c r="D133" s="429"/>
      <c r="E133" s="429"/>
      <c r="F133" s="429"/>
      <c r="G133" s="429"/>
      <c r="H133" s="429"/>
      <c r="I133" s="429"/>
      <c r="J133" s="429"/>
      <c r="K133" s="429"/>
      <c r="L133" s="429"/>
      <c r="M133" s="429"/>
      <c r="N133" s="429"/>
      <c r="O133" s="429"/>
      <c r="P133" s="429"/>
      <c r="Q133" s="429"/>
      <c r="R133" s="429"/>
      <c r="S133" s="429"/>
      <c r="T133" s="429"/>
      <c r="U133" s="429"/>
      <c r="V133" s="429"/>
      <c r="W133" s="429"/>
      <c r="X133" s="429"/>
      <c r="Y133" s="429"/>
      <c r="Z133" s="429"/>
      <c r="AA133" s="429"/>
      <c r="AB133" s="429"/>
      <c r="AC133" s="429"/>
      <c r="AD133" s="429"/>
      <c r="AE133" s="429"/>
      <c r="AF133" s="429"/>
      <c r="AG133" s="429"/>
      <c r="AH133" s="429"/>
      <c r="AI133" s="429"/>
      <c r="AJ133" s="126"/>
    </row>
    <row r="134" spans="1:39" ht="15" x14ac:dyDescent="0.2">
      <c r="A134" s="429" t="s">
        <v>9</v>
      </c>
      <c r="B134" s="429"/>
      <c r="C134" s="429"/>
      <c r="D134" s="429"/>
      <c r="E134" s="429"/>
      <c r="F134" s="429"/>
      <c r="G134" s="429"/>
      <c r="H134" s="429"/>
      <c r="I134" s="429"/>
      <c r="J134" s="429"/>
      <c r="K134" s="429"/>
      <c r="L134" s="429"/>
      <c r="M134" s="429"/>
      <c r="N134" s="429"/>
      <c r="O134" s="429"/>
      <c r="P134" s="429"/>
      <c r="Q134" s="429"/>
      <c r="R134" s="429"/>
      <c r="S134" s="429"/>
      <c r="T134" s="429"/>
      <c r="U134" s="429"/>
      <c r="V134" s="429"/>
      <c r="W134" s="429"/>
      <c r="X134" s="429"/>
      <c r="Y134" s="429"/>
      <c r="Z134" s="429"/>
      <c r="AA134" s="429"/>
      <c r="AB134" s="429"/>
      <c r="AC134" s="429"/>
      <c r="AD134" s="429"/>
      <c r="AE134" s="429"/>
      <c r="AF134" s="429"/>
      <c r="AG134" s="429"/>
      <c r="AH134" s="429"/>
      <c r="AI134" s="429"/>
      <c r="AJ134" s="126"/>
    </row>
    <row r="135" spans="1:39" ht="15" x14ac:dyDescent="0.2">
      <c r="A135" s="429" t="s">
        <v>10</v>
      </c>
      <c r="B135" s="429"/>
      <c r="C135" s="429"/>
      <c r="D135" s="429"/>
      <c r="E135" s="429"/>
      <c r="F135" s="429"/>
      <c r="G135" s="429"/>
      <c r="H135" s="429"/>
      <c r="I135" s="429"/>
      <c r="J135" s="429"/>
      <c r="K135" s="429"/>
      <c r="L135" s="429"/>
      <c r="M135" s="429"/>
      <c r="N135" s="429"/>
      <c r="O135" s="429"/>
      <c r="P135" s="429"/>
      <c r="Q135" s="429"/>
      <c r="R135" s="429"/>
      <c r="S135" s="429"/>
      <c r="T135" s="429"/>
      <c r="U135" s="429"/>
      <c r="V135" s="429"/>
      <c r="W135" s="429"/>
      <c r="X135" s="429"/>
      <c r="Y135" s="429"/>
      <c r="Z135" s="429"/>
      <c r="AA135" s="429"/>
      <c r="AB135" s="429"/>
      <c r="AC135" s="429"/>
      <c r="AD135" s="429"/>
      <c r="AE135" s="429"/>
      <c r="AF135" s="429"/>
      <c r="AG135" s="429"/>
      <c r="AH135" s="429"/>
      <c r="AI135" s="429"/>
      <c r="AJ135" s="127"/>
    </row>
    <row r="136" spans="1:39" ht="1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61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</row>
    <row r="137" spans="1:39" ht="15.75" x14ac:dyDescent="0.25">
      <c r="A137" s="60" t="s">
        <v>11</v>
      </c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61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</row>
    <row r="138" spans="1:39" ht="1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61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</row>
    <row r="139" spans="1:39" ht="1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61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</row>
    <row r="140" spans="1:39" ht="1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61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</row>
    <row r="141" spans="1:39" s="103" customFormat="1" ht="15" x14ac:dyDescent="0.2">
      <c r="A141" s="138" t="s">
        <v>517</v>
      </c>
      <c r="B141" s="139"/>
      <c r="C141" s="139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40">
        <f>W51</f>
        <v>97.418621036564446</v>
      </c>
      <c r="X141" s="141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2"/>
      <c r="AJ141" s="147"/>
    </row>
    <row r="142" spans="1:39" s="103" customFormat="1" ht="15" x14ac:dyDescent="0.2">
      <c r="A142" s="138" t="s">
        <v>518</v>
      </c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40">
        <f>W90</f>
        <v>118.09150702774487</v>
      </c>
      <c r="X142" s="141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2"/>
      <c r="AJ142" s="147"/>
    </row>
    <row r="143" spans="1:39" s="103" customFormat="1" ht="15" x14ac:dyDescent="0.2">
      <c r="A143" s="138" t="s">
        <v>519</v>
      </c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40">
        <f>W113</f>
        <v>283.88394483377033</v>
      </c>
      <c r="X143" s="141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2"/>
      <c r="AJ143" s="147"/>
    </row>
    <row r="144" spans="1:39" s="103" customFormat="1" ht="15" x14ac:dyDescent="0.2">
      <c r="A144" s="138" t="s">
        <v>520</v>
      </c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40">
        <f>W130</f>
        <v>197.60175514057437</v>
      </c>
      <c r="X144" s="141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7"/>
    </row>
    <row r="145" spans="1:36" s="103" customFormat="1" ht="15" x14ac:dyDescent="0.2">
      <c r="A145" s="424" t="s">
        <v>5</v>
      </c>
      <c r="B145" s="424"/>
      <c r="C145" s="424"/>
      <c r="D145" s="424"/>
      <c r="E145" s="424"/>
      <c r="F145" s="424"/>
      <c r="G145" s="424"/>
      <c r="H145" s="424"/>
      <c r="I145" s="424"/>
      <c r="J145" s="424"/>
      <c r="K145" s="424"/>
      <c r="L145" s="424"/>
      <c r="M145" s="424"/>
      <c r="N145" s="424"/>
      <c r="O145" s="424"/>
      <c r="P145" s="424"/>
      <c r="Q145" s="424"/>
      <c r="R145" s="424"/>
      <c r="S145" s="424"/>
      <c r="T145" s="424"/>
      <c r="U145" s="424"/>
      <c r="V145" s="424"/>
      <c r="W145" s="143">
        <f>AVERAGE(W141:W144)</f>
        <v>174.24895700966351</v>
      </c>
      <c r="X145" s="144"/>
      <c r="Y145" s="143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8"/>
    </row>
    <row r="146" spans="1:36" s="103" customFormat="1" ht="15" x14ac:dyDescent="0.2">
      <c r="A146" s="424" t="s">
        <v>6</v>
      </c>
      <c r="B146" s="424"/>
      <c r="C146" s="424"/>
      <c r="D146" s="424"/>
      <c r="E146" s="424"/>
      <c r="F146" s="424"/>
      <c r="G146" s="424"/>
      <c r="H146" s="424"/>
      <c r="I146" s="424"/>
      <c r="J146" s="424"/>
      <c r="K146" s="424"/>
      <c r="L146" s="424"/>
      <c r="M146" s="424"/>
      <c r="N146" s="424"/>
      <c r="O146" s="424"/>
      <c r="P146" s="424"/>
      <c r="Q146" s="424"/>
      <c r="R146" s="424"/>
      <c r="S146" s="424"/>
      <c r="T146" s="424"/>
      <c r="U146" s="424"/>
      <c r="V146" s="424"/>
      <c r="W146" s="196" t="str">
        <f>IF(W145&gt;=91,"Sangat Tinggi",IF(W145&gt;=76,"Tinggi",IF(W145&gt;=66,"Sedang",IF(W145&gt;=51,"Rendah",IF(W145&lt;=50,"Sangat Rendah")))))</f>
        <v>Sangat Tinggi</v>
      </c>
      <c r="X146" s="144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8"/>
    </row>
    <row r="147" spans="1:36" s="103" customFormat="1" ht="15" x14ac:dyDescent="0.2">
      <c r="A147" s="423" t="s">
        <v>7</v>
      </c>
      <c r="B147" s="423"/>
      <c r="C147" s="423"/>
      <c r="D147" s="423"/>
      <c r="E147" s="423"/>
      <c r="F147" s="423"/>
      <c r="G147" s="423"/>
      <c r="H147" s="423"/>
      <c r="I147" s="423"/>
      <c r="J147" s="423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  <c r="AC147" s="423"/>
      <c r="AD147" s="423"/>
      <c r="AE147" s="423"/>
      <c r="AF147" s="423"/>
      <c r="AG147" s="423"/>
      <c r="AH147" s="423"/>
      <c r="AI147" s="423"/>
      <c r="AJ147" s="148"/>
    </row>
    <row r="148" spans="1:36" s="103" customFormat="1" ht="15" x14ac:dyDescent="0.2">
      <c r="A148" s="423" t="s">
        <v>8</v>
      </c>
      <c r="B148" s="423"/>
      <c r="C148" s="423"/>
      <c r="D148" s="423"/>
      <c r="E148" s="423"/>
      <c r="F148" s="423"/>
      <c r="G148" s="423"/>
      <c r="H148" s="423"/>
      <c r="I148" s="423"/>
      <c r="J148" s="423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  <c r="AC148" s="423"/>
      <c r="AD148" s="423"/>
      <c r="AE148" s="423"/>
      <c r="AF148" s="423"/>
      <c r="AG148" s="423"/>
      <c r="AH148" s="423"/>
      <c r="AI148" s="423"/>
      <c r="AJ148" s="148"/>
    </row>
    <row r="149" spans="1:36" s="103" customFormat="1" ht="15" x14ac:dyDescent="0.2">
      <c r="A149" s="423" t="s">
        <v>9</v>
      </c>
      <c r="B149" s="423"/>
      <c r="C149" s="423"/>
      <c r="D149" s="423"/>
      <c r="E149" s="423"/>
      <c r="F149" s="423"/>
      <c r="G149" s="423"/>
      <c r="H149" s="423"/>
      <c r="I149" s="423"/>
      <c r="J149" s="423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  <c r="AC149" s="423"/>
      <c r="AD149" s="423"/>
      <c r="AE149" s="423"/>
      <c r="AF149" s="423"/>
      <c r="AG149" s="423"/>
      <c r="AH149" s="423"/>
      <c r="AI149" s="423"/>
      <c r="AJ149" s="148"/>
    </row>
    <row r="150" spans="1:36" s="103" customFormat="1" ht="15" x14ac:dyDescent="0.2">
      <c r="A150" s="423" t="s">
        <v>10</v>
      </c>
      <c r="B150" s="423"/>
      <c r="C150" s="423"/>
      <c r="D150" s="423"/>
      <c r="E150" s="423"/>
      <c r="F150" s="423"/>
      <c r="G150" s="423"/>
      <c r="H150" s="423"/>
      <c r="I150" s="423"/>
      <c r="J150" s="423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  <c r="AC150" s="423"/>
      <c r="AD150" s="423"/>
      <c r="AE150" s="423"/>
      <c r="AF150" s="423"/>
      <c r="AG150" s="423"/>
      <c r="AH150" s="423"/>
      <c r="AI150" s="423"/>
      <c r="AJ150" s="148"/>
    </row>
    <row r="151" spans="1:36" ht="1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61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</row>
    <row r="152" spans="1:36" ht="1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61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</row>
    <row r="154" spans="1:36" ht="51" x14ac:dyDescent="0.2">
      <c r="A154" s="192" t="s">
        <v>537</v>
      </c>
      <c r="B154" s="192" t="s">
        <v>538</v>
      </c>
      <c r="C154" s="192" t="s">
        <v>539</v>
      </c>
    </row>
    <row r="155" spans="1:36" ht="25.5" x14ac:dyDescent="0.2">
      <c r="A155" s="193" t="s">
        <v>540</v>
      </c>
      <c r="B155" s="193" t="s">
        <v>541</v>
      </c>
      <c r="C155" s="193" t="s">
        <v>542</v>
      </c>
    </row>
    <row r="156" spans="1:36" ht="25.5" x14ac:dyDescent="0.2">
      <c r="A156" s="193" t="s">
        <v>543</v>
      </c>
      <c r="B156" s="193" t="s">
        <v>544</v>
      </c>
      <c r="C156" s="193" t="s">
        <v>545</v>
      </c>
    </row>
    <row r="157" spans="1:36" ht="25.5" x14ac:dyDescent="0.2">
      <c r="A157" s="193" t="s">
        <v>546</v>
      </c>
      <c r="B157" s="193" t="s">
        <v>547</v>
      </c>
      <c r="C157" s="193" t="s">
        <v>280</v>
      </c>
    </row>
    <row r="158" spans="1:36" ht="25.5" x14ac:dyDescent="0.2">
      <c r="A158" s="193" t="s">
        <v>548</v>
      </c>
      <c r="B158" s="193" t="s">
        <v>549</v>
      </c>
      <c r="C158" s="193" t="s">
        <v>550</v>
      </c>
    </row>
    <row r="159" spans="1:36" ht="25.5" x14ac:dyDescent="0.2">
      <c r="A159" s="193" t="s">
        <v>551</v>
      </c>
      <c r="B159" s="194" t="s">
        <v>552</v>
      </c>
      <c r="C159" s="193" t="s">
        <v>553</v>
      </c>
    </row>
  </sheetData>
  <mergeCells count="251">
    <mergeCell ref="A150:AI150"/>
    <mergeCell ref="AF126:AG126"/>
    <mergeCell ref="AC126:AD127"/>
    <mergeCell ref="AE126:AE127"/>
    <mergeCell ref="AH126:AH127"/>
    <mergeCell ref="W127:X127"/>
    <mergeCell ref="Z127:AA127"/>
    <mergeCell ref="AF127:AG127"/>
    <mergeCell ref="B125:B127"/>
    <mergeCell ref="C125:C127"/>
    <mergeCell ref="D125:D127"/>
    <mergeCell ref="E125:G125"/>
    <mergeCell ref="H125:J125"/>
    <mergeCell ref="V126:V127"/>
    <mergeCell ref="W126:X126"/>
    <mergeCell ref="Z126:AA126"/>
    <mergeCell ref="Z125:AB125"/>
    <mergeCell ref="A145:V145"/>
    <mergeCell ref="A146:V146"/>
    <mergeCell ref="A147:AI147"/>
    <mergeCell ref="A148:AI148"/>
    <mergeCell ref="A149:AI149"/>
    <mergeCell ref="E126:F127"/>
    <mergeCell ref="G126:G127"/>
    <mergeCell ref="H126:I127"/>
    <mergeCell ref="J126:J127"/>
    <mergeCell ref="N126:O127"/>
    <mergeCell ref="P126:P127"/>
    <mergeCell ref="Q126:R127"/>
    <mergeCell ref="S126:S127"/>
    <mergeCell ref="T126:U127"/>
    <mergeCell ref="Q125:S125"/>
    <mergeCell ref="T125:V125"/>
    <mergeCell ref="W125:Y125"/>
    <mergeCell ref="AJ122:AJ123"/>
    <mergeCell ref="N124:P124"/>
    <mergeCell ref="Q124:S124"/>
    <mergeCell ref="T124:V124"/>
    <mergeCell ref="W124:Y124"/>
    <mergeCell ref="Z124:AB124"/>
    <mergeCell ref="AC125:AE125"/>
    <mergeCell ref="AF125:AI125"/>
    <mergeCell ref="A130:V130"/>
    <mergeCell ref="A131:V131"/>
    <mergeCell ref="A132:AI132"/>
    <mergeCell ref="A133:AI133"/>
    <mergeCell ref="A134:AI134"/>
    <mergeCell ref="A135:AI135"/>
    <mergeCell ref="A113:V113"/>
    <mergeCell ref="A114:V114"/>
    <mergeCell ref="A115:AI115"/>
    <mergeCell ref="A116:AI116"/>
    <mergeCell ref="A117:AI117"/>
    <mergeCell ref="A118:AI118"/>
    <mergeCell ref="A122:A124"/>
    <mergeCell ref="B122:B124"/>
    <mergeCell ref="C122:C124"/>
    <mergeCell ref="D122:D124"/>
    <mergeCell ref="E122:G124"/>
    <mergeCell ref="H122:J124"/>
    <mergeCell ref="Q122:V123"/>
    <mergeCell ref="W122:AB123"/>
    <mergeCell ref="AC122:AE124"/>
    <mergeCell ref="AF122:AI124"/>
    <mergeCell ref="A125:A127"/>
    <mergeCell ref="N125:P125"/>
    <mergeCell ref="W102:Y102"/>
    <mergeCell ref="Z102:AB102"/>
    <mergeCell ref="AC102:AE102"/>
    <mergeCell ref="AF102:AI102"/>
    <mergeCell ref="W103:X103"/>
    <mergeCell ref="Z103:AA103"/>
    <mergeCell ref="AF103:AG103"/>
    <mergeCell ref="AC103:AD104"/>
    <mergeCell ref="AE103:AE104"/>
    <mergeCell ref="AH103:AH104"/>
    <mergeCell ref="W104:X104"/>
    <mergeCell ref="Z104:AA104"/>
    <mergeCell ref="AF104:AG104"/>
    <mergeCell ref="A102:A104"/>
    <mergeCell ref="B102:B104"/>
    <mergeCell ref="C102:C104"/>
    <mergeCell ref="D102:D104"/>
    <mergeCell ref="E102:G102"/>
    <mergeCell ref="H102:J102"/>
    <mergeCell ref="N102:P102"/>
    <mergeCell ref="Q102:S102"/>
    <mergeCell ref="T102:V102"/>
    <mergeCell ref="E103:F104"/>
    <mergeCell ref="G103:G104"/>
    <mergeCell ref="H103:I104"/>
    <mergeCell ref="J103:J104"/>
    <mergeCell ref="N103:O104"/>
    <mergeCell ref="P103:P104"/>
    <mergeCell ref="Q103:R104"/>
    <mergeCell ref="S103:S104"/>
    <mergeCell ref="T103:U104"/>
    <mergeCell ref="V103:V104"/>
    <mergeCell ref="D99:D101"/>
    <mergeCell ref="E99:G101"/>
    <mergeCell ref="H99:J101"/>
    <mergeCell ref="Q99:V100"/>
    <mergeCell ref="W99:AB100"/>
    <mergeCell ref="AC99:AE101"/>
    <mergeCell ref="AF99:AI101"/>
    <mergeCell ref="AJ99:AJ100"/>
    <mergeCell ref="N101:P101"/>
    <mergeCell ref="Q101:S101"/>
    <mergeCell ref="T101:V101"/>
    <mergeCell ref="W101:Y101"/>
    <mergeCell ref="Z101:AB101"/>
    <mergeCell ref="V64:V65"/>
    <mergeCell ref="AF64:AG64"/>
    <mergeCell ref="AC64:AD65"/>
    <mergeCell ref="AE64:AE65"/>
    <mergeCell ref="AH64:AH65"/>
    <mergeCell ref="W65:X65"/>
    <mergeCell ref="Z65:AA65"/>
    <mergeCell ref="AF65:AG65"/>
    <mergeCell ref="A90:V90"/>
    <mergeCell ref="W63:Y63"/>
    <mergeCell ref="Z63:AB63"/>
    <mergeCell ref="AC63:AE63"/>
    <mergeCell ref="AF63:AI63"/>
    <mergeCell ref="W64:X64"/>
    <mergeCell ref="Z64:AA64"/>
    <mergeCell ref="A63:A65"/>
    <mergeCell ref="B63:B65"/>
    <mergeCell ref="C63:C65"/>
    <mergeCell ref="D63:D65"/>
    <mergeCell ref="E63:G63"/>
    <mergeCell ref="H63:J63"/>
    <mergeCell ref="N63:P63"/>
    <mergeCell ref="Q63:S63"/>
    <mergeCell ref="T63:V63"/>
    <mergeCell ref="E64:F65"/>
    <mergeCell ref="G64:G65"/>
    <mergeCell ref="H64:I65"/>
    <mergeCell ref="J64:J65"/>
    <mergeCell ref="N64:O65"/>
    <mergeCell ref="P64:P65"/>
    <mergeCell ref="Q64:R65"/>
    <mergeCell ref="S64:S65"/>
    <mergeCell ref="T64:U65"/>
    <mergeCell ref="AC13:AE13"/>
    <mergeCell ref="AF13:AI13"/>
    <mergeCell ref="N13:P13"/>
    <mergeCell ref="Q13:S13"/>
    <mergeCell ref="T13:V13"/>
    <mergeCell ref="W13:Y13"/>
    <mergeCell ref="Z13:AB13"/>
    <mergeCell ref="Z14:AA14"/>
    <mergeCell ref="N14:O15"/>
    <mergeCell ref="P14:P15"/>
    <mergeCell ref="Q14:R15"/>
    <mergeCell ref="S14:S15"/>
    <mergeCell ref="T14:U15"/>
    <mergeCell ref="V14:V15"/>
    <mergeCell ref="AH14:AH15"/>
    <mergeCell ref="W15:X15"/>
    <mergeCell ref="Z15:AA15"/>
    <mergeCell ref="AF15:AG15"/>
    <mergeCell ref="AC14:AD15"/>
    <mergeCell ref="AE14:AE15"/>
    <mergeCell ref="W14:X14"/>
    <mergeCell ref="A1:AJ1"/>
    <mergeCell ref="A2:AJ2"/>
    <mergeCell ref="A3:AJ3"/>
    <mergeCell ref="AJ60:AJ61"/>
    <mergeCell ref="N62:P62"/>
    <mergeCell ref="Q62:S62"/>
    <mergeCell ref="T62:V62"/>
    <mergeCell ref="Q60:V61"/>
    <mergeCell ref="W60:AB61"/>
    <mergeCell ref="AC60:AE62"/>
    <mergeCell ref="AF60:AI62"/>
    <mergeCell ref="A13:A15"/>
    <mergeCell ref="B13:B15"/>
    <mergeCell ref="C13:C15"/>
    <mergeCell ref="D13:D15"/>
    <mergeCell ref="E13:G13"/>
    <mergeCell ref="H13:J13"/>
    <mergeCell ref="E14:F15"/>
    <mergeCell ref="G14:G15"/>
    <mergeCell ref="H14:I15"/>
    <mergeCell ref="J14:J15"/>
    <mergeCell ref="AF14:AG14"/>
    <mergeCell ref="C10:C12"/>
    <mergeCell ref="D10:D12"/>
    <mergeCell ref="A4:AI4"/>
    <mergeCell ref="A5:AI5"/>
    <mergeCell ref="A9:AI9"/>
    <mergeCell ref="A6:AI6"/>
    <mergeCell ref="A7:AI7"/>
    <mergeCell ref="A8:AI8"/>
    <mergeCell ref="AC10:AE12"/>
    <mergeCell ref="AF10:AI12"/>
    <mergeCell ref="Z12:AB12"/>
    <mergeCell ref="Q10:V11"/>
    <mergeCell ref="W10:AB11"/>
    <mergeCell ref="K12:M12"/>
    <mergeCell ref="E10:G12"/>
    <mergeCell ref="H10:J12"/>
    <mergeCell ref="AJ10:AJ11"/>
    <mergeCell ref="N12:P12"/>
    <mergeCell ref="Q12:S12"/>
    <mergeCell ref="T12:V12"/>
    <mergeCell ref="W12:Y12"/>
    <mergeCell ref="A10:A12"/>
    <mergeCell ref="B10:B12"/>
    <mergeCell ref="W62:Y62"/>
    <mergeCell ref="Z62:AB62"/>
    <mergeCell ref="A51:V51"/>
    <mergeCell ref="A52:V52"/>
    <mergeCell ref="A53:AI53"/>
    <mergeCell ref="A54:AI54"/>
    <mergeCell ref="A55:AI55"/>
    <mergeCell ref="A56:AI56"/>
    <mergeCell ref="A60:A62"/>
    <mergeCell ref="B60:B62"/>
    <mergeCell ref="C60:C62"/>
    <mergeCell ref="D60:D62"/>
    <mergeCell ref="E60:G62"/>
    <mergeCell ref="H60:J62"/>
    <mergeCell ref="K13:M13"/>
    <mergeCell ref="K14:L15"/>
    <mergeCell ref="M14:M15"/>
    <mergeCell ref="K124:M124"/>
    <mergeCell ref="K125:M125"/>
    <mergeCell ref="K126:L127"/>
    <mergeCell ref="M126:M127"/>
    <mergeCell ref="K10:P11"/>
    <mergeCell ref="K60:P61"/>
    <mergeCell ref="K99:P100"/>
    <mergeCell ref="K122:P123"/>
    <mergeCell ref="K62:M62"/>
    <mergeCell ref="K63:M63"/>
    <mergeCell ref="K64:L65"/>
    <mergeCell ref="M64:M65"/>
    <mergeCell ref="K101:M101"/>
    <mergeCell ref="K102:M102"/>
    <mergeCell ref="K103:L104"/>
    <mergeCell ref="M103:M104"/>
    <mergeCell ref="A91:V91"/>
    <mergeCell ref="A92:AI92"/>
    <mergeCell ref="A93:AI93"/>
    <mergeCell ref="A94:AI94"/>
    <mergeCell ref="A95:AI95"/>
    <mergeCell ref="A99:A101"/>
    <mergeCell ref="B99:B101"/>
    <mergeCell ref="C99:C101"/>
  </mergeCells>
  <printOptions horizontalCentered="1"/>
  <pageMargins left="1.1499999999999999" right="0.25" top="3.9370078740157501E-2" bottom="3.9370078740157501E-2" header="0" footer="0"/>
  <pageSetup paperSize="5" scale="38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Misi I</vt:lpstr>
      <vt:lpstr>Misi II</vt:lpstr>
      <vt:lpstr>Misi III</vt:lpstr>
      <vt:lpstr>Misi IV</vt:lpstr>
      <vt:lpstr>Misi V</vt:lpstr>
      <vt:lpstr>'Misi I'!Print_Area</vt:lpstr>
      <vt:lpstr>'Misi II'!Print_Area</vt:lpstr>
      <vt:lpstr>'Misi III'!Print_Area</vt:lpstr>
      <vt:lpstr>'Misi IV'!Print_Area</vt:lpstr>
      <vt:lpstr>'Misi V'!Print_Area</vt:lpstr>
      <vt:lpstr>'Misi I'!Print_Titles</vt:lpstr>
      <vt:lpstr>'Misi II'!Print_Titles</vt:lpstr>
      <vt:lpstr>'Misi III'!Print_Titles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W10 PRO</cp:lastModifiedBy>
  <cp:lastPrinted>2020-01-21T01:43:57Z</cp:lastPrinted>
  <dcterms:created xsi:type="dcterms:W3CDTF">2019-07-24T23:56:17Z</dcterms:created>
  <dcterms:modified xsi:type="dcterms:W3CDTF">2022-03-16T02:21:27Z</dcterms:modified>
</cp:coreProperties>
</file>